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drawings/drawing12.xml" ContentType="application/vnd.openxmlformats-officedocument.drawing+xml"/>
  <Override PartName="/xl/comments12.xml" ContentType="application/vnd.openxmlformats-officedocument.spreadsheetml.comments+xml"/>
  <Override PartName="/xl/drawings/drawing13.xml" ContentType="application/vnd.openxmlformats-officedocument.drawing+xml"/>
  <Override PartName="/xl/comments13.xml" ContentType="application/vnd.openxmlformats-officedocument.spreadsheetml.comments+xml"/>
  <Override PartName="/xl/drawings/drawing14.xml" ContentType="application/vnd.openxmlformats-officedocument.drawing+xml"/>
  <Override PartName="/xl/comments14.xml" ContentType="application/vnd.openxmlformats-officedocument.spreadsheetml.comments+xml"/>
  <Override PartName="/xl/drawings/drawing15.xml" ContentType="application/vnd.openxmlformats-officedocument.drawing+xml"/>
  <Override PartName="/xl/comments15.xml" ContentType="application/vnd.openxmlformats-officedocument.spreadsheetml.comments+xml"/>
  <Override PartName="/xl/drawings/drawing16.xml" ContentType="application/vnd.openxmlformats-officedocument.drawing+xml"/>
  <Override PartName="/xl/comments16.xml" ContentType="application/vnd.openxmlformats-officedocument.spreadsheetml.comments+xml"/>
  <Override PartName="/xl/drawings/drawing17.xml" ContentType="application/vnd.openxmlformats-officedocument.drawing+xml"/>
  <Override PartName="/xl/comments17.xml" ContentType="application/vnd.openxmlformats-officedocument.spreadsheetml.comments+xml"/>
  <Override PartName="/xl/drawings/drawing18.xml" ContentType="application/vnd.openxmlformats-officedocument.drawing+xml"/>
  <Override PartName="/xl/comments1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codeName="ThisWorkbook" defaultThemeVersion="124226"/>
  <bookViews>
    <workbookView xWindow="480" yWindow="150" windowWidth="8505" windowHeight="4500" tabRatio="702" activeTab="13"/>
  </bookViews>
  <sheets>
    <sheet name="31" sheetId="543" r:id="rId1"/>
    <sheet name="1" sheetId="542" r:id="rId2"/>
    <sheet name="2" sheetId="541" r:id="rId3"/>
    <sheet name="3" sheetId="544" r:id="rId4"/>
    <sheet name="4" sheetId="545" r:id="rId5"/>
    <sheet name="5" sheetId="546" r:id="rId6"/>
    <sheet name="6" sheetId="547" r:id="rId7"/>
    <sheet name="7" sheetId="548" r:id="rId8"/>
    <sheet name="8" sheetId="549" r:id="rId9"/>
    <sheet name="9" sheetId="550" r:id="rId10"/>
    <sheet name="10" sheetId="551" r:id="rId11"/>
    <sheet name="11" sheetId="553" r:id="rId12"/>
    <sheet name="12" sheetId="554" r:id="rId13"/>
    <sheet name="13" sheetId="555" r:id="rId14"/>
    <sheet name="表样" sheetId="434" r:id="rId15"/>
    <sheet name="周汇总" sheetId="508" r:id="rId16"/>
    <sheet name="汇总" sheetId="505" r:id="rId17"/>
    <sheet name="直接人工成本" sheetId="489" r:id="rId18"/>
    <sheet name="分类汇总" sheetId="534" r:id="rId19"/>
  </sheets>
  <definedNames>
    <definedName name="_xlnm._FilterDatabase" localSheetId="16" hidden="1">汇总!$A$1:$BA$536</definedName>
    <definedName name="_xlnm._FilterDatabase" localSheetId="17" hidden="1">直接人工成本!$A$1:$BA$507</definedName>
    <definedName name="_xlnm._FilterDatabase" localSheetId="15" hidden="1">周汇总!$A$1:$BA$536</definedName>
  </definedNames>
  <calcPr calcId="145621"/>
</workbook>
</file>

<file path=xl/calcChain.xml><?xml version="1.0" encoding="utf-8"?>
<calcChain xmlns="http://schemas.openxmlformats.org/spreadsheetml/2006/main">
  <c r="P535" i="505" l="1"/>
  <c r="O535" i="505"/>
  <c r="N535" i="505"/>
  <c r="M535" i="505"/>
  <c r="L535" i="505"/>
  <c r="K535" i="505"/>
  <c r="I535" i="505"/>
  <c r="H535" i="505"/>
  <c r="G535" i="505"/>
  <c r="F535" i="505"/>
  <c r="E535" i="505"/>
  <c r="D535" i="505"/>
  <c r="C535" i="505"/>
  <c r="P534" i="505"/>
  <c r="O534" i="505"/>
  <c r="N534" i="505"/>
  <c r="M534" i="505"/>
  <c r="L534" i="505"/>
  <c r="K534" i="505"/>
  <c r="I534" i="505"/>
  <c r="H534" i="505"/>
  <c r="G534" i="505"/>
  <c r="F534" i="505"/>
  <c r="E534" i="505"/>
  <c r="D534" i="505"/>
  <c r="C534" i="505"/>
  <c r="P533" i="505"/>
  <c r="O533" i="505"/>
  <c r="N533" i="505"/>
  <c r="M533" i="505"/>
  <c r="L533" i="505"/>
  <c r="K533" i="505"/>
  <c r="I533" i="505"/>
  <c r="H533" i="505"/>
  <c r="G533" i="505"/>
  <c r="F533" i="505"/>
  <c r="E533" i="505"/>
  <c r="D533" i="505"/>
  <c r="C533" i="505"/>
  <c r="C511" i="505"/>
  <c r="C510" i="505"/>
  <c r="C509" i="505"/>
  <c r="AA505" i="505"/>
  <c r="Z505" i="505"/>
  <c r="Y505" i="505"/>
  <c r="X505" i="505"/>
  <c r="U505" i="505"/>
  <c r="T505" i="505"/>
  <c r="S505" i="505"/>
  <c r="R505" i="505"/>
  <c r="Q505" i="505"/>
  <c r="P505" i="505"/>
  <c r="O505" i="505"/>
  <c r="I505" i="505"/>
  <c r="G505" i="505"/>
  <c r="AA504" i="505"/>
  <c r="Z504" i="505"/>
  <c r="Y504" i="505"/>
  <c r="X504" i="505"/>
  <c r="U504" i="505"/>
  <c r="T504" i="505"/>
  <c r="S504" i="505"/>
  <c r="R504" i="505"/>
  <c r="Q504" i="505"/>
  <c r="P504" i="505"/>
  <c r="O504" i="505"/>
  <c r="I504" i="505"/>
  <c r="G504" i="505"/>
  <c r="I503" i="505"/>
  <c r="G503" i="505"/>
  <c r="AA502" i="505"/>
  <c r="Z502" i="505"/>
  <c r="Y502" i="505"/>
  <c r="X502" i="505"/>
  <c r="U502" i="505"/>
  <c r="T502" i="505"/>
  <c r="S502" i="505"/>
  <c r="R502" i="505"/>
  <c r="Q502" i="505"/>
  <c r="P502" i="505"/>
  <c r="O502" i="505"/>
  <c r="I502" i="505"/>
  <c r="G502" i="505"/>
  <c r="AA501" i="505"/>
  <c r="Z501" i="505"/>
  <c r="Y501" i="505"/>
  <c r="X501" i="505"/>
  <c r="U501" i="505"/>
  <c r="T501" i="505"/>
  <c r="S501" i="505"/>
  <c r="R501" i="505"/>
  <c r="Q501" i="505"/>
  <c r="P501" i="505"/>
  <c r="O501" i="505"/>
  <c r="I501" i="505"/>
  <c r="G501" i="505"/>
  <c r="G500" i="505"/>
  <c r="G499" i="505"/>
  <c r="AA498" i="505"/>
  <c r="Z498" i="505"/>
  <c r="Y498" i="505"/>
  <c r="X498" i="505"/>
  <c r="U498" i="505"/>
  <c r="T498" i="505"/>
  <c r="S498" i="505"/>
  <c r="R498" i="505"/>
  <c r="Q498" i="505"/>
  <c r="P498" i="505"/>
  <c r="O498" i="505"/>
  <c r="I498" i="505"/>
  <c r="G498" i="505"/>
  <c r="AA497" i="505"/>
  <c r="Z497" i="505"/>
  <c r="Y497" i="505"/>
  <c r="X497" i="505"/>
  <c r="U497" i="505"/>
  <c r="T497" i="505"/>
  <c r="S497" i="505"/>
  <c r="R497" i="505"/>
  <c r="Q497" i="505"/>
  <c r="P497" i="505"/>
  <c r="O497" i="505"/>
  <c r="I497" i="505"/>
  <c r="G497" i="505"/>
  <c r="AA496" i="505"/>
  <c r="Z496" i="505"/>
  <c r="Y496" i="505"/>
  <c r="X496" i="505"/>
  <c r="U496" i="505"/>
  <c r="T496" i="505"/>
  <c r="S496" i="505"/>
  <c r="R496" i="505"/>
  <c r="Q496" i="505"/>
  <c r="P496" i="505"/>
  <c r="O496" i="505"/>
  <c r="I496" i="505"/>
  <c r="G496" i="505"/>
  <c r="AA495" i="505"/>
  <c r="Z495" i="505"/>
  <c r="Y495" i="505"/>
  <c r="X495" i="505"/>
  <c r="U495" i="505"/>
  <c r="T495" i="505"/>
  <c r="S495" i="505"/>
  <c r="R495" i="505"/>
  <c r="Q495" i="505"/>
  <c r="P495" i="505"/>
  <c r="O495" i="505"/>
  <c r="I495" i="505"/>
  <c r="G495" i="505"/>
  <c r="AA494" i="505"/>
  <c r="Z494" i="505"/>
  <c r="Y494" i="505"/>
  <c r="X494" i="505"/>
  <c r="U494" i="505"/>
  <c r="T494" i="505"/>
  <c r="S494" i="505"/>
  <c r="R494" i="505"/>
  <c r="Q494" i="505"/>
  <c r="P494" i="505"/>
  <c r="O494" i="505"/>
  <c r="I494" i="505"/>
  <c r="G494" i="505"/>
  <c r="AA493" i="505"/>
  <c r="Z493" i="505"/>
  <c r="Y493" i="505"/>
  <c r="X493" i="505"/>
  <c r="U493" i="505"/>
  <c r="T493" i="505"/>
  <c r="S493" i="505"/>
  <c r="R493" i="505"/>
  <c r="Q493" i="505"/>
  <c r="P493" i="505"/>
  <c r="O493" i="505"/>
  <c r="I493" i="505"/>
  <c r="G493" i="505"/>
  <c r="AA492" i="505"/>
  <c r="Z492" i="505"/>
  <c r="Y492" i="505"/>
  <c r="X492" i="505"/>
  <c r="U492" i="505"/>
  <c r="T492" i="505"/>
  <c r="S492" i="505"/>
  <c r="R492" i="505"/>
  <c r="Q492" i="505"/>
  <c r="P492" i="505"/>
  <c r="O492" i="505"/>
  <c r="I492" i="505"/>
  <c r="G492" i="505"/>
  <c r="AA491" i="505"/>
  <c r="Z491" i="505"/>
  <c r="Y491" i="505"/>
  <c r="X491" i="505"/>
  <c r="U491" i="505"/>
  <c r="T491" i="505"/>
  <c r="S491" i="505"/>
  <c r="R491" i="505"/>
  <c r="Q491" i="505"/>
  <c r="P491" i="505"/>
  <c r="O491" i="505"/>
  <c r="I491" i="505"/>
  <c r="G491" i="505"/>
  <c r="AA489" i="505"/>
  <c r="Z489" i="505"/>
  <c r="Y489" i="505"/>
  <c r="X489" i="505"/>
  <c r="U489" i="505"/>
  <c r="T489" i="505"/>
  <c r="S489" i="505"/>
  <c r="R489" i="505"/>
  <c r="Q489" i="505"/>
  <c r="P489" i="505"/>
  <c r="O489" i="505"/>
  <c r="I489" i="505"/>
  <c r="G489" i="505"/>
  <c r="I488" i="505"/>
  <c r="G488" i="505"/>
  <c r="I487" i="505"/>
  <c r="G487" i="505"/>
  <c r="I486" i="505"/>
  <c r="G486" i="505"/>
  <c r="I485" i="505"/>
  <c r="G485" i="505"/>
  <c r="AA484" i="505"/>
  <c r="Z484" i="505"/>
  <c r="Y484" i="505"/>
  <c r="X484" i="505"/>
  <c r="U484" i="505"/>
  <c r="T484" i="505"/>
  <c r="S484" i="505"/>
  <c r="R484" i="505"/>
  <c r="Q484" i="505"/>
  <c r="P484" i="505"/>
  <c r="O484" i="505"/>
  <c r="I484" i="505"/>
  <c r="G484" i="505"/>
  <c r="AA483" i="505"/>
  <c r="Z483" i="505"/>
  <c r="Y483" i="505"/>
  <c r="X483" i="505"/>
  <c r="U483" i="505"/>
  <c r="T483" i="505"/>
  <c r="S483" i="505"/>
  <c r="R483" i="505"/>
  <c r="Q483" i="505"/>
  <c r="P483" i="505"/>
  <c r="O483" i="505"/>
  <c r="I483" i="505"/>
  <c r="G483" i="505"/>
  <c r="AA482" i="505"/>
  <c r="Z482" i="505"/>
  <c r="Y482" i="505"/>
  <c r="X482" i="505"/>
  <c r="U482" i="505"/>
  <c r="T482" i="505"/>
  <c r="S482" i="505"/>
  <c r="R482" i="505"/>
  <c r="Q482" i="505"/>
  <c r="P482" i="505"/>
  <c r="O482" i="505"/>
  <c r="I482" i="505"/>
  <c r="G482" i="505"/>
  <c r="AA481" i="505"/>
  <c r="Z481" i="505"/>
  <c r="Y481" i="505"/>
  <c r="X481" i="505"/>
  <c r="U481" i="505"/>
  <c r="T481" i="505"/>
  <c r="S481" i="505"/>
  <c r="R481" i="505"/>
  <c r="Q481" i="505"/>
  <c r="P481" i="505"/>
  <c r="O481" i="505"/>
  <c r="I481" i="505"/>
  <c r="G481" i="505"/>
  <c r="AA480" i="505"/>
  <c r="Z480" i="505"/>
  <c r="Y480" i="505"/>
  <c r="X480" i="505"/>
  <c r="U480" i="505"/>
  <c r="T480" i="505"/>
  <c r="S480" i="505"/>
  <c r="R480" i="505"/>
  <c r="Q480" i="505"/>
  <c r="P480" i="505"/>
  <c r="O480" i="505"/>
  <c r="I480" i="505"/>
  <c r="G480" i="505"/>
  <c r="AA478" i="505"/>
  <c r="Z478" i="505"/>
  <c r="Y478" i="505"/>
  <c r="X478" i="505"/>
  <c r="U478" i="505"/>
  <c r="T478" i="505"/>
  <c r="S478" i="505"/>
  <c r="R478" i="505"/>
  <c r="Q478" i="505"/>
  <c r="P478" i="505"/>
  <c r="O478" i="505"/>
  <c r="I478" i="505"/>
  <c r="G478" i="505"/>
  <c r="AA477" i="505"/>
  <c r="Z477" i="505"/>
  <c r="Y477" i="505"/>
  <c r="X477" i="505"/>
  <c r="U477" i="505"/>
  <c r="T477" i="505"/>
  <c r="S477" i="505"/>
  <c r="R477" i="505"/>
  <c r="Q477" i="505"/>
  <c r="P477" i="505"/>
  <c r="O477" i="505"/>
  <c r="I477" i="505"/>
  <c r="G477" i="505"/>
  <c r="AA476" i="505"/>
  <c r="Z476" i="505"/>
  <c r="Y476" i="505"/>
  <c r="X476" i="505"/>
  <c r="U476" i="505"/>
  <c r="T476" i="505"/>
  <c r="S476" i="505"/>
  <c r="R476" i="505"/>
  <c r="Q476" i="505"/>
  <c r="P476" i="505"/>
  <c r="O476" i="505"/>
  <c r="I476" i="505"/>
  <c r="G476" i="505"/>
  <c r="AA475" i="505"/>
  <c r="Z475" i="505"/>
  <c r="Y475" i="505"/>
  <c r="X475" i="505"/>
  <c r="U475" i="505"/>
  <c r="T475" i="505"/>
  <c r="S475" i="505"/>
  <c r="R475" i="505"/>
  <c r="Q475" i="505"/>
  <c r="P475" i="505"/>
  <c r="O475" i="505"/>
  <c r="I475" i="505"/>
  <c r="G475" i="505"/>
  <c r="AA474" i="505"/>
  <c r="Z474" i="505"/>
  <c r="Y474" i="505"/>
  <c r="X474" i="505"/>
  <c r="U474" i="505"/>
  <c r="T474" i="505"/>
  <c r="S474" i="505"/>
  <c r="R474" i="505"/>
  <c r="Q474" i="505"/>
  <c r="P474" i="505"/>
  <c r="O474" i="505"/>
  <c r="I474" i="505"/>
  <c r="G474" i="505"/>
  <c r="AA473" i="505"/>
  <c r="Z473" i="505"/>
  <c r="Y473" i="505"/>
  <c r="X473" i="505"/>
  <c r="U473" i="505"/>
  <c r="T473" i="505"/>
  <c r="S473" i="505"/>
  <c r="R473" i="505"/>
  <c r="Q473" i="505"/>
  <c r="P473" i="505"/>
  <c r="O473" i="505"/>
  <c r="I473" i="505"/>
  <c r="G473" i="505"/>
  <c r="AA472" i="505"/>
  <c r="Z472" i="505"/>
  <c r="Y472" i="505"/>
  <c r="X472" i="505"/>
  <c r="U472" i="505"/>
  <c r="T472" i="505"/>
  <c r="S472" i="505"/>
  <c r="R472" i="505"/>
  <c r="Q472" i="505"/>
  <c r="P472" i="505"/>
  <c r="O472" i="505"/>
  <c r="I472" i="505"/>
  <c r="G472" i="505"/>
  <c r="AA471" i="505"/>
  <c r="Z471" i="505"/>
  <c r="Y471" i="505"/>
  <c r="X471" i="505"/>
  <c r="U471" i="505"/>
  <c r="T471" i="505"/>
  <c r="S471" i="505"/>
  <c r="R471" i="505"/>
  <c r="Q471" i="505"/>
  <c r="P471" i="505"/>
  <c r="O471" i="505"/>
  <c r="I471" i="505"/>
  <c r="G471" i="505"/>
  <c r="AA470" i="505"/>
  <c r="Z470" i="505"/>
  <c r="Y470" i="505"/>
  <c r="X470" i="505"/>
  <c r="U470" i="505"/>
  <c r="T470" i="505"/>
  <c r="S470" i="505"/>
  <c r="R470" i="505"/>
  <c r="Q470" i="505"/>
  <c r="P470" i="505"/>
  <c r="O470" i="505"/>
  <c r="I470" i="505"/>
  <c r="G470" i="505"/>
  <c r="AA469" i="505"/>
  <c r="Z469" i="505"/>
  <c r="Y469" i="505"/>
  <c r="X469" i="505"/>
  <c r="U469" i="505"/>
  <c r="T469" i="505"/>
  <c r="S469" i="505"/>
  <c r="R469" i="505"/>
  <c r="Q469" i="505"/>
  <c r="P469" i="505"/>
  <c r="O469" i="505"/>
  <c r="I469" i="505"/>
  <c r="G469" i="505"/>
  <c r="AA468" i="505"/>
  <c r="Z468" i="505"/>
  <c r="Y468" i="505"/>
  <c r="X468" i="505"/>
  <c r="U468" i="505"/>
  <c r="T468" i="505"/>
  <c r="S468" i="505"/>
  <c r="R468" i="505"/>
  <c r="Q468" i="505"/>
  <c r="P468" i="505"/>
  <c r="O468" i="505"/>
  <c r="I468" i="505"/>
  <c r="G468" i="505"/>
  <c r="AA467" i="505"/>
  <c r="Z467" i="505"/>
  <c r="Y467" i="505"/>
  <c r="X467" i="505"/>
  <c r="U467" i="505"/>
  <c r="T467" i="505"/>
  <c r="S467" i="505"/>
  <c r="R467" i="505"/>
  <c r="Q467" i="505"/>
  <c r="P467" i="505"/>
  <c r="O467" i="505"/>
  <c r="I467" i="505"/>
  <c r="G467" i="505"/>
  <c r="AA466" i="505"/>
  <c r="Z466" i="505"/>
  <c r="Y466" i="505"/>
  <c r="X466" i="505"/>
  <c r="U466" i="505"/>
  <c r="T466" i="505"/>
  <c r="S466" i="505"/>
  <c r="R466" i="505"/>
  <c r="Q466" i="505"/>
  <c r="P466" i="505"/>
  <c r="O466" i="505"/>
  <c r="I466" i="505"/>
  <c r="G466" i="505"/>
  <c r="AA465" i="505"/>
  <c r="Z465" i="505"/>
  <c r="Y465" i="505"/>
  <c r="X465" i="505"/>
  <c r="U465" i="505"/>
  <c r="T465" i="505"/>
  <c r="S465" i="505"/>
  <c r="R465" i="505"/>
  <c r="Q465" i="505"/>
  <c r="P465" i="505"/>
  <c r="O465" i="505"/>
  <c r="I465" i="505"/>
  <c r="G465" i="505"/>
  <c r="AA464" i="505"/>
  <c r="Z464" i="505"/>
  <c r="Y464" i="505"/>
  <c r="X464" i="505"/>
  <c r="U464" i="505"/>
  <c r="T464" i="505"/>
  <c r="S464" i="505"/>
  <c r="R464" i="505"/>
  <c r="Q464" i="505"/>
  <c r="P464" i="505"/>
  <c r="O464" i="505"/>
  <c r="I464" i="505"/>
  <c r="G464" i="505"/>
  <c r="AA462" i="505"/>
  <c r="Z462" i="505"/>
  <c r="Y462" i="505"/>
  <c r="X462" i="505"/>
  <c r="U462" i="505"/>
  <c r="T462" i="505"/>
  <c r="S462" i="505"/>
  <c r="R462" i="505"/>
  <c r="Q462" i="505"/>
  <c r="P462" i="505"/>
  <c r="O462" i="505"/>
  <c r="I462" i="505"/>
  <c r="G462" i="505"/>
  <c r="AA461" i="505"/>
  <c r="Z461" i="505"/>
  <c r="Y461" i="505"/>
  <c r="X461" i="505"/>
  <c r="U461" i="505"/>
  <c r="T461" i="505"/>
  <c r="S461" i="505"/>
  <c r="R461" i="505"/>
  <c r="Q461" i="505"/>
  <c r="P461" i="505"/>
  <c r="O461" i="505"/>
  <c r="I461" i="505"/>
  <c r="G461" i="505"/>
  <c r="AA460" i="505"/>
  <c r="Z460" i="505"/>
  <c r="Y460" i="505"/>
  <c r="X460" i="505"/>
  <c r="U460" i="505"/>
  <c r="T460" i="505"/>
  <c r="S460" i="505"/>
  <c r="R460" i="505"/>
  <c r="Q460" i="505"/>
  <c r="P460" i="505"/>
  <c r="O460" i="505"/>
  <c r="I460" i="505"/>
  <c r="G460" i="505"/>
  <c r="I459" i="505"/>
  <c r="G459" i="505"/>
  <c r="I458" i="505"/>
  <c r="G458" i="505"/>
  <c r="I457" i="505"/>
  <c r="G457" i="505"/>
  <c r="AA456" i="505"/>
  <c r="Z456" i="505"/>
  <c r="Y456" i="505"/>
  <c r="X456" i="505"/>
  <c r="U456" i="505"/>
  <c r="T456" i="505"/>
  <c r="S456" i="505"/>
  <c r="R456" i="505"/>
  <c r="Q456" i="505"/>
  <c r="P456" i="505"/>
  <c r="O456" i="505"/>
  <c r="I456" i="505"/>
  <c r="G456" i="505"/>
  <c r="AA455" i="505"/>
  <c r="Z455" i="505"/>
  <c r="Y455" i="505"/>
  <c r="X455" i="505"/>
  <c r="U455" i="505"/>
  <c r="T455" i="505"/>
  <c r="S455" i="505"/>
  <c r="R455" i="505"/>
  <c r="Q455" i="505"/>
  <c r="P455" i="505"/>
  <c r="O455" i="505"/>
  <c r="I455" i="505"/>
  <c r="G455" i="505"/>
  <c r="AA454" i="505"/>
  <c r="Z454" i="505"/>
  <c r="Y454" i="505"/>
  <c r="X454" i="505"/>
  <c r="U454" i="505"/>
  <c r="T454" i="505"/>
  <c r="S454" i="505"/>
  <c r="R454" i="505"/>
  <c r="Q454" i="505"/>
  <c r="P454" i="505"/>
  <c r="O454" i="505"/>
  <c r="I454" i="505"/>
  <c r="G454" i="505"/>
  <c r="AA453" i="505"/>
  <c r="Z453" i="505"/>
  <c r="Y453" i="505"/>
  <c r="X453" i="505"/>
  <c r="U453" i="505"/>
  <c r="T453" i="505"/>
  <c r="S453" i="505"/>
  <c r="R453" i="505"/>
  <c r="Q453" i="505"/>
  <c r="P453" i="505"/>
  <c r="O453" i="505"/>
  <c r="I453" i="505"/>
  <c r="G453" i="505"/>
  <c r="AA452" i="505"/>
  <c r="Z452" i="505"/>
  <c r="Y452" i="505"/>
  <c r="X452" i="505"/>
  <c r="U452" i="505"/>
  <c r="T452" i="505"/>
  <c r="S452" i="505"/>
  <c r="R452" i="505"/>
  <c r="Q452" i="505"/>
  <c r="P452" i="505"/>
  <c r="O452" i="505"/>
  <c r="I452" i="505"/>
  <c r="G452" i="505"/>
  <c r="AA451" i="505"/>
  <c r="Z451" i="505"/>
  <c r="Y451" i="505"/>
  <c r="X451" i="505"/>
  <c r="U451" i="505"/>
  <c r="T451" i="505"/>
  <c r="S451" i="505"/>
  <c r="R451" i="505"/>
  <c r="Q451" i="505"/>
  <c r="P451" i="505"/>
  <c r="O451" i="505"/>
  <c r="I451" i="505"/>
  <c r="G451" i="505"/>
  <c r="AA450" i="505"/>
  <c r="Z450" i="505"/>
  <c r="Y450" i="505"/>
  <c r="X450" i="505"/>
  <c r="U450" i="505"/>
  <c r="T450" i="505"/>
  <c r="S450" i="505"/>
  <c r="R450" i="505"/>
  <c r="Q450" i="505"/>
  <c r="P450" i="505"/>
  <c r="O450" i="505"/>
  <c r="I450" i="505"/>
  <c r="G450" i="505"/>
  <c r="AA449" i="505"/>
  <c r="Z449" i="505"/>
  <c r="Y449" i="505"/>
  <c r="X449" i="505"/>
  <c r="U449" i="505"/>
  <c r="T449" i="505"/>
  <c r="S449" i="505"/>
  <c r="R449" i="505"/>
  <c r="Q449" i="505"/>
  <c r="P449" i="505"/>
  <c r="O449" i="505"/>
  <c r="I449" i="505"/>
  <c r="G449" i="505"/>
  <c r="AA448" i="505"/>
  <c r="Z448" i="505"/>
  <c r="Y448" i="505"/>
  <c r="X448" i="505"/>
  <c r="U448" i="505"/>
  <c r="T448" i="505"/>
  <c r="S448" i="505"/>
  <c r="R448" i="505"/>
  <c r="Q448" i="505"/>
  <c r="P448" i="505"/>
  <c r="O448" i="505"/>
  <c r="I448" i="505"/>
  <c r="G448" i="505"/>
  <c r="AA447" i="505"/>
  <c r="Z447" i="505"/>
  <c r="Y447" i="505"/>
  <c r="X447" i="505"/>
  <c r="U447" i="505"/>
  <c r="T447" i="505"/>
  <c r="S447" i="505"/>
  <c r="R447" i="505"/>
  <c r="Q447" i="505"/>
  <c r="P447" i="505"/>
  <c r="O447" i="505"/>
  <c r="I447" i="505"/>
  <c r="G447" i="505"/>
  <c r="AA446" i="505"/>
  <c r="Z446" i="505"/>
  <c r="Y446" i="505"/>
  <c r="X446" i="505"/>
  <c r="U446" i="505"/>
  <c r="T446" i="505"/>
  <c r="S446" i="505"/>
  <c r="R446" i="505"/>
  <c r="Q446" i="505"/>
  <c r="P446" i="505"/>
  <c r="O446" i="505"/>
  <c r="I446" i="505"/>
  <c r="G446" i="505"/>
  <c r="AA445" i="505"/>
  <c r="Z445" i="505"/>
  <c r="Y445" i="505"/>
  <c r="X445" i="505"/>
  <c r="U445" i="505"/>
  <c r="T445" i="505"/>
  <c r="S445" i="505"/>
  <c r="R445" i="505"/>
  <c r="Q445" i="505"/>
  <c r="P445" i="505"/>
  <c r="O445" i="505"/>
  <c r="I445" i="505"/>
  <c r="G445" i="505"/>
  <c r="AA444" i="505"/>
  <c r="Z444" i="505"/>
  <c r="Y444" i="505"/>
  <c r="X444" i="505"/>
  <c r="U444" i="505"/>
  <c r="T444" i="505"/>
  <c r="S444" i="505"/>
  <c r="R444" i="505"/>
  <c r="Q444" i="505"/>
  <c r="P444" i="505"/>
  <c r="O444" i="505"/>
  <c r="I444" i="505"/>
  <c r="G444" i="505"/>
  <c r="AA443" i="505"/>
  <c r="Z443" i="505"/>
  <c r="Y443" i="505"/>
  <c r="X443" i="505"/>
  <c r="U443" i="505"/>
  <c r="T443" i="505"/>
  <c r="S443" i="505"/>
  <c r="R443" i="505"/>
  <c r="Q443" i="505"/>
  <c r="P443" i="505"/>
  <c r="O443" i="505"/>
  <c r="I443" i="505"/>
  <c r="G443" i="505"/>
  <c r="AA442" i="505"/>
  <c r="Z442" i="505"/>
  <c r="Y442" i="505"/>
  <c r="X442" i="505"/>
  <c r="U442" i="505"/>
  <c r="T442" i="505"/>
  <c r="S442" i="505"/>
  <c r="R442" i="505"/>
  <c r="Q442" i="505"/>
  <c r="P442" i="505"/>
  <c r="O442" i="505"/>
  <c r="I442" i="505"/>
  <c r="G442" i="505"/>
  <c r="AA441" i="505"/>
  <c r="Z441" i="505"/>
  <c r="Y441" i="505"/>
  <c r="X441" i="505"/>
  <c r="U441" i="505"/>
  <c r="T441" i="505"/>
  <c r="S441" i="505"/>
  <c r="R441" i="505"/>
  <c r="Q441" i="505"/>
  <c r="P441" i="505"/>
  <c r="O441" i="505"/>
  <c r="I441" i="505"/>
  <c r="G441" i="505"/>
  <c r="AA440" i="505"/>
  <c r="Z440" i="505"/>
  <c r="Y440" i="505"/>
  <c r="X440" i="505"/>
  <c r="U440" i="505"/>
  <c r="T440" i="505"/>
  <c r="S440" i="505"/>
  <c r="R440" i="505"/>
  <c r="Q440" i="505"/>
  <c r="P440" i="505"/>
  <c r="O440" i="505"/>
  <c r="I440" i="505"/>
  <c r="G440" i="505"/>
  <c r="AA439" i="505"/>
  <c r="Z439" i="505"/>
  <c r="Y439" i="505"/>
  <c r="X439" i="505"/>
  <c r="U439" i="505"/>
  <c r="T439" i="505"/>
  <c r="S439" i="505"/>
  <c r="R439" i="505"/>
  <c r="Q439" i="505"/>
  <c r="P439" i="505"/>
  <c r="O439" i="505"/>
  <c r="I439" i="505"/>
  <c r="G439" i="505"/>
  <c r="AA438" i="505"/>
  <c r="Z438" i="505"/>
  <c r="Y438" i="505"/>
  <c r="X438" i="505"/>
  <c r="U438" i="505"/>
  <c r="T438" i="505"/>
  <c r="S438" i="505"/>
  <c r="R438" i="505"/>
  <c r="Q438" i="505"/>
  <c r="P438" i="505"/>
  <c r="O438" i="505"/>
  <c r="I438" i="505"/>
  <c r="G438" i="505"/>
  <c r="AA437" i="505"/>
  <c r="Z437" i="505"/>
  <c r="Y437" i="505"/>
  <c r="X437" i="505"/>
  <c r="U437" i="505"/>
  <c r="T437" i="505"/>
  <c r="S437" i="505"/>
  <c r="R437" i="505"/>
  <c r="Q437" i="505"/>
  <c r="P437" i="505"/>
  <c r="O437" i="505"/>
  <c r="I437" i="505"/>
  <c r="G437" i="505"/>
  <c r="AA436" i="505"/>
  <c r="Z436" i="505"/>
  <c r="Y436" i="505"/>
  <c r="X436" i="505"/>
  <c r="U436" i="505"/>
  <c r="T436" i="505"/>
  <c r="S436" i="505"/>
  <c r="R436" i="505"/>
  <c r="Q436" i="505"/>
  <c r="P436" i="505"/>
  <c r="O436" i="505"/>
  <c r="I436" i="505"/>
  <c r="G436" i="505"/>
  <c r="AA435" i="505"/>
  <c r="Z435" i="505"/>
  <c r="Y435" i="505"/>
  <c r="X435" i="505"/>
  <c r="U435" i="505"/>
  <c r="T435" i="505"/>
  <c r="S435" i="505"/>
  <c r="R435" i="505"/>
  <c r="Q435" i="505"/>
  <c r="P435" i="505"/>
  <c r="O435" i="505"/>
  <c r="I435" i="505"/>
  <c r="G435" i="505"/>
  <c r="AA434" i="505"/>
  <c r="Z434" i="505"/>
  <c r="Y434" i="505"/>
  <c r="X434" i="505"/>
  <c r="U434" i="505"/>
  <c r="T434" i="505"/>
  <c r="S434" i="505"/>
  <c r="R434" i="505"/>
  <c r="Q434" i="505"/>
  <c r="P434" i="505"/>
  <c r="O434" i="505"/>
  <c r="I434" i="505"/>
  <c r="G434" i="505"/>
  <c r="AA433" i="505"/>
  <c r="Z433" i="505"/>
  <c r="Y433" i="505"/>
  <c r="X433" i="505"/>
  <c r="U433" i="505"/>
  <c r="T433" i="505"/>
  <c r="S433" i="505"/>
  <c r="R433" i="505"/>
  <c r="Q433" i="505"/>
  <c r="P433" i="505"/>
  <c r="O433" i="505"/>
  <c r="I433" i="505"/>
  <c r="G433" i="505"/>
  <c r="AA432" i="505"/>
  <c r="Z432" i="505"/>
  <c r="Y432" i="505"/>
  <c r="X432" i="505"/>
  <c r="U432" i="505"/>
  <c r="T432" i="505"/>
  <c r="S432" i="505"/>
  <c r="R432" i="505"/>
  <c r="Q432" i="505"/>
  <c r="P432" i="505"/>
  <c r="O432" i="505"/>
  <c r="I432" i="505"/>
  <c r="G432" i="505"/>
  <c r="AA431" i="505"/>
  <c r="Z431" i="505"/>
  <c r="Y431" i="505"/>
  <c r="X431" i="505"/>
  <c r="U431" i="505"/>
  <c r="T431" i="505"/>
  <c r="S431" i="505"/>
  <c r="R431" i="505"/>
  <c r="Q431" i="505"/>
  <c r="P431" i="505"/>
  <c r="O431" i="505"/>
  <c r="I431" i="505"/>
  <c r="G431" i="505"/>
  <c r="AA430" i="505"/>
  <c r="Z430" i="505"/>
  <c r="Y430" i="505"/>
  <c r="X430" i="505"/>
  <c r="U430" i="505"/>
  <c r="T430" i="505"/>
  <c r="S430" i="505"/>
  <c r="R430" i="505"/>
  <c r="Q430" i="505"/>
  <c r="P430" i="505"/>
  <c r="O430" i="505"/>
  <c r="I430" i="505"/>
  <c r="G430" i="505"/>
  <c r="AA429" i="505"/>
  <c r="Z429" i="505"/>
  <c r="Y429" i="505"/>
  <c r="X429" i="505"/>
  <c r="U429" i="505"/>
  <c r="T429" i="505"/>
  <c r="S429" i="505"/>
  <c r="R429" i="505"/>
  <c r="Q429" i="505"/>
  <c r="P429" i="505"/>
  <c r="O429" i="505"/>
  <c r="I429" i="505"/>
  <c r="G429" i="505"/>
  <c r="AA427" i="505"/>
  <c r="Z427" i="505"/>
  <c r="Y427" i="505"/>
  <c r="X427" i="505"/>
  <c r="U427" i="505"/>
  <c r="T427" i="505"/>
  <c r="S427" i="505"/>
  <c r="R427" i="505"/>
  <c r="Q427" i="505"/>
  <c r="P427" i="505"/>
  <c r="O427" i="505"/>
  <c r="I427" i="505"/>
  <c r="G427" i="505"/>
  <c r="AA426" i="505"/>
  <c r="Z426" i="505"/>
  <c r="Y426" i="505"/>
  <c r="X426" i="505"/>
  <c r="U426" i="505"/>
  <c r="T426" i="505"/>
  <c r="S426" i="505"/>
  <c r="R426" i="505"/>
  <c r="Q426" i="505"/>
  <c r="P426" i="505"/>
  <c r="O426" i="505"/>
  <c r="I426" i="505"/>
  <c r="G426" i="505"/>
  <c r="AA425" i="505"/>
  <c r="Z425" i="505"/>
  <c r="Y425" i="505"/>
  <c r="X425" i="505"/>
  <c r="U425" i="505"/>
  <c r="T425" i="505"/>
  <c r="S425" i="505"/>
  <c r="R425" i="505"/>
  <c r="Q425" i="505"/>
  <c r="P425" i="505"/>
  <c r="O425" i="505"/>
  <c r="I425" i="505"/>
  <c r="G425" i="505"/>
  <c r="I424" i="505"/>
  <c r="G424" i="505"/>
  <c r="I423" i="505"/>
  <c r="G423" i="505"/>
  <c r="I422" i="505"/>
  <c r="G422" i="505"/>
  <c r="AA421" i="505"/>
  <c r="Z421" i="505"/>
  <c r="Y421" i="505"/>
  <c r="X421" i="505"/>
  <c r="U421" i="505"/>
  <c r="T421" i="505"/>
  <c r="S421" i="505"/>
  <c r="R421" i="505"/>
  <c r="Q421" i="505"/>
  <c r="P421" i="505"/>
  <c r="O421" i="505"/>
  <c r="I421" i="505"/>
  <c r="G421" i="505"/>
  <c r="AA420" i="505"/>
  <c r="Z420" i="505"/>
  <c r="Y420" i="505"/>
  <c r="X420" i="505"/>
  <c r="U420" i="505"/>
  <c r="T420" i="505"/>
  <c r="S420" i="505"/>
  <c r="R420" i="505"/>
  <c r="Q420" i="505"/>
  <c r="P420" i="505"/>
  <c r="O420" i="505"/>
  <c r="I420" i="505"/>
  <c r="G420" i="505"/>
  <c r="AA419" i="505"/>
  <c r="Z419" i="505"/>
  <c r="Y419" i="505"/>
  <c r="X419" i="505"/>
  <c r="U419" i="505"/>
  <c r="T419" i="505"/>
  <c r="S419" i="505"/>
  <c r="R419" i="505"/>
  <c r="Q419" i="505"/>
  <c r="P419" i="505"/>
  <c r="O419" i="505"/>
  <c r="I419" i="505"/>
  <c r="G419" i="505"/>
  <c r="AA418" i="505"/>
  <c r="Z418" i="505"/>
  <c r="Y418" i="505"/>
  <c r="X418" i="505"/>
  <c r="U418" i="505"/>
  <c r="T418" i="505"/>
  <c r="S418" i="505"/>
  <c r="R418" i="505"/>
  <c r="Q418" i="505"/>
  <c r="P418" i="505"/>
  <c r="O418" i="505"/>
  <c r="I418" i="505"/>
  <c r="G418" i="505"/>
  <c r="AA417" i="505"/>
  <c r="Z417" i="505"/>
  <c r="Y417" i="505"/>
  <c r="X417" i="505"/>
  <c r="U417" i="505"/>
  <c r="T417" i="505"/>
  <c r="S417" i="505"/>
  <c r="R417" i="505"/>
  <c r="Q417" i="505"/>
  <c r="P417" i="505"/>
  <c r="O417" i="505"/>
  <c r="I417" i="505"/>
  <c r="G417" i="505"/>
  <c r="AA416" i="505"/>
  <c r="Z416" i="505"/>
  <c r="Y416" i="505"/>
  <c r="X416" i="505"/>
  <c r="U416" i="505"/>
  <c r="T416" i="505"/>
  <c r="S416" i="505"/>
  <c r="R416" i="505"/>
  <c r="Q416" i="505"/>
  <c r="P416" i="505"/>
  <c r="O416" i="505"/>
  <c r="I416" i="505"/>
  <c r="G416" i="505"/>
  <c r="AA415" i="505"/>
  <c r="Z415" i="505"/>
  <c r="Y415" i="505"/>
  <c r="X415" i="505"/>
  <c r="U415" i="505"/>
  <c r="T415" i="505"/>
  <c r="S415" i="505"/>
  <c r="R415" i="505"/>
  <c r="Q415" i="505"/>
  <c r="P415" i="505"/>
  <c r="O415" i="505"/>
  <c r="I415" i="505"/>
  <c r="G415" i="505"/>
  <c r="AA414" i="505"/>
  <c r="Z414" i="505"/>
  <c r="Y414" i="505"/>
  <c r="X414" i="505"/>
  <c r="U414" i="505"/>
  <c r="T414" i="505"/>
  <c r="S414" i="505"/>
  <c r="R414" i="505"/>
  <c r="Q414" i="505"/>
  <c r="P414" i="505"/>
  <c r="O414" i="505"/>
  <c r="I414" i="505"/>
  <c r="G414" i="505"/>
  <c r="AA413" i="505"/>
  <c r="Z413" i="505"/>
  <c r="Y413" i="505"/>
  <c r="X413" i="505"/>
  <c r="U413" i="505"/>
  <c r="T413" i="505"/>
  <c r="S413" i="505"/>
  <c r="R413" i="505"/>
  <c r="Q413" i="505"/>
  <c r="P413" i="505"/>
  <c r="O413" i="505"/>
  <c r="I413" i="505"/>
  <c r="G413" i="505"/>
  <c r="AA412" i="505"/>
  <c r="Z412" i="505"/>
  <c r="Y412" i="505"/>
  <c r="X412" i="505"/>
  <c r="U412" i="505"/>
  <c r="T412" i="505"/>
  <c r="S412" i="505"/>
  <c r="R412" i="505"/>
  <c r="Q412" i="505"/>
  <c r="P412" i="505"/>
  <c r="O412" i="505"/>
  <c r="I412" i="505"/>
  <c r="G412" i="505"/>
  <c r="AA411" i="505"/>
  <c r="Z411" i="505"/>
  <c r="Y411" i="505"/>
  <c r="X411" i="505"/>
  <c r="U411" i="505"/>
  <c r="T411" i="505"/>
  <c r="S411" i="505"/>
  <c r="R411" i="505"/>
  <c r="Q411" i="505"/>
  <c r="P411" i="505"/>
  <c r="O411" i="505"/>
  <c r="I411" i="505"/>
  <c r="G411" i="505"/>
  <c r="AA410" i="505"/>
  <c r="Z410" i="505"/>
  <c r="Y410" i="505"/>
  <c r="X410" i="505"/>
  <c r="U410" i="505"/>
  <c r="T410" i="505"/>
  <c r="S410" i="505"/>
  <c r="R410" i="505"/>
  <c r="Q410" i="505"/>
  <c r="P410" i="505"/>
  <c r="O410" i="505"/>
  <c r="I410" i="505"/>
  <c r="G410" i="505"/>
  <c r="G409" i="505"/>
  <c r="AA408" i="505"/>
  <c r="Z408" i="505"/>
  <c r="Y408" i="505"/>
  <c r="X408" i="505"/>
  <c r="U408" i="505"/>
  <c r="T408" i="505"/>
  <c r="S408" i="505"/>
  <c r="R408" i="505"/>
  <c r="Q408" i="505"/>
  <c r="P408" i="505"/>
  <c r="O408" i="505"/>
  <c r="I408" i="505"/>
  <c r="G408" i="505"/>
  <c r="AA407" i="505"/>
  <c r="Z407" i="505"/>
  <c r="Y407" i="505"/>
  <c r="X407" i="505"/>
  <c r="U407" i="505"/>
  <c r="T407" i="505"/>
  <c r="S407" i="505"/>
  <c r="R407" i="505"/>
  <c r="Q407" i="505"/>
  <c r="P407" i="505"/>
  <c r="O407" i="505"/>
  <c r="I407" i="505"/>
  <c r="G407" i="505"/>
  <c r="AA406" i="505"/>
  <c r="Z406" i="505"/>
  <c r="Y406" i="505"/>
  <c r="X406" i="505"/>
  <c r="U406" i="505"/>
  <c r="T406" i="505"/>
  <c r="S406" i="505"/>
  <c r="R406" i="505"/>
  <c r="Q406" i="505"/>
  <c r="P406" i="505"/>
  <c r="O406" i="505"/>
  <c r="I406" i="505"/>
  <c r="G406" i="505"/>
  <c r="AA405" i="505"/>
  <c r="Z405" i="505"/>
  <c r="Y405" i="505"/>
  <c r="X405" i="505"/>
  <c r="U405" i="505"/>
  <c r="T405" i="505"/>
  <c r="S405" i="505"/>
  <c r="R405" i="505"/>
  <c r="Q405" i="505"/>
  <c r="P405" i="505"/>
  <c r="O405" i="505"/>
  <c r="I405" i="505"/>
  <c r="G405" i="505"/>
  <c r="AA404" i="505"/>
  <c r="Z404" i="505"/>
  <c r="Y404" i="505"/>
  <c r="X404" i="505"/>
  <c r="U404" i="505"/>
  <c r="T404" i="505"/>
  <c r="S404" i="505"/>
  <c r="R404" i="505"/>
  <c r="Q404" i="505"/>
  <c r="P404" i="505"/>
  <c r="O404" i="505"/>
  <c r="I404" i="505"/>
  <c r="G404" i="505"/>
  <c r="AA403" i="505"/>
  <c r="Z403" i="505"/>
  <c r="Y403" i="505"/>
  <c r="X403" i="505"/>
  <c r="U403" i="505"/>
  <c r="T403" i="505"/>
  <c r="S403" i="505"/>
  <c r="R403" i="505"/>
  <c r="Q403" i="505"/>
  <c r="P403" i="505"/>
  <c r="O403" i="505"/>
  <c r="I403" i="505"/>
  <c r="G403" i="505"/>
  <c r="AA402" i="505"/>
  <c r="Z402" i="505"/>
  <c r="Y402" i="505"/>
  <c r="X402" i="505"/>
  <c r="U402" i="505"/>
  <c r="T402" i="505"/>
  <c r="S402" i="505"/>
  <c r="R402" i="505"/>
  <c r="Q402" i="505"/>
  <c r="P402" i="505"/>
  <c r="O402" i="505"/>
  <c r="I402" i="505"/>
  <c r="G402" i="505"/>
  <c r="AA401" i="505"/>
  <c r="Z401" i="505"/>
  <c r="Y401" i="505"/>
  <c r="X401" i="505"/>
  <c r="U401" i="505"/>
  <c r="T401" i="505"/>
  <c r="S401" i="505"/>
  <c r="R401" i="505"/>
  <c r="Q401" i="505"/>
  <c r="P401" i="505"/>
  <c r="O401" i="505"/>
  <c r="I401" i="505"/>
  <c r="G401" i="505"/>
  <c r="AA400" i="505"/>
  <c r="Z400" i="505"/>
  <c r="Y400" i="505"/>
  <c r="X400" i="505"/>
  <c r="U400" i="505"/>
  <c r="T400" i="505"/>
  <c r="S400" i="505"/>
  <c r="R400" i="505"/>
  <c r="Q400" i="505"/>
  <c r="P400" i="505"/>
  <c r="O400" i="505"/>
  <c r="I400" i="505"/>
  <c r="G400" i="505"/>
  <c r="AA399" i="505"/>
  <c r="Z399" i="505"/>
  <c r="Y399" i="505"/>
  <c r="X399" i="505"/>
  <c r="U399" i="505"/>
  <c r="T399" i="505"/>
  <c r="S399" i="505"/>
  <c r="R399" i="505"/>
  <c r="Q399" i="505"/>
  <c r="P399" i="505"/>
  <c r="O399" i="505"/>
  <c r="I399" i="505"/>
  <c r="G399" i="505"/>
  <c r="AA398" i="505"/>
  <c r="Z398" i="505"/>
  <c r="Y398" i="505"/>
  <c r="X398" i="505"/>
  <c r="U398" i="505"/>
  <c r="T398" i="505"/>
  <c r="S398" i="505"/>
  <c r="R398" i="505"/>
  <c r="Q398" i="505"/>
  <c r="P398" i="505"/>
  <c r="O398" i="505"/>
  <c r="I398" i="505"/>
  <c r="G398" i="505"/>
  <c r="AA397" i="505"/>
  <c r="Z397" i="505"/>
  <c r="Y397" i="505"/>
  <c r="X397" i="505"/>
  <c r="U397" i="505"/>
  <c r="T397" i="505"/>
  <c r="S397" i="505"/>
  <c r="R397" i="505"/>
  <c r="Q397" i="505"/>
  <c r="P397" i="505"/>
  <c r="O397" i="505"/>
  <c r="I397" i="505"/>
  <c r="G397" i="505"/>
  <c r="AA396" i="505"/>
  <c r="Z396" i="505"/>
  <c r="Y396" i="505"/>
  <c r="X396" i="505"/>
  <c r="U396" i="505"/>
  <c r="T396" i="505"/>
  <c r="S396" i="505"/>
  <c r="R396" i="505"/>
  <c r="Q396" i="505"/>
  <c r="P396" i="505"/>
  <c r="O396" i="505"/>
  <c r="I396" i="505"/>
  <c r="G396" i="505"/>
  <c r="AA395" i="505"/>
  <c r="Z395" i="505"/>
  <c r="Y395" i="505"/>
  <c r="X395" i="505"/>
  <c r="U395" i="505"/>
  <c r="T395" i="505"/>
  <c r="S395" i="505"/>
  <c r="R395" i="505"/>
  <c r="Q395" i="505"/>
  <c r="P395" i="505"/>
  <c r="O395" i="505"/>
  <c r="I395" i="505"/>
  <c r="G395" i="505"/>
  <c r="AA394" i="505"/>
  <c r="Z394" i="505"/>
  <c r="Y394" i="505"/>
  <c r="X394" i="505"/>
  <c r="U394" i="505"/>
  <c r="T394" i="505"/>
  <c r="S394" i="505"/>
  <c r="R394" i="505"/>
  <c r="Q394" i="505"/>
  <c r="P394" i="505"/>
  <c r="O394" i="505"/>
  <c r="I394" i="505"/>
  <c r="G394" i="505"/>
  <c r="AA393" i="505"/>
  <c r="Z393" i="505"/>
  <c r="Y393" i="505"/>
  <c r="X393" i="505"/>
  <c r="U393" i="505"/>
  <c r="T393" i="505"/>
  <c r="S393" i="505"/>
  <c r="R393" i="505"/>
  <c r="Q393" i="505"/>
  <c r="P393" i="505"/>
  <c r="O393" i="505"/>
  <c r="I393" i="505"/>
  <c r="G393" i="505"/>
  <c r="AA392" i="505"/>
  <c r="Z392" i="505"/>
  <c r="Y392" i="505"/>
  <c r="X392" i="505"/>
  <c r="U392" i="505"/>
  <c r="T392" i="505"/>
  <c r="S392" i="505"/>
  <c r="R392" i="505"/>
  <c r="Q392" i="505"/>
  <c r="P392" i="505"/>
  <c r="O392" i="505"/>
  <c r="I392" i="505"/>
  <c r="G392" i="505"/>
  <c r="AA391" i="505"/>
  <c r="Z391" i="505"/>
  <c r="Y391" i="505"/>
  <c r="X391" i="505"/>
  <c r="U391" i="505"/>
  <c r="T391" i="505"/>
  <c r="S391" i="505"/>
  <c r="R391" i="505"/>
  <c r="Q391" i="505"/>
  <c r="P391" i="505"/>
  <c r="O391" i="505"/>
  <c r="I391" i="505"/>
  <c r="G391" i="505"/>
  <c r="AA390" i="505"/>
  <c r="Z390" i="505"/>
  <c r="Y390" i="505"/>
  <c r="X390" i="505"/>
  <c r="U390" i="505"/>
  <c r="T390" i="505"/>
  <c r="S390" i="505"/>
  <c r="R390" i="505"/>
  <c r="Q390" i="505"/>
  <c r="P390" i="505"/>
  <c r="O390" i="505"/>
  <c r="I390" i="505"/>
  <c r="G390" i="505"/>
  <c r="AA389" i="505"/>
  <c r="Z389" i="505"/>
  <c r="Y389" i="505"/>
  <c r="X389" i="505"/>
  <c r="U389" i="505"/>
  <c r="T389" i="505"/>
  <c r="S389" i="505"/>
  <c r="R389" i="505"/>
  <c r="Q389" i="505"/>
  <c r="P389" i="505"/>
  <c r="O389" i="505"/>
  <c r="I389" i="505"/>
  <c r="G389" i="505"/>
  <c r="AA388" i="505"/>
  <c r="Z388" i="505"/>
  <c r="Y388" i="505"/>
  <c r="X388" i="505"/>
  <c r="U388" i="505"/>
  <c r="T388" i="505"/>
  <c r="S388" i="505"/>
  <c r="R388" i="505"/>
  <c r="Q388" i="505"/>
  <c r="P388" i="505"/>
  <c r="O388" i="505"/>
  <c r="I388" i="505"/>
  <c r="G388" i="505"/>
  <c r="AA387" i="505"/>
  <c r="Z387" i="505"/>
  <c r="Y387" i="505"/>
  <c r="X387" i="505"/>
  <c r="U387" i="505"/>
  <c r="T387" i="505"/>
  <c r="S387" i="505"/>
  <c r="R387" i="505"/>
  <c r="Q387" i="505"/>
  <c r="P387" i="505"/>
  <c r="O387" i="505"/>
  <c r="I387" i="505"/>
  <c r="G387" i="505"/>
  <c r="AA386" i="505"/>
  <c r="Z386" i="505"/>
  <c r="Y386" i="505"/>
  <c r="X386" i="505"/>
  <c r="U386" i="505"/>
  <c r="T386" i="505"/>
  <c r="S386" i="505"/>
  <c r="R386" i="505"/>
  <c r="Q386" i="505"/>
  <c r="P386" i="505"/>
  <c r="O386" i="505"/>
  <c r="I386" i="505"/>
  <c r="G386" i="505"/>
  <c r="AA385" i="505"/>
  <c r="Z385" i="505"/>
  <c r="Y385" i="505"/>
  <c r="X385" i="505"/>
  <c r="U385" i="505"/>
  <c r="T385" i="505"/>
  <c r="S385" i="505"/>
  <c r="R385" i="505"/>
  <c r="Q385" i="505"/>
  <c r="P385" i="505"/>
  <c r="O385" i="505"/>
  <c r="I385" i="505"/>
  <c r="G385" i="505"/>
  <c r="AA384" i="505"/>
  <c r="Z384" i="505"/>
  <c r="Y384" i="505"/>
  <c r="X384" i="505"/>
  <c r="U384" i="505"/>
  <c r="T384" i="505"/>
  <c r="S384" i="505"/>
  <c r="R384" i="505"/>
  <c r="Q384" i="505"/>
  <c r="P384" i="505"/>
  <c r="O384" i="505"/>
  <c r="I384" i="505"/>
  <c r="G384" i="505"/>
  <c r="AA383" i="505"/>
  <c r="Z383" i="505"/>
  <c r="Y383" i="505"/>
  <c r="X383" i="505"/>
  <c r="U383" i="505"/>
  <c r="T383" i="505"/>
  <c r="S383" i="505"/>
  <c r="R383" i="505"/>
  <c r="Q383" i="505"/>
  <c r="P383" i="505"/>
  <c r="O383" i="505"/>
  <c r="I383" i="505"/>
  <c r="G383" i="505"/>
  <c r="AA382" i="505"/>
  <c r="Z382" i="505"/>
  <c r="Y382" i="505"/>
  <c r="X382" i="505"/>
  <c r="U382" i="505"/>
  <c r="T382" i="505"/>
  <c r="S382" i="505"/>
  <c r="R382" i="505"/>
  <c r="Q382" i="505"/>
  <c r="P382" i="505"/>
  <c r="O382" i="505"/>
  <c r="I382" i="505"/>
  <c r="G382" i="505"/>
  <c r="AA381" i="505"/>
  <c r="Z381" i="505"/>
  <c r="Y381" i="505"/>
  <c r="X381" i="505"/>
  <c r="U381" i="505"/>
  <c r="T381" i="505"/>
  <c r="S381" i="505"/>
  <c r="R381" i="505"/>
  <c r="Q381" i="505"/>
  <c r="P381" i="505"/>
  <c r="O381" i="505"/>
  <c r="I381" i="505"/>
  <c r="G381" i="505"/>
  <c r="AA380" i="505"/>
  <c r="Z380" i="505"/>
  <c r="Y380" i="505"/>
  <c r="X380" i="505"/>
  <c r="U380" i="505"/>
  <c r="T380" i="505"/>
  <c r="S380" i="505"/>
  <c r="R380" i="505"/>
  <c r="Q380" i="505"/>
  <c r="P380" i="505"/>
  <c r="O380" i="505"/>
  <c r="I380" i="505"/>
  <c r="G380" i="505"/>
  <c r="AA379" i="505"/>
  <c r="Z379" i="505"/>
  <c r="Y379" i="505"/>
  <c r="X379" i="505"/>
  <c r="U379" i="505"/>
  <c r="T379" i="505"/>
  <c r="S379" i="505"/>
  <c r="R379" i="505"/>
  <c r="Q379" i="505"/>
  <c r="P379" i="505"/>
  <c r="O379" i="505"/>
  <c r="I379" i="505"/>
  <c r="G379" i="505"/>
  <c r="I378" i="505"/>
  <c r="G378" i="505"/>
  <c r="I377" i="505"/>
  <c r="G377" i="505"/>
  <c r="I376" i="505"/>
  <c r="G376" i="505"/>
  <c r="AA375" i="505"/>
  <c r="Z375" i="505"/>
  <c r="Y375" i="505"/>
  <c r="X375" i="505"/>
  <c r="U375" i="505"/>
  <c r="T375" i="505"/>
  <c r="S375" i="505"/>
  <c r="R375" i="505"/>
  <c r="Q375" i="505"/>
  <c r="P375" i="505"/>
  <c r="O375" i="505"/>
  <c r="I375" i="505"/>
  <c r="G375" i="505"/>
  <c r="AA374" i="505"/>
  <c r="Z374" i="505"/>
  <c r="Y374" i="505"/>
  <c r="X374" i="505"/>
  <c r="U374" i="505"/>
  <c r="T374" i="505"/>
  <c r="S374" i="505"/>
  <c r="R374" i="505"/>
  <c r="Q374" i="505"/>
  <c r="P374" i="505"/>
  <c r="O374" i="505"/>
  <c r="I374" i="505"/>
  <c r="G374" i="505"/>
  <c r="AA373" i="505"/>
  <c r="Z373" i="505"/>
  <c r="Y373" i="505"/>
  <c r="X373" i="505"/>
  <c r="U373" i="505"/>
  <c r="T373" i="505"/>
  <c r="S373" i="505"/>
  <c r="R373" i="505"/>
  <c r="Q373" i="505"/>
  <c r="P373" i="505"/>
  <c r="O373" i="505"/>
  <c r="I373" i="505"/>
  <c r="G373" i="505"/>
  <c r="G372" i="505"/>
  <c r="AA371" i="505"/>
  <c r="Z371" i="505"/>
  <c r="Y371" i="505"/>
  <c r="X371" i="505"/>
  <c r="U371" i="505"/>
  <c r="T371" i="505"/>
  <c r="S371" i="505"/>
  <c r="R371" i="505"/>
  <c r="Q371" i="505"/>
  <c r="P371" i="505"/>
  <c r="O371" i="505"/>
  <c r="I371" i="505"/>
  <c r="G371" i="505"/>
  <c r="AA369" i="505"/>
  <c r="Z369" i="505"/>
  <c r="Y369" i="505"/>
  <c r="X369" i="505"/>
  <c r="U369" i="505"/>
  <c r="T369" i="505"/>
  <c r="S369" i="505"/>
  <c r="R369" i="505"/>
  <c r="Q369" i="505"/>
  <c r="P369" i="505"/>
  <c r="O369" i="505"/>
  <c r="I369" i="505"/>
  <c r="G369" i="505"/>
  <c r="AA368" i="505"/>
  <c r="Z368" i="505"/>
  <c r="Y368" i="505"/>
  <c r="X368" i="505"/>
  <c r="U368" i="505"/>
  <c r="T368" i="505"/>
  <c r="S368" i="505"/>
  <c r="R368" i="505"/>
  <c r="Q368" i="505"/>
  <c r="P368" i="505"/>
  <c r="O368" i="505"/>
  <c r="I368" i="505"/>
  <c r="G368" i="505"/>
  <c r="AA367" i="505"/>
  <c r="Z367" i="505"/>
  <c r="Y367" i="505"/>
  <c r="X367" i="505"/>
  <c r="U367" i="505"/>
  <c r="T367" i="505"/>
  <c r="S367" i="505"/>
  <c r="R367" i="505"/>
  <c r="Q367" i="505"/>
  <c r="P367" i="505"/>
  <c r="O367" i="505"/>
  <c r="I367" i="505"/>
  <c r="G367" i="505"/>
  <c r="AA366" i="505"/>
  <c r="Z366" i="505"/>
  <c r="Y366" i="505"/>
  <c r="X366" i="505"/>
  <c r="U366" i="505"/>
  <c r="T366" i="505"/>
  <c r="S366" i="505"/>
  <c r="R366" i="505"/>
  <c r="Q366" i="505"/>
  <c r="P366" i="505"/>
  <c r="O366" i="505"/>
  <c r="I366" i="505"/>
  <c r="G366" i="505"/>
  <c r="AA365" i="505"/>
  <c r="Z365" i="505"/>
  <c r="Y365" i="505"/>
  <c r="X365" i="505"/>
  <c r="U365" i="505"/>
  <c r="T365" i="505"/>
  <c r="S365" i="505"/>
  <c r="R365" i="505"/>
  <c r="Q365" i="505"/>
  <c r="P365" i="505"/>
  <c r="O365" i="505"/>
  <c r="I365" i="505"/>
  <c r="G365" i="505"/>
  <c r="AA364" i="505"/>
  <c r="Z364" i="505"/>
  <c r="Y364" i="505"/>
  <c r="X364" i="505"/>
  <c r="U364" i="505"/>
  <c r="T364" i="505"/>
  <c r="S364" i="505"/>
  <c r="R364" i="505"/>
  <c r="Q364" i="505"/>
  <c r="P364" i="505"/>
  <c r="O364" i="505"/>
  <c r="I364" i="505"/>
  <c r="G364" i="505"/>
  <c r="AA363" i="505"/>
  <c r="Z363" i="505"/>
  <c r="Y363" i="505"/>
  <c r="X363" i="505"/>
  <c r="U363" i="505"/>
  <c r="T363" i="505"/>
  <c r="S363" i="505"/>
  <c r="R363" i="505"/>
  <c r="Q363" i="505"/>
  <c r="P363" i="505"/>
  <c r="O363" i="505"/>
  <c r="I363" i="505"/>
  <c r="G363" i="505"/>
  <c r="AA362" i="505"/>
  <c r="Z362" i="505"/>
  <c r="Y362" i="505"/>
  <c r="X362" i="505"/>
  <c r="U362" i="505"/>
  <c r="T362" i="505"/>
  <c r="S362" i="505"/>
  <c r="R362" i="505"/>
  <c r="Q362" i="505"/>
  <c r="P362" i="505"/>
  <c r="O362" i="505"/>
  <c r="I362" i="505"/>
  <c r="G362" i="505"/>
  <c r="AA361" i="505"/>
  <c r="Z361" i="505"/>
  <c r="Y361" i="505"/>
  <c r="X361" i="505"/>
  <c r="U361" i="505"/>
  <c r="T361" i="505"/>
  <c r="S361" i="505"/>
  <c r="R361" i="505"/>
  <c r="Q361" i="505"/>
  <c r="P361" i="505"/>
  <c r="O361" i="505"/>
  <c r="I361" i="505"/>
  <c r="G361" i="505"/>
  <c r="G360" i="505"/>
  <c r="G359" i="505"/>
  <c r="AA358" i="505"/>
  <c r="Z358" i="505"/>
  <c r="Y358" i="505"/>
  <c r="X358" i="505"/>
  <c r="U358" i="505"/>
  <c r="T358" i="505"/>
  <c r="S358" i="505"/>
  <c r="R358" i="505"/>
  <c r="Q358" i="505"/>
  <c r="P358" i="505"/>
  <c r="O358" i="505"/>
  <c r="I358" i="505"/>
  <c r="G358" i="505"/>
  <c r="AA357" i="505"/>
  <c r="Z357" i="505"/>
  <c r="Y357" i="505"/>
  <c r="X357" i="505"/>
  <c r="U357" i="505"/>
  <c r="T357" i="505"/>
  <c r="S357" i="505"/>
  <c r="R357" i="505"/>
  <c r="Q357" i="505"/>
  <c r="P357" i="505"/>
  <c r="O357" i="505"/>
  <c r="I357" i="505"/>
  <c r="G357" i="505"/>
  <c r="AA356" i="505"/>
  <c r="Z356" i="505"/>
  <c r="Y356" i="505"/>
  <c r="X356" i="505"/>
  <c r="U356" i="505"/>
  <c r="T356" i="505"/>
  <c r="S356" i="505"/>
  <c r="R356" i="505"/>
  <c r="Q356" i="505"/>
  <c r="P356" i="505"/>
  <c r="O356" i="505"/>
  <c r="I356" i="505"/>
  <c r="G356" i="505"/>
  <c r="AA355" i="505"/>
  <c r="Z355" i="505"/>
  <c r="Y355" i="505"/>
  <c r="X355" i="505"/>
  <c r="U355" i="505"/>
  <c r="T355" i="505"/>
  <c r="S355" i="505"/>
  <c r="R355" i="505"/>
  <c r="Q355" i="505"/>
  <c r="P355" i="505"/>
  <c r="O355" i="505"/>
  <c r="I355" i="505"/>
  <c r="G355" i="505"/>
  <c r="AA354" i="505"/>
  <c r="Z354" i="505"/>
  <c r="Y354" i="505"/>
  <c r="X354" i="505"/>
  <c r="U354" i="505"/>
  <c r="T354" i="505"/>
  <c r="S354" i="505"/>
  <c r="R354" i="505"/>
  <c r="Q354" i="505"/>
  <c r="P354" i="505"/>
  <c r="O354" i="505"/>
  <c r="I354" i="505"/>
  <c r="G354" i="505"/>
  <c r="AA353" i="505"/>
  <c r="Z353" i="505"/>
  <c r="Y353" i="505"/>
  <c r="X353" i="505"/>
  <c r="U353" i="505"/>
  <c r="T353" i="505"/>
  <c r="S353" i="505"/>
  <c r="R353" i="505"/>
  <c r="Q353" i="505"/>
  <c r="P353" i="505"/>
  <c r="O353" i="505"/>
  <c r="I353" i="505"/>
  <c r="G353" i="505"/>
  <c r="AA352" i="505"/>
  <c r="Z352" i="505"/>
  <c r="Y352" i="505"/>
  <c r="X352" i="505"/>
  <c r="U352" i="505"/>
  <c r="T352" i="505"/>
  <c r="S352" i="505"/>
  <c r="R352" i="505"/>
  <c r="Q352" i="505"/>
  <c r="P352" i="505"/>
  <c r="O352" i="505"/>
  <c r="I352" i="505"/>
  <c r="G352" i="505"/>
  <c r="AA351" i="505"/>
  <c r="Z351" i="505"/>
  <c r="Y351" i="505"/>
  <c r="X351" i="505"/>
  <c r="U351" i="505"/>
  <c r="T351" i="505"/>
  <c r="S351" i="505"/>
  <c r="R351" i="505"/>
  <c r="Q351" i="505"/>
  <c r="P351" i="505"/>
  <c r="O351" i="505"/>
  <c r="I351" i="505"/>
  <c r="G351" i="505"/>
  <c r="AA350" i="505"/>
  <c r="Z350" i="505"/>
  <c r="Y350" i="505"/>
  <c r="X350" i="505"/>
  <c r="U350" i="505"/>
  <c r="T350" i="505"/>
  <c r="S350" i="505"/>
  <c r="R350" i="505"/>
  <c r="Q350" i="505"/>
  <c r="P350" i="505"/>
  <c r="O350" i="505"/>
  <c r="I350" i="505"/>
  <c r="G350" i="505"/>
  <c r="AA349" i="505"/>
  <c r="Z349" i="505"/>
  <c r="Y349" i="505"/>
  <c r="X349" i="505"/>
  <c r="U349" i="505"/>
  <c r="T349" i="505"/>
  <c r="S349" i="505"/>
  <c r="R349" i="505"/>
  <c r="Q349" i="505"/>
  <c r="P349" i="505"/>
  <c r="O349" i="505"/>
  <c r="I349" i="505"/>
  <c r="G349" i="505"/>
  <c r="G340" i="505"/>
  <c r="C340" i="505"/>
  <c r="G339" i="505"/>
  <c r="C339" i="505"/>
  <c r="G338" i="505"/>
  <c r="C338" i="505"/>
  <c r="G337" i="505"/>
  <c r="C337" i="505"/>
  <c r="AA333" i="505"/>
  <c r="Z333" i="505"/>
  <c r="Y333" i="505"/>
  <c r="X333" i="505"/>
  <c r="U333" i="505"/>
  <c r="T333" i="505"/>
  <c r="S333" i="505"/>
  <c r="R333" i="505"/>
  <c r="Q333" i="505"/>
  <c r="P333" i="505"/>
  <c r="O333" i="505"/>
  <c r="I333" i="505"/>
  <c r="G333" i="505"/>
  <c r="AA332" i="505"/>
  <c r="Z332" i="505"/>
  <c r="Y332" i="505"/>
  <c r="X332" i="505"/>
  <c r="U332" i="505"/>
  <c r="T332" i="505"/>
  <c r="S332" i="505"/>
  <c r="R332" i="505"/>
  <c r="Q332" i="505"/>
  <c r="P332" i="505"/>
  <c r="O332" i="505"/>
  <c r="I332" i="505"/>
  <c r="G332" i="505"/>
  <c r="AA331" i="505"/>
  <c r="Z331" i="505"/>
  <c r="Y331" i="505"/>
  <c r="X331" i="505"/>
  <c r="U331" i="505"/>
  <c r="T331" i="505"/>
  <c r="S331" i="505"/>
  <c r="R331" i="505"/>
  <c r="Q331" i="505"/>
  <c r="P331" i="505"/>
  <c r="O331" i="505"/>
  <c r="I331" i="505"/>
  <c r="G331" i="505"/>
  <c r="AA330" i="505"/>
  <c r="Z330" i="505"/>
  <c r="Y330" i="505"/>
  <c r="X330" i="505"/>
  <c r="U330" i="505"/>
  <c r="T330" i="505"/>
  <c r="S330" i="505"/>
  <c r="R330" i="505"/>
  <c r="Q330" i="505"/>
  <c r="P330" i="505"/>
  <c r="O330" i="505"/>
  <c r="I330" i="505"/>
  <c r="G330" i="505"/>
  <c r="AA328" i="505"/>
  <c r="Z328" i="505"/>
  <c r="Y328" i="505"/>
  <c r="X328" i="505"/>
  <c r="U328" i="505"/>
  <c r="T328" i="505"/>
  <c r="S328" i="505"/>
  <c r="R328" i="505"/>
  <c r="Q328" i="505"/>
  <c r="P328" i="505"/>
  <c r="O328" i="505"/>
  <c r="I328" i="505"/>
  <c r="G328" i="505"/>
  <c r="I327" i="505"/>
  <c r="G327" i="505"/>
  <c r="AA326" i="505"/>
  <c r="Z326" i="505"/>
  <c r="Y326" i="505"/>
  <c r="X326" i="505"/>
  <c r="U326" i="505"/>
  <c r="T326" i="505"/>
  <c r="S326" i="505"/>
  <c r="R326" i="505"/>
  <c r="Q326" i="505"/>
  <c r="P326" i="505"/>
  <c r="O326" i="505"/>
  <c r="I326" i="505"/>
  <c r="G326" i="505"/>
  <c r="AA325" i="505"/>
  <c r="Z325" i="505"/>
  <c r="Y325" i="505"/>
  <c r="X325" i="505"/>
  <c r="U325" i="505"/>
  <c r="T325" i="505"/>
  <c r="S325" i="505"/>
  <c r="R325" i="505"/>
  <c r="Q325" i="505"/>
  <c r="P325" i="505"/>
  <c r="O325" i="505"/>
  <c r="I325" i="505"/>
  <c r="G325" i="505"/>
  <c r="AA324" i="505"/>
  <c r="Z324" i="505"/>
  <c r="Y324" i="505"/>
  <c r="X324" i="505"/>
  <c r="U324" i="505"/>
  <c r="T324" i="505"/>
  <c r="S324" i="505"/>
  <c r="R324" i="505"/>
  <c r="Q324" i="505"/>
  <c r="P324" i="505"/>
  <c r="O324" i="505"/>
  <c r="I324" i="505"/>
  <c r="G324" i="505"/>
  <c r="AA323" i="505"/>
  <c r="Z323" i="505"/>
  <c r="Y323" i="505"/>
  <c r="X323" i="505"/>
  <c r="U323" i="505"/>
  <c r="T323" i="505"/>
  <c r="S323" i="505"/>
  <c r="R323" i="505"/>
  <c r="Q323" i="505"/>
  <c r="P323" i="505"/>
  <c r="O323" i="505"/>
  <c r="I323" i="505"/>
  <c r="G323" i="505"/>
  <c r="AA322" i="505"/>
  <c r="Z322" i="505"/>
  <c r="Y322" i="505"/>
  <c r="X322" i="505"/>
  <c r="U322" i="505"/>
  <c r="T322" i="505"/>
  <c r="S322" i="505"/>
  <c r="R322" i="505"/>
  <c r="Q322" i="505"/>
  <c r="P322" i="505"/>
  <c r="O322" i="505"/>
  <c r="I322" i="505"/>
  <c r="G322" i="505"/>
  <c r="AA321" i="505"/>
  <c r="Z321" i="505"/>
  <c r="Y321" i="505"/>
  <c r="X321" i="505"/>
  <c r="U321" i="505"/>
  <c r="T321" i="505"/>
  <c r="S321" i="505"/>
  <c r="R321" i="505"/>
  <c r="Q321" i="505"/>
  <c r="P321" i="505"/>
  <c r="O321" i="505"/>
  <c r="I321" i="505"/>
  <c r="G321" i="505"/>
  <c r="AA320" i="505"/>
  <c r="Z320" i="505"/>
  <c r="Y320" i="505"/>
  <c r="X320" i="505"/>
  <c r="U320" i="505"/>
  <c r="T320" i="505"/>
  <c r="S320" i="505"/>
  <c r="R320" i="505"/>
  <c r="Q320" i="505"/>
  <c r="P320" i="505"/>
  <c r="O320" i="505"/>
  <c r="I320" i="505"/>
  <c r="G320" i="505"/>
  <c r="AA318" i="505"/>
  <c r="Z318" i="505"/>
  <c r="Y318" i="505"/>
  <c r="X318" i="505"/>
  <c r="U318" i="505"/>
  <c r="T318" i="505"/>
  <c r="S318" i="505"/>
  <c r="R318" i="505"/>
  <c r="Q318" i="505"/>
  <c r="P318" i="505"/>
  <c r="O318" i="505"/>
  <c r="I318" i="505"/>
  <c r="G318" i="505"/>
  <c r="I317" i="505"/>
  <c r="G317" i="505"/>
  <c r="I316" i="505"/>
  <c r="G316" i="505"/>
  <c r="I315" i="505"/>
  <c r="G315" i="505"/>
  <c r="I314" i="505"/>
  <c r="G314" i="505"/>
  <c r="AA313" i="505"/>
  <c r="Z313" i="505"/>
  <c r="Y313" i="505"/>
  <c r="X313" i="505"/>
  <c r="U313" i="505"/>
  <c r="T313" i="505"/>
  <c r="S313" i="505"/>
  <c r="R313" i="505"/>
  <c r="Q313" i="505"/>
  <c r="P313" i="505"/>
  <c r="O313" i="505"/>
  <c r="I313" i="505"/>
  <c r="G313" i="505"/>
  <c r="AA312" i="505"/>
  <c r="Z312" i="505"/>
  <c r="Y312" i="505"/>
  <c r="X312" i="505"/>
  <c r="U312" i="505"/>
  <c r="T312" i="505"/>
  <c r="S312" i="505"/>
  <c r="R312" i="505"/>
  <c r="Q312" i="505"/>
  <c r="P312" i="505"/>
  <c r="O312" i="505"/>
  <c r="I312" i="505"/>
  <c r="G312" i="505"/>
  <c r="AA311" i="505"/>
  <c r="Z311" i="505"/>
  <c r="Y311" i="505"/>
  <c r="X311" i="505"/>
  <c r="U311" i="505"/>
  <c r="T311" i="505"/>
  <c r="S311" i="505"/>
  <c r="R311" i="505"/>
  <c r="Q311" i="505"/>
  <c r="P311" i="505"/>
  <c r="O311" i="505"/>
  <c r="I311" i="505"/>
  <c r="G311" i="505"/>
  <c r="AA310" i="505"/>
  <c r="Z310" i="505"/>
  <c r="Y310" i="505"/>
  <c r="X310" i="505"/>
  <c r="U310" i="505"/>
  <c r="T310" i="505"/>
  <c r="S310" i="505"/>
  <c r="R310" i="505"/>
  <c r="Q310" i="505"/>
  <c r="P310" i="505"/>
  <c r="O310" i="505"/>
  <c r="I310" i="505"/>
  <c r="G310" i="505"/>
  <c r="AA309" i="505"/>
  <c r="Z309" i="505"/>
  <c r="Y309" i="505"/>
  <c r="X309" i="505"/>
  <c r="U309" i="505"/>
  <c r="T309" i="505"/>
  <c r="S309" i="505"/>
  <c r="R309" i="505"/>
  <c r="Q309" i="505"/>
  <c r="P309" i="505"/>
  <c r="O309" i="505"/>
  <c r="I309" i="505"/>
  <c r="G309" i="505"/>
  <c r="AA307" i="505"/>
  <c r="Z307" i="505"/>
  <c r="Y307" i="505"/>
  <c r="X307" i="505"/>
  <c r="U307" i="505"/>
  <c r="T307" i="505"/>
  <c r="S307" i="505"/>
  <c r="R307" i="505"/>
  <c r="Q307" i="505"/>
  <c r="P307" i="505"/>
  <c r="O307" i="505"/>
  <c r="I307" i="505"/>
  <c r="G307" i="505"/>
  <c r="AA306" i="505"/>
  <c r="Z306" i="505"/>
  <c r="Y306" i="505"/>
  <c r="X306" i="505"/>
  <c r="U306" i="505"/>
  <c r="T306" i="505"/>
  <c r="S306" i="505"/>
  <c r="R306" i="505"/>
  <c r="Q306" i="505"/>
  <c r="P306" i="505"/>
  <c r="O306" i="505"/>
  <c r="I306" i="505"/>
  <c r="G306" i="505"/>
  <c r="AA305" i="505"/>
  <c r="Z305" i="505"/>
  <c r="Y305" i="505"/>
  <c r="X305" i="505"/>
  <c r="U305" i="505"/>
  <c r="T305" i="505"/>
  <c r="S305" i="505"/>
  <c r="R305" i="505"/>
  <c r="Q305" i="505"/>
  <c r="P305" i="505"/>
  <c r="O305" i="505"/>
  <c r="I305" i="505"/>
  <c r="G305" i="505"/>
  <c r="AA304" i="505"/>
  <c r="Z304" i="505"/>
  <c r="Y304" i="505"/>
  <c r="X304" i="505"/>
  <c r="U304" i="505"/>
  <c r="T304" i="505"/>
  <c r="S304" i="505"/>
  <c r="R304" i="505"/>
  <c r="Q304" i="505"/>
  <c r="P304" i="505"/>
  <c r="O304" i="505"/>
  <c r="I304" i="505"/>
  <c r="G304" i="505"/>
  <c r="AA303" i="505"/>
  <c r="Z303" i="505"/>
  <c r="Y303" i="505"/>
  <c r="X303" i="505"/>
  <c r="U303" i="505"/>
  <c r="T303" i="505"/>
  <c r="S303" i="505"/>
  <c r="R303" i="505"/>
  <c r="Q303" i="505"/>
  <c r="P303" i="505"/>
  <c r="O303" i="505"/>
  <c r="I303" i="505"/>
  <c r="G303" i="505"/>
  <c r="AA302" i="505"/>
  <c r="Z302" i="505"/>
  <c r="Y302" i="505"/>
  <c r="X302" i="505"/>
  <c r="U302" i="505"/>
  <c r="T302" i="505"/>
  <c r="S302" i="505"/>
  <c r="R302" i="505"/>
  <c r="Q302" i="505"/>
  <c r="P302" i="505"/>
  <c r="O302" i="505"/>
  <c r="I302" i="505"/>
  <c r="G302" i="505"/>
  <c r="AA301" i="505"/>
  <c r="Z301" i="505"/>
  <c r="Y301" i="505"/>
  <c r="X301" i="505"/>
  <c r="U301" i="505"/>
  <c r="T301" i="505"/>
  <c r="S301" i="505"/>
  <c r="R301" i="505"/>
  <c r="Q301" i="505"/>
  <c r="P301" i="505"/>
  <c r="O301" i="505"/>
  <c r="I301" i="505"/>
  <c r="G301" i="505"/>
  <c r="AA300" i="505"/>
  <c r="Z300" i="505"/>
  <c r="Y300" i="505"/>
  <c r="X300" i="505"/>
  <c r="U300" i="505"/>
  <c r="T300" i="505"/>
  <c r="S300" i="505"/>
  <c r="R300" i="505"/>
  <c r="Q300" i="505"/>
  <c r="P300" i="505"/>
  <c r="O300" i="505"/>
  <c r="I300" i="505"/>
  <c r="G300" i="505"/>
  <c r="AA299" i="505"/>
  <c r="Z299" i="505"/>
  <c r="Y299" i="505"/>
  <c r="X299" i="505"/>
  <c r="U299" i="505"/>
  <c r="T299" i="505"/>
  <c r="S299" i="505"/>
  <c r="R299" i="505"/>
  <c r="Q299" i="505"/>
  <c r="P299" i="505"/>
  <c r="O299" i="505"/>
  <c r="I299" i="505"/>
  <c r="G299" i="505"/>
  <c r="AA298" i="505"/>
  <c r="Z298" i="505"/>
  <c r="Y298" i="505"/>
  <c r="X298" i="505"/>
  <c r="U298" i="505"/>
  <c r="T298" i="505"/>
  <c r="S298" i="505"/>
  <c r="R298" i="505"/>
  <c r="Q298" i="505"/>
  <c r="P298" i="505"/>
  <c r="O298" i="505"/>
  <c r="I298" i="505"/>
  <c r="G298" i="505"/>
  <c r="AA297" i="505"/>
  <c r="Z297" i="505"/>
  <c r="Y297" i="505"/>
  <c r="X297" i="505"/>
  <c r="U297" i="505"/>
  <c r="T297" i="505"/>
  <c r="S297" i="505"/>
  <c r="R297" i="505"/>
  <c r="Q297" i="505"/>
  <c r="P297" i="505"/>
  <c r="O297" i="505"/>
  <c r="I297" i="505"/>
  <c r="G297" i="505"/>
  <c r="AA296" i="505"/>
  <c r="Z296" i="505"/>
  <c r="Y296" i="505"/>
  <c r="X296" i="505"/>
  <c r="U296" i="505"/>
  <c r="T296" i="505"/>
  <c r="S296" i="505"/>
  <c r="R296" i="505"/>
  <c r="Q296" i="505"/>
  <c r="P296" i="505"/>
  <c r="O296" i="505"/>
  <c r="I296" i="505"/>
  <c r="G296" i="505"/>
  <c r="AA295" i="505"/>
  <c r="Z295" i="505"/>
  <c r="Y295" i="505"/>
  <c r="X295" i="505"/>
  <c r="U295" i="505"/>
  <c r="T295" i="505"/>
  <c r="S295" i="505"/>
  <c r="R295" i="505"/>
  <c r="Q295" i="505"/>
  <c r="P295" i="505"/>
  <c r="O295" i="505"/>
  <c r="I295" i="505"/>
  <c r="G295" i="505"/>
  <c r="AA294" i="505"/>
  <c r="Z294" i="505"/>
  <c r="Y294" i="505"/>
  <c r="X294" i="505"/>
  <c r="U294" i="505"/>
  <c r="T294" i="505"/>
  <c r="S294" i="505"/>
  <c r="R294" i="505"/>
  <c r="Q294" i="505"/>
  <c r="P294" i="505"/>
  <c r="O294" i="505"/>
  <c r="I294" i="505"/>
  <c r="G294" i="505"/>
  <c r="AA293" i="505"/>
  <c r="Z293" i="505"/>
  <c r="Y293" i="505"/>
  <c r="X293" i="505"/>
  <c r="U293" i="505"/>
  <c r="T293" i="505"/>
  <c r="S293" i="505"/>
  <c r="R293" i="505"/>
  <c r="Q293" i="505"/>
  <c r="P293" i="505"/>
  <c r="O293" i="505"/>
  <c r="I293" i="505"/>
  <c r="G293" i="505"/>
  <c r="AA291" i="505"/>
  <c r="Z291" i="505"/>
  <c r="Y291" i="505"/>
  <c r="X291" i="505"/>
  <c r="U291" i="505"/>
  <c r="T291" i="505"/>
  <c r="S291" i="505"/>
  <c r="R291" i="505"/>
  <c r="Q291" i="505"/>
  <c r="P291" i="505"/>
  <c r="O291" i="505"/>
  <c r="I291" i="505"/>
  <c r="G291" i="505"/>
  <c r="AA290" i="505"/>
  <c r="Z290" i="505"/>
  <c r="Y290" i="505"/>
  <c r="X290" i="505"/>
  <c r="U290" i="505"/>
  <c r="T290" i="505"/>
  <c r="S290" i="505"/>
  <c r="R290" i="505"/>
  <c r="Q290" i="505"/>
  <c r="P290" i="505"/>
  <c r="O290" i="505"/>
  <c r="I290" i="505"/>
  <c r="G290" i="505"/>
  <c r="AA289" i="505"/>
  <c r="Z289" i="505"/>
  <c r="Y289" i="505"/>
  <c r="X289" i="505"/>
  <c r="U289" i="505"/>
  <c r="T289" i="505"/>
  <c r="S289" i="505"/>
  <c r="R289" i="505"/>
  <c r="Q289" i="505"/>
  <c r="P289" i="505"/>
  <c r="O289" i="505"/>
  <c r="I289" i="505"/>
  <c r="G289" i="505"/>
  <c r="I288" i="505"/>
  <c r="G288" i="505"/>
  <c r="I287" i="505"/>
  <c r="G287" i="505"/>
  <c r="I286" i="505"/>
  <c r="G286" i="505"/>
  <c r="AA285" i="505"/>
  <c r="Z285" i="505"/>
  <c r="Y285" i="505"/>
  <c r="X285" i="505"/>
  <c r="U285" i="505"/>
  <c r="T285" i="505"/>
  <c r="S285" i="505"/>
  <c r="R285" i="505"/>
  <c r="Q285" i="505"/>
  <c r="P285" i="505"/>
  <c r="O285" i="505"/>
  <c r="I285" i="505"/>
  <c r="G285" i="505"/>
  <c r="AA284" i="505"/>
  <c r="Z284" i="505"/>
  <c r="Y284" i="505"/>
  <c r="X284" i="505"/>
  <c r="U284" i="505"/>
  <c r="T284" i="505"/>
  <c r="S284" i="505"/>
  <c r="R284" i="505"/>
  <c r="Q284" i="505"/>
  <c r="P284" i="505"/>
  <c r="O284" i="505"/>
  <c r="I284" i="505"/>
  <c r="G284" i="505"/>
  <c r="AA283" i="505"/>
  <c r="Z283" i="505"/>
  <c r="Y283" i="505"/>
  <c r="X283" i="505"/>
  <c r="U283" i="505"/>
  <c r="T283" i="505"/>
  <c r="S283" i="505"/>
  <c r="R283" i="505"/>
  <c r="Q283" i="505"/>
  <c r="P283" i="505"/>
  <c r="O283" i="505"/>
  <c r="I283" i="505"/>
  <c r="G283" i="505"/>
  <c r="AA282" i="505"/>
  <c r="Z282" i="505"/>
  <c r="Y282" i="505"/>
  <c r="X282" i="505"/>
  <c r="U282" i="505"/>
  <c r="T282" i="505"/>
  <c r="S282" i="505"/>
  <c r="R282" i="505"/>
  <c r="Q282" i="505"/>
  <c r="P282" i="505"/>
  <c r="O282" i="505"/>
  <c r="I282" i="505"/>
  <c r="G282" i="505"/>
  <c r="AA281" i="505"/>
  <c r="Z281" i="505"/>
  <c r="Y281" i="505"/>
  <c r="X281" i="505"/>
  <c r="U281" i="505"/>
  <c r="T281" i="505"/>
  <c r="S281" i="505"/>
  <c r="R281" i="505"/>
  <c r="Q281" i="505"/>
  <c r="P281" i="505"/>
  <c r="O281" i="505"/>
  <c r="I281" i="505"/>
  <c r="G281" i="505"/>
  <c r="AA280" i="505"/>
  <c r="Z280" i="505"/>
  <c r="Y280" i="505"/>
  <c r="X280" i="505"/>
  <c r="U280" i="505"/>
  <c r="T280" i="505"/>
  <c r="S280" i="505"/>
  <c r="R280" i="505"/>
  <c r="Q280" i="505"/>
  <c r="P280" i="505"/>
  <c r="O280" i="505"/>
  <c r="I280" i="505"/>
  <c r="G280" i="505"/>
  <c r="AA279" i="505"/>
  <c r="Z279" i="505"/>
  <c r="Y279" i="505"/>
  <c r="X279" i="505"/>
  <c r="U279" i="505"/>
  <c r="T279" i="505"/>
  <c r="S279" i="505"/>
  <c r="R279" i="505"/>
  <c r="Q279" i="505"/>
  <c r="P279" i="505"/>
  <c r="O279" i="505"/>
  <c r="I279" i="505"/>
  <c r="G279" i="505"/>
  <c r="AA278" i="505"/>
  <c r="Z278" i="505"/>
  <c r="Y278" i="505"/>
  <c r="X278" i="505"/>
  <c r="U278" i="505"/>
  <c r="T278" i="505"/>
  <c r="S278" i="505"/>
  <c r="R278" i="505"/>
  <c r="Q278" i="505"/>
  <c r="P278" i="505"/>
  <c r="O278" i="505"/>
  <c r="I278" i="505"/>
  <c r="G278" i="505"/>
  <c r="AA277" i="505"/>
  <c r="Z277" i="505"/>
  <c r="Y277" i="505"/>
  <c r="X277" i="505"/>
  <c r="U277" i="505"/>
  <c r="T277" i="505"/>
  <c r="S277" i="505"/>
  <c r="R277" i="505"/>
  <c r="Q277" i="505"/>
  <c r="P277" i="505"/>
  <c r="O277" i="505"/>
  <c r="I277" i="505"/>
  <c r="G277" i="505"/>
  <c r="AA276" i="505"/>
  <c r="Z276" i="505"/>
  <c r="Y276" i="505"/>
  <c r="X276" i="505"/>
  <c r="U276" i="505"/>
  <c r="T276" i="505"/>
  <c r="S276" i="505"/>
  <c r="R276" i="505"/>
  <c r="Q276" i="505"/>
  <c r="P276" i="505"/>
  <c r="O276" i="505"/>
  <c r="I276" i="505"/>
  <c r="G276" i="505"/>
  <c r="AA275" i="505"/>
  <c r="Z275" i="505"/>
  <c r="Y275" i="505"/>
  <c r="X275" i="505"/>
  <c r="U275" i="505"/>
  <c r="T275" i="505"/>
  <c r="S275" i="505"/>
  <c r="R275" i="505"/>
  <c r="Q275" i="505"/>
  <c r="P275" i="505"/>
  <c r="O275" i="505"/>
  <c r="I275" i="505"/>
  <c r="G275" i="505"/>
  <c r="AA274" i="505"/>
  <c r="Z274" i="505"/>
  <c r="Y274" i="505"/>
  <c r="X274" i="505"/>
  <c r="U274" i="505"/>
  <c r="T274" i="505"/>
  <c r="S274" i="505"/>
  <c r="R274" i="505"/>
  <c r="Q274" i="505"/>
  <c r="P274" i="505"/>
  <c r="O274" i="505"/>
  <c r="I274" i="505"/>
  <c r="G274" i="505"/>
  <c r="AA273" i="505"/>
  <c r="Z273" i="505"/>
  <c r="Y273" i="505"/>
  <c r="X273" i="505"/>
  <c r="U273" i="505"/>
  <c r="T273" i="505"/>
  <c r="S273" i="505"/>
  <c r="R273" i="505"/>
  <c r="Q273" i="505"/>
  <c r="P273" i="505"/>
  <c r="O273" i="505"/>
  <c r="I273" i="505"/>
  <c r="G273" i="505"/>
  <c r="AA272" i="505"/>
  <c r="Z272" i="505"/>
  <c r="Y272" i="505"/>
  <c r="X272" i="505"/>
  <c r="U272" i="505"/>
  <c r="T272" i="505"/>
  <c r="S272" i="505"/>
  <c r="R272" i="505"/>
  <c r="Q272" i="505"/>
  <c r="P272" i="505"/>
  <c r="O272" i="505"/>
  <c r="I272" i="505"/>
  <c r="G272" i="505"/>
  <c r="AA271" i="505"/>
  <c r="Z271" i="505"/>
  <c r="Y271" i="505"/>
  <c r="X271" i="505"/>
  <c r="U271" i="505"/>
  <c r="T271" i="505"/>
  <c r="S271" i="505"/>
  <c r="R271" i="505"/>
  <c r="Q271" i="505"/>
  <c r="P271" i="505"/>
  <c r="O271" i="505"/>
  <c r="I271" i="505"/>
  <c r="G271" i="505"/>
  <c r="AA270" i="505"/>
  <c r="Z270" i="505"/>
  <c r="Y270" i="505"/>
  <c r="X270" i="505"/>
  <c r="U270" i="505"/>
  <c r="T270" i="505"/>
  <c r="S270" i="505"/>
  <c r="R270" i="505"/>
  <c r="Q270" i="505"/>
  <c r="P270" i="505"/>
  <c r="O270" i="505"/>
  <c r="I270" i="505"/>
  <c r="G270" i="505"/>
  <c r="AA269" i="505"/>
  <c r="Z269" i="505"/>
  <c r="Y269" i="505"/>
  <c r="X269" i="505"/>
  <c r="U269" i="505"/>
  <c r="T269" i="505"/>
  <c r="S269" i="505"/>
  <c r="R269" i="505"/>
  <c r="Q269" i="505"/>
  <c r="P269" i="505"/>
  <c r="O269" i="505"/>
  <c r="I269" i="505"/>
  <c r="G269" i="505"/>
  <c r="AA268" i="505"/>
  <c r="Z268" i="505"/>
  <c r="Y268" i="505"/>
  <c r="X268" i="505"/>
  <c r="U268" i="505"/>
  <c r="T268" i="505"/>
  <c r="S268" i="505"/>
  <c r="R268" i="505"/>
  <c r="Q268" i="505"/>
  <c r="P268" i="505"/>
  <c r="O268" i="505"/>
  <c r="I268" i="505"/>
  <c r="G268" i="505"/>
  <c r="AA267" i="505"/>
  <c r="Z267" i="505"/>
  <c r="Y267" i="505"/>
  <c r="X267" i="505"/>
  <c r="U267" i="505"/>
  <c r="T267" i="505"/>
  <c r="S267" i="505"/>
  <c r="R267" i="505"/>
  <c r="Q267" i="505"/>
  <c r="P267" i="505"/>
  <c r="O267" i="505"/>
  <c r="I267" i="505"/>
  <c r="G267" i="505"/>
  <c r="AA266" i="505"/>
  <c r="Z266" i="505"/>
  <c r="Y266" i="505"/>
  <c r="X266" i="505"/>
  <c r="U266" i="505"/>
  <c r="T266" i="505"/>
  <c r="S266" i="505"/>
  <c r="R266" i="505"/>
  <c r="Q266" i="505"/>
  <c r="P266" i="505"/>
  <c r="O266" i="505"/>
  <c r="I266" i="505"/>
  <c r="G266" i="505"/>
  <c r="AA265" i="505"/>
  <c r="Z265" i="505"/>
  <c r="Y265" i="505"/>
  <c r="X265" i="505"/>
  <c r="U265" i="505"/>
  <c r="T265" i="505"/>
  <c r="S265" i="505"/>
  <c r="R265" i="505"/>
  <c r="Q265" i="505"/>
  <c r="P265" i="505"/>
  <c r="O265" i="505"/>
  <c r="I265" i="505"/>
  <c r="G265" i="505"/>
  <c r="AA264" i="505"/>
  <c r="Z264" i="505"/>
  <c r="Y264" i="505"/>
  <c r="X264" i="505"/>
  <c r="U264" i="505"/>
  <c r="T264" i="505"/>
  <c r="S264" i="505"/>
  <c r="R264" i="505"/>
  <c r="Q264" i="505"/>
  <c r="P264" i="505"/>
  <c r="O264" i="505"/>
  <c r="I264" i="505"/>
  <c r="G264" i="505"/>
  <c r="AA263" i="505"/>
  <c r="Z263" i="505"/>
  <c r="Y263" i="505"/>
  <c r="X263" i="505"/>
  <c r="U263" i="505"/>
  <c r="T263" i="505"/>
  <c r="S263" i="505"/>
  <c r="R263" i="505"/>
  <c r="Q263" i="505"/>
  <c r="P263" i="505"/>
  <c r="O263" i="505"/>
  <c r="I263" i="505"/>
  <c r="G263" i="505"/>
  <c r="AA262" i="505"/>
  <c r="Z262" i="505"/>
  <c r="Y262" i="505"/>
  <c r="X262" i="505"/>
  <c r="U262" i="505"/>
  <c r="T262" i="505"/>
  <c r="S262" i="505"/>
  <c r="R262" i="505"/>
  <c r="Q262" i="505"/>
  <c r="P262" i="505"/>
  <c r="O262" i="505"/>
  <c r="I262" i="505"/>
  <c r="G262" i="505"/>
  <c r="AA261" i="505"/>
  <c r="Z261" i="505"/>
  <c r="Y261" i="505"/>
  <c r="X261" i="505"/>
  <c r="U261" i="505"/>
  <c r="T261" i="505"/>
  <c r="S261" i="505"/>
  <c r="R261" i="505"/>
  <c r="Q261" i="505"/>
  <c r="P261" i="505"/>
  <c r="O261" i="505"/>
  <c r="I261" i="505"/>
  <c r="G261" i="505"/>
  <c r="AA260" i="505"/>
  <c r="Z260" i="505"/>
  <c r="Y260" i="505"/>
  <c r="X260" i="505"/>
  <c r="U260" i="505"/>
  <c r="T260" i="505"/>
  <c r="S260" i="505"/>
  <c r="R260" i="505"/>
  <c r="Q260" i="505"/>
  <c r="P260" i="505"/>
  <c r="O260" i="505"/>
  <c r="I260" i="505"/>
  <c r="G260" i="505"/>
  <c r="AA259" i="505"/>
  <c r="Z259" i="505"/>
  <c r="Y259" i="505"/>
  <c r="X259" i="505"/>
  <c r="U259" i="505"/>
  <c r="T259" i="505"/>
  <c r="S259" i="505"/>
  <c r="R259" i="505"/>
  <c r="Q259" i="505"/>
  <c r="P259" i="505"/>
  <c r="O259" i="505"/>
  <c r="I259" i="505"/>
  <c r="G259" i="505"/>
  <c r="AA258" i="505"/>
  <c r="Z258" i="505"/>
  <c r="Y258" i="505"/>
  <c r="X258" i="505"/>
  <c r="U258" i="505"/>
  <c r="T258" i="505"/>
  <c r="S258" i="505"/>
  <c r="R258" i="505"/>
  <c r="Q258" i="505"/>
  <c r="P258" i="505"/>
  <c r="O258" i="505"/>
  <c r="I258" i="505"/>
  <c r="G258" i="505"/>
  <c r="AA256" i="505"/>
  <c r="Z256" i="505"/>
  <c r="Y256" i="505"/>
  <c r="X256" i="505"/>
  <c r="U256" i="505"/>
  <c r="T256" i="505"/>
  <c r="S256" i="505"/>
  <c r="R256" i="505"/>
  <c r="Q256" i="505"/>
  <c r="P256" i="505"/>
  <c r="O256" i="505"/>
  <c r="I256" i="505"/>
  <c r="G256" i="505"/>
  <c r="AA255" i="505"/>
  <c r="Z255" i="505"/>
  <c r="Y255" i="505"/>
  <c r="X255" i="505"/>
  <c r="U255" i="505"/>
  <c r="T255" i="505"/>
  <c r="S255" i="505"/>
  <c r="R255" i="505"/>
  <c r="Q255" i="505"/>
  <c r="P255" i="505"/>
  <c r="O255" i="505"/>
  <c r="I255" i="505"/>
  <c r="G255" i="505"/>
  <c r="AA254" i="505"/>
  <c r="Z254" i="505"/>
  <c r="Y254" i="505"/>
  <c r="X254" i="505"/>
  <c r="U254" i="505"/>
  <c r="T254" i="505"/>
  <c r="S254" i="505"/>
  <c r="R254" i="505"/>
  <c r="Q254" i="505"/>
  <c r="P254" i="505"/>
  <c r="O254" i="505"/>
  <c r="I254" i="505"/>
  <c r="G254" i="505"/>
  <c r="I253" i="505"/>
  <c r="G253" i="505"/>
  <c r="I252" i="505"/>
  <c r="G252" i="505"/>
  <c r="I251" i="505"/>
  <c r="G251" i="505"/>
  <c r="AA250" i="505"/>
  <c r="Z250" i="505"/>
  <c r="Y250" i="505"/>
  <c r="X250" i="505"/>
  <c r="U250" i="505"/>
  <c r="T250" i="505"/>
  <c r="S250" i="505"/>
  <c r="R250" i="505"/>
  <c r="Q250" i="505"/>
  <c r="P250" i="505"/>
  <c r="O250" i="505"/>
  <c r="N250" i="505"/>
  <c r="I250" i="505"/>
  <c r="G250" i="505"/>
  <c r="AA249" i="505"/>
  <c r="Z249" i="505"/>
  <c r="Y249" i="505"/>
  <c r="X249" i="505"/>
  <c r="U249" i="505"/>
  <c r="T249" i="505"/>
  <c r="S249" i="505"/>
  <c r="R249" i="505"/>
  <c r="Q249" i="505"/>
  <c r="P249" i="505"/>
  <c r="O249" i="505"/>
  <c r="N249" i="505"/>
  <c r="I249" i="505"/>
  <c r="G249" i="505"/>
  <c r="AA248" i="505"/>
  <c r="Z248" i="505"/>
  <c r="Y248" i="505"/>
  <c r="X248" i="505"/>
  <c r="U248" i="505"/>
  <c r="T248" i="505"/>
  <c r="S248" i="505"/>
  <c r="R248" i="505"/>
  <c r="Q248" i="505"/>
  <c r="P248" i="505"/>
  <c r="O248" i="505"/>
  <c r="N248" i="505"/>
  <c r="I248" i="505"/>
  <c r="G248" i="505"/>
  <c r="AA247" i="505"/>
  <c r="Z247" i="505"/>
  <c r="Y247" i="505"/>
  <c r="X247" i="505"/>
  <c r="U247" i="505"/>
  <c r="T247" i="505"/>
  <c r="S247" i="505"/>
  <c r="R247" i="505"/>
  <c r="Q247" i="505"/>
  <c r="P247" i="505"/>
  <c r="O247" i="505"/>
  <c r="N247" i="505"/>
  <c r="I247" i="505"/>
  <c r="G247" i="505"/>
  <c r="AA246" i="505"/>
  <c r="Z246" i="505"/>
  <c r="Y246" i="505"/>
  <c r="X246" i="505"/>
  <c r="U246" i="505"/>
  <c r="T246" i="505"/>
  <c r="S246" i="505"/>
  <c r="R246" i="505"/>
  <c r="Q246" i="505"/>
  <c r="P246" i="505"/>
  <c r="O246" i="505"/>
  <c r="N246" i="505"/>
  <c r="I246" i="505"/>
  <c r="G246" i="505"/>
  <c r="AA245" i="505"/>
  <c r="Z245" i="505"/>
  <c r="Y245" i="505"/>
  <c r="X245" i="505"/>
  <c r="U245" i="505"/>
  <c r="T245" i="505"/>
  <c r="S245" i="505"/>
  <c r="R245" i="505"/>
  <c r="Q245" i="505"/>
  <c r="P245" i="505"/>
  <c r="O245" i="505"/>
  <c r="N245" i="505"/>
  <c r="I245" i="505"/>
  <c r="G245" i="505"/>
  <c r="AA244" i="505"/>
  <c r="Z244" i="505"/>
  <c r="Y244" i="505"/>
  <c r="X244" i="505"/>
  <c r="U244" i="505"/>
  <c r="T244" i="505"/>
  <c r="S244" i="505"/>
  <c r="R244" i="505"/>
  <c r="Q244" i="505"/>
  <c r="P244" i="505"/>
  <c r="O244" i="505"/>
  <c r="N244" i="505"/>
  <c r="I244" i="505"/>
  <c r="G244" i="505"/>
  <c r="AA243" i="505"/>
  <c r="Z243" i="505"/>
  <c r="Y243" i="505"/>
  <c r="X243" i="505"/>
  <c r="U243" i="505"/>
  <c r="T243" i="505"/>
  <c r="S243" i="505"/>
  <c r="R243" i="505"/>
  <c r="Q243" i="505"/>
  <c r="P243" i="505"/>
  <c r="O243" i="505"/>
  <c r="N243" i="505"/>
  <c r="I243" i="505"/>
  <c r="G243" i="505"/>
  <c r="AA242" i="505"/>
  <c r="Z242" i="505"/>
  <c r="Y242" i="505"/>
  <c r="X242" i="505"/>
  <c r="U242" i="505"/>
  <c r="T242" i="505"/>
  <c r="S242" i="505"/>
  <c r="R242" i="505"/>
  <c r="Q242" i="505"/>
  <c r="P242" i="505"/>
  <c r="O242" i="505"/>
  <c r="N242" i="505"/>
  <c r="I242" i="505"/>
  <c r="G242" i="505"/>
  <c r="AA241" i="505"/>
  <c r="Z241" i="505"/>
  <c r="Y241" i="505"/>
  <c r="X241" i="505"/>
  <c r="U241" i="505"/>
  <c r="T241" i="505"/>
  <c r="S241" i="505"/>
  <c r="R241" i="505"/>
  <c r="Q241" i="505"/>
  <c r="P241" i="505"/>
  <c r="O241" i="505"/>
  <c r="N241" i="505"/>
  <c r="I241" i="505"/>
  <c r="G241" i="505"/>
  <c r="AA240" i="505"/>
  <c r="Z240" i="505"/>
  <c r="Y240" i="505"/>
  <c r="X240" i="505"/>
  <c r="U240" i="505"/>
  <c r="T240" i="505"/>
  <c r="S240" i="505"/>
  <c r="R240" i="505"/>
  <c r="Q240" i="505"/>
  <c r="P240" i="505"/>
  <c r="O240" i="505"/>
  <c r="N240" i="505"/>
  <c r="I240" i="505"/>
  <c r="G240" i="505"/>
  <c r="AA239" i="505"/>
  <c r="Z239" i="505"/>
  <c r="Y239" i="505"/>
  <c r="X239" i="505"/>
  <c r="U239" i="505"/>
  <c r="T239" i="505"/>
  <c r="S239" i="505"/>
  <c r="R239" i="505"/>
  <c r="Q239" i="505"/>
  <c r="P239" i="505"/>
  <c r="O239" i="505"/>
  <c r="N239" i="505"/>
  <c r="I239" i="505"/>
  <c r="G239" i="505"/>
  <c r="I238" i="505"/>
  <c r="G238" i="505"/>
  <c r="AA237" i="505"/>
  <c r="Z237" i="505"/>
  <c r="Y237" i="505"/>
  <c r="X237" i="505"/>
  <c r="U237" i="505"/>
  <c r="T237" i="505"/>
  <c r="S237" i="505"/>
  <c r="R237" i="505"/>
  <c r="Q237" i="505"/>
  <c r="P237" i="505"/>
  <c r="O237" i="505"/>
  <c r="N237" i="505"/>
  <c r="I237" i="505"/>
  <c r="G237" i="505"/>
  <c r="AA236" i="505"/>
  <c r="Z236" i="505"/>
  <c r="Y236" i="505"/>
  <c r="X236" i="505"/>
  <c r="U236" i="505"/>
  <c r="T236" i="505"/>
  <c r="S236" i="505"/>
  <c r="R236" i="505"/>
  <c r="Q236" i="505"/>
  <c r="P236" i="505"/>
  <c r="O236" i="505"/>
  <c r="N236" i="505"/>
  <c r="I236" i="505"/>
  <c r="G236" i="505"/>
  <c r="AA235" i="505"/>
  <c r="Z235" i="505"/>
  <c r="Y235" i="505"/>
  <c r="X235" i="505"/>
  <c r="U235" i="505"/>
  <c r="T235" i="505"/>
  <c r="S235" i="505"/>
  <c r="R235" i="505"/>
  <c r="Q235" i="505"/>
  <c r="P235" i="505"/>
  <c r="O235" i="505"/>
  <c r="N235" i="505"/>
  <c r="I235" i="505"/>
  <c r="G235" i="505"/>
  <c r="AA234" i="505"/>
  <c r="Z234" i="505"/>
  <c r="Y234" i="505"/>
  <c r="X234" i="505"/>
  <c r="U234" i="505"/>
  <c r="T234" i="505"/>
  <c r="S234" i="505"/>
  <c r="R234" i="505"/>
  <c r="Q234" i="505"/>
  <c r="P234" i="505"/>
  <c r="O234" i="505"/>
  <c r="N234" i="505"/>
  <c r="I234" i="505"/>
  <c r="G234" i="505"/>
  <c r="AA233" i="505"/>
  <c r="Z233" i="505"/>
  <c r="Y233" i="505"/>
  <c r="X233" i="505"/>
  <c r="U233" i="505"/>
  <c r="T233" i="505"/>
  <c r="S233" i="505"/>
  <c r="R233" i="505"/>
  <c r="Q233" i="505"/>
  <c r="P233" i="505"/>
  <c r="O233" i="505"/>
  <c r="N233" i="505"/>
  <c r="I233" i="505"/>
  <c r="G233" i="505"/>
  <c r="AA232" i="505"/>
  <c r="Z232" i="505"/>
  <c r="Y232" i="505"/>
  <c r="X232" i="505"/>
  <c r="U232" i="505"/>
  <c r="T232" i="505"/>
  <c r="S232" i="505"/>
  <c r="R232" i="505"/>
  <c r="Q232" i="505"/>
  <c r="P232" i="505"/>
  <c r="O232" i="505"/>
  <c r="N232" i="505"/>
  <c r="I232" i="505"/>
  <c r="G232" i="505"/>
  <c r="AA231" i="505"/>
  <c r="Z231" i="505"/>
  <c r="Y231" i="505"/>
  <c r="X231" i="505"/>
  <c r="U231" i="505"/>
  <c r="T231" i="505"/>
  <c r="S231" i="505"/>
  <c r="R231" i="505"/>
  <c r="Q231" i="505"/>
  <c r="P231" i="505"/>
  <c r="O231" i="505"/>
  <c r="N231" i="505"/>
  <c r="I231" i="505"/>
  <c r="G231" i="505"/>
  <c r="AA230" i="505"/>
  <c r="Z230" i="505"/>
  <c r="Y230" i="505"/>
  <c r="X230" i="505"/>
  <c r="U230" i="505"/>
  <c r="T230" i="505"/>
  <c r="S230" i="505"/>
  <c r="R230" i="505"/>
  <c r="Q230" i="505"/>
  <c r="P230" i="505"/>
  <c r="O230" i="505"/>
  <c r="N230" i="505"/>
  <c r="I230" i="505"/>
  <c r="G230" i="505"/>
  <c r="AA229" i="505"/>
  <c r="Z229" i="505"/>
  <c r="Y229" i="505"/>
  <c r="X229" i="505"/>
  <c r="U229" i="505"/>
  <c r="T229" i="505"/>
  <c r="S229" i="505"/>
  <c r="R229" i="505"/>
  <c r="Q229" i="505"/>
  <c r="P229" i="505"/>
  <c r="O229" i="505"/>
  <c r="N229" i="505"/>
  <c r="I229" i="505"/>
  <c r="G229" i="505"/>
  <c r="AA228" i="505"/>
  <c r="Z228" i="505"/>
  <c r="Y228" i="505"/>
  <c r="X228" i="505"/>
  <c r="U228" i="505"/>
  <c r="T228" i="505"/>
  <c r="S228" i="505"/>
  <c r="R228" i="505"/>
  <c r="Q228" i="505"/>
  <c r="P228" i="505"/>
  <c r="O228" i="505"/>
  <c r="N228" i="505"/>
  <c r="I228" i="505"/>
  <c r="G228" i="505"/>
  <c r="AA227" i="505"/>
  <c r="Z227" i="505"/>
  <c r="Y227" i="505"/>
  <c r="X227" i="505"/>
  <c r="U227" i="505"/>
  <c r="T227" i="505"/>
  <c r="S227" i="505"/>
  <c r="R227" i="505"/>
  <c r="Q227" i="505"/>
  <c r="P227" i="505"/>
  <c r="O227" i="505"/>
  <c r="N227" i="505"/>
  <c r="I227" i="505"/>
  <c r="G227" i="505"/>
  <c r="AA226" i="505"/>
  <c r="Z226" i="505"/>
  <c r="Y226" i="505"/>
  <c r="X226" i="505"/>
  <c r="U226" i="505"/>
  <c r="T226" i="505"/>
  <c r="S226" i="505"/>
  <c r="R226" i="505"/>
  <c r="Q226" i="505"/>
  <c r="P226" i="505"/>
  <c r="O226" i="505"/>
  <c r="N226" i="505"/>
  <c r="I226" i="505"/>
  <c r="G226" i="505"/>
  <c r="AA225" i="505"/>
  <c r="Z225" i="505"/>
  <c r="Y225" i="505"/>
  <c r="X225" i="505"/>
  <c r="U225" i="505"/>
  <c r="T225" i="505"/>
  <c r="S225" i="505"/>
  <c r="R225" i="505"/>
  <c r="Q225" i="505"/>
  <c r="P225" i="505"/>
  <c r="O225" i="505"/>
  <c r="N225" i="505"/>
  <c r="I225" i="505"/>
  <c r="G225" i="505"/>
  <c r="AA224" i="505"/>
  <c r="Z224" i="505"/>
  <c r="Y224" i="505"/>
  <c r="X224" i="505"/>
  <c r="U224" i="505"/>
  <c r="T224" i="505"/>
  <c r="S224" i="505"/>
  <c r="R224" i="505"/>
  <c r="Q224" i="505"/>
  <c r="P224" i="505"/>
  <c r="O224" i="505"/>
  <c r="N224" i="505"/>
  <c r="I224" i="505"/>
  <c r="G224" i="505"/>
  <c r="AA223" i="505"/>
  <c r="Z223" i="505"/>
  <c r="Y223" i="505"/>
  <c r="X223" i="505"/>
  <c r="U223" i="505"/>
  <c r="T223" i="505"/>
  <c r="S223" i="505"/>
  <c r="R223" i="505"/>
  <c r="Q223" i="505"/>
  <c r="P223" i="505"/>
  <c r="O223" i="505"/>
  <c r="N223" i="505"/>
  <c r="I223" i="505"/>
  <c r="G223" i="505"/>
  <c r="AA222" i="505"/>
  <c r="Z222" i="505"/>
  <c r="Y222" i="505"/>
  <c r="X222" i="505"/>
  <c r="U222" i="505"/>
  <c r="T222" i="505"/>
  <c r="S222" i="505"/>
  <c r="R222" i="505"/>
  <c r="Q222" i="505"/>
  <c r="P222" i="505"/>
  <c r="O222" i="505"/>
  <c r="N222" i="505"/>
  <c r="I222" i="505"/>
  <c r="G222" i="505"/>
  <c r="AA221" i="505"/>
  <c r="Z221" i="505"/>
  <c r="Y221" i="505"/>
  <c r="X221" i="505"/>
  <c r="U221" i="505"/>
  <c r="T221" i="505"/>
  <c r="S221" i="505"/>
  <c r="R221" i="505"/>
  <c r="Q221" i="505"/>
  <c r="P221" i="505"/>
  <c r="O221" i="505"/>
  <c r="N221" i="505"/>
  <c r="I221" i="505"/>
  <c r="G221" i="505"/>
  <c r="AA220" i="505"/>
  <c r="Z220" i="505"/>
  <c r="Y220" i="505"/>
  <c r="X220" i="505"/>
  <c r="U220" i="505"/>
  <c r="T220" i="505"/>
  <c r="S220" i="505"/>
  <c r="R220" i="505"/>
  <c r="Q220" i="505"/>
  <c r="P220" i="505"/>
  <c r="O220" i="505"/>
  <c r="N220" i="505"/>
  <c r="I220" i="505"/>
  <c r="G220" i="505"/>
  <c r="AA219" i="505"/>
  <c r="Z219" i="505"/>
  <c r="Y219" i="505"/>
  <c r="X219" i="505"/>
  <c r="U219" i="505"/>
  <c r="T219" i="505"/>
  <c r="S219" i="505"/>
  <c r="R219" i="505"/>
  <c r="Q219" i="505"/>
  <c r="P219" i="505"/>
  <c r="O219" i="505"/>
  <c r="N219" i="505"/>
  <c r="I219" i="505"/>
  <c r="G219" i="505"/>
  <c r="AA218" i="505"/>
  <c r="Z218" i="505"/>
  <c r="Y218" i="505"/>
  <c r="X218" i="505"/>
  <c r="U218" i="505"/>
  <c r="T218" i="505"/>
  <c r="S218" i="505"/>
  <c r="R218" i="505"/>
  <c r="Q218" i="505"/>
  <c r="P218" i="505"/>
  <c r="O218" i="505"/>
  <c r="N218" i="505"/>
  <c r="I218" i="505"/>
  <c r="G218" i="505"/>
  <c r="AA217" i="505"/>
  <c r="Z217" i="505"/>
  <c r="Y217" i="505"/>
  <c r="X217" i="505"/>
  <c r="U217" i="505"/>
  <c r="T217" i="505"/>
  <c r="S217" i="505"/>
  <c r="R217" i="505"/>
  <c r="Q217" i="505"/>
  <c r="P217" i="505"/>
  <c r="O217" i="505"/>
  <c r="N217" i="505"/>
  <c r="I217" i="505"/>
  <c r="G217" i="505"/>
  <c r="AA216" i="505"/>
  <c r="Z216" i="505"/>
  <c r="Y216" i="505"/>
  <c r="X216" i="505"/>
  <c r="U216" i="505"/>
  <c r="T216" i="505"/>
  <c r="S216" i="505"/>
  <c r="R216" i="505"/>
  <c r="Q216" i="505"/>
  <c r="P216" i="505"/>
  <c r="O216" i="505"/>
  <c r="N216" i="505"/>
  <c r="I216" i="505"/>
  <c r="G216" i="505"/>
  <c r="AA215" i="505"/>
  <c r="Z215" i="505"/>
  <c r="Y215" i="505"/>
  <c r="X215" i="505"/>
  <c r="U215" i="505"/>
  <c r="T215" i="505"/>
  <c r="S215" i="505"/>
  <c r="R215" i="505"/>
  <c r="Q215" i="505"/>
  <c r="P215" i="505"/>
  <c r="O215" i="505"/>
  <c r="N215" i="505"/>
  <c r="I215" i="505"/>
  <c r="G215" i="505"/>
  <c r="AA214" i="505"/>
  <c r="Z214" i="505"/>
  <c r="Y214" i="505"/>
  <c r="X214" i="505"/>
  <c r="U214" i="505"/>
  <c r="T214" i="505"/>
  <c r="S214" i="505"/>
  <c r="R214" i="505"/>
  <c r="Q214" i="505"/>
  <c r="P214" i="505"/>
  <c r="O214" i="505"/>
  <c r="N214" i="505"/>
  <c r="I214" i="505"/>
  <c r="G214" i="505"/>
  <c r="AA213" i="505"/>
  <c r="Z213" i="505"/>
  <c r="Y213" i="505"/>
  <c r="X213" i="505"/>
  <c r="U213" i="505"/>
  <c r="T213" i="505"/>
  <c r="S213" i="505"/>
  <c r="R213" i="505"/>
  <c r="Q213" i="505"/>
  <c r="P213" i="505"/>
  <c r="O213" i="505"/>
  <c r="N213" i="505"/>
  <c r="I213" i="505"/>
  <c r="G213" i="505"/>
  <c r="AA212" i="505"/>
  <c r="Z212" i="505"/>
  <c r="Y212" i="505"/>
  <c r="X212" i="505"/>
  <c r="U212" i="505"/>
  <c r="T212" i="505"/>
  <c r="S212" i="505"/>
  <c r="R212" i="505"/>
  <c r="Q212" i="505"/>
  <c r="P212" i="505"/>
  <c r="O212" i="505"/>
  <c r="N212" i="505"/>
  <c r="I212" i="505"/>
  <c r="G212" i="505"/>
  <c r="AA211" i="505"/>
  <c r="Z211" i="505"/>
  <c r="Y211" i="505"/>
  <c r="X211" i="505"/>
  <c r="U211" i="505"/>
  <c r="T211" i="505"/>
  <c r="S211" i="505"/>
  <c r="R211" i="505"/>
  <c r="Q211" i="505"/>
  <c r="P211" i="505"/>
  <c r="O211" i="505"/>
  <c r="N211" i="505"/>
  <c r="I211" i="505"/>
  <c r="G211" i="505"/>
  <c r="AA210" i="505"/>
  <c r="Z210" i="505"/>
  <c r="Y210" i="505"/>
  <c r="X210" i="505"/>
  <c r="U210" i="505"/>
  <c r="T210" i="505"/>
  <c r="S210" i="505"/>
  <c r="R210" i="505"/>
  <c r="Q210" i="505"/>
  <c r="P210" i="505"/>
  <c r="O210" i="505"/>
  <c r="N210" i="505"/>
  <c r="I210" i="505"/>
  <c r="G210" i="505"/>
  <c r="AA209" i="505"/>
  <c r="Z209" i="505"/>
  <c r="Y209" i="505"/>
  <c r="X209" i="505"/>
  <c r="U209" i="505"/>
  <c r="T209" i="505"/>
  <c r="S209" i="505"/>
  <c r="R209" i="505"/>
  <c r="Q209" i="505"/>
  <c r="P209" i="505"/>
  <c r="O209" i="505"/>
  <c r="N209" i="505"/>
  <c r="I209" i="505"/>
  <c r="G209" i="505"/>
  <c r="AA208" i="505"/>
  <c r="Z208" i="505"/>
  <c r="Y208" i="505"/>
  <c r="X208" i="505"/>
  <c r="U208" i="505"/>
  <c r="T208" i="505"/>
  <c r="S208" i="505"/>
  <c r="R208" i="505"/>
  <c r="Q208" i="505"/>
  <c r="P208" i="505"/>
  <c r="O208" i="505"/>
  <c r="N208" i="505"/>
  <c r="I208" i="505"/>
  <c r="G208" i="505"/>
  <c r="I207" i="505"/>
  <c r="G207" i="505"/>
  <c r="I206" i="505"/>
  <c r="G206" i="505"/>
  <c r="I205" i="505"/>
  <c r="G205" i="505"/>
  <c r="AA204" i="505"/>
  <c r="Z204" i="505"/>
  <c r="Y204" i="505"/>
  <c r="X204" i="505"/>
  <c r="U204" i="505"/>
  <c r="T204" i="505"/>
  <c r="S204" i="505"/>
  <c r="R204" i="505"/>
  <c r="Q204" i="505"/>
  <c r="P204" i="505"/>
  <c r="O204" i="505"/>
  <c r="N204" i="505"/>
  <c r="I204" i="505"/>
  <c r="G204" i="505"/>
  <c r="AA203" i="505"/>
  <c r="Z203" i="505"/>
  <c r="Y203" i="505"/>
  <c r="X203" i="505"/>
  <c r="U203" i="505"/>
  <c r="T203" i="505"/>
  <c r="S203" i="505"/>
  <c r="R203" i="505"/>
  <c r="Q203" i="505"/>
  <c r="P203" i="505"/>
  <c r="O203" i="505"/>
  <c r="N203" i="505"/>
  <c r="I203" i="505"/>
  <c r="G203" i="505"/>
  <c r="AA202" i="505"/>
  <c r="Z202" i="505"/>
  <c r="Y202" i="505"/>
  <c r="X202" i="505"/>
  <c r="U202" i="505"/>
  <c r="T202" i="505"/>
  <c r="S202" i="505"/>
  <c r="R202" i="505"/>
  <c r="Q202" i="505"/>
  <c r="P202" i="505"/>
  <c r="O202" i="505"/>
  <c r="N202" i="505"/>
  <c r="I202" i="505"/>
  <c r="G202" i="505"/>
  <c r="I201" i="505"/>
  <c r="G201" i="505"/>
  <c r="AA200" i="505"/>
  <c r="Z200" i="505"/>
  <c r="Y200" i="505"/>
  <c r="X200" i="505"/>
  <c r="U200" i="505"/>
  <c r="T200" i="505"/>
  <c r="S200" i="505"/>
  <c r="R200" i="505"/>
  <c r="Q200" i="505"/>
  <c r="P200" i="505"/>
  <c r="O200" i="505"/>
  <c r="N200" i="505"/>
  <c r="I200" i="505"/>
  <c r="G200" i="505"/>
  <c r="AA198" i="505"/>
  <c r="Z198" i="505"/>
  <c r="Y198" i="505"/>
  <c r="X198" i="505"/>
  <c r="U198" i="505"/>
  <c r="T198" i="505"/>
  <c r="S198" i="505"/>
  <c r="R198" i="505"/>
  <c r="Q198" i="505"/>
  <c r="P198" i="505"/>
  <c r="O198" i="505"/>
  <c r="N198" i="505"/>
  <c r="I198" i="505"/>
  <c r="G198" i="505"/>
  <c r="AA197" i="505"/>
  <c r="Z197" i="505"/>
  <c r="Y197" i="505"/>
  <c r="X197" i="505"/>
  <c r="U197" i="505"/>
  <c r="T197" i="505"/>
  <c r="S197" i="505"/>
  <c r="R197" i="505"/>
  <c r="Q197" i="505"/>
  <c r="P197" i="505"/>
  <c r="O197" i="505"/>
  <c r="N197" i="505"/>
  <c r="I197" i="505"/>
  <c r="G197" i="505"/>
  <c r="AA196" i="505"/>
  <c r="Z196" i="505"/>
  <c r="Y196" i="505"/>
  <c r="X196" i="505"/>
  <c r="U196" i="505"/>
  <c r="T196" i="505"/>
  <c r="S196" i="505"/>
  <c r="R196" i="505"/>
  <c r="Q196" i="505"/>
  <c r="P196" i="505"/>
  <c r="O196" i="505"/>
  <c r="N196" i="505"/>
  <c r="I196" i="505"/>
  <c r="G196" i="505"/>
  <c r="AA195" i="505"/>
  <c r="Z195" i="505"/>
  <c r="Y195" i="505"/>
  <c r="X195" i="505"/>
  <c r="U195" i="505"/>
  <c r="T195" i="505"/>
  <c r="S195" i="505"/>
  <c r="R195" i="505"/>
  <c r="Q195" i="505"/>
  <c r="P195" i="505"/>
  <c r="O195" i="505"/>
  <c r="N195" i="505"/>
  <c r="I195" i="505"/>
  <c r="G195" i="505"/>
  <c r="AA194" i="505"/>
  <c r="Z194" i="505"/>
  <c r="Y194" i="505"/>
  <c r="X194" i="505"/>
  <c r="U194" i="505"/>
  <c r="T194" i="505"/>
  <c r="S194" i="505"/>
  <c r="R194" i="505"/>
  <c r="Q194" i="505"/>
  <c r="P194" i="505"/>
  <c r="O194" i="505"/>
  <c r="N194" i="505"/>
  <c r="I194" i="505"/>
  <c r="G194" i="505"/>
  <c r="AA193" i="505"/>
  <c r="Z193" i="505"/>
  <c r="Y193" i="505"/>
  <c r="X193" i="505"/>
  <c r="U193" i="505"/>
  <c r="T193" i="505"/>
  <c r="S193" i="505"/>
  <c r="R193" i="505"/>
  <c r="Q193" i="505"/>
  <c r="P193" i="505"/>
  <c r="O193" i="505"/>
  <c r="N193" i="505"/>
  <c r="I193" i="505"/>
  <c r="G193" i="505"/>
  <c r="AA192" i="505"/>
  <c r="Z192" i="505"/>
  <c r="Y192" i="505"/>
  <c r="X192" i="505"/>
  <c r="U192" i="505"/>
  <c r="T192" i="505"/>
  <c r="S192" i="505"/>
  <c r="R192" i="505"/>
  <c r="Q192" i="505"/>
  <c r="P192" i="505"/>
  <c r="O192" i="505"/>
  <c r="N192" i="505"/>
  <c r="I192" i="505"/>
  <c r="G192" i="505"/>
  <c r="AA191" i="505"/>
  <c r="Z191" i="505"/>
  <c r="Y191" i="505"/>
  <c r="X191" i="505"/>
  <c r="U191" i="505"/>
  <c r="T191" i="505"/>
  <c r="S191" i="505"/>
  <c r="R191" i="505"/>
  <c r="Q191" i="505"/>
  <c r="P191" i="505"/>
  <c r="O191" i="505"/>
  <c r="N191" i="505"/>
  <c r="I191" i="505"/>
  <c r="G191" i="505"/>
  <c r="AA190" i="505"/>
  <c r="Z190" i="505"/>
  <c r="Y190" i="505"/>
  <c r="X190" i="505"/>
  <c r="U190" i="505"/>
  <c r="T190" i="505"/>
  <c r="S190" i="505"/>
  <c r="R190" i="505"/>
  <c r="Q190" i="505"/>
  <c r="P190" i="505"/>
  <c r="O190" i="505"/>
  <c r="N190" i="505"/>
  <c r="I190" i="505"/>
  <c r="G190" i="505"/>
  <c r="AA189" i="505"/>
  <c r="Z189" i="505"/>
  <c r="Y189" i="505"/>
  <c r="X189" i="505"/>
  <c r="U189" i="505"/>
  <c r="T189" i="505"/>
  <c r="S189" i="505"/>
  <c r="R189" i="505"/>
  <c r="Q189" i="505"/>
  <c r="P189" i="505"/>
  <c r="O189" i="505"/>
  <c r="N189" i="505"/>
  <c r="I189" i="505"/>
  <c r="G189" i="505"/>
  <c r="AA188" i="505"/>
  <c r="Z188" i="505"/>
  <c r="Y188" i="505"/>
  <c r="X188" i="505"/>
  <c r="U188" i="505"/>
  <c r="T188" i="505"/>
  <c r="S188" i="505"/>
  <c r="R188" i="505"/>
  <c r="Q188" i="505"/>
  <c r="P188" i="505"/>
  <c r="O188" i="505"/>
  <c r="N188" i="505"/>
  <c r="I188" i="505"/>
  <c r="G188" i="505"/>
  <c r="AA187" i="505"/>
  <c r="Z187" i="505"/>
  <c r="Y187" i="505"/>
  <c r="X187" i="505"/>
  <c r="U187" i="505"/>
  <c r="T187" i="505"/>
  <c r="S187" i="505"/>
  <c r="R187" i="505"/>
  <c r="Q187" i="505"/>
  <c r="P187" i="505"/>
  <c r="O187" i="505"/>
  <c r="N187" i="505"/>
  <c r="I187" i="505"/>
  <c r="G187" i="505"/>
  <c r="AA186" i="505"/>
  <c r="Z186" i="505"/>
  <c r="Y186" i="505"/>
  <c r="X186" i="505"/>
  <c r="U186" i="505"/>
  <c r="T186" i="505"/>
  <c r="S186" i="505"/>
  <c r="R186" i="505"/>
  <c r="Q186" i="505"/>
  <c r="P186" i="505"/>
  <c r="O186" i="505"/>
  <c r="N186" i="505"/>
  <c r="I186" i="505"/>
  <c r="G186" i="505"/>
  <c r="AA185" i="505"/>
  <c r="Z185" i="505"/>
  <c r="Y185" i="505"/>
  <c r="X185" i="505"/>
  <c r="U185" i="505"/>
  <c r="T185" i="505"/>
  <c r="S185" i="505"/>
  <c r="R185" i="505"/>
  <c r="Q185" i="505"/>
  <c r="P185" i="505"/>
  <c r="O185" i="505"/>
  <c r="N185" i="505"/>
  <c r="I185" i="505"/>
  <c r="G185" i="505"/>
  <c r="AA184" i="505"/>
  <c r="Z184" i="505"/>
  <c r="Y184" i="505"/>
  <c r="X184" i="505"/>
  <c r="U184" i="505"/>
  <c r="T184" i="505"/>
  <c r="S184" i="505"/>
  <c r="R184" i="505"/>
  <c r="Q184" i="505"/>
  <c r="P184" i="505"/>
  <c r="O184" i="505"/>
  <c r="N184" i="505"/>
  <c r="I184" i="505"/>
  <c r="G184" i="505"/>
  <c r="AA183" i="505"/>
  <c r="Z183" i="505"/>
  <c r="Y183" i="505"/>
  <c r="X183" i="505"/>
  <c r="U183" i="505"/>
  <c r="T183" i="505"/>
  <c r="S183" i="505"/>
  <c r="R183" i="505"/>
  <c r="Q183" i="505"/>
  <c r="P183" i="505"/>
  <c r="O183" i="505"/>
  <c r="N183" i="505"/>
  <c r="I183" i="505"/>
  <c r="G183" i="505"/>
  <c r="AA182" i="505"/>
  <c r="Z182" i="505"/>
  <c r="Y182" i="505"/>
  <c r="X182" i="505"/>
  <c r="U182" i="505"/>
  <c r="T182" i="505"/>
  <c r="S182" i="505"/>
  <c r="R182" i="505"/>
  <c r="Q182" i="505"/>
  <c r="P182" i="505"/>
  <c r="O182" i="505"/>
  <c r="N182" i="505"/>
  <c r="I182" i="505"/>
  <c r="G182" i="505"/>
  <c r="AA181" i="505"/>
  <c r="Z181" i="505"/>
  <c r="Y181" i="505"/>
  <c r="X181" i="505"/>
  <c r="U181" i="505"/>
  <c r="T181" i="505"/>
  <c r="S181" i="505"/>
  <c r="R181" i="505"/>
  <c r="Q181" i="505"/>
  <c r="P181" i="505"/>
  <c r="O181" i="505"/>
  <c r="N181" i="505"/>
  <c r="I181" i="505"/>
  <c r="G181" i="505"/>
  <c r="AA180" i="505"/>
  <c r="Z180" i="505"/>
  <c r="Y180" i="505"/>
  <c r="X180" i="505"/>
  <c r="U180" i="505"/>
  <c r="T180" i="505"/>
  <c r="S180" i="505"/>
  <c r="R180" i="505"/>
  <c r="Q180" i="505"/>
  <c r="P180" i="505"/>
  <c r="O180" i="505"/>
  <c r="N180" i="505"/>
  <c r="I180" i="505"/>
  <c r="G180" i="505"/>
  <c r="AA179" i="505"/>
  <c r="Z179" i="505"/>
  <c r="Y179" i="505"/>
  <c r="X179" i="505"/>
  <c r="U179" i="505"/>
  <c r="T179" i="505"/>
  <c r="S179" i="505"/>
  <c r="R179" i="505"/>
  <c r="Q179" i="505"/>
  <c r="P179" i="505"/>
  <c r="O179" i="505"/>
  <c r="N179" i="505"/>
  <c r="I179" i="505"/>
  <c r="G179" i="505"/>
  <c r="AA178" i="505"/>
  <c r="Z178" i="505"/>
  <c r="Y178" i="505"/>
  <c r="X178" i="505"/>
  <c r="U178" i="505"/>
  <c r="T178" i="505"/>
  <c r="S178" i="505"/>
  <c r="R178" i="505"/>
  <c r="Q178" i="505"/>
  <c r="P178" i="505"/>
  <c r="O178" i="505"/>
  <c r="N178" i="505"/>
  <c r="I178" i="505"/>
  <c r="G178" i="505"/>
  <c r="G169" i="505"/>
  <c r="C169" i="505"/>
  <c r="G168" i="505"/>
  <c r="C168" i="505"/>
  <c r="G167" i="505"/>
  <c r="C167" i="505"/>
  <c r="G166" i="505"/>
  <c r="C166" i="505"/>
  <c r="I162" i="505"/>
  <c r="H162" i="505"/>
  <c r="G162" i="505"/>
  <c r="AA161" i="505"/>
  <c r="Z161" i="505"/>
  <c r="Y161" i="505"/>
  <c r="X161" i="505"/>
  <c r="U161" i="505"/>
  <c r="T161" i="505"/>
  <c r="S161" i="505"/>
  <c r="R161" i="505"/>
  <c r="Q161" i="505"/>
  <c r="P161" i="505"/>
  <c r="O161" i="505"/>
  <c r="N161" i="505"/>
  <c r="I161" i="505"/>
  <c r="H161" i="505"/>
  <c r="G161" i="505"/>
  <c r="AA160" i="505"/>
  <c r="Z160" i="505"/>
  <c r="Y160" i="505"/>
  <c r="X160" i="505"/>
  <c r="U160" i="505"/>
  <c r="T160" i="505"/>
  <c r="S160" i="505"/>
  <c r="R160" i="505"/>
  <c r="Q160" i="505"/>
  <c r="P160" i="505"/>
  <c r="O160" i="505"/>
  <c r="N160" i="505"/>
  <c r="I160" i="505"/>
  <c r="H160" i="505"/>
  <c r="G160" i="505"/>
  <c r="AA159" i="505"/>
  <c r="Z159" i="505"/>
  <c r="Y159" i="505"/>
  <c r="X159" i="505"/>
  <c r="U159" i="505"/>
  <c r="T159" i="505"/>
  <c r="S159" i="505"/>
  <c r="R159" i="505"/>
  <c r="Q159" i="505"/>
  <c r="P159" i="505"/>
  <c r="O159" i="505"/>
  <c r="N159" i="505"/>
  <c r="I159" i="505"/>
  <c r="H159" i="505"/>
  <c r="G159" i="505"/>
  <c r="AA158" i="505"/>
  <c r="Z158" i="505"/>
  <c r="Y158" i="505"/>
  <c r="X158" i="505"/>
  <c r="U158" i="505"/>
  <c r="T158" i="505"/>
  <c r="S158" i="505"/>
  <c r="R158" i="505"/>
  <c r="Q158" i="505"/>
  <c r="P158" i="505"/>
  <c r="O158" i="505"/>
  <c r="N158" i="505"/>
  <c r="I158" i="505"/>
  <c r="H158" i="505"/>
  <c r="G158" i="505"/>
  <c r="H157" i="505"/>
  <c r="G157" i="505"/>
  <c r="I156" i="505"/>
  <c r="H156" i="505"/>
  <c r="G156" i="505"/>
  <c r="AA155" i="505"/>
  <c r="Z155" i="505"/>
  <c r="Y155" i="505"/>
  <c r="X155" i="505"/>
  <c r="U155" i="505"/>
  <c r="T155" i="505"/>
  <c r="S155" i="505"/>
  <c r="R155" i="505"/>
  <c r="Q155" i="505"/>
  <c r="P155" i="505"/>
  <c r="O155" i="505"/>
  <c r="N155" i="505"/>
  <c r="I155" i="505"/>
  <c r="H155" i="505"/>
  <c r="G155" i="505"/>
  <c r="AA154" i="505"/>
  <c r="Z154" i="505"/>
  <c r="Y154" i="505"/>
  <c r="X154" i="505"/>
  <c r="U154" i="505"/>
  <c r="T154" i="505"/>
  <c r="S154" i="505"/>
  <c r="R154" i="505"/>
  <c r="Q154" i="505"/>
  <c r="P154" i="505"/>
  <c r="O154" i="505"/>
  <c r="N154" i="505"/>
  <c r="I154" i="505"/>
  <c r="H154" i="505"/>
  <c r="G154" i="505"/>
  <c r="AA153" i="505"/>
  <c r="Z153" i="505"/>
  <c r="Y153" i="505"/>
  <c r="X153" i="505"/>
  <c r="U153" i="505"/>
  <c r="T153" i="505"/>
  <c r="S153" i="505"/>
  <c r="R153" i="505"/>
  <c r="Q153" i="505"/>
  <c r="P153" i="505"/>
  <c r="O153" i="505"/>
  <c r="N153" i="505"/>
  <c r="I153" i="505"/>
  <c r="H153" i="505"/>
  <c r="G153" i="505"/>
  <c r="AA152" i="505"/>
  <c r="Z152" i="505"/>
  <c r="Y152" i="505"/>
  <c r="X152" i="505"/>
  <c r="U152" i="505"/>
  <c r="T152" i="505"/>
  <c r="S152" i="505"/>
  <c r="R152" i="505"/>
  <c r="Q152" i="505"/>
  <c r="P152" i="505"/>
  <c r="O152" i="505"/>
  <c r="N152" i="505"/>
  <c r="I152" i="505"/>
  <c r="H152" i="505"/>
  <c r="G152" i="505"/>
  <c r="AA151" i="505"/>
  <c r="Z151" i="505"/>
  <c r="Y151" i="505"/>
  <c r="X151" i="505"/>
  <c r="U151" i="505"/>
  <c r="T151" i="505"/>
  <c r="S151" i="505"/>
  <c r="R151" i="505"/>
  <c r="Q151" i="505"/>
  <c r="P151" i="505"/>
  <c r="O151" i="505"/>
  <c r="N151" i="505"/>
  <c r="I151" i="505"/>
  <c r="H151" i="505"/>
  <c r="G151" i="505"/>
  <c r="AA150" i="505"/>
  <c r="Z150" i="505"/>
  <c r="Y150" i="505"/>
  <c r="X150" i="505"/>
  <c r="U150" i="505"/>
  <c r="T150" i="505"/>
  <c r="S150" i="505"/>
  <c r="R150" i="505"/>
  <c r="Q150" i="505"/>
  <c r="P150" i="505"/>
  <c r="O150" i="505"/>
  <c r="N150" i="505"/>
  <c r="I150" i="505"/>
  <c r="H150" i="505"/>
  <c r="G150" i="505"/>
  <c r="AA149" i="505"/>
  <c r="Z149" i="505"/>
  <c r="Y149" i="505"/>
  <c r="X149" i="505"/>
  <c r="U149" i="505"/>
  <c r="T149" i="505"/>
  <c r="S149" i="505"/>
  <c r="R149" i="505"/>
  <c r="Q149" i="505"/>
  <c r="P149" i="505"/>
  <c r="O149" i="505"/>
  <c r="N149" i="505"/>
  <c r="I149" i="505"/>
  <c r="H149" i="505"/>
  <c r="G149" i="505"/>
  <c r="AA147" i="505"/>
  <c r="Z147" i="505"/>
  <c r="Y147" i="505"/>
  <c r="X147" i="505"/>
  <c r="U147" i="505"/>
  <c r="T147" i="505"/>
  <c r="S147" i="505"/>
  <c r="R147" i="505"/>
  <c r="Q147" i="505"/>
  <c r="P147" i="505"/>
  <c r="O147" i="505"/>
  <c r="N147" i="505"/>
  <c r="I147" i="505"/>
  <c r="H147" i="505"/>
  <c r="G147" i="505"/>
  <c r="I146" i="505"/>
  <c r="H146" i="505"/>
  <c r="G146" i="505"/>
  <c r="I145" i="505"/>
  <c r="H145" i="505"/>
  <c r="G145" i="505"/>
  <c r="I144" i="505"/>
  <c r="H144" i="505"/>
  <c r="G144" i="505"/>
  <c r="I143" i="505"/>
  <c r="H143" i="505"/>
  <c r="G143" i="505"/>
  <c r="AA142" i="505"/>
  <c r="Z142" i="505"/>
  <c r="Y142" i="505"/>
  <c r="X142" i="505"/>
  <c r="U142" i="505"/>
  <c r="T142" i="505"/>
  <c r="S142" i="505"/>
  <c r="R142" i="505"/>
  <c r="Q142" i="505"/>
  <c r="P142" i="505"/>
  <c r="O142" i="505"/>
  <c r="N142" i="505"/>
  <c r="I142" i="505"/>
  <c r="H142" i="505"/>
  <c r="G142" i="505"/>
  <c r="AA141" i="505"/>
  <c r="Z141" i="505"/>
  <c r="Y141" i="505"/>
  <c r="X141" i="505"/>
  <c r="U141" i="505"/>
  <c r="T141" i="505"/>
  <c r="S141" i="505"/>
  <c r="R141" i="505"/>
  <c r="Q141" i="505"/>
  <c r="P141" i="505"/>
  <c r="O141" i="505"/>
  <c r="N141" i="505"/>
  <c r="I141" i="505"/>
  <c r="H141" i="505"/>
  <c r="G141" i="505"/>
  <c r="AA140" i="505"/>
  <c r="Z140" i="505"/>
  <c r="Y140" i="505"/>
  <c r="X140" i="505"/>
  <c r="U140" i="505"/>
  <c r="T140" i="505"/>
  <c r="S140" i="505"/>
  <c r="R140" i="505"/>
  <c r="Q140" i="505"/>
  <c r="P140" i="505"/>
  <c r="O140" i="505"/>
  <c r="N140" i="505"/>
  <c r="I140" i="505"/>
  <c r="H140" i="505"/>
  <c r="G140" i="505"/>
  <c r="AA139" i="505"/>
  <c r="Z139" i="505"/>
  <c r="Y139" i="505"/>
  <c r="X139" i="505"/>
  <c r="U139" i="505"/>
  <c r="T139" i="505"/>
  <c r="S139" i="505"/>
  <c r="R139" i="505"/>
  <c r="Q139" i="505"/>
  <c r="P139" i="505"/>
  <c r="O139" i="505"/>
  <c r="N139" i="505"/>
  <c r="I139" i="505"/>
  <c r="H139" i="505"/>
  <c r="G139" i="505"/>
  <c r="AA138" i="505"/>
  <c r="Z138" i="505"/>
  <c r="Y138" i="505"/>
  <c r="X138" i="505"/>
  <c r="U138" i="505"/>
  <c r="T138" i="505"/>
  <c r="S138" i="505"/>
  <c r="R138" i="505"/>
  <c r="Q138" i="505"/>
  <c r="P138" i="505"/>
  <c r="O138" i="505"/>
  <c r="N138" i="505"/>
  <c r="I138" i="505"/>
  <c r="H138" i="505"/>
  <c r="G138" i="505"/>
  <c r="AA137" i="505"/>
  <c r="Z137" i="505"/>
  <c r="Y137" i="505"/>
  <c r="X137" i="505"/>
  <c r="U137" i="505"/>
  <c r="T137" i="505"/>
  <c r="S137" i="505"/>
  <c r="R137" i="505"/>
  <c r="Q137" i="505"/>
  <c r="P137" i="505"/>
  <c r="O137" i="505"/>
  <c r="AA136" i="505"/>
  <c r="Z136" i="505"/>
  <c r="Y136" i="505"/>
  <c r="X136" i="505"/>
  <c r="U136" i="505"/>
  <c r="T136" i="505"/>
  <c r="S136" i="505"/>
  <c r="R136" i="505"/>
  <c r="Q136" i="505"/>
  <c r="P136" i="505"/>
  <c r="O136" i="505"/>
  <c r="N136" i="505"/>
  <c r="I136" i="505"/>
  <c r="H136" i="505"/>
  <c r="G136" i="505"/>
  <c r="AA135" i="505"/>
  <c r="Z135" i="505"/>
  <c r="Y135" i="505"/>
  <c r="X135" i="505"/>
  <c r="U135" i="505"/>
  <c r="T135" i="505"/>
  <c r="S135" i="505"/>
  <c r="R135" i="505"/>
  <c r="Q135" i="505"/>
  <c r="P135" i="505"/>
  <c r="O135" i="505"/>
  <c r="N135" i="505"/>
  <c r="I135" i="505"/>
  <c r="H135" i="505"/>
  <c r="G135" i="505"/>
  <c r="AA134" i="505"/>
  <c r="Z134" i="505"/>
  <c r="Y134" i="505"/>
  <c r="X134" i="505"/>
  <c r="U134" i="505"/>
  <c r="T134" i="505"/>
  <c r="S134" i="505"/>
  <c r="R134" i="505"/>
  <c r="Q134" i="505"/>
  <c r="P134" i="505"/>
  <c r="O134" i="505"/>
  <c r="N134" i="505"/>
  <c r="I134" i="505"/>
  <c r="H134" i="505"/>
  <c r="G134" i="505"/>
  <c r="AA133" i="505"/>
  <c r="Z133" i="505"/>
  <c r="Y133" i="505"/>
  <c r="X133" i="505"/>
  <c r="U133" i="505"/>
  <c r="T133" i="505"/>
  <c r="S133" i="505"/>
  <c r="R133" i="505"/>
  <c r="Q133" i="505"/>
  <c r="P133" i="505"/>
  <c r="O133" i="505"/>
  <c r="N133" i="505"/>
  <c r="I133" i="505"/>
  <c r="H133" i="505"/>
  <c r="G133" i="505"/>
  <c r="AA132" i="505"/>
  <c r="Z132" i="505"/>
  <c r="Y132" i="505"/>
  <c r="X132" i="505"/>
  <c r="U132" i="505"/>
  <c r="T132" i="505"/>
  <c r="S132" i="505"/>
  <c r="R132" i="505"/>
  <c r="Q132" i="505"/>
  <c r="P132" i="505"/>
  <c r="O132" i="505"/>
  <c r="N132" i="505"/>
  <c r="I132" i="505"/>
  <c r="H132" i="505"/>
  <c r="G132" i="505"/>
  <c r="AA131" i="505"/>
  <c r="Z131" i="505"/>
  <c r="Y131" i="505"/>
  <c r="X131" i="505"/>
  <c r="U131" i="505"/>
  <c r="T131" i="505"/>
  <c r="S131" i="505"/>
  <c r="R131" i="505"/>
  <c r="Q131" i="505"/>
  <c r="P131" i="505"/>
  <c r="O131" i="505"/>
  <c r="N131" i="505"/>
  <c r="I131" i="505"/>
  <c r="H131" i="505"/>
  <c r="G131" i="505"/>
  <c r="AA130" i="505"/>
  <c r="Z130" i="505"/>
  <c r="Y130" i="505"/>
  <c r="X130" i="505"/>
  <c r="U130" i="505"/>
  <c r="T130" i="505"/>
  <c r="S130" i="505"/>
  <c r="R130" i="505"/>
  <c r="Q130" i="505"/>
  <c r="P130" i="505"/>
  <c r="O130" i="505"/>
  <c r="N130" i="505"/>
  <c r="I130" i="505"/>
  <c r="H130" i="505"/>
  <c r="G130" i="505"/>
  <c r="AA129" i="505"/>
  <c r="Z129" i="505"/>
  <c r="Y129" i="505"/>
  <c r="X129" i="505"/>
  <c r="U129" i="505"/>
  <c r="T129" i="505"/>
  <c r="S129" i="505"/>
  <c r="R129" i="505"/>
  <c r="Q129" i="505"/>
  <c r="P129" i="505"/>
  <c r="O129" i="505"/>
  <c r="N129" i="505"/>
  <c r="I129" i="505"/>
  <c r="H129" i="505"/>
  <c r="G129" i="505"/>
  <c r="AA128" i="505"/>
  <c r="Z128" i="505"/>
  <c r="Y128" i="505"/>
  <c r="X128" i="505"/>
  <c r="U128" i="505"/>
  <c r="T128" i="505"/>
  <c r="S128" i="505"/>
  <c r="R128" i="505"/>
  <c r="Q128" i="505"/>
  <c r="P128" i="505"/>
  <c r="O128" i="505"/>
  <c r="N128" i="505"/>
  <c r="I128" i="505"/>
  <c r="H128" i="505"/>
  <c r="G128" i="505"/>
  <c r="AA127" i="505"/>
  <c r="Z127" i="505"/>
  <c r="Y127" i="505"/>
  <c r="X127" i="505"/>
  <c r="U127" i="505"/>
  <c r="T127" i="505"/>
  <c r="S127" i="505"/>
  <c r="R127" i="505"/>
  <c r="Q127" i="505"/>
  <c r="P127" i="505"/>
  <c r="O127" i="505"/>
  <c r="N127" i="505"/>
  <c r="I127" i="505"/>
  <c r="H127" i="505"/>
  <c r="G127" i="505"/>
  <c r="AA126" i="505"/>
  <c r="Z126" i="505"/>
  <c r="Y126" i="505"/>
  <c r="X126" i="505"/>
  <c r="U126" i="505"/>
  <c r="T126" i="505"/>
  <c r="S126" i="505"/>
  <c r="R126" i="505"/>
  <c r="Q126" i="505"/>
  <c r="P126" i="505"/>
  <c r="O126" i="505"/>
  <c r="N126" i="505"/>
  <c r="I126" i="505"/>
  <c r="H126" i="505"/>
  <c r="G126" i="505"/>
  <c r="AA125" i="505"/>
  <c r="Z125" i="505"/>
  <c r="Y125" i="505"/>
  <c r="X125" i="505"/>
  <c r="U125" i="505"/>
  <c r="T125" i="505"/>
  <c r="S125" i="505"/>
  <c r="R125" i="505"/>
  <c r="Q125" i="505"/>
  <c r="P125" i="505"/>
  <c r="O125" i="505"/>
  <c r="N125" i="505"/>
  <c r="I125" i="505"/>
  <c r="H125" i="505"/>
  <c r="G125" i="505"/>
  <c r="AA124" i="505"/>
  <c r="Z124" i="505"/>
  <c r="Y124" i="505"/>
  <c r="X124" i="505"/>
  <c r="U124" i="505"/>
  <c r="T124" i="505"/>
  <c r="S124" i="505"/>
  <c r="R124" i="505"/>
  <c r="Q124" i="505"/>
  <c r="P124" i="505"/>
  <c r="O124" i="505"/>
  <c r="N124" i="505"/>
  <c r="I124" i="505"/>
  <c r="H124" i="505"/>
  <c r="G124" i="505"/>
  <c r="AA123" i="505"/>
  <c r="Z123" i="505"/>
  <c r="Y123" i="505"/>
  <c r="X123" i="505"/>
  <c r="U123" i="505"/>
  <c r="T123" i="505"/>
  <c r="S123" i="505"/>
  <c r="R123" i="505"/>
  <c r="Q123" i="505"/>
  <c r="P123" i="505"/>
  <c r="O123" i="505"/>
  <c r="N123" i="505"/>
  <c r="I123" i="505"/>
  <c r="H123" i="505"/>
  <c r="G123" i="505"/>
  <c r="AA122" i="505"/>
  <c r="Z122" i="505"/>
  <c r="Y122" i="505"/>
  <c r="X122" i="505"/>
  <c r="U122" i="505"/>
  <c r="T122" i="505"/>
  <c r="S122" i="505"/>
  <c r="R122" i="505"/>
  <c r="Q122" i="505"/>
  <c r="P122" i="505"/>
  <c r="O122" i="505"/>
  <c r="N122" i="505"/>
  <c r="I122" i="505"/>
  <c r="H122" i="505"/>
  <c r="G122" i="505"/>
  <c r="AA120" i="505"/>
  <c r="Z120" i="505"/>
  <c r="Y120" i="505"/>
  <c r="X120" i="505"/>
  <c r="U120" i="505"/>
  <c r="T120" i="505"/>
  <c r="S120" i="505"/>
  <c r="R120" i="505"/>
  <c r="Q120" i="505"/>
  <c r="P120" i="505"/>
  <c r="O120" i="505"/>
  <c r="N120" i="505"/>
  <c r="I120" i="505"/>
  <c r="H120" i="505"/>
  <c r="G120" i="505"/>
  <c r="AA119" i="505"/>
  <c r="Z119" i="505"/>
  <c r="Y119" i="505"/>
  <c r="X119" i="505"/>
  <c r="U119" i="505"/>
  <c r="T119" i="505"/>
  <c r="S119" i="505"/>
  <c r="R119" i="505"/>
  <c r="Q119" i="505"/>
  <c r="P119" i="505"/>
  <c r="O119" i="505"/>
  <c r="N119" i="505"/>
  <c r="I119" i="505"/>
  <c r="H119" i="505"/>
  <c r="G119" i="505"/>
  <c r="AA118" i="505"/>
  <c r="Z118" i="505"/>
  <c r="Y118" i="505"/>
  <c r="X118" i="505"/>
  <c r="U118" i="505"/>
  <c r="T118" i="505"/>
  <c r="S118" i="505"/>
  <c r="R118" i="505"/>
  <c r="Q118" i="505"/>
  <c r="P118" i="505"/>
  <c r="O118" i="505"/>
  <c r="N118" i="505"/>
  <c r="I118" i="505"/>
  <c r="H118" i="505"/>
  <c r="G118" i="505"/>
  <c r="I117" i="505"/>
  <c r="H117" i="505"/>
  <c r="G117" i="505"/>
  <c r="I116" i="505"/>
  <c r="H116" i="505"/>
  <c r="G116" i="505"/>
  <c r="I115" i="505"/>
  <c r="H115" i="505"/>
  <c r="G115" i="505"/>
  <c r="AA114" i="505"/>
  <c r="Z114" i="505"/>
  <c r="Y114" i="505"/>
  <c r="X114" i="505"/>
  <c r="U114" i="505"/>
  <c r="T114" i="505"/>
  <c r="S114" i="505"/>
  <c r="R114" i="505"/>
  <c r="Q114" i="505"/>
  <c r="P114" i="505"/>
  <c r="O114" i="505"/>
  <c r="N114" i="505"/>
  <c r="I114" i="505"/>
  <c r="H114" i="505"/>
  <c r="G114" i="505"/>
  <c r="AA113" i="505"/>
  <c r="Z113" i="505"/>
  <c r="Y113" i="505"/>
  <c r="X113" i="505"/>
  <c r="U113" i="505"/>
  <c r="T113" i="505"/>
  <c r="S113" i="505"/>
  <c r="R113" i="505"/>
  <c r="Q113" i="505"/>
  <c r="P113" i="505"/>
  <c r="O113" i="505"/>
  <c r="N113" i="505"/>
  <c r="I113" i="505"/>
  <c r="H113" i="505"/>
  <c r="G113" i="505"/>
  <c r="AA112" i="505"/>
  <c r="Z112" i="505"/>
  <c r="Y112" i="505"/>
  <c r="X112" i="505"/>
  <c r="U112" i="505"/>
  <c r="T112" i="505"/>
  <c r="S112" i="505"/>
  <c r="R112" i="505"/>
  <c r="Q112" i="505"/>
  <c r="P112" i="505"/>
  <c r="O112" i="505"/>
  <c r="N112" i="505"/>
  <c r="I112" i="505"/>
  <c r="H112" i="505"/>
  <c r="G112" i="505"/>
  <c r="AA111" i="505"/>
  <c r="Z111" i="505"/>
  <c r="Y111" i="505"/>
  <c r="X111" i="505"/>
  <c r="U111" i="505"/>
  <c r="T111" i="505"/>
  <c r="S111" i="505"/>
  <c r="R111" i="505"/>
  <c r="Q111" i="505"/>
  <c r="P111" i="505"/>
  <c r="O111" i="505"/>
  <c r="N111" i="505"/>
  <c r="I111" i="505"/>
  <c r="H111" i="505"/>
  <c r="G111" i="505"/>
  <c r="AA110" i="505"/>
  <c r="Z110" i="505"/>
  <c r="Y110" i="505"/>
  <c r="X110" i="505"/>
  <c r="U110" i="505"/>
  <c r="T110" i="505"/>
  <c r="S110" i="505"/>
  <c r="R110" i="505"/>
  <c r="Q110" i="505"/>
  <c r="P110" i="505"/>
  <c r="O110" i="505"/>
  <c r="N110" i="505"/>
  <c r="I110" i="505"/>
  <c r="H110" i="505"/>
  <c r="G110" i="505"/>
  <c r="AA109" i="505"/>
  <c r="Z109" i="505"/>
  <c r="Y109" i="505"/>
  <c r="X109" i="505"/>
  <c r="U109" i="505"/>
  <c r="T109" i="505"/>
  <c r="S109" i="505"/>
  <c r="R109" i="505"/>
  <c r="Q109" i="505"/>
  <c r="P109" i="505"/>
  <c r="O109" i="505"/>
  <c r="N109" i="505"/>
  <c r="I109" i="505"/>
  <c r="H109" i="505"/>
  <c r="G109" i="505"/>
  <c r="AA108" i="505"/>
  <c r="Z108" i="505"/>
  <c r="Y108" i="505"/>
  <c r="X108" i="505"/>
  <c r="U108" i="505"/>
  <c r="T108" i="505"/>
  <c r="S108" i="505"/>
  <c r="R108" i="505"/>
  <c r="Q108" i="505"/>
  <c r="P108" i="505"/>
  <c r="O108" i="505"/>
  <c r="N108" i="505"/>
  <c r="I108" i="505"/>
  <c r="H108" i="505"/>
  <c r="G108" i="505"/>
  <c r="AA107" i="505"/>
  <c r="Z107" i="505"/>
  <c r="Y107" i="505"/>
  <c r="X107" i="505"/>
  <c r="U107" i="505"/>
  <c r="T107" i="505"/>
  <c r="S107" i="505"/>
  <c r="R107" i="505"/>
  <c r="Q107" i="505"/>
  <c r="P107" i="505"/>
  <c r="O107" i="505"/>
  <c r="N107" i="505"/>
  <c r="I107" i="505"/>
  <c r="H107" i="505"/>
  <c r="G107" i="505"/>
  <c r="AA106" i="505"/>
  <c r="Z106" i="505"/>
  <c r="Y106" i="505"/>
  <c r="X106" i="505"/>
  <c r="U106" i="505"/>
  <c r="T106" i="505"/>
  <c r="S106" i="505"/>
  <c r="R106" i="505"/>
  <c r="Q106" i="505"/>
  <c r="P106" i="505"/>
  <c r="O106" i="505"/>
  <c r="N106" i="505"/>
  <c r="I106" i="505"/>
  <c r="H106" i="505"/>
  <c r="G106" i="505"/>
  <c r="AA105" i="505"/>
  <c r="Z105" i="505"/>
  <c r="Y105" i="505"/>
  <c r="X105" i="505"/>
  <c r="U105" i="505"/>
  <c r="T105" i="505"/>
  <c r="S105" i="505"/>
  <c r="R105" i="505"/>
  <c r="Q105" i="505"/>
  <c r="P105" i="505"/>
  <c r="O105" i="505"/>
  <c r="N105" i="505"/>
  <c r="I105" i="505"/>
  <c r="H105" i="505"/>
  <c r="G105" i="505"/>
  <c r="AA104" i="505"/>
  <c r="Z104" i="505"/>
  <c r="Y104" i="505"/>
  <c r="X104" i="505"/>
  <c r="U104" i="505"/>
  <c r="T104" i="505"/>
  <c r="S104" i="505"/>
  <c r="R104" i="505"/>
  <c r="Q104" i="505"/>
  <c r="P104" i="505"/>
  <c r="O104" i="505"/>
  <c r="N104" i="505"/>
  <c r="I104" i="505"/>
  <c r="H104" i="505"/>
  <c r="G104" i="505"/>
  <c r="AA103" i="505"/>
  <c r="Z103" i="505"/>
  <c r="Y103" i="505"/>
  <c r="X103" i="505"/>
  <c r="U103" i="505"/>
  <c r="T103" i="505"/>
  <c r="S103" i="505"/>
  <c r="R103" i="505"/>
  <c r="Q103" i="505"/>
  <c r="P103" i="505"/>
  <c r="O103" i="505"/>
  <c r="N103" i="505"/>
  <c r="I103" i="505"/>
  <c r="H103" i="505"/>
  <c r="G103" i="505"/>
  <c r="AA102" i="505"/>
  <c r="Z102" i="505"/>
  <c r="Y102" i="505"/>
  <c r="X102" i="505"/>
  <c r="U102" i="505"/>
  <c r="T102" i="505"/>
  <c r="S102" i="505"/>
  <c r="R102" i="505"/>
  <c r="Q102" i="505"/>
  <c r="P102" i="505"/>
  <c r="O102" i="505"/>
  <c r="N102" i="505"/>
  <c r="I102" i="505"/>
  <c r="H102" i="505"/>
  <c r="G102" i="505"/>
  <c r="AA101" i="505"/>
  <c r="Z101" i="505"/>
  <c r="Y101" i="505"/>
  <c r="X101" i="505"/>
  <c r="U101" i="505"/>
  <c r="T101" i="505"/>
  <c r="S101" i="505"/>
  <c r="R101" i="505"/>
  <c r="Q101" i="505"/>
  <c r="P101" i="505"/>
  <c r="O101" i="505"/>
  <c r="N101" i="505"/>
  <c r="I101" i="505"/>
  <c r="H101" i="505"/>
  <c r="G101" i="505"/>
  <c r="AA100" i="505"/>
  <c r="Z100" i="505"/>
  <c r="Y100" i="505"/>
  <c r="X100" i="505"/>
  <c r="U100" i="505"/>
  <c r="T100" i="505"/>
  <c r="S100" i="505"/>
  <c r="R100" i="505"/>
  <c r="Q100" i="505"/>
  <c r="P100" i="505"/>
  <c r="O100" i="505"/>
  <c r="N100" i="505"/>
  <c r="I100" i="505"/>
  <c r="H100" i="505"/>
  <c r="G100" i="505"/>
  <c r="AA99" i="505"/>
  <c r="Z99" i="505"/>
  <c r="Y99" i="505"/>
  <c r="X99" i="505"/>
  <c r="U99" i="505"/>
  <c r="T99" i="505"/>
  <c r="S99" i="505"/>
  <c r="R99" i="505"/>
  <c r="Q99" i="505"/>
  <c r="P99" i="505"/>
  <c r="O99" i="505"/>
  <c r="N99" i="505"/>
  <c r="I99" i="505"/>
  <c r="H99" i="505"/>
  <c r="G99" i="505"/>
  <c r="AA98" i="505"/>
  <c r="Z98" i="505"/>
  <c r="Y98" i="505"/>
  <c r="X98" i="505"/>
  <c r="U98" i="505"/>
  <c r="T98" i="505"/>
  <c r="S98" i="505"/>
  <c r="R98" i="505"/>
  <c r="Q98" i="505"/>
  <c r="P98" i="505"/>
  <c r="O98" i="505"/>
  <c r="N98" i="505"/>
  <c r="I98" i="505"/>
  <c r="H98" i="505"/>
  <c r="G98" i="505"/>
  <c r="AA97" i="505"/>
  <c r="Z97" i="505"/>
  <c r="Y97" i="505"/>
  <c r="X97" i="505"/>
  <c r="U97" i="505"/>
  <c r="T97" i="505"/>
  <c r="S97" i="505"/>
  <c r="R97" i="505"/>
  <c r="Q97" i="505"/>
  <c r="P97" i="505"/>
  <c r="O97" i="505"/>
  <c r="N97" i="505"/>
  <c r="I97" i="505"/>
  <c r="H97" i="505"/>
  <c r="G97" i="505"/>
  <c r="AA96" i="505"/>
  <c r="Z96" i="505"/>
  <c r="Y96" i="505"/>
  <c r="X96" i="505"/>
  <c r="U96" i="505"/>
  <c r="T96" i="505"/>
  <c r="S96" i="505"/>
  <c r="R96" i="505"/>
  <c r="Q96" i="505"/>
  <c r="P96" i="505"/>
  <c r="O96" i="505"/>
  <c r="N96" i="505"/>
  <c r="I96" i="505"/>
  <c r="H96" i="505"/>
  <c r="G96" i="505"/>
  <c r="AA95" i="505"/>
  <c r="Z95" i="505"/>
  <c r="Y95" i="505"/>
  <c r="X95" i="505"/>
  <c r="U95" i="505"/>
  <c r="T95" i="505"/>
  <c r="S95" i="505"/>
  <c r="R95" i="505"/>
  <c r="Q95" i="505"/>
  <c r="P95" i="505"/>
  <c r="O95" i="505"/>
  <c r="N95" i="505"/>
  <c r="I95" i="505"/>
  <c r="H95" i="505"/>
  <c r="G95" i="505"/>
  <c r="AA94" i="505"/>
  <c r="Z94" i="505"/>
  <c r="Y94" i="505"/>
  <c r="X94" i="505"/>
  <c r="U94" i="505"/>
  <c r="T94" i="505"/>
  <c r="S94" i="505"/>
  <c r="R94" i="505"/>
  <c r="Q94" i="505"/>
  <c r="P94" i="505"/>
  <c r="O94" i="505"/>
  <c r="N94" i="505"/>
  <c r="I94" i="505"/>
  <c r="H94" i="505"/>
  <c r="G94" i="505"/>
  <c r="AA93" i="505"/>
  <c r="Z93" i="505"/>
  <c r="Y93" i="505"/>
  <c r="X93" i="505"/>
  <c r="U93" i="505"/>
  <c r="T93" i="505"/>
  <c r="S93" i="505"/>
  <c r="R93" i="505"/>
  <c r="Q93" i="505"/>
  <c r="P93" i="505"/>
  <c r="O93" i="505"/>
  <c r="N93" i="505"/>
  <c r="I93" i="505"/>
  <c r="H93" i="505"/>
  <c r="G93" i="505"/>
  <c r="AA92" i="505"/>
  <c r="Z92" i="505"/>
  <c r="Y92" i="505"/>
  <c r="X92" i="505"/>
  <c r="U92" i="505"/>
  <c r="T92" i="505"/>
  <c r="S92" i="505"/>
  <c r="R92" i="505"/>
  <c r="Q92" i="505"/>
  <c r="P92" i="505"/>
  <c r="O92" i="505"/>
  <c r="N92" i="505"/>
  <c r="I92" i="505"/>
  <c r="H92" i="505"/>
  <c r="G92" i="505"/>
  <c r="AA91" i="505"/>
  <c r="Z91" i="505"/>
  <c r="Y91" i="505"/>
  <c r="X91" i="505"/>
  <c r="U91" i="505"/>
  <c r="T91" i="505"/>
  <c r="S91" i="505"/>
  <c r="R91" i="505"/>
  <c r="Q91" i="505"/>
  <c r="P91" i="505"/>
  <c r="O91" i="505"/>
  <c r="N91" i="505"/>
  <c r="I91" i="505"/>
  <c r="H91" i="505"/>
  <c r="G91" i="505"/>
  <c r="AA90" i="505"/>
  <c r="Z90" i="505"/>
  <c r="Y90" i="505"/>
  <c r="X90" i="505"/>
  <c r="U90" i="505"/>
  <c r="T90" i="505"/>
  <c r="S90" i="505"/>
  <c r="R90" i="505"/>
  <c r="Q90" i="505"/>
  <c r="P90" i="505"/>
  <c r="O90" i="505"/>
  <c r="N90" i="505"/>
  <c r="I90" i="505"/>
  <c r="H90" i="505"/>
  <c r="G90" i="505"/>
  <c r="AA89" i="505"/>
  <c r="Z89" i="505"/>
  <c r="Y89" i="505"/>
  <c r="X89" i="505"/>
  <c r="U89" i="505"/>
  <c r="T89" i="505"/>
  <c r="S89" i="505"/>
  <c r="R89" i="505"/>
  <c r="Q89" i="505"/>
  <c r="P89" i="505"/>
  <c r="O89" i="505"/>
  <c r="N89" i="505"/>
  <c r="I89" i="505"/>
  <c r="H89" i="505"/>
  <c r="G89" i="505"/>
  <c r="AA88" i="505"/>
  <c r="Z88" i="505"/>
  <c r="Y88" i="505"/>
  <c r="X88" i="505"/>
  <c r="U88" i="505"/>
  <c r="T88" i="505"/>
  <c r="S88" i="505"/>
  <c r="R88" i="505"/>
  <c r="Q88" i="505"/>
  <c r="P88" i="505"/>
  <c r="O88" i="505"/>
  <c r="N88" i="505"/>
  <c r="I88" i="505"/>
  <c r="H88" i="505"/>
  <c r="G88" i="505"/>
  <c r="AA87" i="505"/>
  <c r="Z87" i="505"/>
  <c r="Y87" i="505"/>
  <c r="X87" i="505"/>
  <c r="U87" i="505"/>
  <c r="T87" i="505"/>
  <c r="S87" i="505"/>
  <c r="R87" i="505"/>
  <c r="Q87" i="505"/>
  <c r="P87" i="505"/>
  <c r="O87" i="505"/>
  <c r="N87" i="505"/>
  <c r="I87" i="505"/>
  <c r="H87" i="505"/>
  <c r="G87" i="505"/>
  <c r="AA85" i="505"/>
  <c r="Z85" i="505"/>
  <c r="Y85" i="505"/>
  <c r="X85" i="505"/>
  <c r="U85" i="505"/>
  <c r="T85" i="505"/>
  <c r="S85" i="505"/>
  <c r="R85" i="505"/>
  <c r="Q85" i="505"/>
  <c r="P85" i="505"/>
  <c r="O85" i="505"/>
  <c r="N85" i="505"/>
  <c r="I85" i="505"/>
  <c r="G85" i="505"/>
  <c r="AA84" i="505"/>
  <c r="Z84" i="505"/>
  <c r="Y84" i="505"/>
  <c r="X84" i="505"/>
  <c r="U84" i="505"/>
  <c r="T84" i="505"/>
  <c r="S84" i="505"/>
  <c r="R84" i="505"/>
  <c r="Q84" i="505"/>
  <c r="P84" i="505"/>
  <c r="O84" i="505"/>
  <c r="N84" i="505"/>
  <c r="I84" i="505"/>
  <c r="G84" i="505"/>
  <c r="AA83" i="505"/>
  <c r="Z83" i="505"/>
  <c r="Y83" i="505"/>
  <c r="X83" i="505"/>
  <c r="U83" i="505"/>
  <c r="T83" i="505"/>
  <c r="S83" i="505"/>
  <c r="R83" i="505"/>
  <c r="Q83" i="505"/>
  <c r="P83" i="505"/>
  <c r="O83" i="505"/>
  <c r="N83" i="505"/>
  <c r="I83" i="505"/>
  <c r="G83" i="505"/>
  <c r="N82" i="505"/>
  <c r="I82" i="505"/>
  <c r="G82" i="505"/>
  <c r="N81" i="505"/>
  <c r="I81" i="505"/>
  <c r="G81" i="505"/>
  <c r="N80" i="505"/>
  <c r="I80" i="505"/>
  <c r="G80" i="505"/>
  <c r="AA79" i="505"/>
  <c r="Z79" i="505"/>
  <c r="Y79" i="505"/>
  <c r="X79" i="505"/>
  <c r="U79" i="505"/>
  <c r="T79" i="505"/>
  <c r="S79" i="505"/>
  <c r="R79" i="505"/>
  <c r="Q79" i="505"/>
  <c r="P79" i="505"/>
  <c r="O79" i="505"/>
  <c r="N79" i="505"/>
  <c r="I79" i="505"/>
  <c r="G79" i="505"/>
  <c r="AA78" i="505"/>
  <c r="Z78" i="505"/>
  <c r="Y78" i="505"/>
  <c r="X78" i="505"/>
  <c r="U78" i="505"/>
  <c r="T78" i="505"/>
  <c r="S78" i="505"/>
  <c r="R78" i="505"/>
  <c r="Q78" i="505"/>
  <c r="P78" i="505"/>
  <c r="O78" i="505"/>
  <c r="N78" i="505"/>
  <c r="I78" i="505"/>
  <c r="G78" i="505"/>
  <c r="AA77" i="505"/>
  <c r="Z77" i="505"/>
  <c r="Y77" i="505"/>
  <c r="X77" i="505"/>
  <c r="U77" i="505"/>
  <c r="T77" i="505"/>
  <c r="S77" i="505"/>
  <c r="R77" i="505"/>
  <c r="Q77" i="505"/>
  <c r="P77" i="505"/>
  <c r="O77" i="505"/>
  <c r="N77" i="505"/>
  <c r="I77" i="505"/>
  <c r="G77" i="505"/>
  <c r="AA76" i="505"/>
  <c r="Z76" i="505"/>
  <c r="Y76" i="505"/>
  <c r="X76" i="505"/>
  <c r="U76" i="505"/>
  <c r="T76" i="505"/>
  <c r="S76" i="505"/>
  <c r="R76" i="505"/>
  <c r="Q76" i="505"/>
  <c r="P76" i="505"/>
  <c r="O76" i="505"/>
  <c r="N76" i="505"/>
  <c r="I76" i="505"/>
  <c r="G76" i="505"/>
  <c r="AA75" i="505"/>
  <c r="Z75" i="505"/>
  <c r="Y75" i="505"/>
  <c r="X75" i="505"/>
  <c r="U75" i="505"/>
  <c r="T75" i="505"/>
  <c r="S75" i="505"/>
  <c r="R75" i="505"/>
  <c r="Q75" i="505"/>
  <c r="P75" i="505"/>
  <c r="O75" i="505"/>
  <c r="N75" i="505"/>
  <c r="I75" i="505"/>
  <c r="G75" i="505"/>
  <c r="AA74" i="505"/>
  <c r="Z74" i="505"/>
  <c r="Y74" i="505"/>
  <c r="X74" i="505"/>
  <c r="U74" i="505"/>
  <c r="T74" i="505"/>
  <c r="S74" i="505"/>
  <c r="R74" i="505"/>
  <c r="Q74" i="505"/>
  <c r="P74" i="505"/>
  <c r="O74" i="505"/>
  <c r="N74" i="505"/>
  <c r="I74" i="505"/>
  <c r="G74" i="505"/>
  <c r="AA73" i="505"/>
  <c r="Z73" i="505"/>
  <c r="Y73" i="505"/>
  <c r="X73" i="505"/>
  <c r="U73" i="505"/>
  <c r="T73" i="505"/>
  <c r="S73" i="505"/>
  <c r="R73" i="505"/>
  <c r="Q73" i="505"/>
  <c r="P73" i="505"/>
  <c r="O73" i="505"/>
  <c r="N73" i="505"/>
  <c r="I73" i="505"/>
  <c r="G73" i="505"/>
  <c r="AA72" i="505"/>
  <c r="Z72" i="505"/>
  <c r="Y72" i="505"/>
  <c r="X72" i="505"/>
  <c r="U72" i="505"/>
  <c r="T72" i="505"/>
  <c r="S72" i="505"/>
  <c r="R72" i="505"/>
  <c r="Q72" i="505"/>
  <c r="P72" i="505"/>
  <c r="O72" i="505"/>
  <c r="N72" i="505"/>
  <c r="I72" i="505"/>
  <c r="G72" i="505"/>
  <c r="AA71" i="505"/>
  <c r="Z71" i="505"/>
  <c r="Y71" i="505"/>
  <c r="X71" i="505"/>
  <c r="U71" i="505"/>
  <c r="T71" i="505"/>
  <c r="S71" i="505"/>
  <c r="R71" i="505"/>
  <c r="Q71" i="505"/>
  <c r="P71" i="505"/>
  <c r="O71" i="505"/>
  <c r="N71" i="505"/>
  <c r="I71" i="505"/>
  <c r="G71" i="505"/>
  <c r="AA70" i="505"/>
  <c r="Z70" i="505"/>
  <c r="Y70" i="505"/>
  <c r="X70" i="505"/>
  <c r="U70" i="505"/>
  <c r="T70" i="505"/>
  <c r="S70" i="505"/>
  <c r="R70" i="505"/>
  <c r="Q70" i="505"/>
  <c r="P70" i="505"/>
  <c r="O70" i="505"/>
  <c r="N70" i="505"/>
  <c r="I70" i="505"/>
  <c r="G70" i="505"/>
  <c r="AA69" i="505"/>
  <c r="Z69" i="505"/>
  <c r="Y69" i="505"/>
  <c r="X69" i="505"/>
  <c r="U69" i="505"/>
  <c r="T69" i="505"/>
  <c r="S69" i="505"/>
  <c r="R69" i="505"/>
  <c r="Q69" i="505"/>
  <c r="P69" i="505"/>
  <c r="O69" i="505"/>
  <c r="N69" i="505"/>
  <c r="I69" i="505"/>
  <c r="G69" i="505"/>
  <c r="AA68" i="505"/>
  <c r="Z68" i="505"/>
  <c r="Y68" i="505"/>
  <c r="X68" i="505"/>
  <c r="U68" i="505"/>
  <c r="T68" i="505"/>
  <c r="S68" i="505"/>
  <c r="R68" i="505"/>
  <c r="Q68" i="505"/>
  <c r="P68" i="505"/>
  <c r="O68" i="505"/>
  <c r="N68" i="505"/>
  <c r="I68" i="505"/>
  <c r="G68" i="505"/>
  <c r="I67" i="505"/>
  <c r="G67" i="505"/>
  <c r="AA66" i="505"/>
  <c r="Z66" i="505"/>
  <c r="Y66" i="505"/>
  <c r="X66" i="505"/>
  <c r="U66" i="505"/>
  <c r="T66" i="505"/>
  <c r="S66" i="505"/>
  <c r="R66" i="505"/>
  <c r="Q66" i="505"/>
  <c r="P66" i="505"/>
  <c r="O66" i="505"/>
  <c r="N66" i="505"/>
  <c r="I66" i="505"/>
  <c r="G66" i="505"/>
  <c r="AA65" i="505"/>
  <c r="Z65" i="505"/>
  <c r="Y65" i="505"/>
  <c r="X65" i="505"/>
  <c r="U65" i="505"/>
  <c r="T65" i="505"/>
  <c r="S65" i="505"/>
  <c r="R65" i="505"/>
  <c r="Q65" i="505"/>
  <c r="P65" i="505"/>
  <c r="O65" i="505"/>
  <c r="N65" i="505"/>
  <c r="I65" i="505"/>
  <c r="G65" i="505"/>
  <c r="AA64" i="505"/>
  <c r="Z64" i="505"/>
  <c r="Y64" i="505"/>
  <c r="X64" i="505"/>
  <c r="U64" i="505"/>
  <c r="T64" i="505"/>
  <c r="S64" i="505"/>
  <c r="R64" i="505"/>
  <c r="Q64" i="505"/>
  <c r="P64" i="505"/>
  <c r="O64" i="505"/>
  <c r="N64" i="505"/>
  <c r="I64" i="505"/>
  <c r="G64" i="505"/>
  <c r="AA63" i="505"/>
  <c r="Z63" i="505"/>
  <c r="Y63" i="505"/>
  <c r="X63" i="505"/>
  <c r="U63" i="505"/>
  <c r="T63" i="505"/>
  <c r="S63" i="505"/>
  <c r="R63" i="505"/>
  <c r="Q63" i="505"/>
  <c r="P63" i="505"/>
  <c r="O63" i="505"/>
  <c r="N63" i="505"/>
  <c r="I63" i="505"/>
  <c r="G63" i="505"/>
  <c r="AA62" i="505"/>
  <c r="Z62" i="505"/>
  <c r="Y62" i="505"/>
  <c r="X62" i="505"/>
  <c r="U62" i="505"/>
  <c r="T62" i="505"/>
  <c r="S62" i="505"/>
  <c r="R62" i="505"/>
  <c r="Q62" i="505"/>
  <c r="P62" i="505"/>
  <c r="O62" i="505"/>
  <c r="N62" i="505"/>
  <c r="I62" i="505"/>
  <c r="G62" i="505"/>
  <c r="AA61" i="505"/>
  <c r="Z61" i="505"/>
  <c r="Y61" i="505"/>
  <c r="X61" i="505"/>
  <c r="U61" i="505"/>
  <c r="T61" i="505"/>
  <c r="S61" i="505"/>
  <c r="R61" i="505"/>
  <c r="Q61" i="505"/>
  <c r="P61" i="505"/>
  <c r="O61" i="505"/>
  <c r="N61" i="505"/>
  <c r="I61" i="505"/>
  <c r="G61" i="505"/>
  <c r="AA60" i="505"/>
  <c r="Z60" i="505"/>
  <c r="Y60" i="505"/>
  <c r="X60" i="505"/>
  <c r="U60" i="505"/>
  <c r="T60" i="505"/>
  <c r="S60" i="505"/>
  <c r="R60" i="505"/>
  <c r="Q60" i="505"/>
  <c r="P60" i="505"/>
  <c r="O60" i="505"/>
  <c r="N60" i="505"/>
  <c r="I60" i="505"/>
  <c r="G60" i="505"/>
  <c r="AA59" i="505"/>
  <c r="Z59" i="505"/>
  <c r="Y59" i="505"/>
  <c r="X59" i="505"/>
  <c r="U59" i="505"/>
  <c r="T59" i="505"/>
  <c r="S59" i="505"/>
  <c r="R59" i="505"/>
  <c r="Q59" i="505"/>
  <c r="P59" i="505"/>
  <c r="O59" i="505"/>
  <c r="N59" i="505"/>
  <c r="I59" i="505"/>
  <c r="G59" i="505"/>
  <c r="AA58" i="505"/>
  <c r="Z58" i="505"/>
  <c r="Y58" i="505"/>
  <c r="X58" i="505"/>
  <c r="U58" i="505"/>
  <c r="T58" i="505"/>
  <c r="S58" i="505"/>
  <c r="R58" i="505"/>
  <c r="Q58" i="505"/>
  <c r="P58" i="505"/>
  <c r="O58" i="505"/>
  <c r="N58" i="505"/>
  <c r="I58" i="505"/>
  <c r="G58" i="505"/>
  <c r="AA57" i="505"/>
  <c r="Z57" i="505"/>
  <c r="Y57" i="505"/>
  <c r="X57" i="505"/>
  <c r="U57" i="505"/>
  <c r="T57" i="505"/>
  <c r="S57" i="505"/>
  <c r="R57" i="505"/>
  <c r="Q57" i="505"/>
  <c r="P57" i="505"/>
  <c r="O57" i="505"/>
  <c r="N57" i="505"/>
  <c r="I57" i="505"/>
  <c r="G57" i="505"/>
  <c r="AA56" i="505"/>
  <c r="Z56" i="505"/>
  <c r="Y56" i="505"/>
  <c r="X56" i="505"/>
  <c r="U56" i="505"/>
  <c r="T56" i="505"/>
  <c r="S56" i="505"/>
  <c r="R56" i="505"/>
  <c r="Q56" i="505"/>
  <c r="P56" i="505"/>
  <c r="O56" i="505"/>
  <c r="N56" i="505"/>
  <c r="I56" i="505"/>
  <c r="G56" i="505"/>
  <c r="AA55" i="505"/>
  <c r="Z55" i="505"/>
  <c r="Y55" i="505"/>
  <c r="X55" i="505"/>
  <c r="U55" i="505"/>
  <c r="T55" i="505"/>
  <c r="S55" i="505"/>
  <c r="R55" i="505"/>
  <c r="Q55" i="505"/>
  <c r="P55" i="505"/>
  <c r="O55" i="505"/>
  <c r="N55" i="505"/>
  <c r="I55" i="505"/>
  <c r="G55" i="505"/>
  <c r="AA54" i="505"/>
  <c r="Z54" i="505"/>
  <c r="Y54" i="505"/>
  <c r="X54" i="505"/>
  <c r="U54" i="505"/>
  <c r="T54" i="505"/>
  <c r="S54" i="505"/>
  <c r="R54" i="505"/>
  <c r="Q54" i="505"/>
  <c r="P54" i="505"/>
  <c r="O54" i="505"/>
  <c r="N54" i="505"/>
  <c r="I54" i="505"/>
  <c r="G54" i="505"/>
  <c r="AA53" i="505"/>
  <c r="Z53" i="505"/>
  <c r="Y53" i="505"/>
  <c r="X53" i="505"/>
  <c r="U53" i="505"/>
  <c r="T53" i="505"/>
  <c r="S53" i="505"/>
  <c r="R53" i="505"/>
  <c r="Q53" i="505"/>
  <c r="P53" i="505"/>
  <c r="O53" i="505"/>
  <c r="N53" i="505"/>
  <c r="I53" i="505"/>
  <c r="G53" i="505"/>
  <c r="AA52" i="505"/>
  <c r="Z52" i="505"/>
  <c r="Y52" i="505"/>
  <c r="X52" i="505"/>
  <c r="U52" i="505"/>
  <c r="T52" i="505"/>
  <c r="S52" i="505"/>
  <c r="R52" i="505"/>
  <c r="Q52" i="505"/>
  <c r="P52" i="505"/>
  <c r="O52" i="505"/>
  <c r="N52" i="505"/>
  <c r="I52" i="505"/>
  <c r="G52" i="505"/>
  <c r="AA51" i="505"/>
  <c r="Z51" i="505"/>
  <c r="Y51" i="505"/>
  <c r="X51" i="505"/>
  <c r="U51" i="505"/>
  <c r="T51" i="505"/>
  <c r="S51" i="505"/>
  <c r="R51" i="505"/>
  <c r="Q51" i="505"/>
  <c r="P51" i="505"/>
  <c r="O51" i="505"/>
  <c r="N51" i="505"/>
  <c r="I51" i="505"/>
  <c r="G51" i="505"/>
  <c r="AA50" i="505"/>
  <c r="Z50" i="505"/>
  <c r="Y50" i="505"/>
  <c r="X50" i="505"/>
  <c r="U50" i="505"/>
  <c r="T50" i="505"/>
  <c r="S50" i="505"/>
  <c r="R50" i="505"/>
  <c r="Q50" i="505"/>
  <c r="P50" i="505"/>
  <c r="O50" i="505"/>
  <c r="N50" i="505"/>
  <c r="I50" i="505"/>
  <c r="G50" i="505"/>
  <c r="AA49" i="505"/>
  <c r="Z49" i="505"/>
  <c r="Y49" i="505"/>
  <c r="X49" i="505"/>
  <c r="U49" i="505"/>
  <c r="T49" i="505"/>
  <c r="S49" i="505"/>
  <c r="R49" i="505"/>
  <c r="Q49" i="505"/>
  <c r="P49" i="505"/>
  <c r="O49" i="505"/>
  <c r="N49" i="505"/>
  <c r="I49" i="505"/>
  <c r="G49" i="505"/>
  <c r="AA48" i="505"/>
  <c r="Z48" i="505"/>
  <c r="Y48" i="505"/>
  <c r="X48" i="505"/>
  <c r="U48" i="505"/>
  <c r="T48" i="505"/>
  <c r="S48" i="505"/>
  <c r="R48" i="505"/>
  <c r="Q48" i="505"/>
  <c r="P48" i="505"/>
  <c r="O48" i="505"/>
  <c r="N48" i="505"/>
  <c r="I48" i="505"/>
  <c r="G48" i="505"/>
  <c r="AA47" i="505"/>
  <c r="Z47" i="505"/>
  <c r="Y47" i="505"/>
  <c r="X47" i="505"/>
  <c r="U47" i="505"/>
  <c r="T47" i="505"/>
  <c r="S47" i="505"/>
  <c r="R47" i="505"/>
  <c r="Q47" i="505"/>
  <c r="P47" i="505"/>
  <c r="O47" i="505"/>
  <c r="N47" i="505"/>
  <c r="I47" i="505"/>
  <c r="G47" i="505"/>
  <c r="AA46" i="505"/>
  <c r="Z46" i="505"/>
  <c r="Y46" i="505"/>
  <c r="X46" i="505"/>
  <c r="U46" i="505"/>
  <c r="T46" i="505"/>
  <c r="S46" i="505"/>
  <c r="R46" i="505"/>
  <c r="Q46" i="505"/>
  <c r="P46" i="505"/>
  <c r="O46" i="505"/>
  <c r="N46" i="505"/>
  <c r="I46" i="505"/>
  <c r="G46" i="505"/>
  <c r="AA45" i="505"/>
  <c r="Z45" i="505"/>
  <c r="Y45" i="505"/>
  <c r="X45" i="505"/>
  <c r="U45" i="505"/>
  <c r="T45" i="505"/>
  <c r="S45" i="505"/>
  <c r="R45" i="505"/>
  <c r="Q45" i="505"/>
  <c r="P45" i="505"/>
  <c r="O45" i="505"/>
  <c r="N45" i="505"/>
  <c r="I45" i="505"/>
  <c r="G45" i="505"/>
  <c r="AA44" i="505"/>
  <c r="Z44" i="505"/>
  <c r="Y44" i="505"/>
  <c r="X44" i="505"/>
  <c r="U44" i="505"/>
  <c r="T44" i="505"/>
  <c r="S44" i="505"/>
  <c r="R44" i="505"/>
  <c r="Q44" i="505"/>
  <c r="P44" i="505"/>
  <c r="O44" i="505"/>
  <c r="N44" i="505"/>
  <c r="I44" i="505"/>
  <c r="G44" i="505"/>
  <c r="AA43" i="505"/>
  <c r="Z43" i="505"/>
  <c r="Y43" i="505"/>
  <c r="X43" i="505"/>
  <c r="U43" i="505"/>
  <c r="T43" i="505"/>
  <c r="S43" i="505"/>
  <c r="R43" i="505"/>
  <c r="Q43" i="505"/>
  <c r="P43" i="505"/>
  <c r="O43" i="505"/>
  <c r="N43" i="505"/>
  <c r="I43" i="505"/>
  <c r="G43" i="505"/>
  <c r="AA42" i="505"/>
  <c r="Z42" i="505"/>
  <c r="Y42" i="505"/>
  <c r="X42" i="505"/>
  <c r="U42" i="505"/>
  <c r="T42" i="505"/>
  <c r="S42" i="505"/>
  <c r="R42" i="505"/>
  <c r="Q42" i="505"/>
  <c r="P42" i="505"/>
  <c r="O42" i="505"/>
  <c r="N42" i="505"/>
  <c r="I42" i="505"/>
  <c r="G42" i="505"/>
  <c r="AA41" i="505"/>
  <c r="Z41" i="505"/>
  <c r="Y41" i="505"/>
  <c r="X41" i="505"/>
  <c r="U41" i="505"/>
  <c r="T41" i="505"/>
  <c r="S41" i="505"/>
  <c r="R41" i="505"/>
  <c r="Q41" i="505"/>
  <c r="P41" i="505"/>
  <c r="O41" i="505"/>
  <c r="N41" i="505"/>
  <c r="I41" i="505"/>
  <c r="G41" i="505"/>
  <c r="AA40" i="505"/>
  <c r="Z40" i="505"/>
  <c r="Y40" i="505"/>
  <c r="X40" i="505"/>
  <c r="U40" i="505"/>
  <c r="T40" i="505"/>
  <c r="S40" i="505"/>
  <c r="R40" i="505"/>
  <c r="Q40" i="505"/>
  <c r="P40" i="505"/>
  <c r="O40" i="505"/>
  <c r="N40" i="505"/>
  <c r="I40" i="505"/>
  <c r="G40" i="505"/>
  <c r="AA39" i="505"/>
  <c r="Z39" i="505"/>
  <c r="Y39" i="505"/>
  <c r="X39" i="505"/>
  <c r="U39" i="505"/>
  <c r="T39" i="505"/>
  <c r="S39" i="505"/>
  <c r="R39" i="505"/>
  <c r="Q39" i="505"/>
  <c r="P39" i="505"/>
  <c r="O39" i="505"/>
  <c r="N39" i="505"/>
  <c r="I39" i="505"/>
  <c r="G39" i="505"/>
  <c r="AA38" i="505"/>
  <c r="Z38" i="505"/>
  <c r="Y38" i="505"/>
  <c r="X38" i="505"/>
  <c r="U38" i="505"/>
  <c r="T38" i="505"/>
  <c r="S38" i="505"/>
  <c r="R38" i="505"/>
  <c r="Q38" i="505"/>
  <c r="P38" i="505"/>
  <c r="O38" i="505"/>
  <c r="N38" i="505"/>
  <c r="I38" i="505"/>
  <c r="G38" i="505"/>
  <c r="AA37" i="505"/>
  <c r="Z37" i="505"/>
  <c r="Y37" i="505"/>
  <c r="X37" i="505"/>
  <c r="U37" i="505"/>
  <c r="T37" i="505"/>
  <c r="S37" i="505"/>
  <c r="R37" i="505"/>
  <c r="Q37" i="505"/>
  <c r="P37" i="505"/>
  <c r="O37" i="505"/>
  <c r="N37" i="505"/>
  <c r="I37" i="505"/>
  <c r="G37" i="505"/>
  <c r="I36" i="505"/>
  <c r="G36" i="505"/>
  <c r="I35" i="505"/>
  <c r="G35" i="505"/>
  <c r="I34" i="505"/>
  <c r="G34" i="505"/>
  <c r="AA33" i="505"/>
  <c r="Z33" i="505"/>
  <c r="Y33" i="505"/>
  <c r="X33" i="505"/>
  <c r="U33" i="505"/>
  <c r="T33" i="505"/>
  <c r="S33" i="505"/>
  <c r="R33" i="505"/>
  <c r="Q33" i="505"/>
  <c r="P33" i="505"/>
  <c r="O33" i="505"/>
  <c r="N33" i="505"/>
  <c r="I33" i="505"/>
  <c r="G33" i="505"/>
  <c r="AA32" i="505"/>
  <c r="Z32" i="505"/>
  <c r="Y32" i="505"/>
  <c r="X32" i="505"/>
  <c r="U32" i="505"/>
  <c r="T32" i="505"/>
  <c r="S32" i="505"/>
  <c r="R32" i="505"/>
  <c r="Q32" i="505"/>
  <c r="P32" i="505"/>
  <c r="O32" i="505"/>
  <c r="N32" i="505"/>
  <c r="I32" i="505"/>
  <c r="G32" i="505"/>
  <c r="AA31" i="505"/>
  <c r="Z31" i="505"/>
  <c r="Y31" i="505"/>
  <c r="X31" i="505"/>
  <c r="U31" i="505"/>
  <c r="T31" i="505"/>
  <c r="S31" i="505"/>
  <c r="R31" i="505"/>
  <c r="Q31" i="505"/>
  <c r="P31" i="505"/>
  <c r="O31" i="505"/>
  <c r="N31" i="505"/>
  <c r="I31" i="505"/>
  <c r="G31" i="505"/>
  <c r="I30" i="505"/>
  <c r="G30" i="505"/>
  <c r="AA29" i="505"/>
  <c r="Z29" i="505"/>
  <c r="Y29" i="505"/>
  <c r="X29" i="505"/>
  <c r="U29" i="505"/>
  <c r="T29" i="505"/>
  <c r="S29" i="505"/>
  <c r="R29" i="505"/>
  <c r="Q29" i="505"/>
  <c r="P29" i="505"/>
  <c r="O29" i="505"/>
  <c r="N29" i="505"/>
  <c r="I29" i="505"/>
  <c r="G29" i="505"/>
  <c r="AA27" i="505"/>
  <c r="Z27" i="505"/>
  <c r="Y27" i="505"/>
  <c r="X27" i="505"/>
  <c r="U27" i="505"/>
  <c r="T27" i="505"/>
  <c r="S27" i="505"/>
  <c r="R27" i="505"/>
  <c r="Q27" i="505"/>
  <c r="P27" i="505"/>
  <c r="O27" i="505"/>
  <c r="N27" i="505"/>
  <c r="I27" i="505"/>
  <c r="G27" i="505"/>
  <c r="AA26" i="505"/>
  <c r="Z26" i="505"/>
  <c r="Y26" i="505"/>
  <c r="X26" i="505"/>
  <c r="U26" i="505"/>
  <c r="T26" i="505"/>
  <c r="S26" i="505"/>
  <c r="R26" i="505"/>
  <c r="Q26" i="505"/>
  <c r="P26" i="505"/>
  <c r="O26" i="505"/>
  <c r="N26" i="505"/>
  <c r="I26" i="505"/>
  <c r="G26" i="505"/>
  <c r="AA25" i="505"/>
  <c r="Z25" i="505"/>
  <c r="Y25" i="505"/>
  <c r="X25" i="505"/>
  <c r="U25" i="505"/>
  <c r="T25" i="505"/>
  <c r="S25" i="505"/>
  <c r="R25" i="505"/>
  <c r="Q25" i="505"/>
  <c r="P25" i="505"/>
  <c r="O25" i="505"/>
  <c r="N25" i="505"/>
  <c r="I25" i="505"/>
  <c r="G25" i="505"/>
  <c r="AA24" i="505"/>
  <c r="Z24" i="505"/>
  <c r="Y24" i="505"/>
  <c r="X24" i="505"/>
  <c r="U24" i="505"/>
  <c r="T24" i="505"/>
  <c r="S24" i="505"/>
  <c r="R24" i="505"/>
  <c r="Q24" i="505"/>
  <c r="P24" i="505"/>
  <c r="O24" i="505"/>
  <c r="N24" i="505"/>
  <c r="I24" i="505"/>
  <c r="G24" i="505"/>
  <c r="AA23" i="505"/>
  <c r="Z23" i="505"/>
  <c r="Y23" i="505"/>
  <c r="X23" i="505"/>
  <c r="U23" i="505"/>
  <c r="T23" i="505"/>
  <c r="S23" i="505"/>
  <c r="R23" i="505"/>
  <c r="Q23" i="505"/>
  <c r="P23" i="505"/>
  <c r="O23" i="505"/>
  <c r="N23" i="505"/>
  <c r="I23" i="505"/>
  <c r="G23" i="505"/>
  <c r="AA22" i="505"/>
  <c r="Z22" i="505"/>
  <c r="Y22" i="505"/>
  <c r="X22" i="505"/>
  <c r="U22" i="505"/>
  <c r="T22" i="505"/>
  <c r="S22" i="505"/>
  <c r="R22" i="505"/>
  <c r="Q22" i="505"/>
  <c r="P22" i="505"/>
  <c r="O22" i="505"/>
  <c r="N22" i="505"/>
  <c r="I22" i="505"/>
  <c r="G22" i="505"/>
  <c r="AA21" i="505"/>
  <c r="Z21" i="505"/>
  <c r="Y21" i="505"/>
  <c r="X21" i="505"/>
  <c r="U21" i="505"/>
  <c r="T21" i="505"/>
  <c r="S21" i="505"/>
  <c r="R21" i="505"/>
  <c r="Q21" i="505"/>
  <c r="P21" i="505"/>
  <c r="O21" i="505"/>
  <c r="N21" i="505"/>
  <c r="I21" i="505"/>
  <c r="G21" i="505"/>
  <c r="AA20" i="505"/>
  <c r="Z20" i="505"/>
  <c r="Y20" i="505"/>
  <c r="X20" i="505"/>
  <c r="U20" i="505"/>
  <c r="T20" i="505"/>
  <c r="S20" i="505"/>
  <c r="R20" i="505"/>
  <c r="Q20" i="505"/>
  <c r="P20" i="505"/>
  <c r="O20" i="505"/>
  <c r="N20" i="505"/>
  <c r="I20" i="505"/>
  <c r="G20" i="505"/>
  <c r="AA19" i="505"/>
  <c r="Z19" i="505"/>
  <c r="Y19" i="505"/>
  <c r="X19" i="505"/>
  <c r="U19" i="505"/>
  <c r="T19" i="505"/>
  <c r="S19" i="505"/>
  <c r="R19" i="505"/>
  <c r="Q19" i="505"/>
  <c r="P19" i="505"/>
  <c r="O19" i="505"/>
  <c r="N19" i="505"/>
  <c r="I19" i="505"/>
  <c r="G19" i="505"/>
  <c r="AA18" i="505"/>
  <c r="Z18" i="505"/>
  <c r="Y18" i="505"/>
  <c r="X18" i="505"/>
  <c r="U18" i="505"/>
  <c r="T18" i="505"/>
  <c r="S18" i="505"/>
  <c r="R18" i="505"/>
  <c r="Q18" i="505"/>
  <c r="P18" i="505"/>
  <c r="O18" i="505"/>
  <c r="N18" i="505"/>
  <c r="I18" i="505"/>
  <c r="G18" i="505"/>
  <c r="AA17" i="505"/>
  <c r="Z17" i="505"/>
  <c r="Y17" i="505"/>
  <c r="X17" i="505"/>
  <c r="U17" i="505"/>
  <c r="T17" i="505"/>
  <c r="S17" i="505"/>
  <c r="R17" i="505"/>
  <c r="Q17" i="505"/>
  <c r="P17" i="505"/>
  <c r="O17" i="505"/>
  <c r="N17" i="505"/>
  <c r="I17" i="505"/>
  <c r="G17" i="505"/>
  <c r="AA16" i="505"/>
  <c r="Z16" i="505"/>
  <c r="Y16" i="505"/>
  <c r="X16" i="505"/>
  <c r="U16" i="505"/>
  <c r="T16" i="505"/>
  <c r="S16" i="505"/>
  <c r="R16" i="505"/>
  <c r="Q16" i="505"/>
  <c r="P16" i="505"/>
  <c r="O16" i="505"/>
  <c r="N16" i="505"/>
  <c r="I16" i="505"/>
  <c r="G16" i="505"/>
  <c r="AA15" i="505"/>
  <c r="Z15" i="505"/>
  <c r="Y15" i="505"/>
  <c r="X15" i="505"/>
  <c r="U15" i="505"/>
  <c r="T15" i="505"/>
  <c r="S15" i="505"/>
  <c r="R15" i="505"/>
  <c r="Q15" i="505"/>
  <c r="P15" i="505"/>
  <c r="O15" i="505"/>
  <c r="N15" i="505"/>
  <c r="I15" i="505"/>
  <c r="G15" i="505"/>
  <c r="AA14" i="505"/>
  <c r="Z14" i="505"/>
  <c r="Y14" i="505"/>
  <c r="X14" i="505"/>
  <c r="U14" i="505"/>
  <c r="T14" i="505"/>
  <c r="S14" i="505"/>
  <c r="R14" i="505"/>
  <c r="Q14" i="505"/>
  <c r="P14" i="505"/>
  <c r="O14" i="505"/>
  <c r="N14" i="505"/>
  <c r="I14" i="505"/>
  <c r="G14" i="505"/>
  <c r="AA13" i="505"/>
  <c r="Z13" i="505"/>
  <c r="Y13" i="505"/>
  <c r="X13" i="505"/>
  <c r="U13" i="505"/>
  <c r="T13" i="505"/>
  <c r="S13" i="505"/>
  <c r="R13" i="505"/>
  <c r="Q13" i="505"/>
  <c r="P13" i="505"/>
  <c r="O13" i="505"/>
  <c r="N13" i="505"/>
  <c r="I13" i="505"/>
  <c r="G13" i="505"/>
  <c r="AA12" i="505"/>
  <c r="Z12" i="505"/>
  <c r="Y12" i="505"/>
  <c r="X12" i="505"/>
  <c r="U12" i="505"/>
  <c r="T12" i="505"/>
  <c r="S12" i="505"/>
  <c r="R12" i="505"/>
  <c r="Q12" i="505"/>
  <c r="P12" i="505"/>
  <c r="O12" i="505"/>
  <c r="N12" i="505"/>
  <c r="I12" i="505"/>
  <c r="G12" i="505"/>
  <c r="AA11" i="505"/>
  <c r="Z11" i="505"/>
  <c r="Y11" i="505"/>
  <c r="X11" i="505"/>
  <c r="U11" i="505"/>
  <c r="T11" i="505"/>
  <c r="S11" i="505"/>
  <c r="R11" i="505"/>
  <c r="Q11" i="505"/>
  <c r="P11" i="505"/>
  <c r="O11" i="505"/>
  <c r="N11" i="505"/>
  <c r="I11" i="505"/>
  <c r="G11" i="505"/>
  <c r="AA10" i="505"/>
  <c r="Z10" i="505"/>
  <c r="Y10" i="505"/>
  <c r="X10" i="505"/>
  <c r="U10" i="505"/>
  <c r="T10" i="505"/>
  <c r="S10" i="505"/>
  <c r="R10" i="505"/>
  <c r="Q10" i="505"/>
  <c r="P10" i="505"/>
  <c r="O10" i="505"/>
  <c r="N10" i="505"/>
  <c r="I10" i="505"/>
  <c r="G10" i="505"/>
  <c r="AA9" i="505"/>
  <c r="Z9" i="505"/>
  <c r="Y9" i="505"/>
  <c r="X9" i="505"/>
  <c r="U9" i="505"/>
  <c r="T9" i="505"/>
  <c r="S9" i="505"/>
  <c r="R9" i="505"/>
  <c r="Q9" i="505"/>
  <c r="P9" i="505"/>
  <c r="O9" i="505"/>
  <c r="N9" i="505"/>
  <c r="I9" i="505"/>
  <c r="G9" i="505"/>
  <c r="AA8" i="505"/>
  <c r="Z8" i="505"/>
  <c r="Y8" i="505"/>
  <c r="X8" i="505"/>
  <c r="U8" i="505"/>
  <c r="T8" i="505"/>
  <c r="S8" i="505"/>
  <c r="R8" i="505"/>
  <c r="Q8" i="505"/>
  <c r="P8" i="505"/>
  <c r="O8" i="505"/>
  <c r="N8" i="505"/>
  <c r="I8" i="505"/>
  <c r="G8" i="505"/>
  <c r="AA7" i="505"/>
  <c r="Z7" i="505"/>
  <c r="Y7" i="505"/>
  <c r="X7" i="505"/>
  <c r="U7" i="505"/>
  <c r="T7" i="505"/>
  <c r="S7" i="505"/>
  <c r="R7" i="505"/>
  <c r="Q7" i="505"/>
  <c r="P7" i="505"/>
  <c r="O7" i="505"/>
  <c r="N7" i="505"/>
  <c r="I7" i="505"/>
  <c r="G7" i="505"/>
  <c r="D534" i="555" l="1"/>
  <c r="D535" i="555"/>
  <c r="D533" i="555"/>
  <c r="J328" i="555" a="1"/>
  <c r="J328" i="555" s="1"/>
  <c r="J327" i="555" a="1"/>
  <c r="J327" i="555" s="1"/>
  <c r="J280" i="555" a="1"/>
  <c r="J280" i="555" s="1"/>
  <c r="J220" i="555" a="1"/>
  <c r="J220" i="555" s="1"/>
  <c r="I291" i="555"/>
  <c r="I280" i="555"/>
  <c r="I327" i="555"/>
  <c r="I328" i="555"/>
  <c r="M328" i="555" s="1"/>
  <c r="M327" i="555"/>
  <c r="K327" i="555"/>
  <c r="I307" i="555"/>
  <c r="I293" i="555"/>
  <c r="I190" i="555"/>
  <c r="I186" i="555"/>
  <c r="I208" i="555"/>
  <c r="I192" i="555"/>
  <c r="G109" i="555" l="1"/>
  <c r="J109" i="555" s="1" a="1"/>
  <c r="J109" i="555" s="1"/>
  <c r="G208" i="555"/>
  <c r="G37" i="555"/>
  <c r="G190" i="555"/>
  <c r="G307" i="555"/>
  <c r="K156" i="555" a="1"/>
  <c r="K156" i="555" s="1"/>
  <c r="M156" i="555" s="1"/>
  <c r="J156" i="555" a="1"/>
  <c r="J156" i="555" s="1"/>
  <c r="J107" i="555" a="1"/>
  <c r="J107" i="555" s="1"/>
  <c r="J14" i="555" a="1"/>
  <c r="J14" i="555" s="1"/>
  <c r="J49" i="555" a="1"/>
  <c r="J49" i="555" s="1"/>
  <c r="I156" i="555"/>
  <c r="I37" i="555"/>
  <c r="I14" i="555"/>
  <c r="I38" i="555"/>
  <c r="I15" i="555"/>
  <c r="I109" i="555"/>
  <c r="I107" i="555"/>
  <c r="I98" i="555"/>
  <c r="I95" i="555"/>
  <c r="I122" i="555"/>
  <c r="I123" i="555"/>
  <c r="I20" i="555"/>
  <c r="G293" i="555"/>
  <c r="G186" i="555"/>
  <c r="G322" i="555"/>
  <c r="G280" i="555"/>
  <c r="G218" i="555"/>
  <c r="G216" i="555"/>
  <c r="G192" i="555"/>
  <c r="G236" i="555"/>
  <c r="G291" i="555"/>
  <c r="G328" i="555"/>
  <c r="G327" i="555"/>
  <c r="G429" i="555" l="1"/>
  <c r="G98" i="555"/>
  <c r="G15" i="555"/>
  <c r="G123" i="555"/>
  <c r="G156" i="555"/>
  <c r="G20" i="555"/>
  <c r="G38" i="555"/>
  <c r="G49" i="555"/>
  <c r="G65" i="555"/>
  <c r="G122" i="555"/>
  <c r="G47" i="555"/>
  <c r="J451" i="555" l="1" a="1"/>
  <c r="J451" i="555" s="1"/>
  <c r="I451" i="555"/>
  <c r="I429" i="555"/>
  <c r="I434" i="555"/>
  <c r="G434" i="555"/>
  <c r="K156" i="554" l="1" a="1"/>
  <c r="K156" i="554" s="1"/>
  <c r="J156" i="554" a="1"/>
  <c r="J156" i="554" s="1"/>
  <c r="J120" i="554" a="1"/>
  <c r="J120" i="554" s="1"/>
  <c r="J119" i="554" a="1"/>
  <c r="J119" i="554" s="1"/>
  <c r="J118" i="554" a="1"/>
  <c r="J118" i="554" s="1"/>
  <c r="J117" i="554" a="1"/>
  <c r="J117" i="554" s="1"/>
  <c r="J116" i="554" a="1"/>
  <c r="J116" i="554" s="1"/>
  <c r="J115" i="554" a="1"/>
  <c r="J115" i="554" s="1"/>
  <c r="J114" i="554" a="1"/>
  <c r="J114" i="554" s="1"/>
  <c r="J113" i="554" a="1"/>
  <c r="J113" i="554" s="1"/>
  <c r="J112" i="554" a="1"/>
  <c r="J112" i="554" s="1"/>
  <c r="J111" i="554" a="1"/>
  <c r="J111" i="554" s="1"/>
  <c r="J110" i="554" a="1"/>
  <c r="J110" i="554" s="1"/>
  <c r="J109" i="554" a="1"/>
  <c r="J109" i="554" s="1"/>
  <c r="J108" i="554" a="1"/>
  <c r="J108" i="554" s="1"/>
  <c r="J49" i="554" a="1"/>
  <c r="J49" i="554" s="1"/>
  <c r="P536" i="555" l="1"/>
  <c r="O536" i="555"/>
  <c r="N536" i="555"/>
  <c r="M536" i="555"/>
  <c r="L536" i="555"/>
  <c r="K536" i="555"/>
  <c r="I536" i="555"/>
  <c r="H536" i="555"/>
  <c r="G536" i="555"/>
  <c r="F536" i="555"/>
  <c r="E536" i="555"/>
  <c r="D536" i="555"/>
  <c r="C535" i="555"/>
  <c r="J535" i="555" s="1"/>
  <c r="Q535" i="555" s="1"/>
  <c r="C534" i="555"/>
  <c r="J534" i="555" s="1"/>
  <c r="Q534" i="555" s="1"/>
  <c r="C533" i="555"/>
  <c r="J533" i="555" s="1"/>
  <c r="G517" i="555"/>
  <c r="N517" i="555" s="1"/>
  <c r="X515" i="555"/>
  <c r="X514" i="555"/>
  <c r="X513" i="555"/>
  <c r="G513" i="555"/>
  <c r="C513" i="555"/>
  <c r="X512" i="555"/>
  <c r="I512" i="555"/>
  <c r="E512" i="555"/>
  <c r="K512" i="555" s="1"/>
  <c r="M512" i="555" s="1"/>
  <c r="X511" i="555"/>
  <c r="I511" i="555"/>
  <c r="E511" i="555"/>
  <c r="K511" i="555" s="1"/>
  <c r="M511" i="555" s="1"/>
  <c r="I510" i="555"/>
  <c r="E510" i="555"/>
  <c r="K510" i="555" s="1"/>
  <c r="M510" i="555" s="1"/>
  <c r="I509" i="555"/>
  <c r="I513" i="555" s="1"/>
  <c r="E509" i="555"/>
  <c r="E513" i="555" s="1"/>
  <c r="AA506" i="555"/>
  <c r="Z506" i="555"/>
  <c r="Y506" i="555"/>
  <c r="X506" i="555"/>
  <c r="U506" i="555"/>
  <c r="T506" i="555"/>
  <c r="S506" i="555"/>
  <c r="R506" i="555"/>
  <c r="Q506" i="555"/>
  <c r="P506" i="555"/>
  <c r="O506" i="555"/>
  <c r="I506" i="555"/>
  <c r="G506" i="555"/>
  <c r="J506" i="555" s="1" a="1"/>
  <c r="J506" i="555" s="1"/>
  <c r="H505" i="555"/>
  <c r="H504" i="555"/>
  <c r="H503" i="555"/>
  <c r="D502" i="555"/>
  <c r="H502" i="555" s="1"/>
  <c r="V501" i="555"/>
  <c r="W501" i="555" s="1"/>
  <c r="N501" i="555"/>
  <c r="K501" i="555" a="1"/>
  <c r="K501" i="555" s="1"/>
  <c r="M501" i="555" s="1"/>
  <c r="J501" i="555" a="1"/>
  <c r="J501" i="555" s="1"/>
  <c r="H501" i="555"/>
  <c r="H500" i="555"/>
  <c r="H499" i="555"/>
  <c r="V498" i="555"/>
  <c r="W498" i="555" s="1"/>
  <c r="N498" i="555"/>
  <c r="K498" i="555" a="1"/>
  <c r="K498" i="555" s="1"/>
  <c r="M498" i="555" s="1"/>
  <c r="J498" i="555" a="1"/>
  <c r="J498" i="555" s="1"/>
  <c r="H498" i="555"/>
  <c r="V497" i="555"/>
  <c r="W497" i="555" s="1"/>
  <c r="N497" i="555"/>
  <c r="K497" i="555"/>
  <c r="M497" i="555" s="1"/>
  <c r="K497" i="555" a="1"/>
  <c r="J497" i="555"/>
  <c r="J497" i="555" a="1"/>
  <c r="H497" i="555"/>
  <c r="H496" i="555"/>
  <c r="H495" i="555"/>
  <c r="V494" i="555"/>
  <c r="W494" i="555" s="1"/>
  <c r="N494" i="555"/>
  <c r="K494" i="555" a="1"/>
  <c r="K494" i="555" s="1"/>
  <c r="M494" i="555" s="1"/>
  <c r="J494" i="555" a="1"/>
  <c r="J494" i="555" s="1"/>
  <c r="H494" i="555"/>
  <c r="V493" i="555"/>
  <c r="W493" i="555" s="1"/>
  <c r="N493" i="555"/>
  <c r="K493" i="555" a="1"/>
  <c r="K493" i="555" s="1"/>
  <c r="M493" i="555" s="1"/>
  <c r="J493" i="555" a="1"/>
  <c r="J493" i="555" s="1"/>
  <c r="H493" i="555"/>
  <c r="V492" i="555"/>
  <c r="W492" i="555" s="1"/>
  <c r="N492" i="555"/>
  <c r="K492" i="555" a="1"/>
  <c r="K492" i="555" s="1"/>
  <c r="M492" i="555" s="1"/>
  <c r="J492" i="555" a="1"/>
  <c r="J492" i="555" s="1"/>
  <c r="H492" i="555"/>
  <c r="V491" i="555"/>
  <c r="V506" i="555" s="1"/>
  <c r="N491" i="555"/>
  <c r="N506" i="555" s="1"/>
  <c r="K491" i="555"/>
  <c r="K491" i="555" a="1"/>
  <c r="J491" i="555"/>
  <c r="J491" i="555" a="1"/>
  <c r="H491" i="555"/>
  <c r="H506" i="555" s="1"/>
  <c r="AA490" i="555"/>
  <c r="Z490" i="555"/>
  <c r="Y490" i="555"/>
  <c r="X490" i="555"/>
  <c r="U490" i="555"/>
  <c r="T490" i="555"/>
  <c r="S490" i="555"/>
  <c r="Q490" i="555"/>
  <c r="P490" i="555"/>
  <c r="O490" i="555"/>
  <c r="R513" i="555" s="1"/>
  <c r="I490" i="555"/>
  <c r="G490" i="555"/>
  <c r="J490" i="555" s="1" a="1"/>
  <c r="J490" i="555" s="1"/>
  <c r="V489" i="555"/>
  <c r="W489" i="555" s="1"/>
  <c r="N489" i="555"/>
  <c r="K489" i="555" a="1"/>
  <c r="K489" i="555" s="1"/>
  <c r="M489" i="555" s="1"/>
  <c r="J489" i="555" a="1"/>
  <c r="J489" i="555" s="1"/>
  <c r="H489" i="555"/>
  <c r="H488" i="555"/>
  <c r="H487" i="555"/>
  <c r="H486" i="555"/>
  <c r="H485" i="555"/>
  <c r="W484" i="555"/>
  <c r="V484" i="555"/>
  <c r="N484" i="555"/>
  <c r="K484" i="555" a="1"/>
  <c r="K484" i="555" s="1"/>
  <c r="M484" i="555" s="1"/>
  <c r="J484" i="555" a="1"/>
  <c r="J484" i="555" s="1"/>
  <c r="H484" i="555"/>
  <c r="V483" i="555"/>
  <c r="W483" i="555" s="1"/>
  <c r="N483" i="555"/>
  <c r="K483" i="555" a="1"/>
  <c r="K483" i="555" s="1"/>
  <c r="M483" i="555" s="1"/>
  <c r="J483" i="555" a="1"/>
  <c r="J483" i="555" s="1"/>
  <c r="H483" i="555"/>
  <c r="V482" i="555"/>
  <c r="W482" i="555" s="1"/>
  <c r="N482" i="555"/>
  <c r="K482" i="555"/>
  <c r="M482" i="555" s="1"/>
  <c r="K482" i="555" a="1"/>
  <c r="J482" i="555"/>
  <c r="J482" i="555" a="1"/>
  <c r="H482" i="555"/>
  <c r="V481" i="555"/>
  <c r="W481" i="555" s="1"/>
  <c r="N481" i="555"/>
  <c r="K481" i="555" a="1"/>
  <c r="K481" i="555" s="1"/>
  <c r="M481" i="555" s="1"/>
  <c r="J481" i="555" a="1"/>
  <c r="J481" i="555" s="1"/>
  <c r="H481" i="555"/>
  <c r="W480" i="555"/>
  <c r="V480" i="555"/>
  <c r="N480" i="555"/>
  <c r="N490" i="555" s="1"/>
  <c r="K480" i="555" a="1"/>
  <c r="K480" i="555" s="1"/>
  <c r="K490" i="555" s="1"/>
  <c r="J480" i="555" a="1"/>
  <c r="J480" i="555" s="1"/>
  <c r="H480" i="555"/>
  <c r="H490" i="555" s="1"/>
  <c r="AA479" i="555"/>
  <c r="Z479" i="555"/>
  <c r="Y479" i="555"/>
  <c r="X479" i="555"/>
  <c r="U479" i="555"/>
  <c r="T479" i="555"/>
  <c r="S479" i="555"/>
  <c r="Q479" i="555"/>
  <c r="P479" i="555"/>
  <c r="O479" i="555"/>
  <c r="I479" i="555"/>
  <c r="G479" i="555"/>
  <c r="V478" i="555"/>
  <c r="W478" i="555" s="1"/>
  <c r="N478" i="555"/>
  <c r="K478" i="555" a="1"/>
  <c r="K478" i="555" s="1"/>
  <c r="M478" i="555" s="1"/>
  <c r="J478" i="555" a="1"/>
  <c r="J478" i="555" s="1"/>
  <c r="H478" i="555"/>
  <c r="V477" i="555"/>
  <c r="W477" i="555" s="1"/>
  <c r="N477" i="555"/>
  <c r="K477" i="555"/>
  <c r="M477" i="555" s="1"/>
  <c r="K477" i="555" a="1"/>
  <c r="J477" i="555"/>
  <c r="J477" i="555" a="1"/>
  <c r="H477" i="555"/>
  <c r="V476" i="555"/>
  <c r="W476" i="555" s="1"/>
  <c r="N476" i="555"/>
  <c r="K476" i="555" a="1"/>
  <c r="K476" i="555" s="1"/>
  <c r="M476" i="555" s="1"/>
  <c r="J476" i="555" a="1"/>
  <c r="J476" i="555" s="1"/>
  <c r="H476" i="555"/>
  <c r="V475" i="555"/>
  <c r="W475" i="555" s="1"/>
  <c r="N475" i="555"/>
  <c r="K475" i="555"/>
  <c r="M475" i="555" s="1"/>
  <c r="K475" i="555" a="1"/>
  <c r="J475" i="555"/>
  <c r="J475" i="555" a="1"/>
  <c r="H475" i="555"/>
  <c r="V474" i="555"/>
  <c r="W474" i="555" s="1"/>
  <c r="N474" i="555"/>
  <c r="K474" i="555" a="1"/>
  <c r="K474" i="555" s="1"/>
  <c r="M474" i="555" s="1"/>
  <c r="J474" i="555" a="1"/>
  <c r="J474" i="555" s="1"/>
  <c r="H474" i="555"/>
  <c r="W473" i="555"/>
  <c r="V473" i="555"/>
  <c r="N473" i="555"/>
  <c r="K473" i="555" a="1"/>
  <c r="K473" i="555" s="1"/>
  <c r="M473" i="555" s="1"/>
  <c r="J473" i="555" a="1"/>
  <c r="J473" i="555" s="1"/>
  <c r="H473" i="555"/>
  <c r="V472" i="555"/>
  <c r="W472" i="555" s="1"/>
  <c r="N472" i="555"/>
  <c r="K472" i="555" a="1"/>
  <c r="K472" i="555" s="1"/>
  <c r="M472" i="555" s="1"/>
  <c r="J472" i="555" a="1"/>
  <c r="J472" i="555" s="1"/>
  <c r="H472" i="555"/>
  <c r="V471" i="555"/>
  <c r="W471" i="555" s="1"/>
  <c r="N471" i="555"/>
  <c r="K471" i="555"/>
  <c r="M471" i="555" s="1"/>
  <c r="K471" i="555" a="1"/>
  <c r="J471" i="555"/>
  <c r="J471" i="555" a="1"/>
  <c r="H471" i="555"/>
  <c r="V470" i="555"/>
  <c r="W470" i="555" s="1"/>
  <c r="N470" i="555"/>
  <c r="K470" i="555" a="1"/>
  <c r="K470" i="555" s="1"/>
  <c r="M470" i="555" s="1"/>
  <c r="J470" i="555" a="1"/>
  <c r="J470" i="555" s="1"/>
  <c r="H470" i="555"/>
  <c r="W469" i="555"/>
  <c r="V469" i="555"/>
  <c r="N469" i="555"/>
  <c r="K469" i="555" a="1"/>
  <c r="K469" i="555" s="1"/>
  <c r="M469" i="555" s="1"/>
  <c r="J469" i="555" a="1"/>
  <c r="J469" i="555" s="1"/>
  <c r="H469" i="555"/>
  <c r="V468" i="555"/>
  <c r="W468" i="555" s="1"/>
  <c r="N468" i="555"/>
  <c r="K468" i="555" a="1"/>
  <c r="K468" i="555" s="1"/>
  <c r="M468" i="555" s="1"/>
  <c r="J468" i="555" a="1"/>
  <c r="J468" i="555" s="1"/>
  <c r="H468" i="555"/>
  <c r="V467" i="555"/>
  <c r="W467" i="555" s="1"/>
  <c r="N467" i="555"/>
  <c r="K467" i="555"/>
  <c r="M467" i="555" s="1"/>
  <c r="K467" i="555" a="1"/>
  <c r="J467" i="555"/>
  <c r="J467" i="555" a="1"/>
  <c r="H467" i="555"/>
  <c r="V466" i="555"/>
  <c r="W466" i="555" s="1"/>
  <c r="N466" i="555"/>
  <c r="K466" i="555" a="1"/>
  <c r="K466" i="555" s="1"/>
  <c r="M466" i="555" s="1"/>
  <c r="J466" i="555" a="1"/>
  <c r="J466" i="555" s="1"/>
  <c r="H466" i="555"/>
  <c r="W465" i="555"/>
  <c r="V465" i="555"/>
  <c r="N465" i="555"/>
  <c r="K465" i="555" a="1"/>
  <c r="K465" i="555" s="1"/>
  <c r="M465" i="555" s="1"/>
  <c r="J465" i="555" a="1"/>
  <c r="J465" i="555" s="1"/>
  <c r="H465" i="555"/>
  <c r="V464" i="555"/>
  <c r="N464" i="555"/>
  <c r="K464" i="555" a="1"/>
  <c r="K464" i="555" s="1"/>
  <c r="J464" i="555" a="1"/>
  <c r="J464" i="555" s="1"/>
  <c r="H464" i="555"/>
  <c r="H479" i="555" s="1"/>
  <c r="AA463" i="555"/>
  <c r="Z463" i="555"/>
  <c r="Y463" i="555"/>
  <c r="X463" i="555"/>
  <c r="U463" i="555"/>
  <c r="T463" i="555"/>
  <c r="S463" i="555"/>
  <c r="R463" i="555"/>
  <c r="Q463" i="555"/>
  <c r="P463" i="555"/>
  <c r="O463" i="555"/>
  <c r="R511" i="555" s="1"/>
  <c r="I463" i="555"/>
  <c r="G463" i="555"/>
  <c r="V462" i="555"/>
  <c r="W462" i="555" s="1"/>
  <c r="N462" i="555"/>
  <c r="K462" i="555" a="1"/>
  <c r="K462" i="555" s="1"/>
  <c r="M462" i="555" s="1"/>
  <c r="J462" i="555" a="1"/>
  <c r="J462" i="555" s="1"/>
  <c r="H462" i="555"/>
  <c r="V461" i="555"/>
  <c r="W461" i="555" s="1"/>
  <c r="N461" i="555"/>
  <c r="K461" i="555" a="1"/>
  <c r="K461" i="555" s="1"/>
  <c r="M461" i="555" s="1"/>
  <c r="J461" i="555" a="1"/>
  <c r="J461" i="555" s="1"/>
  <c r="H461" i="555"/>
  <c r="W460" i="555"/>
  <c r="V460" i="555"/>
  <c r="N460" i="555"/>
  <c r="K460" i="555" a="1"/>
  <c r="K460" i="555" s="1"/>
  <c r="M460" i="555" s="1"/>
  <c r="J460" i="555" a="1"/>
  <c r="J460" i="555" s="1"/>
  <c r="H460" i="555"/>
  <c r="K459" i="555"/>
  <c r="M459" i="555" s="1"/>
  <c r="K459" i="555" a="1"/>
  <c r="H459" i="555"/>
  <c r="K458" i="555" a="1"/>
  <c r="K458" i="555" s="1"/>
  <c r="M458" i="555" s="1"/>
  <c r="H458" i="555"/>
  <c r="K457" i="555" a="1"/>
  <c r="K457" i="555" s="1"/>
  <c r="M457" i="555" s="1"/>
  <c r="H457" i="555"/>
  <c r="V456" i="555"/>
  <c r="W456" i="555" s="1"/>
  <c r="N456" i="555"/>
  <c r="K456" i="555" a="1"/>
  <c r="K456" i="555" s="1"/>
  <c r="M456" i="555" s="1"/>
  <c r="J456" i="555" a="1"/>
  <c r="J456" i="555" s="1"/>
  <c r="H456" i="555"/>
  <c r="V455" i="555"/>
  <c r="W455" i="555" s="1"/>
  <c r="N455" i="555"/>
  <c r="K455" i="555" a="1"/>
  <c r="K455" i="555" s="1"/>
  <c r="M455" i="555" s="1"/>
  <c r="J455" i="555" a="1"/>
  <c r="J455" i="555" s="1"/>
  <c r="H455" i="555"/>
  <c r="N454" i="555"/>
  <c r="K454" i="555" a="1"/>
  <c r="K454" i="555" s="1"/>
  <c r="M454" i="555" s="1"/>
  <c r="H454" i="555"/>
  <c r="N453" i="555"/>
  <c r="K453" i="555" a="1"/>
  <c r="K453" i="555" s="1"/>
  <c r="M453" i="555" s="1"/>
  <c r="H453" i="555"/>
  <c r="N452" i="555"/>
  <c r="K452" i="555" a="1"/>
  <c r="K452" i="555" s="1"/>
  <c r="M452" i="555" s="1"/>
  <c r="H452" i="555"/>
  <c r="N451" i="555"/>
  <c r="K451" i="555" a="1"/>
  <c r="K451" i="555" s="1"/>
  <c r="M451" i="555" s="1"/>
  <c r="H451" i="555"/>
  <c r="N450" i="555"/>
  <c r="K450" i="555" a="1"/>
  <c r="K450" i="555" s="1"/>
  <c r="M450" i="555" s="1"/>
  <c r="H450" i="555"/>
  <c r="N449" i="555"/>
  <c r="K449" i="555" a="1"/>
  <c r="K449" i="555" s="1"/>
  <c r="M449" i="555" s="1"/>
  <c r="H449" i="555"/>
  <c r="V448" i="555"/>
  <c r="W448" i="555" s="1"/>
  <c r="N448" i="555"/>
  <c r="K448" i="555" a="1"/>
  <c r="K448" i="555" s="1"/>
  <c r="M448" i="555" s="1"/>
  <c r="J448" i="555" a="1"/>
  <c r="J448" i="555" s="1"/>
  <c r="H448" i="555"/>
  <c r="V447" i="555"/>
  <c r="W447" i="555" s="1"/>
  <c r="N447" i="555"/>
  <c r="K447" i="555" a="1"/>
  <c r="K447" i="555" s="1"/>
  <c r="M447" i="555" s="1"/>
  <c r="J447" i="555" a="1"/>
  <c r="J447" i="555" s="1"/>
  <c r="H447" i="555"/>
  <c r="V446" i="555"/>
  <c r="W446" i="555" s="1"/>
  <c r="N446" i="555"/>
  <c r="K446" i="555" a="1"/>
  <c r="K446" i="555" s="1"/>
  <c r="M446" i="555" s="1"/>
  <c r="J446" i="555" a="1"/>
  <c r="J446" i="555" s="1"/>
  <c r="H446" i="555"/>
  <c r="V445" i="555"/>
  <c r="W445" i="555" s="1"/>
  <c r="N445" i="555"/>
  <c r="K445" i="555" a="1"/>
  <c r="K445" i="555" s="1"/>
  <c r="M445" i="555" s="1"/>
  <c r="J445" i="555" a="1"/>
  <c r="J445" i="555" s="1"/>
  <c r="H445" i="555"/>
  <c r="V444" i="555"/>
  <c r="W444" i="555" s="1"/>
  <c r="N444" i="555"/>
  <c r="K444" i="555" a="1"/>
  <c r="K444" i="555" s="1"/>
  <c r="M444" i="555" s="1"/>
  <c r="J444" i="555" a="1"/>
  <c r="J444" i="555" s="1"/>
  <c r="H444" i="555"/>
  <c r="V443" i="555"/>
  <c r="W443" i="555" s="1"/>
  <c r="N443" i="555"/>
  <c r="K443" i="555" a="1"/>
  <c r="K443" i="555" s="1"/>
  <c r="M443" i="555" s="1"/>
  <c r="J443" i="555" a="1"/>
  <c r="J443" i="555" s="1"/>
  <c r="H443" i="555"/>
  <c r="V442" i="555"/>
  <c r="W442" i="555" s="1"/>
  <c r="N442" i="555"/>
  <c r="K442" i="555" a="1"/>
  <c r="K442" i="555" s="1"/>
  <c r="M442" i="555" s="1"/>
  <c r="J442" i="555" a="1"/>
  <c r="J442" i="555" s="1"/>
  <c r="H442" i="555"/>
  <c r="V441" i="555"/>
  <c r="W441" i="555" s="1"/>
  <c r="N441" i="555"/>
  <c r="K441" i="555" a="1"/>
  <c r="K441" i="555" s="1"/>
  <c r="M441" i="555" s="1"/>
  <c r="J441" i="555" a="1"/>
  <c r="J441" i="555" s="1"/>
  <c r="H441" i="555"/>
  <c r="V440" i="555"/>
  <c r="W440" i="555" s="1"/>
  <c r="N440" i="555"/>
  <c r="K440" i="555" a="1"/>
  <c r="K440" i="555" s="1"/>
  <c r="M440" i="555" s="1"/>
  <c r="J440" i="555" a="1"/>
  <c r="J440" i="555" s="1"/>
  <c r="H440" i="555"/>
  <c r="V439" i="555"/>
  <c r="W439" i="555" s="1"/>
  <c r="N439" i="555"/>
  <c r="K439" i="555" a="1"/>
  <c r="K439" i="555" s="1"/>
  <c r="M439" i="555" s="1"/>
  <c r="J439" i="555" a="1"/>
  <c r="J439" i="555" s="1"/>
  <c r="H439" i="555"/>
  <c r="V438" i="555"/>
  <c r="W438" i="555" s="1"/>
  <c r="N438" i="555"/>
  <c r="K438" i="555" a="1"/>
  <c r="K438" i="555" s="1"/>
  <c r="M438" i="555" s="1"/>
  <c r="J438" i="555" a="1"/>
  <c r="J438" i="555" s="1"/>
  <c r="H438" i="555"/>
  <c r="V437" i="555"/>
  <c r="W437" i="555" s="1"/>
  <c r="N437" i="555"/>
  <c r="K437" i="555" a="1"/>
  <c r="K437" i="555" s="1"/>
  <c r="M437" i="555" s="1"/>
  <c r="J437" i="555" a="1"/>
  <c r="J437" i="555" s="1"/>
  <c r="H437" i="555"/>
  <c r="N436" i="555"/>
  <c r="K436" i="555" a="1"/>
  <c r="K436" i="555" s="1"/>
  <c r="M436" i="555" s="1"/>
  <c r="H436" i="555"/>
  <c r="V435" i="555"/>
  <c r="W435" i="555" s="1"/>
  <c r="N435" i="555"/>
  <c r="K435" i="555" a="1"/>
  <c r="K435" i="555" s="1"/>
  <c r="M435" i="555" s="1"/>
  <c r="J435" i="555" a="1"/>
  <c r="J435" i="555" s="1"/>
  <c r="H435" i="555"/>
  <c r="V434" i="555"/>
  <c r="W434" i="555" s="1"/>
  <c r="N434" i="555"/>
  <c r="K434" i="555" a="1"/>
  <c r="K434" i="555" s="1"/>
  <c r="M434" i="555" s="1"/>
  <c r="J434" i="555" a="1"/>
  <c r="J434" i="555" s="1"/>
  <c r="H434" i="555"/>
  <c r="V433" i="555"/>
  <c r="W433" i="555" s="1"/>
  <c r="N433" i="555"/>
  <c r="K433" i="555"/>
  <c r="M433" i="555" s="1"/>
  <c r="K433" i="555" a="1"/>
  <c r="J433" i="555"/>
  <c r="J433" i="555" a="1"/>
  <c r="H433" i="555"/>
  <c r="V432" i="555"/>
  <c r="W432" i="555" s="1"/>
  <c r="N432" i="555"/>
  <c r="K432" i="555" a="1"/>
  <c r="K432" i="555" s="1"/>
  <c r="M432" i="555" s="1"/>
  <c r="J432" i="555" a="1"/>
  <c r="J432" i="555" s="1"/>
  <c r="H432" i="555"/>
  <c r="W431" i="555"/>
  <c r="V431" i="555"/>
  <c r="N431" i="555"/>
  <c r="K431" i="555" a="1"/>
  <c r="K431" i="555" s="1"/>
  <c r="M431" i="555" s="1"/>
  <c r="J431" i="555" a="1"/>
  <c r="J431" i="555" s="1"/>
  <c r="H431" i="555"/>
  <c r="V430" i="555"/>
  <c r="W430" i="555" s="1"/>
  <c r="N430" i="555"/>
  <c r="K430" i="555" a="1"/>
  <c r="K430" i="555" s="1"/>
  <c r="M430" i="555" s="1"/>
  <c r="J430" i="555" a="1"/>
  <c r="J430" i="555" s="1"/>
  <c r="H430" i="555"/>
  <c r="W429" i="555"/>
  <c r="V429" i="555"/>
  <c r="N429" i="555"/>
  <c r="K429" i="555" a="1"/>
  <c r="K429" i="555" s="1"/>
  <c r="M429" i="555" s="1"/>
  <c r="J429" i="555" a="1"/>
  <c r="J429" i="555" s="1"/>
  <c r="H429" i="555"/>
  <c r="AA428" i="555"/>
  <c r="Z428" i="555"/>
  <c r="Y428" i="555"/>
  <c r="X428" i="555"/>
  <c r="U428" i="555"/>
  <c r="T428" i="555"/>
  <c r="S428" i="555"/>
  <c r="R428" i="555"/>
  <c r="Q428" i="555"/>
  <c r="P428" i="555"/>
  <c r="O428" i="555"/>
  <c r="R510" i="555" s="1"/>
  <c r="I428" i="555"/>
  <c r="G428" i="555"/>
  <c r="J428" i="555" s="1" a="1"/>
  <c r="J428" i="555" s="1"/>
  <c r="K427" i="555" a="1"/>
  <c r="K427" i="555" s="1"/>
  <c r="M427" i="555" s="1"/>
  <c r="H427" i="555"/>
  <c r="K426" i="555"/>
  <c r="M426" i="555" s="1"/>
  <c r="K426" i="555" a="1"/>
  <c r="H426" i="555"/>
  <c r="K425" i="555" a="1"/>
  <c r="K425" i="555" s="1"/>
  <c r="M425" i="555" s="1"/>
  <c r="H425" i="555"/>
  <c r="K424" i="555" a="1"/>
  <c r="K424" i="555" s="1"/>
  <c r="M424" i="555" s="1"/>
  <c r="H424" i="555"/>
  <c r="K423" i="555" a="1"/>
  <c r="K423" i="555" s="1"/>
  <c r="M423" i="555" s="1"/>
  <c r="H423" i="555"/>
  <c r="K422" i="555" a="1"/>
  <c r="K422" i="555" s="1"/>
  <c r="M422" i="555" s="1"/>
  <c r="H422" i="555"/>
  <c r="K421" i="555" a="1"/>
  <c r="K421" i="555" s="1"/>
  <c r="M421" i="555" s="1"/>
  <c r="H421" i="555"/>
  <c r="K420" i="555" a="1"/>
  <c r="K420" i="555" s="1"/>
  <c r="M420" i="555" s="1"/>
  <c r="H420" i="555"/>
  <c r="K419" i="555" a="1"/>
  <c r="K419" i="555" s="1"/>
  <c r="M419" i="555" s="1"/>
  <c r="H419" i="555"/>
  <c r="K418" i="555" a="1"/>
  <c r="K418" i="555" s="1"/>
  <c r="M418" i="555" s="1"/>
  <c r="H418" i="555"/>
  <c r="W417" i="555"/>
  <c r="V417" i="555"/>
  <c r="N417" i="555"/>
  <c r="K417" i="555" a="1"/>
  <c r="K417" i="555" s="1"/>
  <c r="M417" i="555" s="1"/>
  <c r="J417" i="555" a="1"/>
  <c r="J417" i="555" s="1"/>
  <c r="H417" i="555"/>
  <c r="V416" i="555"/>
  <c r="W416" i="555" s="1"/>
  <c r="N416" i="555"/>
  <c r="K416" i="555" a="1"/>
  <c r="K416" i="555" s="1"/>
  <c r="M416" i="555" s="1"/>
  <c r="J416" i="555" a="1"/>
  <c r="J416" i="555" s="1"/>
  <c r="H416" i="555"/>
  <c r="V415" i="555"/>
  <c r="W415" i="555" s="1"/>
  <c r="N415" i="555"/>
  <c r="K415" i="555"/>
  <c r="M415" i="555" s="1"/>
  <c r="K415" i="555" a="1"/>
  <c r="J415" i="555"/>
  <c r="J415" i="555" a="1"/>
  <c r="H415" i="555"/>
  <c r="V414" i="555"/>
  <c r="W414" i="555" s="1"/>
  <c r="N414" i="555"/>
  <c r="K414" i="555" a="1"/>
  <c r="K414" i="555" s="1"/>
  <c r="M414" i="555" s="1"/>
  <c r="J414" i="555" a="1"/>
  <c r="J414" i="555" s="1"/>
  <c r="H414" i="555"/>
  <c r="H413" i="555"/>
  <c r="V412" i="555"/>
  <c r="W412" i="555" s="1"/>
  <c r="N412" i="555"/>
  <c r="K412" i="555" a="1"/>
  <c r="K412" i="555" s="1"/>
  <c r="M412" i="555" s="1"/>
  <c r="J412" i="555" a="1"/>
  <c r="J412" i="555" s="1"/>
  <c r="H412" i="555"/>
  <c r="W411" i="555"/>
  <c r="V411" i="555"/>
  <c r="N411" i="555"/>
  <c r="K411" i="555" a="1"/>
  <c r="K411" i="555" s="1"/>
  <c r="M411" i="555" s="1"/>
  <c r="J411" i="555" a="1"/>
  <c r="J411" i="555" s="1"/>
  <c r="H411" i="555"/>
  <c r="H410" i="555"/>
  <c r="K409" i="555" a="1"/>
  <c r="K409" i="555" s="1"/>
  <c r="H409" i="555"/>
  <c r="V408" i="555"/>
  <c r="W408" i="555" s="1"/>
  <c r="N408" i="555"/>
  <c r="K408" i="555" a="1"/>
  <c r="K408" i="555" s="1"/>
  <c r="M408" i="555" s="1"/>
  <c r="J408" i="555" a="1"/>
  <c r="J408" i="555" s="1"/>
  <c r="H408" i="555"/>
  <c r="V407" i="555"/>
  <c r="W407" i="555" s="1"/>
  <c r="N407" i="555"/>
  <c r="K407" i="555"/>
  <c r="M407" i="555" s="1"/>
  <c r="K407" i="555" a="1"/>
  <c r="J407" i="555"/>
  <c r="J407" i="555" a="1"/>
  <c r="H407" i="555"/>
  <c r="V406" i="555"/>
  <c r="W406" i="555" s="1"/>
  <c r="N406" i="555"/>
  <c r="K406" i="555" a="1"/>
  <c r="K406" i="555" s="1"/>
  <c r="M406" i="555" s="1"/>
  <c r="J406" i="555" a="1"/>
  <c r="J406" i="555" s="1"/>
  <c r="H406" i="555"/>
  <c r="W405" i="555"/>
  <c r="V405" i="555"/>
  <c r="N405" i="555"/>
  <c r="K405" i="555" a="1"/>
  <c r="K405" i="555" s="1"/>
  <c r="M405" i="555" s="1"/>
  <c r="J405" i="555" a="1"/>
  <c r="J405" i="555" s="1"/>
  <c r="H405" i="555"/>
  <c r="V404" i="555"/>
  <c r="W404" i="555" s="1"/>
  <c r="N404" i="555"/>
  <c r="K404" i="555" a="1"/>
  <c r="K404" i="555" s="1"/>
  <c r="M404" i="555" s="1"/>
  <c r="J404" i="555" a="1"/>
  <c r="J404" i="555" s="1"/>
  <c r="H404" i="555"/>
  <c r="V403" i="555"/>
  <c r="W403" i="555" s="1"/>
  <c r="N403" i="555"/>
  <c r="K403" i="555"/>
  <c r="M403" i="555" s="1"/>
  <c r="K403" i="555" a="1"/>
  <c r="J403" i="555"/>
  <c r="J403" i="555" a="1"/>
  <c r="H403" i="555"/>
  <c r="V402" i="555"/>
  <c r="W402" i="555" s="1"/>
  <c r="N402" i="555"/>
  <c r="K402" i="555" a="1"/>
  <c r="K402" i="555" s="1"/>
  <c r="M402" i="555" s="1"/>
  <c r="J402" i="555" a="1"/>
  <c r="J402" i="555" s="1"/>
  <c r="H402" i="555"/>
  <c r="W401" i="555"/>
  <c r="V401" i="555"/>
  <c r="N401" i="555"/>
  <c r="K401" i="555" a="1"/>
  <c r="K401" i="555" s="1"/>
  <c r="M401" i="555" s="1"/>
  <c r="J401" i="555" a="1"/>
  <c r="J401" i="555" s="1"/>
  <c r="H401" i="555"/>
  <c r="V400" i="555"/>
  <c r="W400" i="555" s="1"/>
  <c r="N400" i="555"/>
  <c r="K400" i="555" a="1"/>
  <c r="K400" i="555" s="1"/>
  <c r="M400" i="555" s="1"/>
  <c r="J400" i="555" a="1"/>
  <c r="J400" i="555" s="1"/>
  <c r="H400" i="555"/>
  <c r="V399" i="555"/>
  <c r="W399" i="555" s="1"/>
  <c r="N399" i="555"/>
  <c r="K399" i="555"/>
  <c r="M399" i="555" s="1"/>
  <c r="K399" i="555" a="1"/>
  <c r="J399" i="555"/>
  <c r="J399" i="555" a="1"/>
  <c r="H399" i="555"/>
  <c r="K398" i="555" a="1"/>
  <c r="K398" i="555" s="1"/>
  <c r="M398" i="555" s="1"/>
  <c r="H398" i="555"/>
  <c r="K397" i="555" a="1"/>
  <c r="K397" i="555" s="1"/>
  <c r="M397" i="555" s="1"/>
  <c r="H397" i="555"/>
  <c r="K396" i="555" a="1"/>
  <c r="K396" i="555" s="1"/>
  <c r="M396" i="555" s="1"/>
  <c r="H396" i="555"/>
  <c r="K395" i="555" a="1"/>
  <c r="K395" i="555" s="1"/>
  <c r="M395" i="555" s="1"/>
  <c r="H395" i="555"/>
  <c r="N394" i="555"/>
  <c r="K394" i="555" a="1"/>
  <c r="K394" i="555" s="1"/>
  <c r="M394" i="555" s="1"/>
  <c r="H394" i="555"/>
  <c r="N393" i="555"/>
  <c r="K393" i="555" a="1"/>
  <c r="K393" i="555" s="1"/>
  <c r="M393" i="555" s="1"/>
  <c r="H393" i="555"/>
  <c r="N392" i="555"/>
  <c r="K392" i="555"/>
  <c r="M392" i="555" s="1"/>
  <c r="K392" i="555" a="1"/>
  <c r="H392" i="555"/>
  <c r="N391" i="555"/>
  <c r="K391" i="555" a="1"/>
  <c r="K391" i="555" s="1"/>
  <c r="M391" i="555" s="1"/>
  <c r="H391" i="555"/>
  <c r="W390" i="555"/>
  <c r="V390" i="555"/>
  <c r="N390" i="555"/>
  <c r="K390" i="555" a="1"/>
  <c r="K390" i="555" s="1"/>
  <c r="M390" i="555" s="1"/>
  <c r="J390" i="555" a="1"/>
  <c r="J390" i="555" s="1"/>
  <c r="H390" i="555"/>
  <c r="V389" i="555"/>
  <c r="W389" i="555" s="1"/>
  <c r="N389" i="555"/>
  <c r="K389" i="555" a="1"/>
  <c r="K389" i="555" s="1"/>
  <c r="M389" i="555" s="1"/>
  <c r="J389" i="555" a="1"/>
  <c r="J389" i="555" s="1"/>
  <c r="H389" i="555"/>
  <c r="V388" i="555"/>
  <c r="W388" i="555" s="1"/>
  <c r="N388" i="555"/>
  <c r="K388" i="555"/>
  <c r="M388" i="555" s="1"/>
  <c r="K388" i="555" a="1"/>
  <c r="J388" i="555"/>
  <c r="J388" i="555" a="1"/>
  <c r="H388" i="555"/>
  <c r="V387" i="555"/>
  <c r="W387" i="555" s="1"/>
  <c r="N387" i="555"/>
  <c r="K387" i="555" a="1"/>
  <c r="K387" i="555" s="1"/>
  <c r="M387" i="555" s="1"/>
  <c r="J387" i="555" a="1"/>
  <c r="J387" i="555" s="1"/>
  <c r="H387" i="555"/>
  <c r="W386" i="555"/>
  <c r="V386" i="555"/>
  <c r="N386" i="555"/>
  <c r="K386" i="555" a="1"/>
  <c r="K386" i="555" s="1"/>
  <c r="M386" i="555" s="1"/>
  <c r="J386" i="555" a="1"/>
  <c r="J386" i="555" s="1"/>
  <c r="H386" i="555"/>
  <c r="V385" i="555"/>
  <c r="W385" i="555" s="1"/>
  <c r="N385" i="555"/>
  <c r="K385" i="555" a="1"/>
  <c r="K385" i="555" s="1"/>
  <c r="M385" i="555" s="1"/>
  <c r="J385" i="555" a="1"/>
  <c r="J385" i="555" s="1"/>
  <c r="H385" i="555"/>
  <c r="V384" i="555"/>
  <c r="W384" i="555" s="1"/>
  <c r="N384" i="555"/>
  <c r="K384" i="555"/>
  <c r="M384" i="555" s="1"/>
  <c r="K384" i="555" a="1"/>
  <c r="J384" i="555"/>
  <c r="J384" i="555" a="1"/>
  <c r="H384" i="555"/>
  <c r="V383" i="555"/>
  <c r="W383" i="555" s="1"/>
  <c r="N383" i="555"/>
  <c r="K383" i="555" a="1"/>
  <c r="K383" i="555" s="1"/>
  <c r="M383" i="555" s="1"/>
  <c r="J383" i="555" a="1"/>
  <c r="J383" i="555" s="1"/>
  <c r="H383" i="555"/>
  <c r="W382" i="555"/>
  <c r="V382" i="555"/>
  <c r="N382" i="555"/>
  <c r="K382" i="555" a="1"/>
  <c r="K382" i="555" s="1"/>
  <c r="M382" i="555" s="1"/>
  <c r="J382" i="555" a="1"/>
  <c r="J382" i="555" s="1"/>
  <c r="H382" i="555"/>
  <c r="V381" i="555"/>
  <c r="W381" i="555" s="1"/>
  <c r="N381" i="555"/>
  <c r="K381" i="555" a="1"/>
  <c r="K381" i="555" s="1"/>
  <c r="M381" i="555" s="1"/>
  <c r="J381" i="555" a="1"/>
  <c r="J381" i="555" s="1"/>
  <c r="H381" i="555"/>
  <c r="V380" i="555"/>
  <c r="W380" i="555" s="1"/>
  <c r="N380" i="555"/>
  <c r="K380" i="555"/>
  <c r="M380" i="555" s="1"/>
  <c r="K380" i="555" a="1"/>
  <c r="J380" i="555"/>
  <c r="J380" i="555" a="1"/>
  <c r="H380" i="555"/>
  <c r="V379" i="555"/>
  <c r="W379" i="555" s="1"/>
  <c r="N379" i="555"/>
  <c r="K379" i="555" a="1"/>
  <c r="K379" i="555" s="1"/>
  <c r="M379" i="555" s="1"/>
  <c r="J379" i="555" a="1"/>
  <c r="J379" i="555" s="1"/>
  <c r="H379" i="555"/>
  <c r="K378" i="555" a="1"/>
  <c r="K378" i="555" s="1"/>
  <c r="M378" i="555" s="1"/>
  <c r="H378" i="555"/>
  <c r="K377" i="555" a="1"/>
  <c r="K377" i="555" s="1"/>
  <c r="M377" i="555" s="1"/>
  <c r="H377" i="555"/>
  <c r="K376" i="555" a="1"/>
  <c r="K376" i="555" s="1"/>
  <c r="M376" i="555" s="1"/>
  <c r="H376" i="555"/>
  <c r="W375" i="555"/>
  <c r="V375" i="555"/>
  <c r="N375" i="555"/>
  <c r="K375" i="555" a="1"/>
  <c r="K375" i="555" s="1"/>
  <c r="M375" i="555" s="1"/>
  <c r="J375" i="555" a="1"/>
  <c r="J375" i="555" s="1"/>
  <c r="H375" i="555"/>
  <c r="V374" i="555"/>
  <c r="W374" i="555" s="1"/>
  <c r="N374" i="555"/>
  <c r="K374" i="555" a="1"/>
  <c r="K374" i="555" s="1"/>
  <c r="M374" i="555" s="1"/>
  <c r="J374" i="555" a="1"/>
  <c r="J374" i="555" s="1"/>
  <c r="H374" i="555"/>
  <c r="V373" i="555"/>
  <c r="W373" i="555" s="1"/>
  <c r="N373" i="555"/>
  <c r="K373" i="555"/>
  <c r="M373" i="555" s="1"/>
  <c r="K373" i="555" a="1"/>
  <c r="J373" i="555"/>
  <c r="J373" i="555" a="1"/>
  <c r="H373" i="555"/>
  <c r="K372" i="555" a="1"/>
  <c r="K372" i="555" s="1"/>
  <c r="H372" i="555"/>
  <c r="V371" i="555"/>
  <c r="V428" i="555" s="1"/>
  <c r="W428" i="555" s="1"/>
  <c r="N371" i="555"/>
  <c r="K371" i="555"/>
  <c r="K371" i="555" a="1"/>
  <c r="J371" i="555"/>
  <c r="J371" i="555" a="1"/>
  <c r="H371" i="555"/>
  <c r="H428" i="555" s="1"/>
  <c r="AA370" i="555"/>
  <c r="AA507" i="555" s="1"/>
  <c r="Z370" i="555"/>
  <c r="Z507" i="555" s="1"/>
  <c r="Y370" i="555"/>
  <c r="Y507" i="555" s="1"/>
  <c r="X370" i="555"/>
  <c r="X507" i="555" s="1"/>
  <c r="U370" i="555"/>
  <c r="U507" i="555" s="1"/>
  <c r="T370" i="555"/>
  <c r="T507" i="555" s="1"/>
  <c r="S370" i="555"/>
  <c r="S507" i="555" s="1"/>
  <c r="R370" i="555"/>
  <c r="R507" i="555" s="1"/>
  <c r="Q370" i="555"/>
  <c r="Q507" i="555" s="1"/>
  <c r="P370" i="555"/>
  <c r="P507" i="555" s="1"/>
  <c r="O370" i="555"/>
  <c r="I370" i="555"/>
  <c r="I507" i="555" s="1"/>
  <c r="B515" i="555" s="1"/>
  <c r="G370" i="555"/>
  <c r="G507" i="555" s="1"/>
  <c r="V369" i="555"/>
  <c r="W369" i="555" s="1"/>
  <c r="N369" i="555"/>
  <c r="K369" i="555" a="1"/>
  <c r="K369" i="555" s="1"/>
  <c r="M369" i="555" s="1"/>
  <c r="J369" i="555" a="1"/>
  <c r="J369" i="555" s="1"/>
  <c r="H369" i="555"/>
  <c r="V368" i="555"/>
  <c r="W368" i="555" s="1"/>
  <c r="N368" i="555"/>
  <c r="K368" i="555"/>
  <c r="M368" i="555" s="1"/>
  <c r="K368" i="555" a="1"/>
  <c r="J368" i="555"/>
  <c r="J368" i="555" a="1"/>
  <c r="H368" i="555"/>
  <c r="K367" i="555" a="1"/>
  <c r="K367" i="555" s="1"/>
  <c r="M367" i="555" s="1"/>
  <c r="H367" i="555"/>
  <c r="K366" i="555"/>
  <c r="M366" i="555" s="1"/>
  <c r="K366" i="555" a="1"/>
  <c r="H366" i="555"/>
  <c r="K365" i="555" a="1"/>
  <c r="K365" i="555" s="1"/>
  <c r="M365" i="555" s="1"/>
  <c r="H365" i="555"/>
  <c r="K364" i="555" a="1"/>
  <c r="K364" i="555" s="1"/>
  <c r="M364" i="555" s="1"/>
  <c r="H364" i="555"/>
  <c r="V363" i="555"/>
  <c r="W363" i="555" s="1"/>
  <c r="N363" i="555"/>
  <c r="K363" i="555"/>
  <c r="M363" i="555" s="1"/>
  <c r="K363" i="555" a="1"/>
  <c r="J363" i="555"/>
  <c r="J363" i="555" a="1"/>
  <c r="H363" i="555"/>
  <c r="V362" i="555"/>
  <c r="W362" i="555" s="1"/>
  <c r="N362" i="555"/>
  <c r="K362" i="555" a="1"/>
  <c r="K362" i="555" s="1"/>
  <c r="M362" i="555" s="1"/>
  <c r="J362" i="555" a="1"/>
  <c r="J362" i="555" s="1"/>
  <c r="H362" i="555"/>
  <c r="W361" i="555"/>
  <c r="V361" i="555"/>
  <c r="N361" i="555"/>
  <c r="K361" i="555" a="1"/>
  <c r="K361" i="555" s="1"/>
  <c r="M361" i="555" s="1"/>
  <c r="J361" i="555" a="1"/>
  <c r="J361" i="555" s="1"/>
  <c r="H361" i="555"/>
  <c r="H360" i="555"/>
  <c r="H359" i="555"/>
  <c r="V358" i="555"/>
  <c r="W358" i="555" s="1"/>
  <c r="N358" i="555"/>
  <c r="K358" i="555" a="1"/>
  <c r="K358" i="555" s="1"/>
  <c r="M358" i="555" s="1"/>
  <c r="J358" i="555" a="1"/>
  <c r="J358" i="555" s="1"/>
  <c r="H358" i="555"/>
  <c r="V357" i="555"/>
  <c r="W357" i="555" s="1"/>
  <c r="N357" i="555"/>
  <c r="K357" i="555"/>
  <c r="M357" i="555" s="1"/>
  <c r="K357" i="555" a="1"/>
  <c r="J357" i="555"/>
  <c r="J357" i="555" a="1"/>
  <c r="H357" i="555"/>
  <c r="K356" i="555" a="1"/>
  <c r="K356" i="555" s="1"/>
  <c r="M356" i="555" s="1"/>
  <c r="H356" i="555"/>
  <c r="K355" i="555" a="1"/>
  <c r="K355" i="555" s="1"/>
  <c r="M355" i="555" s="1"/>
  <c r="H355" i="555"/>
  <c r="V354" i="555"/>
  <c r="W354" i="555" s="1"/>
  <c r="N354" i="555"/>
  <c r="K354" i="555"/>
  <c r="M354" i="555" s="1"/>
  <c r="K354" i="555" a="1"/>
  <c r="J354" i="555"/>
  <c r="J354" i="555" a="1"/>
  <c r="H354" i="555"/>
  <c r="V353" i="555"/>
  <c r="W353" i="555" s="1"/>
  <c r="N353" i="555"/>
  <c r="K353" i="555"/>
  <c r="M353" i="555" s="1"/>
  <c r="K353" i="555" a="1"/>
  <c r="J353" i="555" a="1"/>
  <c r="J353" i="555" s="1"/>
  <c r="H353" i="555"/>
  <c r="W352" i="555"/>
  <c r="V352" i="555"/>
  <c r="N352" i="555"/>
  <c r="K352" i="555" a="1"/>
  <c r="K352" i="555" s="1"/>
  <c r="M352" i="555" s="1"/>
  <c r="J352" i="555" a="1"/>
  <c r="J352" i="555" s="1"/>
  <c r="H352" i="555"/>
  <c r="V351" i="555"/>
  <c r="W351" i="555" s="1"/>
  <c r="N351" i="555"/>
  <c r="K351" i="555"/>
  <c r="M351" i="555" s="1"/>
  <c r="K351" i="555" a="1"/>
  <c r="J351" i="555" a="1"/>
  <c r="J351" i="555" s="1"/>
  <c r="H351" i="555"/>
  <c r="W350" i="555"/>
  <c r="V350" i="555"/>
  <c r="N350" i="555"/>
  <c r="K350" i="555" a="1"/>
  <c r="K350" i="555" s="1"/>
  <c r="M350" i="555" s="1"/>
  <c r="J350" i="555" a="1"/>
  <c r="J350" i="555" s="1"/>
  <c r="H350" i="555"/>
  <c r="V349" i="555"/>
  <c r="V370" i="555" s="1"/>
  <c r="N349" i="555"/>
  <c r="K349" i="555"/>
  <c r="M349" i="555" s="1"/>
  <c r="K349" i="555" a="1"/>
  <c r="J349" i="555" a="1"/>
  <c r="J349" i="555" s="1"/>
  <c r="H349" i="555"/>
  <c r="X343" i="555"/>
  <c r="X342" i="555"/>
  <c r="X341" i="555"/>
  <c r="G341" i="555"/>
  <c r="C341" i="555"/>
  <c r="X340" i="555"/>
  <c r="I340" i="555"/>
  <c r="E340" i="555"/>
  <c r="K340" i="555" s="1"/>
  <c r="M340" i="555" s="1"/>
  <c r="I339" i="555"/>
  <c r="E339" i="555"/>
  <c r="K339" i="555" s="1"/>
  <c r="M339" i="555" s="1"/>
  <c r="I338" i="555"/>
  <c r="E338" i="555"/>
  <c r="K338" i="555" s="1"/>
  <c r="M338" i="555" s="1"/>
  <c r="X337" i="555"/>
  <c r="I337" i="555"/>
  <c r="I341" i="555" s="1"/>
  <c r="E337" i="555"/>
  <c r="E341" i="555" s="1"/>
  <c r="AA334" i="555"/>
  <c r="Z334" i="555"/>
  <c r="Y334" i="555"/>
  <c r="X334" i="555"/>
  <c r="U334" i="555"/>
  <c r="T334" i="555"/>
  <c r="S334" i="555"/>
  <c r="R334" i="555"/>
  <c r="Q334" i="555"/>
  <c r="P334" i="555"/>
  <c r="O334" i="555"/>
  <c r="I334" i="555"/>
  <c r="G334" i="555"/>
  <c r="K333" i="555" a="1"/>
  <c r="K333" i="555" s="1"/>
  <c r="H333" i="555"/>
  <c r="K332" i="555" a="1"/>
  <c r="K332" i="555" s="1"/>
  <c r="H332" i="555"/>
  <c r="K331" i="555"/>
  <c r="K331" i="555" a="1"/>
  <c r="H331" i="555"/>
  <c r="V330" i="555"/>
  <c r="W330" i="555" s="1"/>
  <c r="N330" i="555"/>
  <c r="K330" i="555" a="1"/>
  <c r="K330" i="555" s="1"/>
  <c r="H330" i="555"/>
  <c r="D330" i="555"/>
  <c r="H329" i="555"/>
  <c r="K328" i="555" a="1"/>
  <c r="K328" i="555" s="1"/>
  <c r="H328" i="555"/>
  <c r="H327" i="555"/>
  <c r="V326" i="555"/>
  <c r="W326" i="555" s="1"/>
  <c r="N326" i="555"/>
  <c r="K326" i="555" a="1"/>
  <c r="K326" i="555" s="1"/>
  <c r="M326" i="555" s="1"/>
  <c r="J326" i="555" a="1"/>
  <c r="J326" i="555" s="1"/>
  <c r="H326" i="555"/>
  <c r="V325" i="555"/>
  <c r="W325" i="555" s="1"/>
  <c r="N325" i="555"/>
  <c r="K325" i="555"/>
  <c r="M325" i="555" s="1"/>
  <c r="K325" i="555" a="1"/>
  <c r="J325" i="555"/>
  <c r="J325" i="555" a="1"/>
  <c r="H325" i="555"/>
  <c r="H324" i="555"/>
  <c r="W323" i="555"/>
  <c r="V323" i="555"/>
  <c r="N323" i="555"/>
  <c r="K323" i="555" a="1"/>
  <c r="K323" i="555" s="1"/>
  <c r="M323" i="555" s="1"/>
  <c r="J323" i="555" a="1"/>
  <c r="J323" i="555" s="1"/>
  <c r="H323" i="555"/>
  <c r="V322" i="555"/>
  <c r="W322" i="555" s="1"/>
  <c r="N322" i="555"/>
  <c r="K322" i="555" a="1"/>
  <c r="K322" i="555" s="1"/>
  <c r="M322" i="555" s="1"/>
  <c r="J322" i="555" a="1"/>
  <c r="J322" i="555" s="1"/>
  <c r="H322" i="555"/>
  <c r="V321" i="555"/>
  <c r="W321" i="555" s="1"/>
  <c r="N321" i="555"/>
  <c r="K321" i="555"/>
  <c r="M321" i="555" s="1"/>
  <c r="K321" i="555" a="1"/>
  <c r="J321" i="555"/>
  <c r="J321" i="555" a="1"/>
  <c r="H321" i="555"/>
  <c r="V320" i="555"/>
  <c r="W320" i="555" s="1"/>
  <c r="N320" i="555"/>
  <c r="K320" i="555" a="1"/>
  <c r="K320" i="555" s="1"/>
  <c r="J320" i="555" a="1"/>
  <c r="J320" i="555" s="1"/>
  <c r="H320" i="555"/>
  <c r="AA319" i="555"/>
  <c r="Z319" i="555"/>
  <c r="Y319" i="555"/>
  <c r="X319" i="555"/>
  <c r="U319" i="555"/>
  <c r="T319" i="555"/>
  <c r="S319" i="555"/>
  <c r="Q319" i="555"/>
  <c r="P319" i="555"/>
  <c r="O319" i="555"/>
  <c r="I319" i="555"/>
  <c r="G319" i="555"/>
  <c r="J319" i="555" s="1" a="1"/>
  <c r="J319" i="555" s="1"/>
  <c r="V318" i="555"/>
  <c r="W318" i="555" s="1"/>
  <c r="N318" i="555"/>
  <c r="K318" i="555"/>
  <c r="M318" i="555" s="1"/>
  <c r="K318" i="555" a="1"/>
  <c r="J318" i="555"/>
  <c r="J318" i="555" a="1"/>
  <c r="H318" i="555"/>
  <c r="H317" i="555"/>
  <c r="H316" i="555"/>
  <c r="H315" i="555"/>
  <c r="H314" i="555"/>
  <c r="V313" i="555"/>
  <c r="W313" i="555" s="1"/>
  <c r="N313" i="555"/>
  <c r="K313" i="555" a="1"/>
  <c r="K313" i="555" s="1"/>
  <c r="M313" i="555" s="1"/>
  <c r="J313" i="555" a="1"/>
  <c r="J313" i="555" s="1"/>
  <c r="H313" i="555"/>
  <c r="V312" i="555"/>
  <c r="W312" i="555" s="1"/>
  <c r="N312" i="555"/>
  <c r="K312" i="555"/>
  <c r="M312" i="555" s="1"/>
  <c r="K312" i="555" a="1"/>
  <c r="J312" i="555" a="1"/>
  <c r="J312" i="555" s="1"/>
  <c r="H312" i="555"/>
  <c r="V311" i="555"/>
  <c r="W311" i="555" s="1"/>
  <c r="N311" i="555"/>
  <c r="K311" i="555" a="1"/>
  <c r="K311" i="555" s="1"/>
  <c r="M311" i="555" s="1"/>
  <c r="J311" i="555" a="1"/>
  <c r="J311" i="555" s="1"/>
  <c r="H311" i="555"/>
  <c r="V310" i="555"/>
  <c r="W310" i="555" s="1"/>
  <c r="N310" i="555"/>
  <c r="K310" i="555"/>
  <c r="M310" i="555" s="1"/>
  <c r="K310" i="555" a="1"/>
  <c r="J310" i="555"/>
  <c r="J310" i="555" a="1"/>
  <c r="H310" i="555"/>
  <c r="V309" i="555"/>
  <c r="V319" i="555" s="1"/>
  <c r="W319" i="555" s="1"/>
  <c r="N309" i="555"/>
  <c r="K309" i="555" a="1"/>
  <c r="K309" i="555" s="1"/>
  <c r="J309" i="555" a="1"/>
  <c r="J309" i="555" s="1"/>
  <c r="H309" i="555"/>
  <c r="AA308" i="555"/>
  <c r="Z308" i="555"/>
  <c r="Y308" i="555"/>
  <c r="X308" i="555"/>
  <c r="U308" i="555"/>
  <c r="T308" i="555"/>
  <c r="S308" i="555"/>
  <c r="Q308" i="555"/>
  <c r="P308" i="555"/>
  <c r="O308" i="555"/>
  <c r="I308" i="555"/>
  <c r="G308" i="555"/>
  <c r="W307" i="555"/>
  <c r="V307" i="555"/>
  <c r="N307" i="555"/>
  <c r="K307" i="555"/>
  <c r="M307" i="555" s="1"/>
  <c r="K307" i="555" a="1"/>
  <c r="J307" i="555" a="1"/>
  <c r="J307" i="555" s="1"/>
  <c r="H307" i="555"/>
  <c r="V306" i="555"/>
  <c r="W306" i="555" s="1"/>
  <c r="N306" i="555"/>
  <c r="K306" i="555" a="1"/>
  <c r="K306" i="555" s="1"/>
  <c r="M306" i="555" s="1"/>
  <c r="J306" i="555" a="1"/>
  <c r="J306" i="555" s="1"/>
  <c r="H306" i="555"/>
  <c r="W305" i="555"/>
  <c r="V305" i="555"/>
  <c r="N305" i="555"/>
  <c r="K305" i="555" a="1"/>
  <c r="K305" i="555" s="1"/>
  <c r="M305" i="555" s="1"/>
  <c r="J305" i="555" a="1"/>
  <c r="J305" i="555" s="1"/>
  <c r="H305" i="555"/>
  <c r="V304" i="555"/>
  <c r="W304" i="555" s="1"/>
  <c r="N304" i="555"/>
  <c r="K304" i="555" a="1"/>
  <c r="K304" i="555" s="1"/>
  <c r="M304" i="555" s="1"/>
  <c r="J304" i="555" a="1"/>
  <c r="J304" i="555" s="1"/>
  <c r="H304" i="555"/>
  <c r="V303" i="555"/>
  <c r="W303" i="555" s="1"/>
  <c r="N303" i="555"/>
  <c r="K303" i="555"/>
  <c r="M303" i="555" s="1"/>
  <c r="K303" i="555" a="1"/>
  <c r="J303" i="555"/>
  <c r="J303" i="555" a="1"/>
  <c r="H303" i="555"/>
  <c r="V302" i="555"/>
  <c r="W302" i="555" s="1"/>
  <c r="N302" i="555"/>
  <c r="K302" i="555" a="1"/>
  <c r="K302" i="555" s="1"/>
  <c r="M302" i="555" s="1"/>
  <c r="J302" i="555" a="1"/>
  <c r="J302" i="555" s="1"/>
  <c r="H302" i="555"/>
  <c r="W301" i="555"/>
  <c r="V301" i="555"/>
  <c r="N301" i="555"/>
  <c r="K301" i="555" a="1"/>
  <c r="K301" i="555" s="1"/>
  <c r="M301" i="555" s="1"/>
  <c r="J301" i="555" a="1"/>
  <c r="J301" i="555" s="1"/>
  <c r="H301" i="555"/>
  <c r="V300" i="555"/>
  <c r="W300" i="555" s="1"/>
  <c r="N300" i="555"/>
  <c r="K300" i="555" a="1"/>
  <c r="K300" i="555" s="1"/>
  <c r="M300" i="555" s="1"/>
  <c r="J300" i="555" a="1"/>
  <c r="J300" i="555" s="1"/>
  <c r="H300" i="555"/>
  <c r="V299" i="555"/>
  <c r="W299" i="555" s="1"/>
  <c r="N299" i="555"/>
  <c r="K299" i="555"/>
  <c r="M299" i="555" s="1"/>
  <c r="K299" i="555" a="1"/>
  <c r="J299" i="555"/>
  <c r="J299" i="555" a="1"/>
  <c r="H299" i="555"/>
  <c r="V298" i="555"/>
  <c r="W298" i="555" s="1"/>
  <c r="N298" i="555"/>
  <c r="K298" i="555" a="1"/>
  <c r="K298" i="555" s="1"/>
  <c r="M298" i="555" s="1"/>
  <c r="J298" i="555" a="1"/>
  <c r="J298" i="555" s="1"/>
  <c r="H298" i="555"/>
  <c r="W297" i="555"/>
  <c r="V297" i="555"/>
  <c r="N297" i="555"/>
  <c r="K297" i="555" a="1"/>
  <c r="K297" i="555" s="1"/>
  <c r="M297" i="555" s="1"/>
  <c r="J297" i="555" a="1"/>
  <c r="J297" i="555" s="1"/>
  <c r="H297" i="555"/>
  <c r="V296" i="555"/>
  <c r="W296" i="555" s="1"/>
  <c r="N296" i="555"/>
  <c r="K296" i="555" a="1"/>
  <c r="K296" i="555" s="1"/>
  <c r="M296" i="555" s="1"/>
  <c r="J296" i="555" a="1"/>
  <c r="J296" i="555" s="1"/>
  <c r="H296" i="555"/>
  <c r="V295" i="555"/>
  <c r="W295" i="555" s="1"/>
  <c r="N295" i="555"/>
  <c r="K295" i="555"/>
  <c r="M295" i="555" s="1"/>
  <c r="K295" i="555" a="1"/>
  <c r="J295" i="555"/>
  <c r="J295" i="555" a="1"/>
  <c r="H295" i="555"/>
  <c r="V294" i="555"/>
  <c r="W294" i="555" s="1"/>
  <c r="N294" i="555"/>
  <c r="K294" i="555" a="1"/>
  <c r="K294" i="555" s="1"/>
  <c r="M294" i="555" s="1"/>
  <c r="J294" i="555" a="1"/>
  <c r="J294" i="555" s="1"/>
  <c r="H294" i="555"/>
  <c r="W293" i="555"/>
  <c r="V293" i="555"/>
  <c r="N293" i="555"/>
  <c r="N308" i="555" s="1"/>
  <c r="K293" i="555" a="1"/>
  <c r="K293" i="555" s="1"/>
  <c r="M293" i="555" s="1"/>
  <c r="J293" i="555" a="1"/>
  <c r="J293" i="555" s="1"/>
  <c r="H293" i="555"/>
  <c r="AA292" i="555"/>
  <c r="Z292" i="555"/>
  <c r="Y292" i="555"/>
  <c r="X292" i="555"/>
  <c r="U292" i="555"/>
  <c r="T292" i="555"/>
  <c r="S292" i="555"/>
  <c r="R292" i="555"/>
  <c r="Q292" i="555"/>
  <c r="P292" i="555"/>
  <c r="O292" i="555"/>
  <c r="I292" i="555"/>
  <c r="G292" i="555"/>
  <c r="W291" i="555"/>
  <c r="V291" i="555"/>
  <c r="N291" i="555"/>
  <c r="K291" i="555"/>
  <c r="M291" i="555" s="1"/>
  <c r="K291" i="555" a="1"/>
  <c r="J291" i="555" a="1"/>
  <c r="J291" i="555" s="1"/>
  <c r="H291" i="555"/>
  <c r="V290" i="555"/>
  <c r="W290" i="555" s="1"/>
  <c r="N290" i="555"/>
  <c r="K290" i="555" a="1"/>
  <c r="K290" i="555" s="1"/>
  <c r="M290" i="555" s="1"/>
  <c r="J290" i="555" a="1"/>
  <c r="J290" i="555" s="1"/>
  <c r="H290" i="555"/>
  <c r="V289" i="555"/>
  <c r="W289" i="555" s="1"/>
  <c r="N289" i="555"/>
  <c r="K289" i="555" a="1"/>
  <c r="K289" i="555" s="1"/>
  <c r="M289" i="555" s="1"/>
  <c r="J289" i="555" a="1"/>
  <c r="J289" i="555" s="1"/>
  <c r="H289" i="555"/>
  <c r="H288" i="555"/>
  <c r="H287" i="555"/>
  <c r="H286" i="555"/>
  <c r="V285" i="555"/>
  <c r="W285" i="555" s="1"/>
  <c r="N285" i="555"/>
  <c r="K285" i="555"/>
  <c r="M285" i="555" s="1"/>
  <c r="K285" i="555" a="1"/>
  <c r="J285" i="555"/>
  <c r="J285" i="555" a="1"/>
  <c r="H285" i="555"/>
  <c r="V284" i="555"/>
  <c r="W284" i="555" s="1"/>
  <c r="N284" i="555"/>
  <c r="K284" i="555" a="1"/>
  <c r="K284" i="555" s="1"/>
  <c r="M284" i="555" s="1"/>
  <c r="J284" i="555" a="1"/>
  <c r="J284" i="555" s="1"/>
  <c r="H284" i="555"/>
  <c r="N283" i="555"/>
  <c r="K283" i="555" a="1"/>
  <c r="K283" i="555" s="1"/>
  <c r="M283" i="555" s="1"/>
  <c r="H283" i="555"/>
  <c r="N282" i="555"/>
  <c r="K282" i="555" a="1"/>
  <c r="K282" i="555" s="1"/>
  <c r="M282" i="555" s="1"/>
  <c r="H282" i="555"/>
  <c r="N281" i="555"/>
  <c r="K281" i="555" a="1"/>
  <c r="K281" i="555" s="1"/>
  <c r="M281" i="555" s="1"/>
  <c r="H281" i="555"/>
  <c r="N280" i="555"/>
  <c r="K280" i="555" a="1"/>
  <c r="K280" i="555" s="1"/>
  <c r="M280" i="555" s="1"/>
  <c r="H280" i="555"/>
  <c r="N279" i="555"/>
  <c r="K279" i="555" a="1"/>
  <c r="K279" i="555" s="1"/>
  <c r="M279" i="555" s="1"/>
  <c r="H279" i="555"/>
  <c r="N278" i="555"/>
  <c r="K278" i="555" a="1"/>
  <c r="K278" i="555" s="1"/>
  <c r="M278" i="555" s="1"/>
  <c r="H278" i="555"/>
  <c r="V277" i="555"/>
  <c r="W277" i="555" s="1"/>
  <c r="N277" i="555"/>
  <c r="K277" i="555"/>
  <c r="M277" i="555" s="1"/>
  <c r="K277" i="555" a="1"/>
  <c r="J277" i="555"/>
  <c r="J277" i="555" a="1"/>
  <c r="H277" i="555"/>
  <c r="V276" i="555"/>
  <c r="W276" i="555" s="1"/>
  <c r="N276" i="555"/>
  <c r="K276" i="555" a="1"/>
  <c r="K276" i="555" s="1"/>
  <c r="M276" i="555" s="1"/>
  <c r="J276" i="555" a="1"/>
  <c r="J276" i="555" s="1"/>
  <c r="H276" i="555"/>
  <c r="W275" i="555"/>
  <c r="V275" i="555"/>
  <c r="N275" i="555"/>
  <c r="K275" i="555" a="1"/>
  <c r="K275" i="555" s="1"/>
  <c r="M275" i="555" s="1"/>
  <c r="J275" i="555" a="1"/>
  <c r="J275" i="555" s="1"/>
  <c r="H275" i="555"/>
  <c r="V274" i="555"/>
  <c r="W274" i="555" s="1"/>
  <c r="N274" i="555"/>
  <c r="K274" i="555" a="1"/>
  <c r="K274" i="555" s="1"/>
  <c r="M274" i="555" s="1"/>
  <c r="J274" i="555" a="1"/>
  <c r="J274" i="555" s="1"/>
  <c r="H274" i="555"/>
  <c r="V273" i="555"/>
  <c r="W273" i="555" s="1"/>
  <c r="N273" i="555"/>
  <c r="K273" i="555"/>
  <c r="M273" i="555" s="1"/>
  <c r="K273" i="555" a="1"/>
  <c r="J273" i="555"/>
  <c r="J273" i="555" a="1"/>
  <c r="H273" i="555"/>
  <c r="V272" i="555"/>
  <c r="W272" i="555" s="1"/>
  <c r="N272" i="555"/>
  <c r="K272" i="555" a="1"/>
  <c r="K272" i="555" s="1"/>
  <c r="M272" i="555" s="1"/>
  <c r="J272" i="555" a="1"/>
  <c r="J272" i="555" s="1"/>
  <c r="H272" i="555"/>
  <c r="W271" i="555"/>
  <c r="V271" i="555"/>
  <c r="N271" i="555"/>
  <c r="K271" i="555" a="1"/>
  <c r="K271" i="555" s="1"/>
  <c r="M271" i="555" s="1"/>
  <c r="J271" i="555" a="1"/>
  <c r="J271" i="555" s="1"/>
  <c r="H271" i="555"/>
  <c r="V270" i="555"/>
  <c r="W270" i="555" s="1"/>
  <c r="N270" i="555"/>
  <c r="K270" i="555" a="1"/>
  <c r="K270" i="555" s="1"/>
  <c r="M270" i="555" s="1"/>
  <c r="J270" i="555" a="1"/>
  <c r="J270" i="555" s="1"/>
  <c r="H270" i="555"/>
  <c r="V269" i="555"/>
  <c r="W269" i="555" s="1"/>
  <c r="N269" i="555"/>
  <c r="K269" i="555"/>
  <c r="M269" i="555" s="1"/>
  <c r="K269" i="555" a="1"/>
  <c r="J269" i="555"/>
  <c r="J269" i="555" a="1"/>
  <c r="H269" i="555"/>
  <c r="V268" i="555"/>
  <c r="W268" i="555" s="1"/>
  <c r="N268" i="555"/>
  <c r="K268" i="555" a="1"/>
  <c r="K268" i="555" s="1"/>
  <c r="M268" i="555" s="1"/>
  <c r="J268" i="555" a="1"/>
  <c r="J268" i="555" s="1"/>
  <c r="H268" i="555"/>
  <c r="W267" i="555"/>
  <c r="V267" i="555"/>
  <c r="N267" i="555"/>
  <c r="K267" i="555" a="1"/>
  <c r="K267" i="555" s="1"/>
  <c r="M267" i="555" s="1"/>
  <c r="J267" i="555" a="1"/>
  <c r="J267" i="555" s="1"/>
  <c r="H267" i="555"/>
  <c r="V266" i="555"/>
  <c r="W266" i="555" s="1"/>
  <c r="N266" i="555"/>
  <c r="K266" i="555" a="1"/>
  <c r="K266" i="555" s="1"/>
  <c r="M266" i="555" s="1"/>
  <c r="J266" i="555" a="1"/>
  <c r="J266" i="555" s="1"/>
  <c r="H266" i="555"/>
  <c r="N265" i="555"/>
  <c r="K265" i="555"/>
  <c r="M265" i="555" s="1"/>
  <c r="K265" i="555" a="1"/>
  <c r="H265" i="555"/>
  <c r="V264" i="555"/>
  <c r="W264" i="555" s="1"/>
  <c r="N264" i="555"/>
  <c r="K264" i="555" a="1"/>
  <c r="K264" i="555" s="1"/>
  <c r="M264" i="555" s="1"/>
  <c r="J264" i="555" a="1"/>
  <c r="J264" i="555" s="1"/>
  <c r="H264" i="555"/>
  <c r="W263" i="555"/>
  <c r="V263" i="555"/>
  <c r="N263" i="555"/>
  <c r="K263" i="555" a="1"/>
  <c r="K263" i="555" s="1"/>
  <c r="M263" i="555" s="1"/>
  <c r="J263" i="555" a="1"/>
  <c r="J263" i="555" s="1"/>
  <c r="H263" i="555"/>
  <c r="V262" i="555"/>
  <c r="W262" i="555" s="1"/>
  <c r="N262" i="555"/>
  <c r="K262" i="555" a="1"/>
  <c r="K262" i="555" s="1"/>
  <c r="M262" i="555" s="1"/>
  <c r="J262" i="555" a="1"/>
  <c r="J262" i="555" s="1"/>
  <c r="H262" i="555"/>
  <c r="V261" i="555"/>
  <c r="W261" i="555" s="1"/>
  <c r="N261" i="555"/>
  <c r="K261" i="555"/>
  <c r="M261" i="555" s="1"/>
  <c r="K261" i="555" a="1"/>
  <c r="J261" i="555"/>
  <c r="J261" i="555" a="1"/>
  <c r="H261" i="555"/>
  <c r="V260" i="555"/>
  <c r="W260" i="555" s="1"/>
  <c r="N260" i="555"/>
  <c r="K260" i="555" a="1"/>
  <c r="K260" i="555" s="1"/>
  <c r="M260" i="555" s="1"/>
  <c r="J260" i="555" a="1"/>
  <c r="J260" i="555" s="1"/>
  <c r="H260" i="555"/>
  <c r="W259" i="555"/>
  <c r="V259" i="555"/>
  <c r="N259" i="555"/>
  <c r="K259" i="555" a="1"/>
  <c r="K259" i="555" s="1"/>
  <c r="M259" i="555" s="1"/>
  <c r="J259" i="555" a="1"/>
  <c r="J259" i="555" s="1"/>
  <c r="H259" i="555"/>
  <c r="V258" i="555"/>
  <c r="W258" i="555" s="1"/>
  <c r="N258" i="555"/>
  <c r="K258" i="555" a="1"/>
  <c r="K258" i="555" s="1"/>
  <c r="J258" i="555" a="1"/>
  <c r="J258" i="555" s="1"/>
  <c r="H258" i="555"/>
  <c r="H292" i="555" s="1"/>
  <c r="AA257" i="555"/>
  <c r="Z257" i="555"/>
  <c r="Y257" i="555"/>
  <c r="X257" i="555"/>
  <c r="U257" i="555"/>
  <c r="T257" i="555"/>
  <c r="S257" i="555"/>
  <c r="R257" i="555"/>
  <c r="Q257" i="555"/>
  <c r="P257" i="555"/>
  <c r="O257" i="555"/>
  <c r="R338" i="555" s="1"/>
  <c r="I257" i="555"/>
  <c r="G257" i="555"/>
  <c r="H256" i="555"/>
  <c r="H255" i="555"/>
  <c r="H254" i="555"/>
  <c r="H253" i="555"/>
  <c r="H252" i="555"/>
  <c r="H251" i="555"/>
  <c r="K250" i="555" a="1"/>
  <c r="K250" i="555" s="1"/>
  <c r="M250" i="555" s="1"/>
  <c r="H250" i="555"/>
  <c r="K249" i="555"/>
  <c r="M249" i="555" s="1"/>
  <c r="K249" i="555" a="1"/>
  <c r="H249" i="555"/>
  <c r="K248" i="555" a="1"/>
  <c r="K248" i="555" s="1"/>
  <c r="M248" i="555" s="1"/>
  <c r="H248" i="555"/>
  <c r="K247" i="555"/>
  <c r="M247" i="555" s="1"/>
  <c r="K247" i="555" a="1"/>
  <c r="H247" i="555"/>
  <c r="V246" i="555"/>
  <c r="W246" i="555" s="1"/>
  <c r="N246" i="555"/>
  <c r="K246" i="555" a="1"/>
  <c r="K246" i="555" s="1"/>
  <c r="M246" i="555" s="1"/>
  <c r="J246" i="555" a="1"/>
  <c r="J246" i="555" s="1"/>
  <c r="H246" i="555"/>
  <c r="V245" i="555"/>
  <c r="W245" i="555" s="1"/>
  <c r="N245" i="555"/>
  <c r="K245" i="555"/>
  <c r="M245" i="555" s="1"/>
  <c r="K245" i="555" a="1"/>
  <c r="J245" i="555"/>
  <c r="J245" i="555" a="1"/>
  <c r="H245" i="555"/>
  <c r="V244" i="555"/>
  <c r="W244" i="555" s="1"/>
  <c r="N244" i="555"/>
  <c r="K244" i="555" a="1"/>
  <c r="K244" i="555" s="1"/>
  <c r="M244" i="555" s="1"/>
  <c r="J244" i="555" a="1"/>
  <c r="J244" i="555" s="1"/>
  <c r="H244" i="555"/>
  <c r="W243" i="555"/>
  <c r="V243" i="555"/>
  <c r="N243" i="555"/>
  <c r="K243" i="555" a="1"/>
  <c r="K243" i="555" s="1"/>
  <c r="M243" i="555" s="1"/>
  <c r="J243" i="555" a="1"/>
  <c r="J243" i="555" s="1"/>
  <c r="H243" i="555"/>
  <c r="M242" i="555"/>
  <c r="H242" i="555"/>
  <c r="V241" i="555"/>
  <c r="W241" i="555" s="1"/>
  <c r="N241" i="555"/>
  <c r="K241" i="555" a="1"/>
  <c r="K241" i="555" s="1"/>
  <c r="M241" i="555" s="1"/>
  <c r="J241" i="555" a="1"/>
  <c r="J241" i="555" s="1"/>
  <c r="H241" i="555"/>
  <c r="V240" i="555"/>
  <c r="W240" i="555" s="1"/>
  <c r="N240" i="555"/>
  <c r="K240" i="555"/>
  <c r="M240" i="555" s="1"/>
  <c r="K240" i="555" a="1"/>
  <c r="J240" i="555"/>
  <c r="J240" i="555" a="1"/>
  <c r="H240" i="555"/>
  <c r="K239" i="555" a="1"/>
  <c r="K239" i="555" s="1"/>
  <c r="M239" i="555" s="1"/>
  <c r="H239" i="555"/>
  <c r="H238" i="555"/>
  <c r="V237" i="555"/>
  <c r="W237" i="555" s="1"/>
  <c r="N237" i="555"/>
  <c r="K237" i="555"/>
  <c r="M237" i="555" s="1"/>
  <c r="K237" i="555" a="1"/>
  <c r="J237" i="555"/>
  <c r="J237" i="555" a="1"/>
  <c r="H237" i="555"/>
  <c r="V236" i="555"/>
  <c r="W236" i="555" s="1"/>
  <c r="N236" i="555"/>
  <c r="K236" i="555" a="1"/>
  <c r="K236" i="555" s="1"/>
  <c r="M236" i="555" s="1"/>
  <c r="J236" i="555" a="1"/>
  <c r="J236" i="555" s="1"/>
  <c r="H236" i="555"/>
  <c r="V235" i="555"/>
  <c r="W235" i="555" s="1"/>
  <c r="N235" i="555"/>
  <c r="K235" i="555"/>
  <c r="M235" i="555" s="1"/>
  <c r="K235" i="555" a="1"/>
  <c r="J235" i="555"/>
  <c r="J235" i="555" a="1"/>
  <c r="H235" i="555"/>
  <c r="V234" i="555"/>
  <c r="W234" i="555" s="1"/>
  <c r="N234" i="555"/>
  <c r="K234" i="555" a="1"/>
  <c r="K234" i="555" s="1"/>
  <c r="M234" i="555" s="1"/>
  <c r="J234" i="555" a="1"/>
  <c r="J234" i="555" s="1"/>
  <c r="H234" i="555"/>
  <c r="W233" i="555"/>
  <c r="V233" i="555"/>
  <c r="N233" i="555"/>
  <c r="K233" i="555" a="1"/>
  <c r="K233" i="555" s="1"/>
  <c r="M233" i="555" s="1"/>
  <c r="J233" i="555" a="1"/>
  <c r="J233" i="555" s="1"/>
  <c r="H233" i="555"/>
  <c r="V232" i="555"/>
  <c r="W232" i="555" s="1"/>
  <c r="N232" i="555"/>
  <c r="K232" i="555" a="1"/>
  <c r="K232" i="555" s="1"/>
  <c r="M232" i="555" s="1"/>
  <c r="J232" i="555" a="1"/>
  <c r="J232" i="555" s="1"/>
  <c r="H232" i="555"/>
  <c r="V231" i="555"/>
  <c r="W231" i="555" s="1"/>
  <c r="N231" i="555"/>
  <c r="K231" i="555"/>
  <c r="M231" i="555" s="1"/>
  <c r="K231" i="555" a="1"/>
  <c r="J231" i="555"/>
  <c r="J231" i="555" a="1"/>
  <c r="H231" i="555"/>
  <c r="V230" i="555"/>
  <c r="W230" i="555" s="1"/>
  <c r="N230" i="555"/>
  <c r="K230" i="555" a="1"/>
  <c r="K230" i="555" s="1"/>
  <c r="M230" i="555" s="1"/>
  <c r="J230" i="555" a="1"/>
  <c r="J230" i="555" s="1"/>
  <c r="H230" i="555"/>
  <c r="W229" i="555"/>
  <c r="V229" i="555"/>
  <c r="N229" i="555"/>
  <c r="K229" i="555" a="1"/>
  <c r="K229" i="555" s="1"/>
  <c r="M229" i="555" s="1"/>
  <c r="J229" i="555" a="1"/>
  <c r="J229" i="555" s="1"/>
  <c r="H229" i="555"/>
  <c r="V228" i="555"/>
  <c r="W228" i="555" s="1"/>
  <c r="N228" i="555"/>
  <c r="K228" i="555" a="1"/>
  <c r="K228" i="555" s="1"/>
  <c r="M228" i="555" s="1"/>
  <c r="J228" i="555" a="1"/>
  <c r="J228" i="555" s="1"/>
  <c r="H228" i="555"/>
  <c r="N227" i="555"/>
  <c r="K227" i="555"/>
  <c r="M227" i="555" s="1"/>
  <c r="K227" i="555" a="1"/>
  <c r="H227" i="555"/>
  <c r="N226" i="555"/>
  <c r="K226" i="555" a="1"/>
  <c r="K226" i="555" s="1"/>
  <c r="M226" i="555" s="1"/>
  <c r="H226" i="555"/>
  <c r="N225" i="555"/>
  <c r="K225" i="555" a="1"/>
  <c r="K225" i="555" s="1"/>
  <c r="M225" i="555" s="1"/>
  <c r="H225" i="555"/>
  <c r="N224" i="555"/>
  <c r="K224" i="555" a="1"/>
  <c r="K224" i="555" s="1"/>
  <c r="M224" i="555" s="1"/>
  <c r="H224" i="555"/>
  <c r="N223" i="555"/>
  <c r="K223" i="555"/>
  <c r="M223" i="555" s="1"/>
  <c r="K223" i="555" a="1"/>
  <c r="H223" i="555"/>
  <c r="N222" i="555"/>
  <c r="K222" i="555" a="1"/>
  <c r="K222" i="555" s="1"/>
  <c r="M222" i="555" s="1"/>
  <c r="H222" i="555"/>
  <c r="N221" i="555"/>
  <c r="K221" i="555" a="1"/>
  <c r="K221" i="555" s="1"/>
  <c r="M221" i="555" s="1"/>
  <c r="H221" i="555"/>
  <c r="N220" i="555"/>
  <c r="K220" i="555" a="1"/>
  <c r="K220" i="555" s="1"/>
  <c r="M220" i="555" s="1"/>
  <c r="H220" i="555"/>
  <c r="V219" i="555"/>
  <c r="W219" i="555" s="1"/>
  <c r="N219" i="555"/>
  <c r="K219" i="555"/>
  <c r="M219" i="555" s="1"/>
  <c r="K219" i="555" a="1"/>
  <c r="J219" i="555"/>
  <c r="J219" i="555" a="1"/>
  <c r="H219" i="555"/>
  <c r="V218" i="555"/>
  <c r="W218" i="555" s="1"/>
  <c r="N218" i="555"/>
  <c r="K218" i="555" a="1"/>
  <c r="K218" i="555" s="1"/>
  <c r="M218" i="555" s="1"/>
  <c r="J218" i="555" a="1"/>
  <c r="J218" i="555" s="1"/>
  <c r="H218" i="555"/>
  <c r="V217" i="555"/>
  <c r="W217" i="555" s="1"/>
  <c r="N217" i="555"/>
  <c r="K217" i="555" a="1"/>
  <c r="K217" i="555" s="1"/>
  <c r="M217" i="555" s="1"/>
  <c r="J217" i="555" a="1"/>
  <c r="J217" i="555" s="1"/>
  <c r="H217" i="555"/>
  <c r="V216" i="555"/>
  <c r="W216" i="555" s="1"/>
  <c r="N216" i="555"/>
  <c r="K216" i="555" a="1"/>
  <c r="K216" i="555" s="1"/>
  <c r="M216" i="555" s="1"/>
  <c r="J216" i="555" a="1"/>
  <c r="J216" i="555" s="1"/>
  <c r="H216" i="555"/>
  <c r="V215" i="555"/>
  <c r="W215" i="555" s="1"/>
  <c r="N215" i="555"/>
  <c r="K215" i="555"/>
  <c r="M215" i="555" s="1"/>
  <c r="K215" i="555" a="1"/>
  <c r="J215" i="555"/>
  <c r="J215" i="555" a="1"/>
  <c r="H215" i="555"/>
  <c r="V214" i="555"/>
  <c r="W214" i="555" s="1"/>
  <c r="N214" i="555"/>
  <c r="K214" i="555" a="1"/>
  <c r="K214" i="555" s="1"/>
  <c r="M214" i="555" s="1"/>
  <c r="J214" i="555" a="1"/>
  <c r="J214" i="555" s="1"/>
  <c r="H214" i="555"/>
  <c r="V213" i="555"/>
  <c r="W213" i="555" s="1"/>
  <c r="N213" i="555"/>
  <c r="K213" i="555" a="1"/>
  <c r="K213" i="555" s="1"/>
  <c r="M213" i="555" s="1"/>
  <c r="J213" i="555" a="1"/>
  <c r="J213" i="555" s="1"/>
  <c r="H213" i="555"/>
  <c r="V212" i="555"/>
  <c r="W212" i="555" s="1"/>
  <c r="N212" i="555"/>
  <c r="K212" i="555" a="1"/>
  <c r="K212" i="555" s="1"/>
  <c r="M212" i="555" s="1"/>
  <c r="J212" i="555" a="1"/>
  <c r="J212" i="555" s="1"/>
  <c r="H212" i="555"/>
  <c r="V211" i="555"/>
  <c r="W211" i="555" s="1"/>
  <c r="N211" i="555"/>
  <c r="K211" i="555"/>
  <c r="M211" i="555" s="1"/>
  <c r="K211" i="555" a="1"/>
  <c r="J211" i="555"/>
  <c r="J211" i="555" a="1"/>
  <c r="H211" i="555"/>
  <c r="V210" i="555"/>
  <c r="W210" i="555" s="1"/>
  <c r="N210" i="555"/>
  <c r="K210" i="555" a="1"/>
  <c r="K210" i="555" s="1"/>
  <c r="M210" i="555" s="1"/>
  <c r="J210" i="555" a="1"/>
  <c r="J210" i="555" s="1"/>
  <c r="H210" i="555"/>
  <c r="W209" i="555"/>
  <c r="V209" i="555"/>
  <c r="N209" i="555"/>
  <c r="K209" i="555" a="1"/>
  <c r="K209" i="555" s="1"/>
  <c r="M209" i="555" s="1"/>
  <c r="J209" i="555" a="1"/>
  <c r="J209" i="555" s="1"/>
  <c r="H209" i="555"/>
  <c r="V208" i="555"/>
  <c r="W208" i="555" s="1"/>
  <c r="N208" i="555"/>
  <c r="K208" i="555" a="1"/>
  <c r="K208" i="555" s="1"/>
  <c r="M208" i="555" s="1"/>
  <c r="J208" i="555" a="1"/>
  <c r="J208" i="555" s="1"/>
  <c r="H208" i="555"/>
  <c r="H207" i="555"/>
  <c r="H206" i="555"/>
  <c r="H205" i="555"/>
  <c r="V204" i="555"/>
  <c r="W204" i="555" s="1"/>
  <c r="N204" i="555"/>
  <c r="K204" i="555" a="1"/>
  <c r="K204" i="555" s="1"/>
  <c r="M204" i="555" s="1"/>
  <c r="J204" i="555" a="1"/>
  <c r="J204" i="555" s="1"/>
  <c r="H204" i="555"/>
  <c r="V203" i="555"/>
  <c r="W203" i="555" s="1"/>
  <c r="N203" i="555"/>
  <c r="K203" i="555"/>
  <c r="M203" i="555" s="1"/>
  <c r="K203" i="555" a="1"/>
  <c r="J203" i="555"/>
  <c r="J203" i="555" a="1"/>
  <c r="H203" i="555"/>
  <c r="V202" i="555"/>
  <c r="W202" i="555" s="1"/>
  <c r="N202" i="555"/>
  <c r="K202" i="555" a="1"/>
  <c r="K202" i="555" s="1"/>
  <c r="M202" i="555" s="1"/>
  <c r="J202" i="555" a="1"/>
  <c r="J202" i="555" s="1"/>
  <c r="H202" i="555"/>
  <c r="H201" i="555"/>
  <c r="V200" i="555"/>
  <c r="N200" i="555"/>
  <c r="K200" i="555" a="1"/>
  <c r="K200" i="555" s="1"/>
  <c r="J200" i="555" a="1"/>
  <c r="J200" i="555" s="1"/>
  <c r="H200" i="555"/>
  <c r="AA199" i="555"/>
  <c r="AA335" i="555" s="1"/>
  <c r="Z199" i="555"/>
  <c r="Z335" i="555" s="1"/>
  <c r="Y199" i="555"/>
  <c r="Y335" i="555" s="1"/>
  <c r="X199" i="555"/>
  <c r="X335" i="555" s="1"/>
  <c r="U199" i="555"/>
  <c r="U335" i="555" s="1"/>
  <c r="T199" i="555"/>
  <c r="T335" i="555" s="1"/>
  <c r="S199" i="555"/>
  <c r="S335" i="555" s="1"/>
  <c r="R199" i="555"/>
  <c r="R335" i="555" s="1"/>
  <c r="Q199" i="555"/>
  <c r="Q335" i="555" s="1"/>
  <c r="P199" i="555"/>
  <c r="O199" i="555"/>
  <c r="I199" i="555"/>
  <c r="I335" i="555" s="1"/>
  <c r="B343" i="555" s="1"/>
  <c r="G199" i="555"/>
  <c r="G335" i="555" s="1"/>
  <c r="V198" i="555"/>
  <c r="W198" i="555" s="1"/>
  <c r="N198" i="555"/>
  <c r="K198" i="555" a="1"/>
  <c r="K198" i="555" s="1"/>
  <c r="M198" i="555" s="1"/>
  <c r="J198" i="555" a="1"/>
  <c r="J198" i="555" s="1"/>
  <c r="H198" i="555"/>
  <c r="V197" i="555"/>
  <c r="W197" i="555" s="1"/>
  <c r="N197" i="555"/>
  <c r="K197" i="555"/>
  <c r="M197" i="555" s="1"/>
  <c r="K197" i="555" a="1"/>
  <c r="J197" i="555"/>
  <c r="J197" i="555" a="1"/>
  <c r="H197" i="555"/>
  <c r="K196" i="555" a="1"/>
  <c r="K196" i="555" s="1"/>
  <c r="M196" i="555" s="1"/>
  <c r="H196" i="555"/>
  <c r="K195" i="555" a="1"/>
  <c r="K195" i="555" s="1"/>
  <c r="M195" i="555" s="1"/>
  <c r="H195" i="555"/>
  <c r="K194" i="555" a="1"/>
  <c r="K194" i="555" s="1"/>
  <c r="M194" i="555" s="1"/>
  <c r="H194" i="555"/>
  <c r="K193" i="555"/>
  <c r="M193" i="555" s="1"/>
  <c r="K193" i="555" a="1"/>
  <c r="H193" i="555"/>
  <c r="V192" i="555"/>
  <c r="W192" i="555" s="1"/>
  <c r="N192" i="555"/>
  <c r="K192" i="555" a="1"/>
  <c r="K192" i="555" s="1"/>
  <c r="M192" i="555" s="1"/>
  <c r="J192" i="555" a="1"/>
  <c r="J192" i="555" s="1"/>
  <c r="H192" i="555"/>
  <c r="W191" i="555"/>
  <c r="V191" i="555"/>
  <c r="N191" i="555"/>
  <c r="K191" i="555" a="1"/>
  <c r="K191" i="555" s="1"/>
  <c r="M191" i="555" s="1"/>
  <c r="J191" i="555" a="1"/>
  <c r="J191" i="555" s="1"/>
  <c r="H191" i="555"/>
  <c r="V190" i="555"/>
  <c r="W190" i="555" s="1"/>
  <c r="N190" i="555"/>
  <c r="K190" i="555" a="1"/>
  <c r="K190" i="555" s="1"/>
  <c r="M190" i="555" s="1"/>
  <c r="J190" i="555" a="1"/>
  <c r="J190" i="555" s="1"/>
  <c r="H190" i="555"/>
  <c r="N189" i="555"/>
  <c r="K189" i="555" a="1"/>
  <c r="K189" i="555" s="1"/>
  <c r="M189" i="555" s="1"/>
  <c r="J189" i="555" a="1"/>
  <c r="J189" i="555" s="1"/>
  <c r="H189" i="555"/>
  <c r="N188" i="555"/>
  <c r="K188" i="555" a="1"/>
  <c r="K188" i="555" s="1"/>
  <c r="M188" i="555" s="1"/>
  <c r="J188" i="555" a="1"/>
  <c r="J188" i="555" s="1"/>
  <c r="H188" i="555"/>
  <c r="W187" i="555"/>
  <c r="V187" i="555"/>
  <c r="N187" i="555"/>
  <c r="K187" i="555" a="1"/>
  <c r="K187" i="555" s="1"/>
  <c r="M187" i="555" s="1"/>
  <c r="J187" i="555" a="1"/>
  <c r="J187" i="555" s="1"/>
  <c r="H187" i="555"/>
  <c r="V186" i="555"/>
  <c r="W186" i="555" s="1"/>
  <c r="N186" i="555"/>
  <c r="K186" i="555" a="1"/>
  <c r="K186" i="555" s="1"/>
  <c r="M186" i="555" s="1"/>
  <c r="J186" i="555" a="1"/>
  <c r="J186" i="555" s="1"/>
  <c r="H186" i="555"/>
  <c r="N185" i="555"/>
  <c r="K185" i="555" a="1"/>
  <c r="K185" i="555" s="1"/>
  <c r="M185" i="555" s="1"/>
  <c r="H185" i="555"/>
  <c r="N184" i="555"/>
  <c r="K184" i="555" a="1"/>
  <c r="K184" i="555" s="1"/>
  <c r="M184" i="555" s="1"/>
  <c r="H184" i="555"/>
  <c r="V183" i="555"/>
  <c r="W183" i="555" s="1"/>
  <c r="N183" i="555"/>
  <c r="K183" i="555" a="1"/>
  <c r="K183" i="555" s="1"/>
  <c r="M183" i="555" s="1"/>
  <c r="J183" i="555" a="1"/>
  <c r="J183" i="555" s="1"/>
  <c r="H183" i="555"/>
  <c r="V182" i="555"/>
  <c r="W182" i="555" s="1"/>
  <c r="N182" i="555"/>
  <c r="K182" i="555" a="1"/>
  <c r="K182" i="555" s="1"/>
  <c r="M182" i="555" s="1"/>
  <c r="J182" i="555" a="1"/>
  <c r="J182" i="555" s="1"/>
  <c r="H182" i="555"/>
  <c r="V181" i="555"/>
  <c r="W181" i="555" s="1"/>
  <c r="N181" i="555"/>
  <c r="K181" i="555"/>
  <c r="M181" i="555" s="1"/>
  <c r="K181" i="555" a="1"/>
  <c r="J181" i="555"/>
  <c r="J181" i="555" a="1"/>
  <c r="H181" i="555"/>
  <c r="V180" i="555"/>
  <c r="W180" i="555" s="1"/>
  <c r="N180" i="555"/>
  <c r="K180" i="555" a="1"/>
  <c r="K180" i="555" s="1"/>
  <c r="M180" i="555" s="1"/>
  <c r="J180" i="555" a="1"/>
  <c r="J180" i="555" s="1"/>
  <c r="H180" i="555"/>
  <c r="W179" i="555"/>
  <c r="V179" i="555"/>
  <c r="N179" i="555"/>
  <c r="K179" i="555" a="1"/>
  <c r="K179" i="555" s="1"/>
  <c r="M179" i="555" s="1"/>
  <c r="J179" i="555" a="1"/>
  <c r="J179" i="555" s="1"/>
  <c r="H179" i="555"/>
  <c r="V178" i="555"/>
  <c r="V199" i="555" s="1"/>
  <c r="N178" i="555"/>
  <c r="K178" i="555" a="1"/>
  <c r="K178" i="555" s="1"/>
  <c r="J178" i="555" a="1"/>
  <c r="J178" i="555" s="1"/>
  <c r="H178" i="555"/>
  <c r="H199" i="555" s="1"/>
  <c r="X171" i="555"/>
  <c r="Q529" i="555" s="1"/>
  <c r="X170" i="555"/>
  <c r="Q528" i="555" s="1"/>
  <c r="G170" i="555"/>
  <c r="C170" i="555"/>
  <c r="X169" i="555"/>
  <c r="Q527" i="555" s="1"/>
  <c r="I169" i="555"/>
  <c r="E169" i="555"/>
  <c r="K169" i="555" s="1"/>
  <c r="M169" i="555" s="1"/>
  <c r="I168" i="555"/>
  <c r="E168" i="555"/>
  <c r="K168" i="555" s="1"/>
  <c r="M168" i="555" s="1"/>
  <c r="I167" i="555"/>
  <c r="E167" i="555"/>
  <c r="K167" i="555" s="1"/>
  <c r="M167" i="555" s="1"/>
  <c r="X166" i="555"/>
  <c r="Q524" i="555" s="1"/>
  <c r="I166" i="555"/>
  <c r="I170" i="555" s="1"/>
  <c r="E166" i="555"/>
  <c r="E170" i="555" s="1"/>
  <c r="AA163" i="555"/>
  <c r="Z163" i="555"/>
  <c r="Y163" i="555"/>
  <c r="X163" i="555"/>
  <c r="U163" i="555"/>
  <c r="T163" i="555"/>
  <c r="S163" i="555"/>
  <c r="R163" i="555"/>
  <c r="Q163" i="555"/>
  <c r="P163" i="555"/>
  <c r="O163" i="555"/>
  <c r="I163" i="555"/>
  <c r="G163" i="555"/>
  <c r="C529" i="555" s="1"/>
  <c r="H162" i="555"/>
  <c r="H161" i="555"/>
  <c r="H160" i="555"/>
  <c r="V159" i="555"/>
  <c r="W159" i="555" s="1"/>
  <c r="N159" i="555"/>
  <c r="K159" i="555"/>
  <c r="K159" i="555" a="1"/>
  <c r="J159" i="555" a="1"/>
  <c r="J159" i="555" s="1"/>
  <c r="H159" i="555"/>
  <c r="D159" i="555"/>
  <c r="V158" i="555"/>
  <c r="W158" i="555" s="1"/>
  <c r="N158" i="555"/>
  <c r="K158" i="555" a="1"/>
  <c r="K158" i="555" s="1"/>
  <c r="M158" i="555" s="1"/>
  <c r="J158" i="555" a="1"/>
  <c r="J158" i="555" s="1"/>
  <c r="H158" i="555"/>
  <c r="H157" i="555"/>
  <c r="H156" i="555"/>
  <c r="V155" i="555"/>
  <c r="W155" i="555" s="1"/>
  <c r="N155" i="555"/>
  <c r="K155" i="555" a="1"/>
  <c r="K155" i="555" s="1"/>
  <c r="M155" i="555" s="1"/>
  <c r="J155" i="555" a="1"/>
  <c r="J155" i="555" s="1"/>
  <c r="H155" i="555"/>
  <c r="V154" i="555"/>
  <c r="W154" i="555" s="1"/>
  <c r="N154" i="555"/>
  <c r="K154" i="555"/>
  <c r="M154" i="555" s="1"/>
  <c r="K154" i="555" a="1"/>
  <c r="J154" i="555" a="1"/>
  <c r="J154" i="555" s="1"/>
  <c r="H154" i="555"/>
  <c r="H153" i="555"/>
  <c r="V152" i="555"/>
  <c r="W152" i="555" s="1"/>
  <c r="N152" i="555"/>
  <c r="K152" i="555" a="1"/>
  <c r="K152" i="555" s="1"/>
  <c r="M152" i="555" s="1"/>
  <c r="J152" i="555" a="1"/>
  <c r="J152" i="555" s="1"/>
  <c r="H152" i="555"/>
  <c r="V151" i="555"/>
  <c r="W151" i="555" s="1"/>
  <c r="N151" i="555"/>
  <c r="K151" i="555" a="1"/>
  <c r="K151" i="555" s="1"/>
  <c r="M151" i="555" s="1"/>
  <c r="J151" i="555" a="1"/>
  <c r="J151" i="555" s="1"/>
  <c r="H151" i="555"/>
  <c r="V150" i="555"/>
  <c r="W150" i="555" s="1"/>
  <c r="N150" i="555"/>
  <c r="K150" i="555"/>
  <c r="M150" i="555" s="1"/>
  <c r="K150" i="555" a="1"/>
  <c r="J150" i="555"/>
  <c r="J150" i="555" a="1"/>
  <c r="H150" i="555"/>
  <c r="V149" i="555"/>
  <c r="W149" i="555" s="1"/>
  <c r="N149" i="555"/>
  <c r="N163" i="555" s="1"/>
  <c r="K149" i="555" a="1"/>
  <c r="K149" i="555" s="1"/>
  <c r="J149" i="555" a="1"/>
  <c r="J149" i="555" s="1"/>
  <c r="H149" i="555"/>
  <c r="AA148" i="555"/>
  <c r="Z148" i="555"/>
  <c r="Y148" i="555"/>
  <c r="X148" i="555"/>
  <c r="U148" i="555"/>
  <c r="T148" i="555"/>
  <c r="S148" i="555"/>
  <c r="Q148" i="555"/>
  <c r="P148" i="555"/>
  <c r="O148" i="555"/>
  <c r="R170" i="555" s="1"/>
  <c r="I148" i="555"/>
  <c r="G148" i="555"/>
  <c r="C528" i="555" s="1"/>
  <c r="V147" i="555"/>
  <c r="W147" i="555" s="1"/>
  <c r="N147" i="555"/>
  <c r="K147" i="555"/>
  <c r="M147" i="555" s="1"/>
  <c r="K147" i="555" a="1"/>
  <c r="J147" i="555"/>
  <c r="J147" i="555" a="1"/>
  <c r="H147" i="555"/>
  <c r="K146" i="555" a="1"/>
  <c r="K146" i="555" s="1"/>
  <c r="H146" i="555"/>
  <c r="K145" i="555" a="1"/>
  <c r="K145" i="555" s="1"/>
  <c r="H145" i="555"/>
  <c r="K144" i="555" a="1"/>
  <c r="K144" i="555" s="1"/>
  <c r="H144" i="555"/>
  <c r="K143" i="555" a="1"/>
  <c r="K143" i="555" s="1"/>
  <c r="H143" i="555"/>
  <c r="W142" i="555"/>
  <c r="V142" i="555"/>
  <c r="N142" i="555"/>
  <c r="K142" i="555" a="1"/>
  <c r="K142" i="555" s="1"/>
  <c r="M142" i="555" s="1"/>
  <c r="J142" i="555" a="1"/>
  <c r="J142" i="555" s="1"/>
  <c r="H142" i="555"/>
  <c r="V141" i="555"/>
  <c r="W141" i="555" s="1"/>
  <c r="N141" i="555"/>
  <c r="K141" i="555"/>
  <c r="M141" i="555" s="1"/>
  <c r="K141" i="555" a="1"/>
  <c r="J141" i="555"/>
  <c r="J141" i="555" a="1"/>
  <c r="H141" i="555"/>
  <c r="V140" i="555"/>
  <c r="W140" i="555" s="1"/>
  <c r="N140" i="555"/>
  <c r="K140" i="555" a="1"/>
  <c r="K140" i="555" s="1"/>
  <c r="M140" i="555" s="1"/>
  <c r="J140" i="555" a="1"/>
  <c r="J140" i="555" s="1"/>
  <c r="H140" i="555"/>
  <c r="V139" i="555"/>
  <c r="W139" i="555" s="1"/>
  <c r="N139" i="555"/>
  <c r="K139" i="555" a="1"/>
  <c r="K139" i="555" s="1"/>
  <c r="M139" i="555" s="1"/>
  <c r="J139" i="555" a="1"/>
  <c r="J139" i="555" s="1"/>
  <c r="H139" i="555"/>
  <c r="V138" i="555"/>
  <c r="V148" i="555" s="1"/>
  <c r="W148" i="555" s="1"/>
  <c r="N138" i="555"/>
  <c r="N148" i="555" s="1"/>
  <c r="K138" i="555" a="1"/>
  <c r="K138" i="555" s="1"/>
  <c r="J138" i="555" a="1"/>
  <c r="J138" i="555" s="1"/>
  <c r="H138" i="555"/>
  <c r="H148" i="555" s="1"/>
  <c r="AA137" i="555"/>
  <c r="Z137" i="555"/>
  <c r="Y137" i="555"/>
  <c r="X137" i="555"/>
  <c r="U137" i="555"/>
  <c r="T137" i="555"/>
  <c r="S137" i="555"/>
  <c r="Q137" i="555"/>
  <c r="P137" i="555"/>
  <c r="O137" i="555"/>
  <c r="R169" i="555" s="1"/>
  <c r="I137" i="555"/>
  <c r="G137" i="555"/>
  <c r="C527" i="555" s="1"/>
  <c r="V136" i="555"/>
  <c r="W136" i="555" s="1"/>
  <c r="N136" i="555"/>
  <c r="K136" i="555" a="1"/>
  <c r="K136" i="555" s="1"/>
  <c r="M136" i="555" s="1"/>
  <c r="J136" i="555" a="1"/>
  <c r="J136" i="555" s="1"/>
  <c r="H136" i="555"/>
  <c r="V135" i="555"/>
  <c r="W135" i="555" s="1"/>
  <c r="N135" i="555"/>
  <c r="K135" i="555" a="1"/>
  <c r="K135" i="555" s="1"/>
  <c r="M135" i="555" s="1"/>
  <c r="J135" i="555" a="1"/>
  <c r="J135" i="555" s="1"/>
  <c r="H135" i="555"/>
  <c r="V134" i="555"/>
  <c r="W134" i="555" s="1"/>
  <c r="N134" i="555"/>
  <c r="K134" i="555"/>
  <c r="M134" i="555" s="1"/>
  <c r="K134" i="555" a="1"/>
  <c r="J134" i="555" a="1"/>
  <c r="J134" i="555" s="1"/>
  <c r="H134" i="555"/>
  <c r="W133" i="555"/>
  <c r="V133" i="555"/>
  <c r="N133" i="555"/>
  <c r="K133" i="555" a="1"/>
  <c r="K133" i="555" s="1"/>
  <c r="M133" i="555" s="1"/>
  <c r="J133" i="555" a="1"/>
  <c r="J133" i="555" s="1"/>
  <c r="H133" i="555"/>
  <c r="V132" i="555"/>
  <c r="W132" i="555" s="1"/>
  <c r="N132" i="555"/>
  <c r="K132" i="555"/>
  <c r="M132" i="555" s="1"/>
  <c r="K132" i="555" a="1"/>
  <c r="J132" i="555" a="1"/>
  <c r="J132" i="555" s="1"/>
  <c r="H132" i="555"/>
  <c r="W131" i="555"/>
  <c r="V131" i="555"/>
  <c r="N131" i="555"/>
  <c r="K131" i="555" a="1"/>
  <c r="K131" i="555" s="1"/>
  <c r="M131" i="555" s="1"/>
  <c r="J131" i="555" a="1"/>
  <c r="J131" i="555" s="1"/>
  <c r="H131" i="555"/>
  <c r="V130" i="555"/>
  <c r="W130" i="555" s="1"/>
  <c r="N130" i="555"/>
  <c r="K130" i="555"/>
  <c r="M130" i="555" s="1"/>
  <c r="K130" i="555" a="1"/>
  <c r="J130" i="555" a="1"/>
  <c r="J130" i="555" s="1"/>
  <c r="H130" i="555"/>
  <c r="W129" i="555"/>
  <c r="V129" i="555"/>
  <c r="N129" i="555"/>
  <c r="K129" i="555" a="1"/>
  <c r="K129" i="555" s="1"/>
  <c r="M129" i="555" s="1"/>
  <c r="J129" i="555" a="1"/>
  <c r="J129" i="555" s="1"/>
  <c r="H129" i="555"/>
  <c r="V128" i="555"/>
  <c r="W128" i="555" s="1"/>
  <c r="N128" i="555"/>
  <c r="K128" i="555"/>
  <c r="M128" i="555" s="1"/>
  <c r="K128" i="555" a="1"/>
  <c r="J128" i="555" a="1"/>
  <c r="J128" i="555" s="1"/>
  <c r="H128" i="555"/>
  <c r="W127" i="555"/>
  <c r="V127" i="555"/>
  <c r="N127" i="555"/>
  <c r="K127" i="555" a="1"/>
  <c r="K127" i="555" s="1"/>
  <c r="M127" i="555" s="1"/>
  <c r="J127" i="555" a="1"/>
  <c r="J127" i="555" s="1"/>
  <c r="H127" i="555"/>
  <c r="V126" i="555"/>
  <c r="W126" i="555" s="1"/>
  <c r="N126" i="555"/>
  <c r="K126" i="555"/>
  <c r="M126" i="555" s="1"/>
  <c r="K126" i="555" a="1"/>
  <c r="J126" i="555" a="1"/>
  <c r="J126" i="555" s="1"/>
  <c r="H126" i="555"/>
  <c r="W125" i="555"/>
  <c r="V125" i="555"/>
  <c r="N125" i="555"/>
  <c r="K125" i="555" a="1"/>
  <c r="K125" i="555" s="1"/>
  <c r="M125" i="555" s="1"/>
  <c r="J125" i="555" a="1"/>
  <c r="J125" i="555" s="1"/>
  <c r="H125" i="555"/>
  <c r="V124" i="555"/>
  <c r="W124" i="555" s="1"/>
  <c r="N124" i="555"/>
  <c r="K124" i="555"/>
  <c r="M124" i="555" s="1"/>
  <c r="K124" i="555" a="1"/>
  <c r="J124" i="555" a="1"/>
  <c r="J124" i="555" s="1"/>
  <c r="H124" i="555"/>
  <c r="W123" i="555"/>
  <c r="V123" i="555"/>
  <c r="N123" i="555"/>
  <c r="K123" i="555" a="1"/>
  <c r="K123" i="555" s="1"/>
  <c r="M123" i="555" s="1"/>
  <c r="J123" i="555" a="1"/>
  <c r="J123" i="555" s="1"/>
  <c r="H123" i="555"/>
  <c r="W122" i="555"/>
  <c r="V122" i="555"/>
  <c r="N122" i="555"/>
  <c r="N137" i="555" s="1"/>
  <c r="K122" i="555" a="1"/>
  <c r="K122" i="555" s="1"/>
  <c r="M122" i="555" s="1"/>
  <c r="J122" i="555" a="1"/>
  <c r="J122" i="555" s="1"/>
  <c r="H122" i="555"/>
  <c r="AA121" i="555"/>
  <c r="Z121" i="555"/>
  <c r="Y121" i="555"/>
  <c r="X121" i="555"/>
  <c r="U121" i="555"/>
  <c r="T121" i="555"/>
  <c r="S121" i="555"/>
  <c r="R121" i="555"/>
  <c r="Q121" i="555"/>
  <c r="P121" i="555"/>
  <c r="O121" i="555"/>
  <c r="R168" i="555" s="1"/>
  <c r="I121" i="555"/>
  <c r="G121" i="555"/>
  <c r="C526" i="555" s="1"/>
  <c r="V120" i="555"/>
  <c r="W120" i="555" s="1"/>
  <c r="N120" i="555"/>
  <c r="K120" i="555" a="1"/>
  <c r="K120" i="555" s="1"/>
  <c r="M120" i="555" s="1"/>
  <c r="J120" i="555" a="1"/>
  <c r="J120" i="555" s="1"/>
  <c r="H120" i="555"/>
  <c r="V119" i="555"/>
  <c r="W119" i="555" s="1"/>
  <c r="N119" i="555"/>
  <c r="K119" i="555" a="1"/>
  <c r="K119" i="555" s="1"/>
  <c r="M119" i="555" s="1"/>
  <c r="J119" i="555" a="1"/>
  <c r="J119" i="555" s="1"/>
  <c r="H119" i="555"/>
  <c r="V118" i="555"/>
  <c r="W118" i="555" s="1"/>
  <c r="N118" i="555"/>
  <c r="K118" i="555" a="1"/>
  <c r="K118" i="555" s="1"/>
  <c r="M118" i="555" s="1"/>
  <c r="J118" i="555" a="1"/>
  <c r="J118" i="555" s="1"/>
  <c r="H118" i="555"/>
  <c r="K117" i="555" a="1"/>
  <c r="K117" i="555" s="1"/>
  <c r="H117" i="555"/>
  <c r="K116" i="555" a="1"/>
  <c r="K116" i="555" s="1"/>
  <c r="H116" i="555"/>
  <c r="K115" i="555"/>
  <c r="K115" i="555" a="1"/>
  <c r="H115" i="555"/>
  <c r="V114" i="555"/>
  <c r="W114" i="555" s="1"/>
  <c r="N114" i="555"/>
  <c r="K114" i="555" a="1"/>
  <c r="K114" i="555" s="1"/>
  <c r="M114" i="555" s="1"/>
  <c r="J114" i="555" a="1"/>
  <c r="J114" i="555" s="1"/>
  <c r="H114" i="555"/>
  <c r="W113" i="555"/>
  <c r="V113" i="555"/>
  <c r="N113" i="555"/>
  <c r="K113" i="555" a="1"/>
  <c r="K113" i="555" s="1"/>
  <c r="M113" i="555" s="1"/>
  <c r="J113" i="555" a="1"/>
  <c r="J113" i="555" s="1"/>
  <c r="H113" i="555"/>
  <c r="N112" i="555"/>
  <c r="K112" i="555" a="1"/>
  <c r="K112" i="555" s="1"/>
  <c r="M112" i="555" s="1"/>
  <c r="H112" i="555"/>
  <c r="N111" i="555"/>
  <c r="K111" i="555"/>
  <c r="M111" i="555" s="1"/>
  <c r="K111" i="555" a="1"/>
  <c r="H111" i="555"/>
  <c r="N110" i="555"/>
  <c r="K110" i="555" a="1"/>
  <c r="K110" i="555" s="1"/>
  <c r="M110" i="555" s="1"/>
  <c r="H110" i="555"/>
  <c r="N109" i="555"/>
  <c r="K109" i="555" a="1"/>
  <c r="K109" i="555" s="1"/>
  <c r="M109" i="555" s="1"/>
  <c r="H109" i="555"/>
  <c r="N108" i="555"/>
  <c r="K108" i="555" a="1"/>
  <c r="K108" i="555" s="1"/>
  <c r="M108" i="555" s="1"/>
  <c r="H108" i="555"/>
  <c r="N107" i="555"/>
  <c r="K107" i="555" a="1"/>
  <c r="K107" i="555" s="1"/>
  <c r="M107" i="555" s="1"/>
  <c r="H107" i="555"/>
  <c r="V106" i="555"/>
  <c r="W106" i="555" s="1"/>
  <c r="N106" i="555"/>
  <c r="K106" i="555" a="1"/>
  <c r="K106" i="555" s="1"/>
  <c r="M106" i="555" s="1"/>
  <c r="J106" i="555" a="1"/>
  <c r="J106" i="555" s="1"/>
  <c r="H106" i="555"/>
  <c r="V105" i="555"/>
  <c r="W105" i="555" s="1"/>
  <c r="N105" i="555"/>
  <c r="K105" i="555"/>
  <c r="M105" i="555" s="1"/>
  <c r="K105" i="555" a="1"/>
  <c r="J105" i="555"/>
  <c r="J105" i="555" a="1"/>
  <c r="H105" i="555"/>
  <c r="V104" i="555"/>
  <c r="W104" i="555" s="1"/>
  <c r="N104" i="555"/>
  <c r="K104" i="555"/>
  <c r="M104" i="555" s="1"/>
  <c r="K104" i="555" a="1"/>
  <c r="J104" i="555" a="1"/>
  <c r="J104" i="555" s="1"/>
  <c r="H104" i="555"/>
  <c r="W103" i="555"/>
  <c r="V103" i="555"/>
  <c r="N103" i="555"/>
  <c r="K103" i="555" a="1"/>
  <c r="K103" i="555" s="1"/>
  <c r="M103" i="555" s="1"/>
  <c r="J103" i="555" a="1"/>
  <c r="J103" i="555" s="1"/>
  <c r="H103" i="555"/>
  <c r="V102" i="555"/>
  <c r="W102" i="555" s="1"/>
  <c r="N102" i="555"/>
  <c r="K102" i="555"/>
  <c r="M102" i="555" s="1"/>
  <c r="K102" i="555" a="1"/>
  <c r="J102" i="555" a="1"/>
  <c r="J102" i="555" s="1"/>
  <c r="H102" i="555"/>
  <c r="W101" i="555"/>
  <c r="V101" i="555"/>
  <c r="N101" i="555"/>
  <c r="K101" i="555" a="1"/>
  <c r="K101" i="555" s="1"/>
  <c r="M101" i="555" s="1"/>
  <c r="J101" i="555" a="1"/>
  <c r="J101" i="555" s="1"/>
  <c r="H101" i="555"/>
  <c r="V100" i="555"/>
  <c r="W100" i="555" s="1"/>
  <c r="N100" i="555"/>
  <c r="K100" i="555"/>
  <c r="M100" i="555" s="1"/>
  <c r="K100" i="555" a="1"/>
  <c r="J100" i="555" a="1"/>
  <c r="J100" i="555" s="1"/>
  <c r="H100" i="555"/>
  <c r="W99" i="555"/>
  <c r="V99" i="555"/>
  <c r="N99" i="555"/>
  <c r="K99" i="555" a="1"/>
  <c r="K99" i="555" s="1"/>
  <c r="M99" i="555" s="1"/>
  <c r="J99" i="555" a="1"/>
  <c r="J99" i="555" s="1"/>
  <c r="H99" i="555"/>
  <c r="W98" i="555"/>
  <c r="V98" i="555"/>
  <c r="N98" i="555"/>
  <c r="K98" i="555" a="1"/>
  <c r="K98" i="555" s="1"/>
  <c r="M98" i="555" s="1"/>
  <c r="J98" i="555" a="1"/>
  <c r="J98" i="555" s="1"/>
  <c r="H98" i="555"/>
  <c r="W97" i="555"/>
  <c r="V97" i="555"/>
  <c r="N97" i="555"/>
  <c r="K97" i="555" a="1"/>
  <c r="K97" i="555" s="1"/>
  <c r="M97" i="555" s="1"/>
  <c r="J97" i="555" a="1"/>
  <c r="J97" i="555" s="1"/>
  <c r="H97" i="555"/>
  <c r="V96" i="555"/>
  <c r="W96" i="555" s="1"/>
  <c r="N96" i="555"/>
  <c r="K96" i="555"/>
  <c r="M96" i="555" s="1"/>
  <c r="K96" i="555" a="1"/>
  <c r="J96" i="555"/>
  <c r="J96" i="555" a="1"/>
  <c r="H96" i="555"/>
  <c r="V95" i="555"/>
  <c r="W95" i="555" s="1"/>
  <c r="N95" i="555"/>
  <c r="K95" i="555" a="1"/>
  <c r="K95" i="555" s="1"/>
  <c r="M95" i="555" s="1"/>
  <c r="J95" i="555" a="1"/>
  <c r="J95" i="555" s="1"/>
  <c r="H95" i="555"/>
  <c r="K94" i="555" a="1"/>
  <c r="K94" i="555" s="1"/>
  <c r="M94" i="555" s="1"/>
  <c r="H94" i="555"/>
  <c r="W93" i="555"/>
  <c r="V93" i="555"/>
  <c r="N93" i="555"/>
  <c r="K93" i="555" a="1"/>
  <c r="K93" i="555" s="1"/>
  <c r="M93" i="555" s="1"/>
  <c r="J93" i="555" a="1"/>
  <c r="J93" i="555" s="1"/>
  <c r="H93" i="555"/>
  <c r="V92" i="555"/>
  <c r="W92" i="555" s="1"/>
  <c r="N92" i="555"/>
  <c r="K92" i="555" a="1"/>
  <c r="K92" i="555" s="1"/>
  <c r="M92" i="555" s="1"/>
  <c r="J92" i="555" a="1"/>
  <c r="J92" i="555" s="1"/>
  <c r="H92" i="555"/>
  <c r="V91" i="555"/>
  <c r="W91" i="555" s="1"/>
  <c r="N91" i="555"/>
  <c r="K91" i="555"/>
  <c r="M91" i="555" s="1"/>
  <c r="K91" i="555" a="1"/>
  <c r="J91" i="555"/>
  <c r="J91" i="555" a="1"/>
  <c r="H91" i="555"/>
  <c r="V90" i="555"/>
  <c r="W90" i="555" s="1"/>
  <c r="N90" i="555"/>
  <c r="K90" i="555" a="1"/>
  <c r="K90" i="555" s="1"/>
  <c r="M90" i="555" s="1"/>
  <c r="J90" i="555" a="1"/>
  <c r="J90" i="555" s="1"/>
  <c r="H90" i="555"/>
  <c r="W89" i="555"/>
  <c r="V89" i="555"/>
  <c r="N89" i="555"/>
  <c r="K89" i="555" a="1"/>
  <c r="K89" i="555" s="1"/>
  <c r="M89" i="555" s="1"/>
  <c r="J89" i="555" a="1"/>
  <c r="J89" i="555" s="1"/>
  <c r="H89" i="555"/>
  <c r="V88" i="555"/>
  <c r="W88" i="555" s="1"/>
  <c r="N88" i="555"/>
  <c r="K88" i="555" a="1"/>
  <c r="K88" i="555" s="1"/>
  <c r="M88" i="555" s="1"/>
  <c r="J88" i="555" a="1"/>
  <c r="J88" i="555" s="1"/>
  <c r="H88" i="555"/>
  <c r="V87" i="555"/>
  <c r="N87" i="555"/>
  <c r="K87" i="555"/>
  <c r="M87" i="555" s="1"/>
  <c r="K87" i="555" a="1"/>
  <c r="J87" i="555"/>
  <c r="J87" i="555" a="1"/>
  <c r="H87" i="555"/>
  <c r="AA86" i="555"/>
  <c r="Z86" i="555"/>
  <c r="Y86" i="555"/>
  <c r="X86" i="555"/>
  <c r="U86" i="555"/>
  <c r="T86" i="555"/>
  <c r="S86" i="555"/>
  <c r="R86" i="555"/>
  <c r="Q86" i="555"/>
  <c r="P86" i="555"/>
  <c r="O86" i="555"/>
  <c r="R167" i="555" s="1"/>
  <c r="I86" i="555"/>
  <c r="G86" i="555"/>
  <c r="C525" i="555" s="1"/>
  <c r="K85" i="555" a="1"/>
  <c r="K85" i="555" s="1"/>
  <c r="H85" i="555"/>
  <c r="K84" i="555" a="1"/>
  <c r="K84" i="555" s="1"/>
  <c r="H84" i="555"/>
  <c r="K83" i="555" a="1"/>
  <c r="K83" i="555" s="1"/>
  <c r="H83" i="555"/>
  <c r="K82" i="555"/>
  <c r="K82" i="555" a="1"/>
  <c r="H82" i="555"/>
  <c r="K81" i="555" a="1"/>
  <c r="K81" i="555" s="1"/>
  <c r="H81" i="555"/>
  <c r="K80" i="555" a="1"/>
  <c r="K80" i="555" s="1"/>
  <c r="H80" i="555"/>
  <c r="K79" i="555" a="1"/>
  <c r="K79" i="555" s="1"/>
  <c r="M79" i="555" s="1"/>
  <c r="H79" i="555"/>
  <c r="K78" i="555" a="1"/>
  <c r="K78" i="555" s="1"/>
  <c r="M78" i="555" s="1"/>
  <c r="H78" i="555"/>
  <c r="K77" i="555" a="1"/>
  <c r="K77" i="555" s="1"/>
  <c r="M77" i="555" s="1"/>
  <c r="H77" i="555"/>
  <c r="K76" i="555" a="1"/>
  <c r="K76" i="555" s="1"/>
  <c r="M76" i="555" s="1"/>
  <c r="H76" i="555"/>
  <c r="W75" i="555"/>
  <c r="V75" i="555"/>
  <c r="N75" i="555"/>
  <c r="K75" i="555" a="1"/>
  <c r="K75" i="555" s="1"/>
  <c r="M75" i="555" s="1"/>
  <c r="J75" i="555" a="1"/>
  <c r="J75" i="555" s="1"/>
  <c r="H75" i="555"/>
  <c r="V74" i="555"/>
  <c r="W74" i="555" s="1"/>
  <c r="N74" i="555"/>
  <c r="K74" i="555" a="1"/>
  <c r="K74" i="555" s="1"/>
  <c r="M74" i="555" s="1"/>
  <c r="J74" i="555" a="1"/>
  <c r="J74" i="555" s="1"/>
  <c r="H74" i="555"/>
  <c r="V73" i="555"/>
  <c r="W73" i="555" s="1"/>
  <c r="N73" i="555"/>
  <c r="K73" i="555"/>
  <c r="M73" i="555" s="1"/>
  <c r="K73" i="555" a="1"/>
  <c r="J73" i="555"/>
  <c r="J73" i="555" a="1"/>
  <c r="H73" i="555"/>
  <c r="V72" i="555"/>
  <c r="W72" i="555" s="1"/>
  <c r="N72" i="555"/>
  <c r="K72" i="555" a="1"/>
  <c r="K72" i="555" s="1"/>
  <c r="M72" i="555" s="1"/>
  <c r="J72" i="555" a="1"/>
  <c r="J72" i="555" s="1"/>
  <c r="H72" i="555"/>
  <c r="H71" i="555"/>
  <c r="V70" i="555"/>
  <c r="W70" i="555" s="1"/>
  <c r="N70" i="555"/>
  <c r="K70" i="555" a="1"/>
  <c r="K70" i="555" s="1"/>
  <c r="M70" i="555" s="1"/>
  <c r="J70" i="555" a="1"/>
  <c r="J70" i="555" s="1"/>
  <c r="H70" i="555"/>
  <c r="W69" i="555"/>
  <c r="V69" i="555"/>
  <c r="N69" i="555"/>
  <c r="K69" i="555" a="1"/>
  <c r="K69" i="555" s="1"/>
  <c r="M69" i="555" s="1"/>
  <c r="J69" i="555" a="1"/>
  <c r="J69" i="555" s="1"/>
  <c r="H69" i="555"/>
  <c r="K68" i="555" a="1"/>
  <c r="K68" i="555" s="1"/>
  <c r="H68" i="555"/>
  <c r="K67" i="555"/>
  <c r="K67" i="555" a="1"/>
  <c r="H67" i="555"/>
  <c r="V66" i="555"/>
  <c r="W66" i="555" s="1"/>
  <c r="N66" i="555"/>
  <c r="K66" i="555" a="1"/>
  <c r="K66" i="555" s="1"/>
  <c r="M66" i="555" s="1"/>
  <c r="J66" i="555" a="1"/>
  <c r="J66" i="555" s="1"/>
  <c r="H66" i="555"/>
  <c r="W65" i="555"/>
  <c r="V65" i="555"/>
  <c r="N65" i="555"/>
  <c r="K65" i="555" a="1"/>
  <c r="K65" i="555" s="1"/>
  <c r="M65" i="555" s="1"/>
  <c r="J65" i="555" a="1"/>
  <c r="J65" i="555" s="1"/>
  <c r="H65" i="555"/>
  <c r="V64" i="555"/>
  <c r="W64" i="555" s="1"/>
  <c r="N64" i="555"/>
  <c r="K64" i="555" a="1"/>
  <c r="K64" i="555" s="1"/>
  <c r="M64" i="555" s="1"/>
  <c r="J64" i="555" a="1"/>
  <c r="J64" i="555" s="1"/>
  <c r="H64" i="555"/>
  <c r="V63" i="555"/>
  <c r="W63" i="555" s="1"/>
  <c r="N63" i="555"/>
  <c r="K63" i="555" a="1"/>
  <c r="K63" i="555" s="1"/>
  <c r="M63" i="555" s="1"/>
  <c r="J63" i="555" a="1"/>
  <c r="J63" i="555" s="1"/>
  <c r="H63" i="555"/>
  <c r="V62" i="555"/>
  <c r="W62" i="555" s="1"/>
  <c r="N62" i="555"/>
  <c r="K62" i="555" a="1"/>
  <c r="K62" i="555" s="1"/>
  <c r="M62" i="555" s="1"/>
  <c r="J62" i="555" a="1"/>
  <c r="J62" i="555" s="1"/>
  <c r="H62" i="555"/>
  <c r="V61" i="555"/>
  <c r="W61" i="555" s="1"/>
  <c r="N61" i="555"/>
  <c r="K61" i="555"/>
  <c r="M61" i="555" s="1"/>
  <c r="K61" i="555" a="1"/>
  <c r="J61" i="555"/>
  <c r="J61" i="555" a="1"/>
  <c r="H61" i="555"/>
  <c r="V60" i="555"/>
  <c r="W60" i="555" s="1"/>
  <c r="N60" i="555"/>
  <c r="K60" i="555" a="1"/>
  <c r="K60" i="555" s="1"/>
  <c r="M60" i="555" s="1"/>
  <c r="J60" i="555" a="1"/>
  <c r="J60" i="555" s="1"/>
  <c r="H60" i="555"/>
  <c r="V59" i="555"/>
  <c r="W59" i="555" s="1"/>
  <c r="N59" i="555"/>
  <c r="K59" i="555" a="1"/>
  <c r="K59" i="555" s="1"/>
  <c r="M59" i="555" s="1"/>
  <c r="J59" i="555" a="1"/>
  <c r="J59" i="555" s="1"/>
  <c r="H59" i="555"/>
  <c r="V58" i="555"/>
  <c r="W58" i="555" s="1"/>
  <c r="N58" i="555"/>
  <c r="K58" i="555" a="1"/>
  <c r="K58" i="555" s="1"/>
  <c r="M58" i="555" s="1"/>
  <c r="J58" i="555" a="1"/>
  <c r="J58" i="555" s="1"/>
  <c r="H58" i="555"/>
  <c r="V57" i="555"/>
  <c r="W57" i="555" s="1"/>
  <c r="N57" i="555"/>
  <c r="K57" i="555"/>
  <c r="M57" i="555" s="1"/>
  <c r="K57" i="555" a="1"/>
  <c r="J57" i="555"/>
  <c r="J57" i="555" a="1"/>
  <c r="H57" i="555"/>
  <c r="K56" i="555" a="1"/>
  <c r="K56" i="555" s="1"/>
  <c r="M56" i="555" s="1"/>
  <c r="H56" i="555"/>
  <c r="K55" i="555"/>
  <c r="M55" i="555" s="1"/>
  <c r="K55" i="555" a="1"/>
  <c r="H55" i="555"/>
  <c r="K54" i="555" a="1"/>
  <c r="K54" i="555" s="1"/>
  <c r="M54" i="555" s="1"/>
  <c r="H54" i="555"/>
  <c r="K53" i="555" a="1"/>
  <c r="K53" i="555" s="1"/>
  <c r="M53" i="555" s="1"/>
  <c r="H53" i="555"/>
  <c r="N52" i="555"/>
  <c r="K52" i="555" a="1"/>
  <c r="K52" i="555" s="1"/>
  <c r="M52" i="555" s="1"/>
  <c r="H52" i="555"/>
  <c r="N51" i="555"/>
  <c r="K51" i="555" a="1"/>
  <c r="K51" i="555" s="1"/>
  <c r="M51" i="555" s="1"/>
  <c r="H51" i="555"/>
  <c r="N50" i="555"/>
  <c r="K50" i="555" a="1"/>
  <c r="K50" i="555" s="1"/>
  <c r="M50" i="555" s="1"/>
  <c r="H50" i="555"/>
  <c r="N49" i="555"/>
  <c r="K49" i="555" a="1"/>
  <c r="K49" i="555" s="1"/>
  <c r="M49" i="555" s="1"/>
  <c r="H49" i="555"/>
  <c r="W48" i="555"/>
  <c r="V48" i="555"/>
  <c r="N48" i="555"/>
  <c r="K48" i="555" a="1"/>
  <c r="K48" i="555" s="1"/>
  <c r="M48" i="555" s="1"/>
  <c r="J48" i="555" a="1"/>
  <c r="J48" i="555" s="1"/>
  <c r="H48" i="555"/>
  <c r="W47" i="555"/>
  <c r="V47" i="555"/>
  <c r="N47" i="555"/>
  <c r="K47" i="555" a="1"/>
  <c r="K47" i="555" s="1"/>
  <c r="M47" i="555" s="1"/>
  <c r="J47" i="555" a="1"/>
  <c r="J47" i="555" s="1"/>
  <c r="H47" i="555"/>
  <c r="V46" i="555"/>
  <c r="W46" i="555" s="1"/>
  <c r="N46" i="555"/>
  <c r="K46" i="555"/>
  <c r="M46" i="555" s="1"/>
  <c r="K46" i="555" a="1"/>
  <c r="J46" i="555" a="1"/>
  <c r="J46" i="555" s="1"/>
  <c r="H46" i="555"/>
  <c r="W45" i="555"/>
  <c r="V45" i="555"/>
  <c r="N45" i="555"/>
  <c r="K45" i="555" a="1"/>
  <c r="K45" i="555" s="1"/>
  <c r="M45" i="555" s="1"/>
  <c r="J45" i="555" a="1"/>
  <c r="J45" i="555" s="1"/>
  <c r="H45" i="555"/>
  <c r="V44" i="555"/>
  <c r="W44" i="555" s="1"/>
  <c r="N44" i="555"/>
  <c r="K44" i="555"/>
  <c r="M44" i="555" s="1"/>
  <c r="K44" i="555" a="1"/>
  <c r="J44" i="555" a="1"/>
  <c r="J44" i="555" s="1"/>
  <c r="H44" i="555"/>
  <c r="W43" i="555"/>
  <c r="V43" i="555"/>
  <c r="N43" i="555"/>
  <c r="K43" i="555" a="1"/>
  <c r="K43" i="555" s="1"/>
  <c r="M43" i="555" s="1"/>
  <c r="J43" i="555" a="1"/>
  <c r="J43" i="555" s="1"/>
  <c r="H43" i="555"/>
  <c r="V42" i="555"/>
  <c r="W42" i="555" s="1"/>
  <c r="N42" i="555"/>
  <c r="K42" i="555"/>
  <c r="M42" i="555" s="1"/>
  <c r="K42" i="555" a="1"/>
  <c r="J42" i="555" a="1"/>
  <c r="J42" i="555" s="1"/>
  <c r="H42" i="555"/>
  <c r="W41" i="555"/>
  <c r="V41" i="555"/>
  <c r="N41" i="555"/>
  <c r="K41" i="555" a="1"/>
  <c r="K41" i="555" s="1"/>
  <c r="M41" i="555" s="1"/>
  <c r="J41" i="555" a="1"/>
  <c r="J41" i="555" s="1"/>
  <c r="H41" i="555"/>
  <c r="V40" i="555"/>
  <c r="W40" i="555" s="1"/>
  <c r="N40" i="555"/>
  <c r="K40" i="555"/>
  <c r="M40" i="555" s="1"/>
  <c r="K40" i="555" a="1"/>
  <c r="J40" i="555" a="1"/>
  <c r="J40" i="555" s="1"/>
  <c r="H40" i="555"/>
  <c r="W39" i="555"/>
  <c r="V39" i="555"/>
  <c r="N39" i="555"/>
  <c r="K39" i="555" a="1"/>
  <c r="K39" i="555" s="1"/>
  <c r="M39" i="555" s="1"/>
  <c r="J39" i="555" a="1"/>
  <c r="J39" i="555" s="1"/>
  <c r="H39" i="555"/>
  <c r="V38" i="555"/>
  <c r="W38" i="555" s="1"/>
  <c r="N38" i="555"/>
  <c r="K38" i="555" a="1"/>
  <c r="K38" i="555" s="1"/>
  <c r="M38" i="555" s="1"/>
  <c r="J38" i="555" a="1"/>
  <c r="J38" i="555" s="1"/>
  <c r="H38" i="555"/>
  <c r="W37" i="555"/>
  <c r="V37" i="555"/>
  <c r="N37" i="555"/>
  <c r="K37" i="555" a="1"/>
  <c r="K37" i="555" s="1"/>
  <c r="M37" i="555" s="1"/>
  <c r="J37" i="555" a="1"/>
  <c r="J37" i="555" s="1"/>
  <c r="H37" i="555"/>
  <c r="H36" i="555"/>
  <c r="H35" i="555"/>
  <c r="H34" i="555"/>
  <c r="V33" i="555"/>
  <c r="W33" i="555" s="1"/>
  <c r="N33" i="555"/>
  <c r="K33" i="555" a="1"/>
  <c r="K33" i="555" s="1"/>
  <c r="M33" i="555" s="1"/>
  <c r="J33" i="555" a="1"/>
  <c r="J33" i="555" s="1"/>
  <c r="H33" i="555"/>
  <c r="V32" i="555"/>
  <c r="W32" i="555" s="1"/>
  <c r="N32" i="555"/>
  <c r="K32" i="555"/>
  <c r="M32" i="555" s="1"/>
  <c r="K32" i="555" a="1"/>
  <c r="J32" i="555" a="1"/>
  <c r="J32" i="555" s="1"/>
  <c r="H32" i="555"/>
  <c r="V31" i="555"/>
  <c r="W31" i="555" s="1"/>
  <c r="N31" i="555"/>
  <c r="K31" i="555" a="1"/>
  <c r="K31" i="555" s="1"/>
  <c r="M31" i="555" s="1"/>
  <c r="J31" i="555" a="1"/>
  <c r="J31" i="555" s="1"/>
  <c r="H31" i="555"/>
  <c r="K30" i="555" a="1"/>
  <c r="K30" i="555" s="1"/>
  <c r="H30" i="555"/>
  <c r="V29" i="555"/>
  <c r="V86" i="555" s="1"/>
  <c r="W86" i="555" s="1"/>
  <c r="N29" i="555"/>
  <c r="K29" i="555" a="1"/>
  <c r="K29" i="555" s="1"/>
  <c r="J29" i="555" a="1"/>
  <c r="J29" i="555" s="1"/>
  <c r="H29" i="555"/>
  <c r="H86" i="555" s="1"/>
  <c r="AA28" i="555"/>
  <c r="AA164" i="555" s="1"/>
  <c r="Z28" i="555"/>
  <c r="Z164" i="555" s="1"/>
  <c r="Y28" i="555"/>
  <c r="Y164" i="555" s="1"/>
  <c r="X28" i="555"/>
  <c r="X164" i="555" s="1"/>
  <c r="U28" i="555"/>
  <c r="U164" i="555" s="1"/>
  <c r="T28" i="555"/>
  <c r="T164" i="555" s="1"/>
  <c r="S28" i="555"/>
  <c r="S164" i="555" s="1"/>
  <c r="R28" i="555"/>
  <c r="R164" i="555" s="1"/>
  <c r="Q28" i="555"/>
  <c r="Q164" i="555" s="1"/>
  <c r="P28" i="555"/>
  <c r="X167" i="555" s="1"/>
  <c r="O28" i="555"/>
  <c r="O164" i="555" s="1"/>
  <c r="I28" i="555"/>
  <c r="I164" i="555" s="1"/>
  <c r="B172" i="555" s="1"/>
  <c r="G28" i="555"/>
  <c r="C524" i="555" s="1"/>
  <c r="V27" i="555"/>
  <c r="W27" i="555" s="1"/>
  <c r="N27" i="555"/>
  <c r="K27" i="555" a="1"/>
  <c r="K27" i="555" s="1"/>
  <c r="M27" i="555" s="1"/>
  <c r="J27" i="555" a="1"/>
  <c r="J27" i="555" s="1"/>
  <c r="H27" i="555"/>
  <c r="V26" i="555"/>
  <c r="W26" i="555" s="1"/>
  <c r="N26" i="555"/>
  <c r="K26" i="555"/>
  <c r="M26" i="555" s="1"/>
  <c r="K26" i="555" a="1"/>
  <c r="J26" i="555"/>
  <c r="J26" i="555" a="1"/>
  <c r="H26" i="555"/>
  <c r="K25" i="555" a="1"/>
  <c r="K25" i="555" s="1"/>
  <c r="M25" i="555" s="1"/>
  <c r="J25" i="555" a="1"/>
  <c r="J25" i="555" s="1"/>
  <c r="H25" i="555"/>
  <c r="K24" i="555" a="1"/>
  <c r="K24" i="555" s="1"/>
  <c r="M24" i="555" s="1"/>
  <c r="J24" i="555" a="1"/>
  <c r="J24" i="555" s="1"/>
  <c r="H24" i="555"/>
  <c r="K23" i="555" a="1"/>
  <c r="K23" i="555" s="1"/>
  <c r="M23" i="555" s="1"/>
  <c r="J23" i="555" a="1"/>
  <c r="J23" i="555" s="1"/>
  <c r="H23" i="555"/>
  <c r="K22" i="555" a="1"/>
  <c r="K22" i="555" s="1"/>
  <c r="M22" i="555" s="1"/>
  <c r="J22" i="555" a="1"/>
  <c r="J22" i="555" s="1"/>
  <c r="H22" i="555"/>
  <c r="V21" i="555"/>
  <c r="W21" i="555" s="1"/>
  <c r="N21" i="555"/>
  <c r="K21" i="555" a="1"/>
  <c r="K21" i="555" s="1"/>
  <c r="M21" i="555" s="1"/>
  <c r="J21" i="555" a="1"/>
  <c r="J21" i="555" s="1"/>
  <c r="H21" i="555"/>
  <c r="V20" i="555"/>
  <c r="W20" i="555" s="1"/>
  <c r="N20" i="555"/>
  <c r="K20" i="555" a="1"/>
  <c r="K20" i="555" s="1"/>
  <c r="M20" i="555" s="1"/>
  <c r="J20" i="555" a="1"/>
  <c r="J20" i="555" s="1"/>
  <c r="H20" i="555"/>
  <c r="W19" i="555"/>
  <c r="V19" i="555"/>
  <c r="N19" i="555"/>
  <c r="K19" i="555" a="1"/>
  <c r="K19" i="555" s="1"/>
  <c r="M19" i="555" s="1"/>
  <c r="J19" i="555" a="1"/>
  <c r="J19" i="555" s="1"/>
  <c r="H19" i="555"/>
  <c r="N18" i="555"/>
  <c r="K18" i="555" a="1"/>
  <c r="K18" i="555" s="1"/>
  <c r="M18" i="555" s="1"/>
  <c r="J18" i="555" a="1"/>
  <c r="J18" i="555" s="1"/>
  <c r="H18" i="555"/>
  <c r="N17" i="555"/>
  <c r="K17" i="555" a="1"/>
  <c r="K17" i="555" s="1"/>
  <c r="M17" i="555" s="1"/>
  <c r="J17" i="555" a="1"/>
  <c r="J17" i="555" s="1"/>
  <c r="H17" i="555"/>
  <c r="V16" i="555"/>
  <c r="W16" i="555" s="1"/>
  <c r="N16" i="555"/>
  <c r="K16" i="555" a="1"/>
  <c r="K16" i="555" s="1"/>
  <c r="M16" i="555" s="1"/>
  <c r="J16" i="555" a="1"/>
  <c r="J16" i="555" s="1"/>
  <c r="H16" i="555"/>
  <c r="W15" i="555"/>
  <c r="V15" i="555"/>
  <c r="N15" i="555"/>
  <c r="K15" i="555" a="1"/>
  <c r="K15" i="555" s="1"/>
  <c r="M15" i="555" s="1"/>
  <c r="J15" i="555" a="1"/>
  <c r="J15" i="555" s="1"/>
  <c r="H15" i="555"/>
  <c r="N14" i="555"/>
  <c r="K14" i="555" a="1"/>
  <c r="K14" i="555" s="1"/>
  <c r="M14" i="555" s="1"/>
  <c r="H14" i="555"/>
  <c r="N13" i="555"/>
  <c r="K13" i="555" a="1"/>
  <c r="K13" i="555" s="1"/>
  <c r="M13" i="555" s="1"/>
  <c r="H13" i="555"/>
  <c r="V12" i="555"/>
  <c r="W12" i="555" s="1"/>
  <c r="N12" i="555"/>
  <c r="K12" i="555" a="1"/>
  <c r="K12" i="555" s="1"/>
  <c r="M12" i="555" s="1"/>
  <c r="J12" i="555" a="1"/>
  <c r="J12" i="555" s="1"/>
  <c r="H12" i="555"/>
  <c r="V11" i="555"/>
  <c r="W11" i="555" s="1"/>
  <c r="N11" i="555"/>
  <c r="K11" i="555"/>
  <c r="M11" i="555" s="1"/>
  <c r="K11" i="555" a="1"/>
  <c r="J11" i="555"/>
  <c r="J11" i="555" a="1"/>
  <c r="H11" i="555"/>
  <c r="V10" i="555"/>
  <c r="W10" i="555" s="1"/>
  <c r="N10" i="555"/>
  <c r="K10" i="555" a="1"/>
  <c r="K10" i="555" s="1"/>
  <c r="M10" i="555" s="1"/>
  <c r="J10" i="555" a="1"/>
  <c r="J10" i="555" s="1"/>
  <c r="H10" i="555"/>
  <c r="V9" i="555"/>
  <c r="W9" i="555" s="1"/>
  <c r="N9" i="555"/>
  <c r="K9" i="555" a="1"/>
  <c r="K9" i="555" s="1"/>
  <c r="M9" i="555" s="1"/>
  <c r="J9" i="555" a="1"/>
  <c r="J9" i="555" s="1"/>
  <c r="H9" i="555"/>
  <c r="V8" i="555"/>
  <c r="W8" i="555" s="1"/>
  <c r="N8" i="555"/>
  <c r="K8" i="555" a="1"/>
  <c r="K8" i="555" s="1"/>
  <c r="M8" i="555" s="1"/>
  <c r="J8" i="555" a="1"/>
  <c r="J8" i="555" s="1"/>
  <c r="H8" i="555"/>
  <c r="V7" i="555"/>
  <c r="V28" i="555" s="1"/>
  <c r="N7" i="555"/>
  <c r="N28" i="555" s="1"/>
  <c r="K7" i="555" a="1"/>
  <c r="K7" i="555" s="1"/>
  <c r="M7" i="555" s="1"/>
  <c r="J7" i="555" a="1"/>
  <c r="J7" i="555" s="1"/>
  <c r="H7" i="555"/>
  <c r="H28" i="555" s="1"/>
  <c r="J292" i="555" l="1" a="1"/>
  <c r="J292" i="555" s="1"/>
  <c r="J308" i="555" a="1"/>
  <c r="J308" i="555" s="1"/>
  <c r="J257" i="555" a="1"/>
  <c r="J257" i="555" s="1"/>
  <c r="N319" i="555"/>
  <c r="N334" i="555"/>
  <c r="H319" i="555"/>
  <c r="H334" i="555"/>
  <c r="H308" i="555"/>
  <c r="M308" i="555"/>
  <c r="V308" i="555"/>
  <c r="W308" i="555" s="1"/>
  <c r="N292" i="555"/>
  <c r="V257" i="555"/>
  <c r="W257" i="555" s="1"/>
  <c r="N199" i="555"/>
  <c r="K292" i="555"/>
  <c r="H163" i="555"/>
  <c r="R171" i="555"/>
  <c r="J148" i="555" a="1"/>
  <c r="J148" i="555" s="1"/>
  <c r="H137" i="555"/>
  <c r="V137" i="555"/>
  <c r="H121" i="555"/>
  <c r="H164" i="555" s="1"/>
  <c r="E171" i="555" s="1"/>
  <c r="V121" i="555"/>
  <c r="W121" i="555" s="1"/>
  <c r="N121" i="555"/>
  <c r="W87" i="555"/>
  <c r="N86" i="555"/>
  <c r="N164" i="555" s="1"/>
  <c r="B173" i="555" s="1"/>
  <c r="E173" i="555" s="1"/>
  <c r="W7" i="555"/>
  <c r="M121" i="555"/>
  <c r="M28" i="555"/>
  <c r="M137" i="555"/>
  <c r="J163" i="555" a="1"/>
  <c r="J163" i="555" s="1"/>
  <c r="W137" i="555"/>
  <c r="J137" i="555" a="1"/>
  <c r="J137" i="555" s="1"/>
  <c r="M370" i="555"/>
  <c r="K428" i="555"/>
  <c r="H370" i="555"/>
  <c r="N370" i="555"/>
  <c r="W349" i="555"/>
  <c r="N428" i="555"/>
  <c r="W371" i="555"/>
  <c r="H463" i="555"/>
  <c r="K479" i="555"/>
  <c r="J479" i="555" a="1"/>
  <c r="J479" i="555" s="1"/>
  <c r="R512" i="555"/>
  <c r="W491" i="555"/>
  <c r="N479" i="555"/>
  <c r="K506" i="555"/>
  <c r="N463" i="555"/>
  <c r="N507" i="555"/>
  <c r="B516" i="555" s="1"/>
  <c r="E516" i="555" s="1"/>
  <c r="J463" i="555" a="1"/>
  <c r="J463" i="555" s="1"/>
  <c r="K526" i="555"/>
  <c r="K527" i="555"/>
  <c r="K148" i="555"/>
  <c r="M138" i="555"/>
  <c r="M148" i="555" s="1"/>
  <c r="K199" i="555"/>
  <c r="M178" i="555"/>
  <c r="M199" i="555" s="1"/>
  <c r="W28" i="555"/>
  <c r="C520" i="555"/>
  <c r="Q525" i="555"/>
  <c r="M29" i="555"/>
  <c r="M86" i="555" s="1"/>
  <c r="K86" i="555"/>
  <c r="K525" i="555"/>
  <c r="K528" i="555"/>
  <c r="K163" i="555"/>
  <c r="M149" i="555"/>
  <c r="M163" i="555" s="1"/>
  <c r="K529" i="555"/>
  <c r="K257" i="555"/>
  <c r="M200" i="555"/>
  <c r="M257" i="555" s="1"/>
  <c r="J28" i="555" a="1"/>
  <c r="J28" i="555" s="1"/>
  <c r="K28" i="555"/>
  <c r="W29" i="555"/>
  <c r="J86" i="555" a="1"/>
  <c r="J86" i="555" s="1"/>
  <c r="J121" i="555" a="1"/>
  <c r="J121" i="555" s="1"/>
  <c r="K121" i="555"/>
  <c r="K137" i="555"/>
  <c r="V163" i="555"/>
  <c r="W163" i="555" s="1"/>
  <c r="G164" i="555"/>
  <c r="P164" i="555"/>
  <c r="X168" i="555" s="1"/>
  <c r="X173" i="555" s="1"/>
  <c r="K166" i="555"/>
  <c r="R166" i="555"/>
  <c r="J335" i="555" a="1"/>
  <c r="J335" i="555" s="1"/>
  <c r="M342" i="555" s="1"/>
  <c r="B342" i="555"/>
  <c r="O335" i="555"/>
  <c r="R337" i="555"/>
  <c r="C530" i="555"/>
  <c r="E524" i="555" s="1"/>
  <c r="W138" i="555"/>
  <c r="W178" i="555"/>
  <c r="W199" i="555" s="1"/>
  <c r="J199" i="555" a="1"/>
  <c r="J199" i="555" s="1"/>
  <c r="X338" i="555"/>
  <c r="P335" i="555"/>
  <c r="X339" i="555" s="1"/>
  <c r="H257" i="555"/>
  <c r="H335" i="555" s="1"/>
  <c r="E342" i="555" s="1"/>
  <c r="N257" i="555"/>
  <c r="N335" i="555" s="1"/>
  <c r="B344" i="555" s="1"/>
  <c r="W200" i="555"/>
  <c r="M258" i="555"/>
  <c r="M292" i="555" s="1"/>
  <c r="K319" i="555"/>
  <c r="M309" i="555"/>
  <c r="M319" i="555" s="1"/>
  <c r="K334" i="555"/>
  <c r="M320" i="555"/>
  <c r="M334" i="555" s="1"/>
  <c r="W334" i="555"/>
  <c r="V292" i="555"/>
  <c r="W292" i="555" s="1"/>
  <c r="K308" i="555"/>
  <c r="V334" i="555"/>
  <c r="R339" i="555"/>
  <c r="R340" i="555"/>
  <c r="W309" i="555"/>
  <c r="R341" i="555"/>
  <c r="R342" i="555"/>
  <c r="H507" i="555"/>
  <c r="E514" i="555" s="1"/>
  <c r="W370" i="555"/>
  <c r="M463" i="555"/>
  <c r="K337" i="555"/>
  <c r="J370" i="555" a="1"/>
  <c r="J370" i="555" s="1"/>
  <c r="K370" i="555"/>
  <c r="V463" i="555"/>
  <c r="W463" i="555" s="1"/>
  <c r="M464" i="555"/>
  <c r="M479" i="555" s="1"/>
  <c r="W464" i="555"/>
  <c r="V479" i="555"/>
  <c r="W479" i="555" s="1"/>
  <c r="B514" i="555"/>
  <c r="J507" i="555" a="1"/>
  <c r="J507" i="555" s="1"/>
  <c r="M514" i="555" s="1"/>
  <c r="R509" i="555"/>
  <c r="X509" i="555"/>
  <c r="O507" i="555"/>
  <c r="X510" i="555" s="1"/>
  <c r="M371" i="555"/>
  <c r="M428" i="555" s="1"/>
  <c r="K463" i="555"/>
  <c r="V490" i="555"/>
  <c r="W490" i="555" s="1"/>
  <c r="W506" i="555"/>
  <c r="K509" i="555"/>
  <c r="R534" i="555"/>
  <c r="S534" i="555" a="1"/>
  <c r="S534" i="555" s="1"/>
  <c r="M480" i="555"/>
  <c r="M490" i="555" s="1"/>
  <c r="M491" i="555"/>
  <c r="M506" i="555" s="1"/>
  <c r="R514" i="555"/>
  <c r="J536" i="555"/>
  <c r="Q533" i="555"/>
  <c r="R535" i="555"/>
  <c r="S535" i="555" a="1"/>
  <c r="S535" i="555" s="1"/>
  <c r="T533" i="555" a="1"/>
  <c r="T533" i="555" s="1"/>
  <c r="T534" i="555" a="1"/>
  <c r="T534" i="555" s="1"/>
  <c r="T535" i="555" a="1"/>
  <c r="T535" i="555" s="1"/>
  <c r="C536" i="555"/>
  <c r="T536" i="555" s="1" a="1"/>
  <c r="T536" i="555" s="1"/>
  <c r="G220" i="554"/>
  <c r="G109" i="554"/>
  <c r="G280" i="554"/>
  <c r="G209" i="554"/>
  <c r="G294" i="554"/>
  <c r="G66" i="554"/>
  <c r="G217" i="554"/>
  <c r="G46" i="554"/>
  <c r="G322" i="554"/>
  <c r="G184" i="554"/>
  <c r="X344" i="555" l="1"/>
  <c r="M164" i="555"/>
  <c r="Z167" i="555"/>
  <c r="Z169" i="555"/>
  <c r="Z171" i="555"/>
  <c r="M507" i="555"/>
  <c r="G519" i="555"/>
  <c r="E528" i="555"/>
  <c r="E527" i="555"/>
  <c r="E525" i="555"/>
  <c r="E344" i="555"/>
  <c r="C521" i="555"/>
  <c r="G521" i="555" s="1"/>
  <c r="Z337" i="555" a="1"/>
  <c r="Z337" i="555" s="1"/>
  <c r="Z341" i="555"/>
  <c r="Z342" i="555"/>
  <c r="Z343" i="555"/>
  <c r="Z340" i="555"/>
  <c r="R533" i="555"/>
  <c r="R536" i="555" s="1"/>
  <c r="Q536" i="555"/>
  <c r="S536" i="555" s="1" a="1"/>
  <c r="S536" i="555" s="1"/>
  <c r="S533" i="555" a="1"/>
  <c r="S533" i="555" s="1"/>
  <c r="X516" i="555"/>
  <c r="Z510" i="555" s="1"/>
  <c r="V507" i="555"/>
  <c r="Z338" i="555"/>
  <c r="W335" i="555"/>
  <c r="Z170" i="555"/>
  <c r="E529" i="555"/>
  <c r="E526" i="555"/>
  <c r="M166" i="555"/>
  <c r="K170" i="555"/>
  <c r="M170" i="555" s="1"/>
  <c r="J164" i="555" a="1"/>
  <c r="J164" i="555" s="1"/>
  <c r="M171" i="555" s="1"/>
  <c r="B171" i="555"/>
  <c r="C519" i="555" s="1"/>
  <c r="V164" i="555"/>
  <c r="I173" i="555" s="1"/>
  <c r="M335" i="555"/>
  <c r="K513" i="555"/>
  <c r="M513" i="555" s="1"/>
  <c r="M509" i="555"/>
  <c r="R516" i="555"/>
  <c r="T514" i="555" s="1"/>
  <c r="K507" i="555"/>
  <c r="M337" i="555"/>
  <c r="K341" i="555"/>
  <c r="M341" i="555" s="1"/>
  <c r="Z339" i="555"/>
  <c r="R344" i="555"/>
  <c r="T337" i="555" s="1" a="1"/>
  <c r="T337" i="555" s="1"/>
  <c r="Z172" i="555"/>
  <c r="Z166" i="555" a="1"/>
  <c r="Z166" i="555" s="1"/>
  <c r="K524" i="555"/>
  <c r="R173" i="555"/>
  <c r="T166" i="555" s="1" a="1"/>
  <c r="T166" i="555" s="1"/>
  <c r="Q526" i="555"/>
  <c r="Z168" i="555"/>
  <c r="K164" i="555"/>
  <c r="E172" i="555" s="1"/>
  <c r="W164" i="555"/>
  <c r="V335" i="555"/>
  <c r="I344" i="555" s="1"/>
  <c r="M344" i="555" s="1" a="1"/>
  <c r="M344" i="555" s="1"/>
  <c r="K335" i="555"/>
  <c r="J185" i="554" a="1"/>
  <c r="J185" i="554" s="1"/>
  <c r="J184" i="554" a="1"/>
  <c r="J184" i="554" s="1"/>
  <c r="J280" i="554" a="1"/>
  <c r="J280" i="554" s="1"/>
  <c r="K327" i="554" a="1"/>
  <c r="K327" i="554" s="1"/>
  <c r="M327" i="554" s="1"/>
  <c r="J327" i="554" a="1"/>
  <c r="J327" i="554" s="1"/>
  <c r="J220" i="554" a="1"/>
  <c r="J220" i="554" s="1"/>
  <c r="I327" i="554"/>
  <c r="I186" i="554"/>
  <c r="I190" i="554"/>
  <c r="I185" i="554"/>
  <c r="I191" i="554"/>
  <c r="I209" i="554"/>
  <c r="I294" i="554"/>
  <c r="H294" i="554"/>
  <c r="E530" i="555" l="1"/>
  <c r="E343" i="555"/>
  <c r="I343" i="555" s="1"/>
  <c r="M343" i="555" s="1"/>
  <c r="L335" i="555"/>
  <c r="I342" i="555" s="1"/>
  <c r="I172" i="555"/>
  <c r="M172" i="555" s="1"/>
  <c r="Q530" i="555"/>
  <c r="K530" i="555"/>
  <c r="T172" i="555"/>
  <c r="T168" i="555"/>
  <c r="T169" i="555"/>
  <c r="T167" i="555"/>
  <c r="T170" i="555"/>
  <c r="T171" i="555"/>
  <c r="T343" i="555"/>
  <c r="T338" i="555"/>
  <c r="T342" i="555"/>
  <c r="T509" i="555" a="1"/>
  <c r="T509" i="555" s="1"/>
  <c r="M173" i="555" a="1"/>
  <c r="M173" i="555" s="1"/>
  <c r="O519" i="555" a="1"/>
  <c r="O519" i="555" s="1"/>
  <c r="T340" i="555"/>
  <c r="Z515" i="555"/>
  <c r="Z514" i="555"/>
  <c r="Z511" i="555"/>
  <c r="Z512" i="555"/>
  <c r="Z513" i="555"/>
  <c r="M524" i="555" a="1"/>
  <c r="M524" i="555" s="1"/>
  <c r="T339" i="555"/>
  <c r="E515" i="555"/>
  <c r="I515" i="555" s="1"/>
  <c r="M515" i="555" s="1"/>
  <c r="L507" i="555"/>
  <c r="I514" i="555" s="1"/>
  <c r="T515" i="555"/>
  <c r="T512" i="555"/>
  <c r="T510" i="555"/>
  <c r="T511" i="555"/>
  <c r="T513" i="555"/>
  <c r="L164" i="555"/>
  <c r="I171" i="555" s="1"/>
  <c r="I516" i="555"/>
  <c r="M516" i="555" s="1" a="1"/>
  <c r="M516" i="555" s="1"/>
  <c r="W507" i="555"/>
  <c r="T341" i="555"/>
  <c r="Z509" i="555" a="1"/>
  <c r="Z509" i="555" s="1"/>
  <c r="D534" i="554"/>
  <c r="D535" i="554"/>
  <c r="D533" i="554"/>
  <c r="G323" i="554"/>
  <c r="G219" i="554"/>
  <c r="G190" i="554"/>
  <c r="G327" i="554"/>
  <c r="G218" i="554"/>
  <c r="G191" i="554"/>
  <c r="G186" i="554"/>
  <c r="K521" i="555" l="1"/>
  <c r="O521" i="555" s="1" a="1"/>
  <c r="O521" i="555" s="1"/>
  <c r="S528" i="555"/>
  <c r="S524" i="555" a="1"/>
  <c r="S524" i="555" s="1"/>
  <c r="S527" i="555"/>
  <c r="S529" i="555"/>
  <c r="S525" i="555"/>
  <c r="M526" i="555"/>
  <c r="M529" i="555"/>
  <c r="M525" i="555"/>
  <c r="M527" i="555"/>
  <c r="M528" i="555"/>
  <c r="S526" i="555"/>
  <c r="G520" i="555"/>
  <c r="I95" i="554"/>
  <c r="I123" i="554"/>
  <c r="I109" i="554"/>
  <c r="I120" i="554"/>
  <c r="I108" i="554"/>
  <c r="I20" i="554"/>
  <c r="I38" i="554"/>
  <c r="I41" i="554"/>
  <c r="I14" i="554"/>
  <c r="I111" i="554"/>
  <c r="I156" i="554"/>
  <c r="K520" i="555" l="1"/>
  <c r="O520" i="555" s="1"/>
  <c r="K519" i="555"/>
  <c r="S530" i="555"/>
  <c r="G156" i="554"/>
  <c r="G120" i="554"/>
  <c r="G108" i="554"/>
  <c r="G123" i="554"/>
  <c r="G41" i="554"/>
  <c r="G49" i="554"/>
  <c r="G48" i="554"/>
  <c r="G20" i="554"/>
  <c r="G14" i="554"/>
  <c r="P536" i="554" l="1"/>
  <c r="O536" i="554"/>
  <c r="N536" i="554"/>
  <c r="M536" i="554"/>
  <c r="L536" i="554"/>
  <c r="K536" i="554"/>
  <c r="I536" i="554"/>
  <c r="H536" i="554"/>
  <c r="G536" i="554"/>
  <c r="F536" i="554"/>
  <c r="E536" i="554"/>
  <c r="D536" i="554"/>
  <c r="C535" i="554"/>
  <c r="J535" i="554" s="1"/>
  <c r="Q535" i="554" s="1"/>
  <c r="C534" i="554"/>
  <c r="J534" i="554" s="1"/>
  <c r="Q534" i="554" s="1"/>
  <c r="C533" i="554"/>
  <c r="J533" i="554" s="1"/>
  <c r="G517" i="554"/>
  <c r="N517" i="554" s="1"/>
  <c r="X515" i="554"/>
  <c r="X514" i="554"/>
  <c r="X513" i="554"/>
  <c r="G513" i="554"/>
  <c r="C513" i="554"/>
  <c r="X512" i="554"/>
  <c r="I512" i="554"/>
  <c r="E512" i="554"/>
  <c r="K512" i="554" s="1"/>
  <c r="M512" i="554" s="1"/>
  <c r="X511" i="554"/>
  <c r="I511" i="554"/>
  <c r="E511" i="554"/>
  <c r="K511" i="554" s="1"/>
  <c r="M511" i="554" s="1"/>
  <c r="I510" i="554"/>
  <c r="E510" i="554"/>
  <c r="K510" i="554" s="1"/>
  <c r="M510" i="554" s="1"/>
  <c r="I509" i="554"/>
  <c r="I513" i="554" s="1"/>
  <c r="E509" i="554"/>
  <c r="E513" i="554" s="1"/>
  <c r="AA506" i="554"/>
  <c r="Z506" i="554"/>
  <c r="Y506" i="554"/>
  <c r="X506" i="554"/>
  <c r="U506" i="554"/>
  <c r="T506" i="554"/>
  <c r="S506" i="554"/>
  <c r="R506" i="554"/>
  <c r="Q506" i="554"/>
  <c r="P506" i="554"/>
  <c r="R514" i="554" s="1"/>
  <c r="O506" i="554"/>
  <c r="I506" i="554"/>
  <c r="G506" i="554"/>
  <c r="J506" i="554" s="1" a="1"/>
  <c r="J506" i="554" s="1"/>
  <c r="H505" i="554"/>
  <c r="H504" i="554"/>
  <c r="H503" i="554"/>
  <c r="D502" i="554"/>
  <c r="H502" i="554" s="1"/>
  <c r="V501" i="554"/>
  <c r="W501" i="554" s="1"/>
  <c r="N501" i="554"/>
  <c r="K501" i="554" a="1"/>
  <c r="K501" i="554" s="1"/>
  <c r="M501" i="554" s="1"/>
  <c r="J501" i="554" a="1"/>
  <c r="J501" i="554" s="1"/>
  <c r="H501" i="554"/>
  <c r="H500" i="554"/>
  <c r="H499" i="554"/>
  <c r="V498" i="554"/>
  <c r="W498" i="554" s="1"/>
  <c r="N498" i="554"/>
  <c r="K498" i="554" a="1"/>
  <c r="K498" i="554" s="1"/>
  <c r="M498" i="554" s="1"/>
  <c r="J498" i="554" a="1"/>
  <c r="J498" i="554" s="1"/>
  <c r="H498" i="554"/>
  <c r="V497" i="554"/>
  <c r="W497" i="554" s="1"/>
  <c r="N497" i="554"/>
  <c r="K497" i="554"/>
  <c r="M497" i="554" s="1"/>
  <c r="K497" i="554" a="1"/>
  <c r="J497" i="554"/>
  <c r="J497" i="554" a="1"/>
  <c r="H497" i="554"/>
  <c r="H496" i="554"/>
  <c r="H495" i="554"/>
  <c r="V494" i="554"/>
  <c r="W494" i="554" s="1"/>
  <c r="N494" i="554"/>
  <c r="K494" i="554" a="1"/>
  <c r="K494" i="554" s="1"/>
  <c r="M494" i="554" s="1"/>
  <c r="J494" i="554" a="1"/>
  <c r="J494" i="554" s="1"/>
  <c r="H494" i="554"/>
  <c r="V493" i="554"/>
  <c r="W493" i="554" s="1"/>
  <c r="N493" i="554"/>
  <c r="K493" i="554" a="1"/>
  <c r="K493" i="554" s="1"/>
  <c r="M493" i="554" s="1"/>
  <c r="J493" i="554" a="1"/>
  <c r="J493" i="554" s="1"/>
  <c r="H493" i="554"/>
  <c r="V492" i="554"/>
  <c r="W492" i="554" s="1"/>
  <c r="N492" i="554"/>
  <c r="K492" i="554" a="1"/>
  <c r="K492" i="554" s="1"/>
  <c r="M492" i="554" s="1"/>
  <c r="J492" i="554" a="1"/>
  <c r="J492" i="554" s="1"/>
  <c r="H492" i="554"/>
  <c r="V491" i="554"/>
  <c r="W491" i="554" s="1"/>
  <c r="N491" i="554"/>
  <c r="N506" i="554" s="1"/>
  <c r="K491" i="554"/>
  <c r="K491" i="554" a="1"/>
  <c r="J491" i="554"/>
  <c r="J491" i="554" a="1"/>
  <c r="H491" i="554"/>
  <c r="H506" i="554" s="1"/>
  <c r="AA490" i="554"/>
  <c r="Z490" i="554"/>
  <c r="Y490" i="554"/>
  <c r="X490" i="554"/>
  <c r="U490" i="554"/>
  <c r="T490" i="554"/>
  <c r="S490" i="554"/>
  <c r="Q490" i="554"/>
  <c r="P490" i="554"/>
  <c r="O490" i="554"/>
  <c r="R513" i="554" s="1"/>
  <c r="I490" i="554"/>
  <c r="G490" i="554"/>
  <c r="J490" i="554" s="1" a="1"/>
  <c r="J490" i="554" s="1"/>
  <c r="V489" i="554"/>
  <c r="W489" i="554" s="1"/>
  <c r="N489" i="554"/>
  <c r="K489" i="554" a="1"/>
  <c r="K489" i="554" s="1"/>
  <c r="M489" i="554" s="1"/>
  <c r="J489" i="554" a="1"/>
  <c r="J489" i="554" s="1"/>
  <c r="H489" i="554"/>
  <c r="H488" i="554"/>
  <c r="H487" i="554"/>
  <c r="H486" i="554"/>
  <c r="H485" i="554"/>
  <c r="W484" i="554"/>
  <c r="V484" i="554"/>
  <c r="N484" i="554"/>
  <c r="K484" i="554" a="1"/>
  <c r="K484" i="554" s="1"/>
  <c r="M484" i="554" s="1"/>
  <c r="J484" i="554" a="1"/>
  <c r="J484" i="554" s="1"/>
  <c r="H484" i="554"/>
  <c r="V483" i="554"/>
  <c r="W483" i="554" s="1"/>
  <c r="N483" i="554"/>
  <c r="K483" i="554" a="1"/>
  <c r="K483" i="554" s="1"/>
  <c r="M483" i="554" s="1"/>
  <c r="J483" i="554" a="1"/>
  <c r="J483" i="554" s="1"/>
  <c r="H483" i="554"/>
  <c r="V482" i="554"/>
  <c r="W482" i="554" s="1"/>
  <c r="N482" i="554"/>
  <c r="K482" i="554"/>
  <c r="M482" i="554" s="1"/>
  <c r="K482" i="554" a="1"/>
  <c r="J482" i="554"/>
  <c r="J482" i="554" a="1"/>
  <c r="H482" i="554"/>
  <c r="V481" i="554"/>
  <c r="W481" i="554" s="1"/>
  <c r="N481" i="554"/>
  <c r="K481" i="554" a="1"/>
  <c r="K481" i="554" s="1"/>
  <c r="M481" i="554" s="1"/>
  <c r="J481" i="554" a="1"/>
  <c r="J481" i="554" s="1"/>
  <c r="H481" i="554"/>
  <c r="W480" i="554"/>
  <c r="V480" i="554"/>
  <c r="N480" i="554"/>
  <c r="N490" i="554" s="1"/>
  <c r="K480" i="554" a="1"/>
  <c r="K480" i="554" s="1"/>
  <c r="K490" i="554" s="1"/>
  <c r="J480" i="554" a="1"/>
  <c r="J480" i="554" s="1"/>
  <c r="H480" i="554"/>
  <c r="H490" i="554" s="1"/>
  <c r="AA479" i="554"/>
  <c r="Z479" i="554"/>
  <c r="Y479" i="554"/>
  <c r="X479" i="554"/>
  <c r="U479" i="554"/>
  <c r="T479" i="554"/>
  <c r="S479" i="554"/>
  <c r="Q479" i="554"/>
  <c r="P479" i="554"/>
  <c r="O479" i="554"/>
  <c r="I479" i="554"/>
  <c r="G479" i="554"/>
  <c r="V478" i="554"/>
  <c r="W478" i="554" s="1"/>
  <c r="N478" i="554"/>
  <c r="K478" i="554" a="1"/>
  <c r="K478" i="554" s="1"/>
  <c r="M478" i="554" s="1"/>
  <c r="J478" i="554" a="1"/>
  <c r="J478" i="554" s="1"/>
  <c r="H478" i="554"/>
  <c r="V477" i="554"/>
  <c r="W477" i="554" s="1"/>
  <c r="N477" i="554"/>
  <c r="K477" i="554"/>
  <c r="M477" i="554" s="1"/>
  <c r="K477" i="554" a="1"/>
  <c r="J477" i="554"/>
  <c r="J477" i="554" a="1"/>
  <c r="H477" i="554"/>
  <c r="V476" i="554"/>
  <c r="W476" i="554" s="1"/>
  <c r="N476" i="554"/>
  <c r="K476" i="554" a="1"/>
  <c r="K476" i="554" s="1"/>
  <c r="M476" i="554" s="1"/>
  <c r="J476" i="554" a="1"/>
  <c r="J476" i="554" s="1"/>
  <c r="H476" i="554"/>
  <c r="V475" i="554"/>
  <c r="W475" i="554" s="1"/>
  <c r="N475" i="554"/>
  <c r="K475" i="554"/>
  <c r="M475" i="554" s="1"/>
  <c r="K475" i="554" a="1"/>
  <c r="J475" i="554"/>
  <c r="J475" i="554" a="1"/>
  <c r="H475" i="554"/>
  <c r="V474" i="554"/>
  <c r="W474" i="554" s="1"/>
  <c r="N474" i="554"/>
  <c r="K474" i="554" a="1"/>
  <c r="K474" i="554" s="1"/>
  <c r="M474" i="554" s="1"/>
  <c r="J474" i="554" a="1"/>
  <c r="J474" i="554" s="1"/>
  <c r="H474" i="554"/>
  <c r="W473" i="554"/>
  <c r="V473" i="554"/>
  <c r="N473" i="554"/>
  <c r="K473" i="554" a="1"/>
  <c r="K473" i="554" s="1"/>
  <c r="M473" i="554" s="1"/>
  <c r="J473" i="554" a="1"/>
  <c r="J473" i="554" s="1"/>
  <c r="H473" i="554"/>
  <c r="V472" i="554"/>
  <c r="W472" i="554" s="1"/>
  <c r="N472" i="554"/>
  <c r="K472" i="554" a="1"/>
  <c r="K472" i="554" s="1"/>
  <c r="M472" i="554" s="1"/>
  <c r="J472" i="554" a="1"/>
  <c r="J472" i="554" s="1"/>
  <c r="H472" i="554"/>
  <c r="V471" i="554"/>
  <c r="W471" i="554" s="1"/>
  <c r="N471" i="554"/>
  <c r="K471" i="554"/>
  <c r="M471" i="554" s="1"/>
  <c r="K471" i="554" a="1"/>
  <c r="J471" i="554"/>
  <c r="J471" i="554" a="1"/>
  <c r="H471" i="554"/>
  <c r="V470" i="554"/>
  <c r="W470" i="554" s="1"/>
  <c r="N470" i="554"/>
  <c r="K470" i="554" a="1"/>
  <c r="K470" i="554" s="1"/>
  <c r="M470" i="554" s="1"/>
  <c r="J470" i="554" a="1"/>
  <c r="J470" i="554" s="1"/>
  <c r="H470" i="554"/>
  <c r="W469" i="554"/>
  <c r="V469" i="554"/>
  <c r="N469" i="554"/>
  <c r="K469" i="554" a="1"/>
  <c r="K469" i="554" s="1"/>
  <c r="M469" i="554" s="1"/>
  <c r="J469" i="554" a="1"/>
  <c r="J469" i="554" s="1"/>
  <c r="H469" i="554"/>
  <c r="V468" i="554"/>
  <c r="W468" i="554" s="1"/>
  <c r="N468" i="554"/>
  <c r="K468" i="554" a="1"/>
  <c r="K468" i="554" s="1"/>
  <c r="M468" i="554" s="1"/>
  <c r="J468" i="554" a="1"/>
  <c r="J468" i="554" s="1"/>
  <c r="H468" i="554"/>
  <c r="V467" i="554"/>
  <c r="W467" i="554" s="1"/>
  <c r="N467" i="554"/>
  <c r="K467" i="554"/>
  <c r="M467" i="554" s="1"/>
  <c r="K467" i="554" a="1"/>
  <c r="J467" i="554"/>
  <c r="J467" i="554" a="1"/>
  <c r="H467" i="554"/>
  <c r="V466" i="554"/>
  <c r="W466" i="554" s="1"/>
  <c r="N466" i="554"/>
  <c r="K466" i="554" a="1"/>
  <c r="K466" i="554" s="1"/>
  <c r="M466" i="554" s="1"/>
  <c r="J466" i="554" a="1"/>
  <c r="J466" i="554" s="1"/>
  <c r="H466" i="554"/>
  <c r="W465" i="554"/>
  <c r="V465" i="554"/>
  <c r="N465" i="554"/>
  <c r="K465" i="554" a="1"/>
  <c r="K465" i="554" s="1"/>
  <c r="M465" i="554" s="1"/>
  <c r="J465" i="554" a="1"/>
  <c r="J465" i="554" s="1"/>
  <c r="H465" i="554"/>
  <c r="V464" i="554"/>
  <c r="N464" i="554"/>
  <c r="K464" i="554"/>
  <c r="K464" i="554" a="1"/>
  <c r="J464" i="554"/>
  <c r="J464" i="554" a="1"/>
  <c r="H464" i="554"/>
  <c r="H479" i="554" s="1"/>
  <c r="AA463" i="554"/>
  <c r="Z463" i="554"/>
  <c r="Y463" i="554"/>
  <c r="X463" i="554"/>
  <c r="U463" i="554"/>
  <c r="T463" i="554"/>
  <c r="S463" i="554"/>
  <c r="R463" i="554"/>
  <c r="Q463" i="554"/>
  <c r="P463" i="554"/>
  <c r="O463" i="554"/>
  <c r="I463" i="554"/>
  <c r="G463" i="554"/>
  <c r="J463" i="554" s="1" a="1"/>
  <c r="J463" i="554" s="1"/>
  <c r="V462" i="554"/>
  <c r="W462" i="554" s="1"/>
  <c r="N462" i="554"/>
  <c r="K462" i="554"/>
  <c r="M462" i="554" s="1"/>
  <c r="K462" i="554" a="1"/>
  <c r="J462" i="554"/>
  <c r="J462" i="554" a="1"/>
  <c r="H462" i="554"/>
  <c r="V461" i="554"/>
  <c r="W461" i="554" s="1"/>
  <c r="N461" i="554"/>
  <c r="K461" i="554" a="1"/>
  <c r="K461" i="554" s="1"/>
  <c r="M461" i="554" s="1"/>
  <c r="J461" i="554" a="1"/>
  <c r="J461" i="554" s="1"/>
  <c r="H461" i="554"/>
  <c r="W460" i="554"/>
  <c r="V460" i="554"/>
  <c r="N460" i="554"/>
  <c r="K460" i="554" a="1"/>
  <c r="K460" i="554" s="1"/>
  <c r="M460" i="554" s="1"/>
  <c r="J460" i="554" a="1"/>
  <c r="J460" i="554" s="1"/>
  <c r="H460" i="554"/>
  <c r="K459" i="554"/>
  <c r="M459" i="554" s="1"/>
  <c r="K459" i="554" a="1"/>
  <c r="H459" i="554"/>
  <c r="K458" i="554" a="1"/>
  <c r="K458" i="554" s="1"/>
  <c r="M458" i="554" s="1"/>
  <c r="H458" i="554"/>
  <c r="K457" i="554"/>
  <c r="M457" i="554" s="1"/>
  <c r="K457" i="554" a="1"/>
  <c r="H457" i="554"/>
  <c r="V456" i="554"/>
  <c r="W456" i="554" s="1"/>
  <c r="N456" i="554"/>
  <c r="K456" i="554" a="1"/>
  <c r="K456" i="554" s="1"/>
  <c r="M456" i="554" s="1"/>
  <c r="J456" i="554" a="1"/>
  <c r="J456" i="554" s="1"/>
  <c r="H456" i="554"/>
  <c r="W455" i="554"/>
  <c r="V455" i="554"/>
  <c r="N455" i="554"/>
  <c r="K455" i="554" a="1"/>
  <c r="K455" i="554" s="1"/>
  <c r="M455" i="554" s="1"/>
  <c r="J455" i="554" a="1"/>
  <c r="J455" i="554" s="1"/>
  <c r="H455" i="554"/>
  <c r="N454" i="554"/>
  <c r="K454" i="554" a="1"/>
  <c r="K454" i="554" s="1"/>
  <c r="M454" i="554" s="1"/>
  <c r="H454" i="554"/>
  <c r="N453" i="554"/>
  <c r="K453" i="554"/>
  <c r="M453" i="554" s="1"/>
  <c r="K453" i="554" a="1"/>
  <c r="H453" i="554"/>
  <c r="N452" i="554"/>
  <c r="K452" i="554" a="1"/>
  <c r="K452" i="554" s="1"/>
  <c r="M452" i="554" s="1"/>
  <c r="H452" i="554"/>
  <c r="N451" i="554"/>
  <c r="K451" i="554" a="1"/>
  <c r="K451" i="554" s="1"/>
  <c r="M451" i="554" s="1"/>
  <c r="H451" i="554"/>
  <c r="N450" i="554"/>
  <c r="K450" i="554" a="1"/>
  <c r="K450" i="554" s="1"/>
  <c r="M450" i="554" s="1"/>
  <c r="H450" i="554"/>
  <c r="N449" i="554"/>
  <c r="K449" i="554"/>
  <c r="M449" i="554" s="1"/>
  <c r="K449" i="554" a="1"/>
  <c r="H449" i="554"/>
  <c r="V448" i="554"/>
  <c r="W448" i="554" s="1"/>
  <c r="N448" i="554"/>
  <c r="K448" i="554" a="1"/>
  <c r="K448" i="554" s="1"/>
  <c r="M448" i="554" s="1"/>
  <c r="J448" i="554" a="1"/>
  <c r="J448" i="554" s="1"/>
  <c r="H448" i="554"/>
  <c r="W447" i="554"/>
  <c r="V447" i="554"/>
  <c r="N447" i="554"/>
  <c r="K447" i="554" a="1"/>
  <c r="K447" i="554" s="1"/>
  <c r="M447" i="554" s="1"/>
  <c r="J447" i="554" a="1"/>
  <c r="J447" i="554" s="1"/>
  <c r="H447" i="554"/>
  <c r="V446" i="554"/>
  <c r="W446" i="554" s="1"/>
  <c r="N446" i="554"/>
  <c r="K446" i="554" a="1"/>
  <c r="K446" i="554" s="1"/>
  <c r="M446" i="554" s="1"/>
  <c r="J446" i="554" a="1"/>
  <c r="J446" i="554" s="1"/>
  <c r="H446" i="554"/>
  <c r="V445" i="554"/>
  <c r="W445" i="554" s="1"/>
  <c r="N445" i="554"/>
  <c r="K445" i="554"/>
  <c r="M445" i="554" s="1"/>
  <c r="K445" i="554" a="1"/>
  <c r="J445" i="554"/>
  <c r="J445" i="554" a="1"/>
  <c r="H445" i="554"/>
  <c r="V444" i="554"/>
  <c r="W444" i="554" s="1"/>
  <c r="N444" i="554"/>
  <c r="K444" i="554" a="1"/>
  <c r="K444" i="554" s="1"/>
  <c r="M444" i="554" s="1"/>
  <c r="J444" i="554" a="1"/>
  <c r="J444" i="554" s="1"/>
  <c r="H444" i="554"/>
  <c r="W443" i="554"/>
  <c r="V443" i="554"/>
  <c r="N443" i="554"/>
  <c r="K443" i="554" a="1"/>
  <c r="K443" i="554" s="1"/>
  <c r="M443" i="554" s="1"/>
  <c r="J443" i="554" a="1"/>
  <c r="J443" i="554" s="1"/>
  <c r="H443" i="554"/>
  <c r="V442" i="554"/>
  <c r="W442" i="554" s="1"/>
  <c r="N442" i="554"/>
  <c r="K442" i="554" a="1"/>
  <c r="K442" i="554" s="1"/>
  <c r="M442" i="554" s="1"/>
  <c r="J442" i="554" a="1"/>
  <c r="J442" i="554" s="1"/>
  <c r="H442" i="554"/>
  <c r="V441" i="554"/>
  <c r="W441" i="554" s="1"/>
  <c r="N441" i="554"/>
  <c r="K441" i="554"/>
  <c r="M441" i="554" s="1"/>
  <c r="K441" i="554" a="1"/>
  <c r="J441" i="554"/>
  <c r="J441" i="554" a="1"/>
  <c r="H441" i="554"/>
  <c r="V440" i="554"/>
  <c r="W440" i="554" s="1"/>
  <c r="N440" i="554"/>
  <c r="K440" i="554" a="1"/>
  <c r="K440" i="554" s="1"/>
  <c r="M440" i="554" s="1"/>
  <c r="J440" i="554" a="1"/>
  <c r="J440" i="554" s="1"/>
  <c r="H440" i="554"/>
  <c r="W439" i="554"/>
  <c r="V439" i="554"/>
  <c r="N439" i="554"/>
  <c r="K439" i="554" a="1"/>
  <c r="K439" i="554" s="1"/>
  <c r="M439" i="554" s="1"/>
  <c r="J439" i="554" a="1"/>
  <c r="J439" i="554" s="1"/>
  <c r="H439" i="554"/>
  <c r="V438" i="554"/>
  <c r="W438" i="554" s="1"/>
  <c r="N438" i="554"/>
  <c r="K438" i="554" a="1"/>
  <c r="K438" i="554" s="1"/>
  <c r="M438" i="554" s="1"/>
  <c r="J438" i="554" a="1"/>
  <c r="J438" i="554" s="1"/>
  <c r="H438" i="554"/>
  <c r="V437" i="554"/>
  <c r="W437" i="554" s="1"/>
  <c r="N437" i="554"/>
  <c r="K437" i="554"/>
  <c r="M437" i="554" s="1"/>
  <c r="K437" i="554" a="1"/>
  <c r="J437" i="554"/>
  <c r="J437" i="554" a="1"/>
  <c r="H437" i="554"/>
  <c r="N436" i="554"/>
  <c r="K436" i="554" a="1"/>
  <c r="K436" i="554" s="1"/>
  <c r="M436" i="554" s="1"/>
  <c r="H436" i="554"/>
  <c r="W435" i="554"/>
  <c r="V435" i="554"/>
  <c r="N435" i="554"/>
  <c r="K435" i="554" a="1"/>
  <c r="K435" i="554" s="1"/>
  <c r="M435" i="554" s="1"/>
  <c r="J435" i="554" a="1"/>
  <c r="J435" i="554" s="1"/>
  <c r="H435" i="554"/>
  <c r="V434" i="554"/>
  <c r="W434" i="554" s="1"/>
  <c r="N434" i="554"/>
  <c r="K434" i="554" a="1"/>
  <c r="K434" i="554" s="1"/>
  <c r="M434" i="554" s="1"/>
  <c r="J434" i="554" a="1"/>
  <c r="J434" i="554" s="1"/>
  <c r="H434" i="554"/>
  <c r="V433" i="554"/>
  <c r="W433" i="554" s="1"/>
  <c r="N433" i="554"/>
  <c r="K433" i="554"/>
  <c r="M433" i="554" s="1"/>
  <c r="K433" i="554" a="1"/>
  <c r="J433" i="554"/>
  <c r="J433" i="554" a="1"/>
  <c r="H433" i="554"/>
  <c r="V432" i="554"/>
  <c r="W432" i="554" s="1"/>
  <c r="N432" i="554"/>
  <c r="K432" i="554" a="1"/>
  <c r="K432" i="554" s="1"/>
  <c r="M432" i="554" s="1"/>
  <c r="J432" i="554" a="1"/>
  <c r="J432" i="554" s="1"/>
  <c r="H432" i="554"/>
  <c r="W431" i="554"/>
  <c r="V431" i="554"/>
  <c r="N431" i="554"/>
  <c r="K431" i="554" a="1"/>
  <c r="K431" i="554" s="1"/>
  <c r="M431" i="554" s="1"/>
  <c r="J431" i="554" a="1"/>
  <c r="J431" i="554" s="1"/>
  <c r="H431" i="554"/>
  <c r="V430" i="554"/>
  <c r="W430" i="554" s="1"/>
  <c r="N430" i="554"/>
  <c r="K430" i="554" a="1"/>
  <c r="K430" i="554" s="1"/>
  <c r="M430" i="554" s="1"/>
  <c r="J430" i="554" a="1"/>
  <c r="J430" i="554" s="1"/>
  <c r="H430" i="554"/>
  <c r="V429" i="554"/>
  <c r="V463" i="554" s="1"/>
  <c r="W463" i="554" s="1"/>
  <c r="N429" i="554"/>
  <c r="K429" i="554"/>
  <c r="K429" i="554" a="1"/>
  <c r="J429" i="554"/>
  <c r="J429" i="554" a="1"/>
  <c r="H429" i="554"/>
  <c r="H463" i="554" s="1"/>
  <c r="AA428" i="554"/>
  <c r="Z428" i="554"/>
  <c r="Y428" i="554"/>
  <c r="X428" i="554"/>
  <c r="U428" i="554"/>
  <c r="T428" i="554"/>
  <c r="S428" i="554"/>
  <c r="R428" i="554"/>
  <c r="Q428" i="554"/>
  <c r="P428" i="554"/>
  <c r="O428" i="554"/>
  <c r="I428" i="554"/>
  <c r="G428" i="554"/>
  <c r="K427" i="554"/>
  <c r="M427" i="554" s="1"/>
  <c r="K427" i="554" a="1"/>
  <c r="H427" i="554"/>
  <c r="K426" i="554" a="1"/>
  <c r="K426" i="554" s="1"/>
  <c r="M426" i="554" s="1"/>
  <c r="H426" i="554"/>
  <c r="K425" i="554" a="1"/>
  <c r="K425" i="554" s="1"/>
  <c r="M425" i="554" s="1"/>
  <c r="H425" i="554"/>
  <c r="K424" i="554" a="1"/>
  <c r="K424" i="554" s="1"/>
  <c r="M424" i="554" s="1"/>
  <c r="H424" i="554"/>
  <c r="K423" i="554" a="1"/>
  <c r="K423" i="554" s="1"/>
  <c r="M423" i="554" s="1"/>
  <c r="H423" i="554"/>
  <c r="K422" i="554" a="1"/>
  <c r="K422" i="554" s="1"/>
  <c r="M422" i="554" s="1"/>
  <c r="H422" i="554"/>
  <c r="K421" i="554" a="1"/>
  <c r="K421" i="554" s="1"/>
  <c r="M421" i="554" s="1"/>
  <c r="H421" i="554"/>
  <c r="K420" i="554" a="1"/>
  <c r="K420" i="554" s="1"/>
  <c r="M420" i="554" s="1"/>
  <c r="H420" i="554"/>
  <c r="K419" i="554" a="1"/>
  <c r="K419" i="554" s="1"/>
  <c r="M419" i="554" s="1"/>
  <c r="H419" i="554"/>
  <c r="K418" i="554" a="1"/>
  <c r="K418" i="554" s="1"/>
  <c r="M418" i="554" s="1"/>
  <c r="H418" i="554"/>
  <c r="W417" i="554"/>
  <c r="V417" i="554"/>
  <c r="N417" i="554"/>
  <c r="K417" i="554" a="1"/>
  <c r="K417" i="554" s="1"/>
  <c r="M417" i="554" s="1"/>
  <c r="J417" i="554" a="1"/>
  <c r="J417" i="554" s="1"/>
  <c r="H417" i="554"/>
  <c r="V416" i="554"/>
  <c r="W416" i="554" s="1"/>
  <c r="N416" i="554"/>
  <c r="K416" i="554" a="1"/>
  <c r="K416" i="554" s="1"/>
  <c r="M416" i="554" s="1"/>
  <c r="J416" i="554" a="1"/>
  <c r="J416" i="554" s="1"/>
  <c r="H416" i="554"/>
  <c r="V415" i="554"/>
  <c r="W415" i="554" s="1"/>
  <c r="N415" i="554"/>
  <c r="K415" i="554"/>
  <c r="M415" i="554" s="1"/>
  <c r="K415" i="554" a="1"/>
  <c r="J415" i="554"/>
  <c r="J415" i="554" a="1"/>
  <c r="H415" i="554"/>
  <c r="V414" i="554"/>
  <c r="W414" i="554" s="1"/>
  <c r="N414" i="554"/>
  <c r="K414" i="554" a="1"/>
  <c r="K414" i="554" s="1"/>
  <c r="M414" i="554" s="1"/>
  <c r="J414" i="554" a="1"/>
  <c r="J414" i="554" s="1"/>
  <c r="H414" i="554"/>
  <c r="H413" i="554"/>
  <c r="V412" i="554"/>
  <c r="W412" i="554" s="1"/>
  <c r="N412" i="554"/>
  <c r="K412" i="554" a="1"/>
  <c r="K412" i="554" s="1"/>
  <c r="M412" i="554" s="1"/>
  <c r="J412" i="554" a="1"/>
  <c r="J412" i="554" s="1"/>
  <c r="H412" i="554"/>
  <c r="W411" i="554"/>
  <c r="V411" i="554"/>
  <c r="N411" i="554"/>
  <c r="K411" i="554" a="1"/>
  <c r="K411" i="554" s="1"/>
  <c r="M411" i="554" s="1"/>
  <c r="J411" i="554" a="1"/>
  <c r="J411" i="554" s="1"/>
  <c r="H411" i="554"/>
  <c r="H410" i="554"/>
  <c r="K409" i="554" a="1"/>
  <c r="K409" i="554" s="1"/>
  <c r="H409" i="554"/>
  <c r="V408" i="554"/>
  <c r="W408" i="554" s="1"/>
  <c r="N408" i="554"/>
  <c r="K408" i="554" a="1"/>
  <c r="K408" i="554" s="1"/>
  <c r="M408" i="554" s="1"/>
  <c r="J408" i="554" a="1"/>
  <c r="J408" i="554" s="1"/>
  <c r="H408" i="554"/>
  <c r="V407" i="554"/>
  <c r="W407" i="554" s="1"/>
  <c r="N407" i="554"/>
  <c r="K407" i="554"/>
  <c r="M407" i="554" s="1"/>
  <c r="K407" i="554" a="1"/>
  <c r="J407" i="554"/>
  <c r="J407" i="554" a="1"/>
  <c r="H407" i="554"/>
  <c r="V406" i="554"/>
  <c r="W406" i="554" s="1"/>
  <c r="N406" i="554"/>
  <c r="K406" i="554" a="1"/>
  <c r="K406" i="554" s="1"/>
  <c r="M406" i="554" s="1"/>
  <c r="J406" i="554" a="1"/>
  <c r="J406" i="554" s="1"/>
  <c r="H406" i="554"/>
  <c r="W405" i="554"/>
  <c r="V405" i="554"/>
  <c r="N405" i="554"/>
  <c r="K405" i="554" a="1"/>
  <c r="K405" i="554" s="1"/>
  <c r="M405" i="554" s="1"/>
  <c r="J405" i="554" a="1"/>
  <c r="J405" i="554" s="1"/>
  <c r="H405" i="554"/>
  <c r="V404" i="554"/>
  <c r="W404" i="554" s="1"/>
  <c r="N404" i="554"/>
  <c r="K404" i="554" a="1"/>
  <c r="K404" i="554" s="1"/>
  <c r="M404" i="554" s="1"/>
  <c r="J404" i="554" a="1"/>
  <c r="J404" i="554" s="1"/>
  <c r="H404" i="554"/>
  <c r="V403" i="554"/>
  <c r="W403" i="554" s="1"/>
  <c r="N403" i="554"/>
  <c r="K403" i="554"/>
  <c r="M403" i="554" s="1"/>
  <c r="K403" i="554" a="1"/>
  <c r="J403" i="554"/>
  <c r="J403" i="554" a="1"/>
  <c r="H403" i="554"/>
  <c r="V402" i="554"/>
  <c r="W402" i="554" s="1"/>
  <c r="N402" i="554"/>
  <c r="K402" i="554" a="1"/>
  <c r="K402" i="554" s="1"/>
  <c r="M402" i="554" s="1"/>
  <c r="J402" i="554" a="1"/>
  <c r="J402" i="554" s="1"/>
  <c r="H402" i="554"/>
  <c r="W401" i="554"/>
  <c r="V401" i="554"/>
  <c r="N401" i="554"/>
  <c r="K401" i="554" a="1"/>
  <c r="K401" i="554" s="1"/>
  <c r="M401" i="554" s="1"/>
  <c r="J401" i="554" a="1"/>
  <c r="J401" i="554" s="1"/>
  <c r="H401" i="554"/>
  <c r="V400" i="554"/>
  <c r="W400" i="554" s="1"/>
  <c r="N400" i="554"/>
  <c r="K400" i="554" a="1"/>
  <c r="K400" i="554" s="1"/>
  <c r="M400" i="554" s="1"/>
  <c r="J400" i="554" a="1"/>
  <c r="J400" i="554" s="1"/>
  <c r="H400" i="554"/>
  <c r="V399" i="554"/>
  <c r="W399" i="554" s="1"/>
  <c r="N399" i="554"/>
  <c r="K399" i="554"/>
  <c r="M399" i="554" s="1"/>
  <c r="K399" i="554" a="1"/>
  <c r="J399" i="554"/>
  <c r="J399" i="554" a="1"/>
  <c r="H399" i="554"/>
  <c r="K398" i="554" a="1"/>
  <c r="K398" i="554" s="1"/>
  <c r="M398" i="554" s="1"/>
  <c r="H398" i="554"/>
  <c r="K397" i="554"/>
  <c r="M397" i="554" s="1"/>
  <c r="K397" i="554" a="1"/>
  <c r="H397" i="554"/>
  <c r="K396" i="554" a="1"/>
  <c r="K396" i="554" s="1"/>
  <c r="M396" i="554" s="1"/>
  <c r="H396" i="554"/>
  <c r="K395" i="554" a="1"/>
  <c r="K395" i="554" s="1"/>
  <c r="M395" i="554" s="1"/>
  <c r="H395" i="554"/>
  <c r="N394" i="554"/>
  <c r="K394" i="554" a="1"/>
  <c r="K394" i="554" s="1"/>
  <c r="M394" i="554" s="1"/>
  <c r="H394" i="554"/>
  <c r="N393" i="554"/>
  <c r="K393" i="554" a="1"/>
  <c r="K393" i="554" s="1"/>
  <c r="M393" i="554" s="1"/>
  <c r="H393" i="554"/>
  <c r="N392" i="554"/>
  <c r="K392" i="554" a="1"/>
  <c r="K392" i="554" s="1"/>
  <c r="M392" i="554" s="1"/>
  <c r="H392" i="554"/>
  <c r="N391" i="554"/>
  <c r="K391" i="554" a="1"/>
  <c r="K391" i="554" s="1"/>
  <c r="M391" i="554" s="1"/>
  <c r="H391" i="554"/>
  <c r="W390" i="554"/>
  <c r="V390" i="554"/>
  <c r="N390" i="554"/>
  <c r="K390" i="554" a="1"/>
  <c r="K390" i="554" s="1"/>
  <c r="M390" i="554" s="1"/>
  <c r="J390" i="554" a="1"/>
  <c r="J390" i="554" s="1"/>
  <c r="H390" i="554"/>
  <c r="W389" i="554"/>
  <c r="V389" i="554"/>
  <c r="N389" i="554"/>
  <c r="K389" i="554" a="1"/>
  <c r="K389" i="554" s="1"/>
  <c r="M389" i="554" s="1"/>
  <c r="J389" i="554" a="1"/>
  <c r="J389" i="554" s="1"/>
  <c r="H389" i="554"/>
  <c r="V388" i="554"/>
  <c r="W388" i="554" s="1"/>
  <c r="N388" i="554"/>
  <c r="K388" i="554"/>
  <c r="M388" i="554" s="1"/>
  <c r="K388" i="554" a="1"/>
  <c r="J388" i="554" a="1"/>
  <c r="J388" i="554" s="1"/>
  <c r="H388" i="554"/>
  <c r="V387" i="554"/>
  <c r="W387" i="554" s="1"/>
  <c r="N387" i="554"/>
  <c r="K387" i="554" a="1"/>
  <c r="K387" i="554" s="1"/>
  <c r="M387" i="554" s="1"/>
  <c r="J387" i="554" a="1"/>
  <c r="J387" i="554" s="1"/>
  <c r="H387" i="554"/>
  <c r="V386" i="554"/>
  <c r="W386" i="554" s="1"/>
  <c r="N386" i="554"/>
  <c r="K386" i="554"/>
  <c r="M386" i="554" s="1"/>
  <c r="K386" i="554" a="1"/>
  <c r="J386" i="554"/>
  <c r="J386" i="554" a="1"/>
  <c r="H386" i="554"/>
  <c r="V385" i="554"/>
  <c r="W385" i="554" s="1"/>
  <c r="N385" i="554"/>
  <c r="K385" i="554" a="1"/>
  <c r="K385" i="554" s="1"/>
  <c r="M385" i="554" s="1"/>
  <c r="J385" i="554" a="1"/>
  <c r="J385" i="554" s="1"/>
  <c r="H385" i="554"/>
  <c r="W384" i="554"/>
  <c r="V384" i="554"/>
  <c r="N384" i="554"/>
  <c r="K384" i="554" a="1"/>
  <c r="K384" i="554" s="1"/>
  <c r="M384" i="554" s="1"/>
  <c r="J384" i="554" a="1"/>
  <c r="J384" i="554" s="1"/>
  <c r="H384" i="554"/>
  <c r="V383" i="554"/>
  <c r="W383" i="554" s="1"/>
  <c r="N383" i="554"/>
  <c r="K383" i="554" a="1"/>
  <c r="K383" i="554" s="1"/>
  <c r="M383" i="554" s="1"/>
  <c r="J383" i="554" a="1"/>
  <c r="J383" i="554" s="1"/>
  <c r="H383" i="554"/>
  <c r="V382" i="554"/>
  <c r="W382" i="554" s="1"/>
  <c r="N382" i="554"/>
  <c r="K382" i="554"/>
  <c r="M382" i="554" s="1"/>
  <c r="K382" i="554" a="1"/>
  <c r="J382" i="554"/>
  <c r="J382" i="554" a="1"/>
  <c r="H382" i="554"/>
  <c r="V381" i="554"/>
  <c r="W381" i="554" s="1"/>
  <c r="N381" i="554"/>
  <c r="K381" i="554" a="1"/>
  <c r="K381" i="554" s="1"/>
  <c r="M381" i="554" s="1"/>
  <c r="J381" i="554" a="1"/>
  <c r="J381" i="554" s="1"/>
  <c r="H381" i="554"/>
  <c r="W380" i="554"/>
  <c r="V380" i="554"/>
  <c r="N380" i="554"/>
  <c r="K380" i="554" a="1"/>
  <c r="K380" i="554" s="1"/>
  <c r="M380" i="554" s="1"/>
  <c r="J380" i="554" a="1"/>
  <c r="J380" i="554" s="1"/>
  <c r="H380" i="554"/>
  <c r="V379" i="554"/>
  <c r="W379" i="554" s="1"/>
  <c r="N379" i="554"/>
  <c r="K379" i="554" a="1"/>
  <c r="K379" i="554" s="1"/>
  <c r="M379" i="554" s="1"/>
  <c r="J379" i="554" a="1"/>
  <c r="J379" i="554" s="1"/>
  <c r="H379" i="554"/>
  <c r="K378" i="554" a="1"/>
  <c r="K378" i="554" s="1"/>
  <c r="M378" i="554" s="1"/>
  <c r="H378" i="554"/>
  <c r="K377" i="554" a="1"/>
  <c r="K377" i="554" s="1"/>
  <c r="M377" i="554" s="1"/>
  <c r="H377" i="554"/>
  <c r="K376" i="554" a="1"/>
  <c r="K376" i="554" s="1"/>
  <c r="M376" i="554" s="1"/>
  <c r="H376" i="554"/>
  <c r="V375" i="554"/>
  <c r="W375" i="554" s="1"/>
  <c r="N375" i="554"/>
  <c r="K375" i="554"/>
  <c r="M375" i="554" s="1"/>
  <c r="K375" i="554" a="1"/>
  <c r="J375" i="554"/>
  <c r="J375" i="554" a="1"/>
  <c r="H375" i="554"/>
  <c r="V374" i="554"/>
  <c r="W374" i="554" s="1"/>
  <c r="N374" i="554"/>
  <c r="K374" i="554" a="1"/>
  <c r="K374" i="554" s="1"/>
  <c r="M374" i="554" s="1"/>
  <c r="J374" i="554" a="1"/>
  <c r="J374" i="554" s="1"/>
  <c r="H374" i="554"/>
  <c r="W373" i="554"/>
  <c r="V373" i="554"/>
  <c r="N373" i="554"/>
  <c r="K373" i="554" a="1"/>
  <c r="K373" i="554" s="1"/>
  <c r="M373" i="554" s="1"/>
  <c r="J373" i="554" a="1"/>
  <c r="J373" i="554" s="1"/>
  <c r="H373" i="554"/>
  <c r="K372" i="554" a="1"/>
  <c r="K372" i="554" s="1"/>
  <c r="H372" i="554"/>
  <c r="W371" i="554"/>
  <c r="V371" i="554"/>
  <c r="N371" i="554"/>
  <c r="N428" i="554" s="1"/>
  <c r="K371" i="554" a="1"/>
  <c r="K371" i="554" s="1"/>
  <c r="K428" i="554" s="1"/>
  <c r="J371" i="554" a="1"/>
  <c r="J371" i="554" s="1"/>
  <c r="H371" i="554"/>
  <c r="AA370" i="554"/>
  <c r="AA507" i="554" s="1"/>
  <c r="Z370" i="554"/>
  <c r="Z507" i="554" s="1"/>
  <c r="Y370" i="554"/>
  <c r="Y507" i="554" s="1"/>
  <c r="X370" i="554"/>
  <c r="X507" i="554" s="1"/>
  <c r="U370" i="554"/>
  <c r="U507" i="554" s="1"/>
  <c r="T370" i="554"/>
  <c r="T507" i="554" s="1"/>
  <c r="S370" i="554"/>
  <c r="S507" i="554" s="1"/>
  <c r="R370" i="554"/>
  <c r="R507" i="554" s="1"/>
  <c r="Q370" i="554"/>
  <c r="Q507" i="554" s="1"/>
  <c r="P370" i="554"/>
  <c r="P507" i="554" s="1"/>
  <c r="O370" i="554"/>
  <c r="I370" i="554"/>
  <c r="I507" i="554" s="1"/>
  <c r="B515" i="554" s="1"/>
  <c r="G370" i="554"/>
  <c r="G507" i="554" s="1"/>
  <c r="W369" i="554"/>
  <c r="V369" i="554"/>
  <c r="N369" i="554"/>
  <c r="K369" i="554" a="1"/>
  <c r="K369" i="554" s="1"/>
  <c r="M369" i="554" s="1"/>
  <c r="J369" i="554" a="1"/>
  <c r="J369" i="554" s="1"/>
  <c r="H369" i="554"/>
  <c r="V368" i="554"/>
  <c r="W368" i="554" s="1"/>
  <c r="N368" i="554"/>
  <c r="K368" i="554" a="1"/>
  <c r="K368" i="554" s="1"/>
  <c r="M368" i="554" s="1"/>
  <c r="J368" i="554" a="1"/>
  <c r="J368" i="554" s="1"/>
  <c r="H368" i="554"/>
  <c r="K367" i="554" a="1"/>
  <c r="K367" i="554" s="1"/>
  <c r="M367" i="554" s="1"/>
  <c r="H367" i="554"/>
  <c r="K366" i="554" a="1"/>
  <c r="K366" i="554" s="1"/>
  <c r="M366" i="554" s="1"/>
  <c r="H366" i="554"/>
  <c r="K365" i="554" a="1"/>
  <c r="K365" i="554" s="1"/>
  <c r="M365" i="554" s="1"/>
  <c r="H365" i="554"/>
  <c r="K364" i="554" a="1"/>
  <c r="K364" i="554" s="1"/>
  <c r="M364" i="554" s="1"/>
  <c r="H364" i="554"/>
  <c r="V363" i="554"/>
  <c r="W363" i="554" s="1"/>
  <c r="N363" i="554"/>
  <c r="K363" i="554"/>
  <c r="M363" i="554" s="1"/>
  <c r="K363" i="554" a="1"/>
  <c r="J363" i="554"/>
  <c r="J363" i="554" a="1"/>
  <c r="H363" i="554"/>
  <c r="V362" i="554"/>
  <c r="W362" i="554" s="1"/>
  <c r="N362" i="554"/>
  <c r="K362" i="554" a="1"/>
  <c r="K362" i="554" s="1"/>
  <c r="M362" i="554" s="1"/>
  <c r="J362" i="554" a="1"/>
  <c r="J362" i="554" s="1"/>
  <c r="H362" i="554"/>
  <c r="W361" i="554"/>
  <c r="V361" i="554"/>
  <c r="N361" i="554"/>
  <c r="K361" i="554" a="1"/>
  <c r="K361" i="554" s="1"/>
  <c r="M361" i="554" s="1"/>
  <c r="J361" i="554" a="1"/>
  <c r="J361" i="554" s="1"/>
  <c r="H361" i="554"/>
  <c r="H360" i="554"/>
  <c r="H359" i="554"/>
  <c r="V358" i="554"/>
  <c r="W358" i="554" s="1"/>
  <c r="N358" i="554"/>
  <c r="K358" i="554" a="1"/>
  <c r="K358" i="554" s="1"/>
  <c r="M358" i="554" s="1"/>
  <c r="J358" i="554" a="1"/>
  <c r="J358" i="554" s="1"/>
  <c r="H358" i="554"/>
  <c r="V357" i="554"/>
  <c r="W357" i="554" s="1"/>
  <c r="N357" i="554"/>
  <c r="K357" i="554"/>
  <c r="M357" i="554" s="1"/>
  <c r="K357" i="554" a="1"/>
  <c r="J357" i="554"/>
  <c r="J357" i="554" a="1"/>
  <c r="H357" i="554"/>
  <c r="K356" i="554" a="1"/>
  <c r="K356" i="554" s="1"/>
  <c r="M356" i="554" s="1"/>
  <c r="H356" i="554"/>
  <c r="K355" i="554"/>
  <c r="M355" i="554" s="1"/>
  <c r="K355" i="554" a="1"/>
  <c r="H355" i="554"/>
  <c r="V354" i="554"/>
  <c r="W354" i="554" s="1"/>
  <c r="N354" i="554"/>
  <c r="K354" i="554" a="1"/>
  <c r="K354" i="554" s="1"/>
  <c r="M354" i="554" s="1"/>
  <c r="J354" i="554" a="1"/>
  <c r="J354" i="554" s="1"/>
  <c r="H354" i="554"/>
  <c r="W353" i="554"/>
  <c r="V353" i="554"/>
  <c r="N353" i="554"/>
  <c r="K353" i="554" a="1"/>
  <c r="K353" i="554" s="1"/>
  <c r="M353" i="554" s="1"/>
  <c r="J353" i="554" a="1"/>
  <c r="J353" i="554" s="1"/>
  <c r="H353" i="554"/>
  <c r="V352" i="554"/>
  <c r="W352" i="554" s="1"/>
  <c r="N352" i="554"/>
  <c r="K352" i="554" a="1"/>
  <c r="K352" i="554" s="1"/>
  <c r="M352" i="554" s="1"/>
  <c r="J352" i="554" a="1"/>
  <c r="J352" i="554" s="1"/>
  <c r="H352" i="554"/>
  <c r="V351" i="554"/>
  <c r="W351" i="554" s="1"/>
  <c r="N351" i="554"/>
  <c r="K351" i="554"/>
  <c r="M351" i="554" s="1"/>
  <c r="K351" i="554" a="1"/>
  <c r="J351" i="554"/>
  <c r="J351" i="554" a="1"/>
  <c r="H351" i="554"/>
  <c r="V350" i="554"/>
  <c r="W350" i="554" s="1"/>
  <c r="N350" i="554"/>
  <c r="K350" i="554" a="1"/>
  <c r="K350" i="554" s="1"/>
  <c r="M350" i="554" s="1"/>
  <c r="J350" i="554" a="1"/>
  <c r="J350" i="554" s="1"/>
  <c r="H350" i="554"/>
  <c r="W349" i="554"/>
  <c r="V349" i="554"/>
  <c r="N349" i="554"/>
  <c r="K349" i="554" a="1"/>
  <c r="K349" i="554" s="1"/>
  <c r="M349" i="554" s="1"/>
  <c r="M370" i="554" s="1"/>
  <c r="J349" i="554" a="1"/>
  <c r="J349" i="554" s="1"/>
  <c r="H349" i="554"/>
  <c r="H370" i="554" s="1"/>
  <c r="X343" i="554"/>
  <c r="X342" i="554"/>
  <c r="X341" i="554"/>
  <c r="G341" i="554"/>
  <c r="C341" i="554"/>
  <c r="X340" i="554"/>
  <c r="I340" i="554"/>
  <c r="E340" i="554"/>
  <c r="K340" i="554" s="1"/>
  <c r="M340" i="554" s="1"/>
  <c r="I339" i="554"/>
  <c r="E339" i="554"/>
  <c r="K339" i="554" s="1"/>
  <c r="M339" i="554" s="1"/>
  <c r="I338" i="554"/>
  <c r="E338" i="554"/>
  <c r="K338" i="554" s="1"/>
  <c r="M338" i="554" s="1"/>
  <c r="X337" i="554"/>
  <c r="I337" i="554"/>
  <c r="I341" i="554" s="1"/>
  <c r="E337" i="554"/>
  <c r="E341" i="554" s="1"/>
  <c r="AA334" i="554"/>
  <c r="Z334" i="554"/>
  <c r="Y334" i="554"/>
  <c r="X334" i="554"/>
  <c r="U334" i="554"/>
  <c r="T334" i="554"/>
  <c r="S334" i="554"/>
  <c r="R334" i="554"/>
  <c r="Q334" i="554"/>
  <c r="P334" i="554"/>
  <c r="O334" i="554"/>
  <c r="I334" i="554"/>
  <c r="G334" i="554"/>
  <c r="J334" i="554" s="1" a="1"/>
  <c r="J334" i="554" s="1"/>
  <c r="K333" i="554" a="1"/>
  <c r="K333" i="554" s="1"/>
  <c r="H333" i="554"/>
  <c r="K332" i="554" a="1"/>
  <c r="K332" i="554" s="1"/>
  <c r="H332" i="554"/>
  <c r="K331" i="554"/>
  <c r="K331" i="554" a="1"/>
  <c r="H331" i="554"/>
  <c r="V330" i="554"/>
  <c r="W330" i="554" s="1"/>
  <c r="N330" i="554"/>
  <c r="K330" i="554" a="1"/>
  <c r="K330" i="554" s="1"/>
  <c r="H330" i="554"/>
  <c r="D330" i="554"/>
  <c r="H329" i="554"/>
  <c r="K328" i="554" a="1"/>
  <c r="K328" i="554" s="1"/>
  <c r="H328" i="554"/>
  <c r="H327" i="554"/>
  <c r="V326" i="554"/>
  <c r="W326" i="554" s="1"/>
  <c r="N326" i="554"/>
  <c r="K326" i="554" a="1"/>
  <c r="K326" i="554" s="1"/>
  <c r="M326" i="554" s="1"/>
  <c r="J326" i="554" a="1"/>
  <c r="J326" i="554" s="1"/>
  <c r="H326" i="554"/>
  <c r="V325" i="554"/>
  <c r="W325" i="554" s="1"/>
  <c r="N325" i="554"/>
  <c r="K325" i="554"/>
  <c r="M325" i="554" s="1"/>
  <c r="K325" i="554" a="1"/>
  <c r="J325" i="554"/>
  <c r="J325" i="554" a="1"/>
  <c r="H325" i="554"/>
  <c r="H324" i="554"/>
  <c r="W323" i="554"/>
  <c r="V323" i="554"/>
  <c r="N323" i="554"/>
  <c r="K323" i="554" a="1"/>
  <c r="K323" i="554" s="1"/>
  <c r="M323" i="554" s="1"/>
  <c r="J323" i="554" a="1"/>
  <c r="J323" i="554" s="1"/>
  <c r="H323" i="554"/>
  <c r="V322" i="554"/>
  <c r="W322" i="554" s="1"/>
  <c r="N322" i="554"/>
  <c r="K322" i="554" a="1"/>
  <c r="K322" i="554" s="1"/>
  <c r="M322" i="554" s="1"/>
  <c r="J322" i="554" a="1"/>
  <c r="J322" i="554" s="1"/>
  <c r="H322" i="554"/>
  <c r="W321" i="554"/>
  <c r="V321" i="554"/>
  <c r="N321" i="554"/>
  <c r="K321" i="554" a="1"/>
  <c r="K321" i="554" s="1"/>
  <c r="M321" i="554" s="1"/>
  <c r="J321" i="554" a="1"/>
  <c r="J321" i="554" s="1"/>
  <c r="H321" i="554"/>
  <c r="V320" i="554"/>
  <c r="W320" i="554" s="1"/>
  <c r="N320" i="554"/>
  <c r="N334" i="554" s="1"/>
  <c r="K320" i="554" a="1"/>
  <c r="K320" i="554" s="1"/>
  <c r="J320" i="554" a="1"/>
  <c r="J320" i="554" s="1"/>
  <c r="H320" i="554"/>
  <c r="AA319" i="554"/>
  <c r="Z319" i="554"/>
  <c r="Y319" i="554"/>
  <c r="X319" i="554"/>
  <c r="U319" i="554"/>
  <c r="T319" i="554"/>
  <c r="S319" i="554"/>
  <c r="Q319" i="554"/>
  <c r="P319" i="554"/>
  <c r="O319" i="554"/>
  <c r="I319" i="554"/>
  <c r="G319" i="554"/>
  <c r="J319" i="554" s="1" a="1"/>
  <c r="J319" i="554" s="1"/>
  <c r="V318" i="554"/>
  <c r="W318" i="554" s="1"/>
  <c r="N318" i="554"/>
  <c r="K318" i="554" a="1"/>
  <c r="K318" i="554" s="1"/>
  <c r="M318" i="554" s="1"/>
  <c r="J318" i="554" a="1"/>
  <c r="J318" i="554" s="1"/>
  <c r="H318" i="554"/>
  <c r="H317" i="554"/>
  <c r="H316" i="554"/>
  <c r="H315" i="554"/>
  <c r="H314" i="554"/>
  <c r="V313" i="554"/>
  <c r="W313" i="554" s="1"/>
  <c r="N313" i="554"/>
  <c r="K313" i="554" a="1"/>
  <c r="K313" i="554" s="1"/>
  <c r="M313" i="554" s="1"/>
  <c r="J313" i="554" a="1"/>
  <c r="J313" i="554" s="1"/>
  <c r="H313" i="554"/>
  <c r="V312" i="554"/>
  <c r="W312" i="554" s="1"/>
  <c r="N312" i="554"/>
  <c r="K312" i="554"/>
  <c r="M312" i="554" s="1"/>
  <c r="K312" i="554" a="1"/>
  <c r="J312" i="554"/>
  <c r="J312" i="554" a="1"/>
  <c r="H312" i="554"/>
  <c r="V311" i="554"/>
  <c r="W311" i="554" s="1"/>
  <c r="N311" i="554"/>
  <c r="K311" i="554" a="1"/>
  <c r="K311" i="554" s="1"/>
  <c r="M311" i="554" s="1"/>
  <c r="J311" i="554" a="1"/>
  <c r="J311" i="554" s="1"/>
  <c r="H311" i="554"/>
  <c r="V310" i="554"/>
  <c r="W310" i="554" s="1"/>
  <c r="N310" i="554"/>
  <c r="K310" i="554" a="1"/>
  <c r="K310" i="554" s="1"/>
  <c r="M310" i="554" s="1"/>
  <c r="J310" i="554" a="1"/>
  <c r="J310" i="554" s="1"/>
  <c r="H310" i="554"/>
  <c r="V309" i="554"/>
  <c r="V319" i="554" s="1"/>
  <c r="W319" i="554" s="1"/>
  <c r="N309" i="554"/>
  <c r="N319" i="554" s="1"/>
  <c r="K309" i="554" a="1"/>
  <c r="K309" i="554" s="1"/>
  <c r="J309" i="554" a="1"/>
  <c r="J309" i="554" s="1"/>
  <c r="H309" i="554"/>
  <c r="H319" i="554" s="1"/>
  <c r="AA308" i="554"/>
  <c r="Z308" i="554"/>
  <c r="Y308" i="554"/>
  <c r="X308" i="554"/>
  <c r="U308" i="554"/>
  <c r="T308" i="554"/>
  <c r="S308" i="554"/>
  <c r="Q308" i="554"/>
  <c r="P308" i="554"/>
  <c r="O308" i="554"/>
  <c r="I308" i="554"/>
  <c r="G308" i="554"/>
  <c r="W307" i="554"/>
  <c r="V307" i="554"/>
  <c r="N307" i="554"/>
  <c r="K307" i="554"/>
  <c r="M307" i="554" s="1"/>
  <c r="K307" i="554" a="1"/>
  <c r="J307" i="554" a="1"/>
  <c r="J307" i="554" s="1"/>
  <c r="H307" i="554"/>
  <c r="V306" i="554"/>
  <c r="W306" i="554" s="1"/>
  <c r="N306" i="554"/>
  <c r="K306" i="554" a="1"/>
  <c r="K306" i="554" s="1"/>
  <c r="M306" i="554" s="1"/>
  <c r="J306" i="554" a="1"/>
  <c r="J306" i="554" s="1"/>
  <c r="H306" i="554"/>
  <c r="W305" i="554"/>
  <c r="V305" i="554"/>
  <c r="N305" i="554"/>
  <c r="K305" i="554" a="1"/>
  <c r="K305" i="554" s="1"/>
  <c r="M305" i="554" s="1"/>
  <c r="J305" i="554" a="1"/>
  <c r="J305" i="554" s="1"/>
  <c r="H305" i="554"/>
  <c r="V304" i="554"/>
  <c r="W304" i="554" s="1"/>
  <c r="N304" i="554"/>
  <c r="K304" i="554" a="1"/>
  <c r="K304" i="554" s="1"/>
  <c r="M304" i="554" s="1"/>
  <c r="J304" i="554" a="1"/>
  <c r="J304" i="554" s="1"/>
  <c r="H304" i="554"/>
  <c r="V303" i="554"/>
  <c r="W303" i="554" s="1"/>
  <c r="N303" i="554"/>
  <c r="K303" i="554"/>
  <c r="M303" i="554" s="1"/>
  <c r="K303" i="554" a="1"/>
  <c r="J303" i="554"/>
  <c r="J303" i="554" a="1"/>
  <c r="H303" i="554"/>
  <c r="V302" i="554"/>
  <c r="W302" i="554" s="1"/>
  <c r="N302" i="554"/>
  <c r="K302" i="554" a="1"/>
  <c r="K302" i="554" s="1"/>
  <c r="M302" i="554" s="1"/>
  <c r="J302" i="554" a="1"/>
  <c r="J302" i="554" s="1"/>
  <c r="H302" i="554"/>
  <c r="W301" i="554"/>
  <c r="V301" i="554"/>
  <c r="N301" i="554"/>
  <c r="K301" i="554" a="1"/>
  <c r="K301" i="554" s="1"/>
  <c r="M301" i="554" s="1"/>
  <c r="J301" i="554" a="1"/>
  <c r="J301" i="554" s="1"/>
  <c r="H301" i="554"/>
  <c r="V300" i="554"/>
  <c r="W300" i="554" s="1"/>
  <c r="N300" i="554"/>
  <c r="K300" i="554" a="1"/>
  <c r="K300" i="554" s="1"/>
  <c r="M300" i="554" s="1"/>
  <c r="J300" i="554" a="1"/>
  <c r="J300" i="554" s="1"/>
  <c r="H300" i="554"/>
  <c r="V299" i="554"/>
  <c r="W299" i="554" s="1"/>
  <c r="N299" i="554"/>
  <c r="K299" i="554"/>
  <c r="M299" i="554" s="1"/>
  <c r="K299" i="554" a="1"/>
  <c r="J299" i="554"/>
  <c r="J299" i="554" a="1"/>
  <c r="H299" i="554"/>
  <c r="V298" i="554"/>
  <c r="W298" i="554" s="1"/>
  <c r="N298" i="554"/>
  <c r="K298" i="554" a="1"/>
  <c r="K298" i="554" s="1"/>
  <c r="M298" i="554" s="1"/>
  <c r="J298" i="554" a="1"/>
  <c r="J298" i="554" s="1"/>
  <c r="H298" i="554"/>
  <c r="W297" i="554"/>
  <c r="V297" i="554"/>
  <c r="N297" i="554"/>
  <c r="K297" i="554" a="1"/>
  <c r="K297" i="554" s="1"/>
  <c r="M297" i="554" s="1"/>
  <c r="J297" i="554" a="1"/>
  <c r="J297" i="554" s="1"/>
  <c r="H297" i="554"/>
  <c r="V296" i="554"/>
  <c r="W296" i="554" s="1"/>
  <c r="N296" i="554"/>
  <c r="K296" i="554" a="1"/>
  <c r="K296" i="554" s="1"/>
  <c r="M296" i="554" s="1"/>
  <c r="J296" i="554" a="1"/>
  <c r="J296" i="554" s="1"/>
  <c r="H296" i="554"/>
  <c r="V295" i="554"/>
  <c r="W295" i="554" s="1"/>
  <c r="N295" i="554"/>
  <c r="K295" i="554"/>
  <c r="M295" i="554" s="1"/>
  <c r="K295" i="554" a="1"/>
  <c r="J295" i="554"/>
  <c r="J295" i="554" a="1"/>
  <c r="H295" i="554"/>
  <c r="V294" i="554"/>
  <c r="W294" i="554" s="1"/>
  <c r="N294" i="554"/>
  <c r="K294" i="554" a="1"/>
  <c r="K294" i="554" s="1"/>
  <c r="M294" i="554" s="1"/>
  <c r="J294" i="554" a="1"/>
  <c r="J294" i="554" s="1"/>
  <c r="W293" i="554"/>
  <c r="V293" i="554"/>
  <c r="N293" i="554"/>
  <c r="N308" i="554" s="1"/>
  <c r="K293" i="554" a="1"/>
  <c r="K293" i="554" s="1"/>
  <c r="M293" i="554" s="1"/>
  <c r="J293" i="554" a="1"/>
  <c r="J293" i="554" s="1"/>
  <c r="H293" i="554"/>
  <c r="AA292" i="554"/>
  <c r="Z292" i="554"/>
  <c r="Y292" i="554"/>
  <c r="X292" i="554"/>
  <c r="U292" i="554"/>
  <c r="T292" i="554"/>
  <c r="S292" i="554"/>
  <c r="R292" i="554"/>
  <c r="Q292" i="554"/>
  <c r="P292" i="554"/>
  <c r="O292" i="554"/>
  <c r="I292" i="554"/>
  <c r="G292" i="554"/>
  <c r="V291" i="554"/>
  <c r="W291" i="554" s="1"/>
  <c r="N291" i="554"/>
  <c r="K291" i="554"/>
  <c r="M291" i="554" s="1"/>
  <c r="K291" i="554" a="1"/>
  <c r="J291" i="554"/>
  <c r="J291" i="554" a="1"/>
  <c r="H291" i="554"/>
  <c r="V290" i="554"/>
  <c r="W290" i="554" s="1"/>
  <c r="N290" i="554"/>
  <c r="K290" i="554" a="1"/>
  <c r="K290" i="554" s="1"/>
  <c r="M290" i="554" s="1"/>
  <c r="J290" i="554" a="1"/>
  <c r="J290" i="554" s="1"/>
  <c r="H290" i="554"/>
  <c r="W289" i="554"/>
  <c r="V289" i="554"/>
  <c r="N289" i="554"/>
  <c r="K289" i="554" a="1"/>
  <c r="K289" i="554" s="1"/>
  <c r="M289" i="554" s="1"/>
  <c r="J289" i="554" a="1"/>
  <c r="J289" i="554" s="1"/>
  <c r="H289" i="554"/>
  <c r="H288" i="554"/>
  <c r="H287" i="554"/>
  <c r="H286" i="554"/>
  <c r="V285" i="554"/>
  <c r="W285" i="554" s="1"/>
  <c r="N285" i="554"/>
  <c r="K285" i="554"/>
  <c r="M285" i="554" s="1"/>
  <c r="K285" i="554" a="1"/>
  <c r="J285" i="554"/>
  <c r="J285" i="554" a="1"/>
  <c r="H285" i="554"/>
  <c r="V284" i="554"/>
  <c r="W284" i="554" s="1"/>
  <c r="N284" i="554"/>
  <c r="K284" i="554" a="1"/>
  <c r="K284" i="554" s="1"/>
  <c r="M284" i="554" s="1"/>
  <c r="J284" i="554" a="1"/>
  <c r="J284" i="554" s="1"/>
  <c r="H284" i="554"/>
  <c r="N283" i="554"/>
  <c r="K283" i="554" a="1"/>
  <c r="K283" i="554" s="1"/>
  <c r="M283" i="554" s="1"/>
  <c r="H283" i="554"/>
  <c r="N282" i="554"/>
  <c r="K282" i="554" a="1"/>
  <c r="K282" i="554" s="1"/>
  <c r="M282" i="554" s="1"/>
  <c r="H282" i="554"/>
  <c r="N281" i="554"/>
  <c r="K281" i="554" a="1"/>
  <c r="K281" i="554" s="1"/>
  <c r="M281" i="554" s="1"/>
  <c r="H281" i="554"/>
  <c r="N280" i="554"/>
  <c r="K280" i="554" a="1"/>
  <c r="K280" i="554" s="1"/>
  <c r="M280" i="554" s="1"/>
  <c r="H280" i="554"/>
  <c r="N279" i="554"/>
  <c r="K279" i="554" a="1"/>
  <c r="K279" i="554" s="1"/>
  <c r="M279" i="554" s="1"/>
  <c r="H279" i="554"/>
  <c r="N278" i="554"/>
  <c r="K278" i="554" a="1"/>
  <c r="K278" i="554" s="1"/>
  <c r="M278" i="554" s="1"/>
  <c r="H278" i="554"/>
  <c r="V277" i="554"/>
  <c r="W277" i="554" s="1"/>
  <c r="N277" i="554"/>
  <c r="K277" i="554"/>
  <c r="M277" i="554" s="1"/>
  <c r="K277" i="554" a="1"/>
  <c r="J277" i="554"/>
  <c r="J277" i="554" a="1"/>
  <c r="H277" i="554"/>
  <c r="V276" i="554"/>
  <c r="W276" i="554" s="1"/>
  <c r="N276" i="554"/>
  <c r="K276" i="554" a="1"/>
  <c r="K276" i="554" s="1"/>
  <c r="M276" i="554" s="1"/>
  <c r="J276" i="554" a="1"/>
  <c r="J276" i="554" s="1"/>
  <c r="H276" i="554"/>
  <c r="W275" i="554"/>
  <c r="V275" i="554"/>
  <c r="N275" i="554"/>
  <c r="K275" i="554" a="1"/>
  <c r="K275" i="554" s="1"/>
  <c r="M275" i="554" s="1"/>
  <c r="J275" i="554" a="1"/>
  <c r="J275" i="554" s="1"/>
  <c r="H275" i="554"/>
  <c r="V274" i="554"/>
  <c r="W274" i="554" s="1"/>
  <c r="N274" i="554"/>
  <c r="K274" i="554" a="1"/>
  <c r="K274" i="554" s="1"/>
  <c r="M274" i="554" s="1"/>
  <c r="J274" i="554" a="1"/>
  <c r="J274" i="554" s="1"/>
  <c r="H274" i="554"/>
  <c r="V273" i="554"/>
  <c r="W273" i="554" s="1"/>
  <c r="N273" i="554"/>
  <c r="K273" i="554"/>
  <c r="M273" i="554" s="1"/>
  <c r="K273" i="554" a="1"/>
  <c r="J273" i="554"/>
  <c r="J273" i="554" a="1"/>
  <c r="H273" i="554"/>
  <c r="V272" i="554"/>
  <c r="W272" i="554" s="1"/>
  <c r="N272" i="554"/>
  <c r="K272" i="554" a="1"/>
  <c r="K272" i="554" s="1"/>
  <c r="M272" i="554" s="1"/>
  <c r="J272" i="554" a="1"/>
  <c r="J272" i="554" s="1"/>
  <c r="H272" i="554"/>
  <c r="W271" i="554"/>
  <c r="V271" i="554"/>
  <c r="N271" i="554"/>
  <c r="K271" i="554" a="1"/>
  <c r="K271" i="554" s="1"/>
  <c r="M271" i="554" s="1"/>
  <c r="J271" i="554" a="1"/>
  <c r="J271" i="554" s="1"/>
  <c r="H271" i="554"/>
  <c r="V270" i="554"/>
  <c r="W270" i="554" s="1"/>
  <c r="N270" i="554"/>
  <c r="K270" i="554" a="1"/>
  <c r="K270" i="554" s="1"/>
  <c r="M270" i="554" s="1"/>
  <c r="J270" i="554" a="1"/>
  <c r="J270" i="554" s="1"/>
  <c r="H270" i="554"/>
  <c r="V269" i="554"/>
  <c r="W269" i="554" s="1"/>
  <c r="N269" i="554"/>
  <c r="K269" i="554"/>
  <c r="M269" i="554" s="1"/>
  <c r="K269" i="554" a="1"/>
  <c r="J269" i="554"/>
  <c r="J269" i="554" a="1"/>
  <c r="H269" i="554"/>
  <c r="V268" i="554"/>
  <c r="W268" i="554" s="1"/>
  <c r="N268" i="554"/>
  <c r="K268" i="554" a="1"/>
  <c r="K268" i="554" s="1"/>
  <c r="M268" i="554" s="1"/>
  <c r="J268" i="554" a="1"/>
  <c r="J268" i="554" s="1"/>
  <c r="H268" i="554"/>
  <c r="W267" i="554"/>
  <c r="V267" i="554"/>
  <c r="N267" i="554"/>
  <c r="K267" i="554" a="1"/>
  <c r="K267" i="554" s="1"/>
  <c r="M267" i="554" s="1"/>
  <c r="J267" i="554" a="1"/>
  <c r="J267" i="554" s="1"/>
  <c r="H267" i="554"/>
  <c r="V266" i="554"/>
  <c r="W266" i="554" s="1"/>
  <c r="N266" i="554"/>
  <c r="K266" i="554" a="1"/>
  <c r="K266" i="554" s="1"/>
  <c r="M266" i="554" s="1"/>
  <c r="J266" i="554" a="1"/>
  <c r="J266" i="554" s="1"/>
  <c r="H266" i="554"/>
  <c r="N265" i="554"/>
  <c r="K265" i="554"/>
  <c r="M265" i="554" s="1"/>
  <c r="K265" i="554" a="1"/>
  <c r="H265" i="554"/>
  <c r="V264" i="554"/>
  <c r="W264" i="554" s="1"/>
  <c r="N264" i="554"/>
  <c r="K264" i="554" a="1"/>
  <c r="K264" i="554" s="1"/>
  <c r="M264" i="554" s="1"/>
  <c r="J264" i="554" a="1"/>
  <c r="J264" i="554" s="1"/>
  <c r="H264" i="554"/>
  <c r="W263" i="554"/>
  <c r="V263" i="554"/>
  <c r="N263" i="554"/>
  <c r="K263" i="554" a="1"/>
  <c r="K263" i="554" s="1"/>
  <c r="M263" i="554" s="1"/>
  <c r="J263" i="554" a="1"/>
  <c r="J263" i="554" s="1"/>
  <c r="H263" i="554"/>
  <c r="V262" i="554"/>
  <c r="W262" i="554" s="1"/>
  <c r="N262" i="554"/>
  <c r="K262" i="554" a="1"/>
  <c r="K262" i="554" s="1"/>
  <c r="M262" i="554" s="1"/>
  <c r="J262" i="554" a="1"/>
  <c r="J262" i="554" s="1"/>
  <c r="H262" i="554"/>
  <c r="V261" i="554"/>
  <c r="W261" i="554" s="1"/>
  <c r="N261" i="554"/>
  <c r="K261" i="554"/>
  <c r="M261" i="554" s="1"/>
  <c r="K261" i="554" a="1"/>
  <c r="J261" i="554"/>
  <c r="J261" i="554" a="1"/>
  <c r="H261" i="554"/>
  <c r="V260" i="554"/>
  <c r="W260" i="554" s="1"/>
  <c r="N260" i="554"/>
  <c r="K260" i="554" a="1"/>
  <c r="K260" i="554" s="1"/>
  <c r="M260" i="554" s="1"/>
  <c r="J260" i="554" a="1"/>
  <c r="J260" i="554" s="1"/>
  <c r="H260" i="554"/>
  <c r="W259" i="554"/>
  <c r="V259" i="554"/>
  <c r="N259" i="554"/>
  <c r="K259" i="554" a="1"/>
  <c r="K259" i="554" s="1"/>
  <c r="M259" i="554" s="1"/>
  <c r="J259" i="554" a="1"/>
  <c r="J259" i="554" s="1"/>
  <c r="H259" i="554"/>
  <c r="V258" i="554"/>
  <c r="W258" i="554" s="1"/>
  <c r="N258" i="554"/>
  <c r="K258" i="554" a="1"/>
  <c r="K258" i="554" s="1"/>
  <c r="J258" i="554" a="1"/>
  <c r="J258" i="554" s="1"/>
  <c r="H258" i="554"/>
  <c r="H292" i="554" s="1"/>
  <c r="AA257" i="554"/>
  <c r="Z257" i="554"/>
  <c r="Y257" i="554"/>
  <c r="X257" i="554"/>
  <c r="U257" i="554"/>
  <c r="T257" i="554"/>
  <c r="S257" i="554"/>
  <c r="R257" i="554"/>
  <c r="Q257" i="554"/>
  <c r="P257" i="554"/>
  <c r="O257" i="554"/>
  <c r="R338" i="554" s="1"/>
  <c r="I257" i="554"/>
  <c r="G257" i="554"/>
  <c r="H256" i="554"/>
  <c r="H255" i="554"/>
  <c r="H254" i="554"/>
  <c r="H253" i="554"/>
  <c r="H252" i="554"/>
  <c r="H251" i="554"/>
  <c r="K250" i="554" a="1"/>
  <c r="K250" i="554" s="1"/>
  <c r="M250" i="554" s="1"/>
  <c r="H250" i="554"/>
  <c r="K249" i="554"/>
  <c r="M249" i="554" s="1"/>
  <c r="K249" i="554" a="1"/>
  <c r="H249" i="554"/>
  <c r="K248" i="554" a="1"/>
  <c r="K248" i="554" s="1"/>
  <c r="M248" i="554" s="1"/>
  <c r="H248" i="554"/>
  <c r="K247" i="554"/>
  <c r="M247" i="554" s="1"/>
  <c r="K247" i="554" a="1"/>
  <c r="H247" i="554"/>
  <c r="V246" i="554"/>
  <c r="W246" i="554" s="1"/>
  <c r="N246" i="554"/>
  <c r="K246" i="554" a="1"/>
  <c r="K246" i="554" s="1"/>
  <c r="M246" i="554" s="1"/>
  <c r="J246" i="554" a="1"/>
  <c r="J246" i="554" s="1"/>
  <c r="H246" i="554"/>
  <c r="V245" i="554"/>
  <c r="W245" i="554" s="1"/>
  <c r="N245" i="554"/>
  <c r="K245" i="554"/>
  <c r="M245" i="554" s="1"/>
  <c r="K245" i="554" a="1"/>
  <c r="J245" i="554"/>
  <c r="J245" i="554" a="1"/>
  <c r="H245" i="554"/>
  <c r="V244" i="554"/>
  <c r="W244" i="554" s="1"/>
  <c r="N244" i="554"/>
  <c r="K244" i="554" a="1"/>
  <c r="K244" i="554" s="1"/>
  <c r="M244" i="554" s="1"/>
  <c r="J244" i="554" a="1"/>
  <c r="J244" i="554" s="1"/>
  <c r="H244" i="554"/>
  <c r="W243" i="554"/>
  <c r="V243" i="554"/>
  <c r="N243" i="554"/>
  <c r="K243" i="554" a="1"/>
  <c r="K243" i="554" s="1"/>
  <c r="M243" i="554" s="1"/>
  <c r="J243" i="554" a="1"/>
  <c r="J243" i="554" s="1"/>
  <c r="H243" i="554"/>
  <c r="M242" i="554"/>
  <c r="H242" i="554"/>
  <c r="V241" i="554"/>
  <c r="W241" i="554" s="1"/>
  <c r="N241" i="554"/>
  <c r="K241" i="554" a="1"/>
  <c r="K241" i="554" s="1"/>
  <c r="M241" i="554" s="1"/>
  <c r="J241" i="554" a="1"/>
  <c r="J241" i="554" s="1"/>
  <c r="H241" i="554"/>
  <c r="V240" i="554"/>
  <c r="W240" i="554" s="1"/>
  <c r="N240" i="554"/>
  <c r="K240" i="554"/>
  <c r="M240" i="554" s="1"/>
  <c r="K240" i="554" a="1"/>
  <c r="J240" i="554"/>
  <c r="J240" i="554" a="1"/>
  <c r="H240" i="554"/>
  <c r="K239" i="554" a="1"/>
  <c r="K239" i="554" s="1"/>
  <c r="M239" i="554" s="1"/>
  <c r="H239" i="554"/>
  <c r="H238" i="554"/>
  <c r="V237" i="554"/>
  <c r="W237" i="554" s="1"/>
  <c r="N237" i="554"/>
  <c r="K237" i="554"/>
  <c r="M237" i="554" s="1"/>
  <c r="K237" i="554" a="1"/>
  <c r="J237" i="554"/>
  <c r="J237" i="554" a="1"/>
  <c r="H237" i="554"/>
  <c r="V236" i="554"/>
  <c r="W236" i="554" s="1"/>
  <c r="N236" i="554"/>
  <c r="K236" i="554" a="1"/>
  <c r="K236" i="554" s="1"/>
  <c r="M236" i="554" s="1"/>
  <c r="J236" i="554" a="1"/>
  <c r="J236" i="554" s="1"/>
  <c r="H236" i="554"/>
  <c r="W235" i="554"/>
  <c r="V235" i="554"/>
  <c r="N235" i="554"/>
  <c r="K235" i="554" a="1"/>
  <c r="K235" i="554" s="1"/>
  <c r="M235" i="554" s="1"/>
  <c r="J235" i="554" a="1"/>
  <c r="J235" i="554" s="1"/>
  <c r="H235" i="554"/>
  <c r="V234" i="554"/>
  <c r="W234" i="554" s="1"/>
  <c r="N234" i="554"/>
  <c r="K234" i="554" a="1"/>
  <c r="K234" i="554" s="1"/>
  <c r="M234" i="554" s="1"/>
  <c r="J234" i="554" a="1"/>
  <c r="J234" i="554" s="1"/>
  <c r="H234" i="554"/>
  <c r="V233" i="554"/>
  <c r="W233" i="554" s="1"/>
  <c r="N233" i="554"/>
  <c r="K233" i="554"/>
  <c r="M233" i="554" s="1"/>
  <c r="K233" i="554" a="1"/>
  <c r="J233" i="554"/>
  <c r="J233" i="554" a="1"/>
  <c r="H233" i="554"/>
  <c r="V232" i="554"/>
  <c r="W232" i="554" s="1"/>
  <c r="N232" i="554"/>
  <c r="K232" i="554" a="1"/>
  <c r="K232" i="554" s="1"/>
  <c r="M232" i="554" s="1"/>
  <c r="J232" i="554" a="1"/>
  <c r="J232" i="554" s="1"/>
  <c r="H232" i="554"/>
  <c r="V231" i="554"/>
  <c r="W231" i="554" s="1"/>
  <c r="N231" i="554"/>
  <c r="K231" i="554"/>
  <c r="M231" i="554" s="1"/>
  <c r="K231" i="554" a="1"/>
  <c r="J231" i="554"/>
  <c r="J231" i="554" a="1"/>
  <c r="H231" i="554"/>
  <c r="V230" i="554"/>
  <c r="W230" i="554" s="1"/>
  <c r="N230" i="554"/>
  <c r="K230" i="554" a="1"/>
  <c r="K230" i="554" s="1"/>
  <c r="M230" i="554" s="1"/>
  <c r="J230" i="554" a="1"/>
  <c r="J230" i="554" s="1"/>
  <c r="H230" i="554"/>
  <c r="W229" i="554"/>
  <c r="V229" i="554"/>
  <c r="N229" i="554"/>
  <c r="K229" i="554" a="1"/>
  <c r="K229" i="554" s="1"/>
  <c r="M229" i="554" s="1"/>
  <c r="J229" i="554" a="1"/>
  <c r="J229" i="554" s="1"/>
  <c r="H229" i="554"/>
  <c r="V228" i="554"/>
  <c r="W228" i="554" s="1"/>
  <c r="N228" i="554"/>
  <c r="K228" i="554" a="1"/>
  <c r="K228" i="554" s="1"/>
  <c r="M228" i="554" s="1"/>
  <c r="J228" i="554" a="1"/>
  <c r="J228" i="554" s="1"/>
  <c r="H228" i="554"/>
  <c r="N227" i="554"/>
  <c r="K227" i="554"/>
  <c r="M227" i="554" s="1"/>
  <c r="K227" i="554" a="1"/>
  <c r="H227" i="554"/>
  <c r="N226" i="554"/>
  <c r="K226" i="554" a="1"/>
  <c r="K226" i="554" s="1"/>
  <c r="M226" i="554" s="1"/>
  <c r="H226" i="554"/>
  <c r="N225" i="554"/>
  <c r="K225" i="554" a="1"/>
  <c r="K225" i="554" s="1"/>
  <c r="M225" i="554" s="1"/>
  <c r="H225" i="554"/>
  <c r="N224" i="554"/>
  <c r="K224" i="554" a="1"/>
  <c r="K224" i="554" s="1"/>
  <c r="M224" i="554" s="1"/>
  <c r="H224" i="554"/>
  <c r="N223" i="554"/>
  <c r="K223" i="554"/>
  <c r="M223" i="554" s="1"/>
  <c r="K223" i="554" a="1"/>
  <c r="H223" i="554"/>
  <c r="N222" i="554"/>
  <c r="K222" i="554" a="1"/>
  <c r="K222" i="554" s="1"/>
  <c r="M222" i="554" s="1"/>
  <c r="H222" i="554"/>
  <c r="N221" i="554"/>
  <c r="K221" i="554" a="1"/>
  <c r="K221" i="554" s="1"/>
  <c r="M221" i="554" s="1"/>
  <c r="H221" i="554"/>
  <c r="N220" i="554"/>
  <c r="K220" i="554" a="1"/>
  <c r="K220" i="554" s="1"/>
  <c r="M220" i="554" s="1"/>
  <c r="H220" i="554"/>
  <c r="W219" i="554"/>
  <c r="V219" i="554"/>
  <c r="N219" i="554"/>
  <c r="K219" i="554" a="1"/>
  <c r="K219" i="554" s="1"/>
  <c r="M219" i="554" s="1"/>
  <c r="J219" i="554" a="1"/>
  <c r="J219" i="554" s="1"/>
  <c r="H219" i="554"/>
  <c r="V218" i="554"/>
  <c r="W218" i="554" s="1"/>
  <c r="N218" i="554"/>
  <c r="K218" i="554" a="1"/>
  <c r="K218" i="554" s="1"/>
  <c r="M218" i="554" s="1"/>
  <c r="J218" i="554" a="1"/>
  <c r="J218" i="554" s="1"/>
  <c r="H218" i="554"/>
  <c r="W217" i="554"/>
  <c r="V217" i="554"/>
  <c r="N217" i="554"/>
  <c r="K217" i="554" a="1"/>
  <c r="K217" i="554" s="1"/>
  <c r="M217" i="554" s="1"/>
  <c r="J217" i="554" a="1"/>
  <c r="J217" i="554" s="1"/>
  <c r="H217" i="554"/>
  <c r="V216" i="554"/>
  <c r="W216" i="554" s="1"/>
  <c r="N216" i="554"/>
  <c r="K216" i="554" a="1"/>
  <c r="K216" i="554" s="1"/>
  <c r="M216" i="554" s="1"/>
  <c r="J216" i="554" a="1"/>
  <c r="J216" i="554" s="1"/>
  <c r="H216" i="554"/>
  <c r="W215" i="554"/>
  <c r="V215" i="554"/>
  <c r="N215" i="554"/>
  <c r="K215" i="554" a="1"/>
  <c r="K215" i="554" s="1"/>
  <c r="M215" i="554" s="1"/>
  <c r="J215" i="554" a="1"/>
  <c r="J215" i="554" s="1"/>
  <c r="H215" i="554"/>
  <c r="V214" i="554"/>
  <c r="W214" i="554" s="1"/>
  <c r="N214" i="554"/>
  <c r="K214" i="554" a="1"/>
  <c r="K214" i="554" s="1"/>
  <c r="M214" i="554" s="1"/>
  <c r="J214" i="554" a="1"/>
  <c r="J214" i="554" s="1"/>
  <c r="H214" i="554"/>
  <c r="V213" i="554"/>
  <c r="W213" i="554" s="1"/>
  <c r="N213" i="554"/>
  <c r="K213" i="554"/>
  <c r="M213" i="554" s="1"/>
  <c r="K213" i="554" a="1"/>
  <c r="J213" i="554"/>
  <c r="J213" i="554" a="1"/>
  <c r="H213" i="554"/>
  <c r="V212" i="554"/>
  <c r="W212" i="554" s="1"/>
  <c r="N212" i="554"/>
  <c r="K212" i="554" a="1"/>
  <c r="K212" i="554" s="1"/>
  <c r="M212" i="554" s="1"/>
  <c r="J212" i="554" a="1"/>
  <c r="J212" i="554" s="1"/>
  <c r="H212" i="554"/>
  <c r="W211" i="554"/>
  <c r="V211" i="554"/>
  <c r="N211" i="554"/>
  <c r="K211" i="554" a="1"/>
  <c r="K211" i="554" s="1"/>
  <c r="M211" i="554" s="1"/>
  <c r="J211" i="554" a="1"/>
  <c r="J211" i="554" s="1"/>
  <c r="H211" i="554"/>
  <c r="V210" i="554"/>
  <c r="W210" i="554" s="1"/>
  <c r="N210" i="554"/>
  <c r="K210" i="554" a="1"/>
  <c r="K210" i="554" s="1"/>
  <c r="M210" i="554" s="1"/>
  <c r="J210" i="554" a="1"/>
  <c r="J210" i="554" s="1"/>
  <c r="H210" i="554"/>
  <c r="W209" i="554"/>
  <c r="V209" i="554"/>
  <c r="N209" i="554"/>
  <c r="K209" i="554" a="1"/>
  <c r="K209" i="554" s="1"/>
  <c r="M209" i="554" s="1"/>
  <c r="J209" i="554" a="1"/>
  <c r="J209" i="554" s="1"/>
  <c r="H209" i="554"/>
  <c r="V208" i="554"/>
  <c r="W208" i="554" s="1"/>
  <c r="N208" i="554"/>
  <c r="K208" i="554" a="1"/>
  <c r="K208" i="554" s="1"/>
  <c r="M208" i="554" s="1"/>
  <c r="J208" i="554" a="1"/>
  <c r="J208" i="554" s="1"/>
  <c r="H208" i="554"/>
  <c r="H207" i="554"/>
  <c r="H206" i="554"/>
  <c r="H205" i="554"/>
  <c r="V204" i="554"/>
  <c r="W204" i="554" s="1"/>
  <c r="N204" i="554"/>
  <c r="K204" i="554" a="1"/>
  <c r="K204" i="554" s="1"/>
  <c r="M204" i="554" s="1"/>
  <c r="J204" i="554" a="1"/>
  <c r="J204" i="554" s="1"/>
  <c r="H204" i="554"/>
  <c r="V203" i="554"/>
  <c r="W203" i="554" s="1"/>
  <c r="N203" i="554"/>
  <c r="K203" i="554" a="1"/>
  <c r="K203" i="554" s="1"/>
  <c r="M203" i="554" s="1"/>
  <c r="J203" i="554" a="1"/>
  <c r="J203" i="554" s="1"/>
  <c r="H203" i="554"/>
  <c r="V202" i="554"/>
  <c r="W202" i="554" s="1"/>
  <c r="N202" i="554"/>
  <c r="K202" i="554" a="1"/>
  <c r="K202" i="554" s="1"/>
  <c r="M202" i="554" s="1"/>
  <c r="J202" i="554" a="1"/>
  <c r="J202" i="554" s="1"/>
  <c r="H202" i="554"/>
  <c r="H201" i="554"/>
  <c r="V200" i="554"/>
  <c r="N200" i="554"/>
  <c r="N257" i="554" s="1"/>
  <c r="K200" i="554" a="1"/>
  <c r="K200" i="554" s="1"/>
  <c r="J200" i="554" a="1"/>
  <c r="J200" i="554" s="1"/>
  <c r="H200" i="554"/>
  <c r="AA199" i="554"/>
  <c r="AA335" i="554" s="1"/>
  <c r="Z199" i="554"/>
  <c r="Z335" i="554" s="1"/>
  <c r="Y199" i="554"/>
  <c r="Y335" i="554" s="1"/>
  <c r="X199" i="554"/>
  <c r="X335" i="554" s="1"/>
  <c r="U199" i="554"/>
  <c r="U335" i="554" s="1"/>
  <c r="T199" i="554"/>
  <c r="T335" i="554" s="1"/>
  <c r="S199" i="554"/>
  <c r="S335" i="554" s="1"/>
  <c r="R199" i="554"/>
  <c r="R335" i="554" s="1"/>
  <c r="Q199" i="554"/>
  <c r="Q335" i="554" s="1"/>
  <c r="P199" i="554"/>
  <c r="O199" i="554"/>
  <c r="I199" i="554"/>
  <c r="I335" i="554" s="1"/>
  <c r="B343" i="554" s="1"/>
  <c r="G199" i="554"/>
  <c r="G335" i="554" s="1"/>
  <c r="V198" i="554"/>
  <c r="W198" i="554" s="1"/>
  <c r="N198" i="554"/>
  <c r="K198" i="554" a="1"/>
  <c r="K198" i="554" s="1"/>
  <c r="M198" i="554" s="1"/>
  <c r="J198" i="554" a="1"/>
  <c r="J198" i="554" s="1"/>
  <c r="H198" i="554"/>
  <c r="V197" i="554"/>
  <c r="W197" i="554" s="1"/>
  <c r="N197" i="554"/>
  <c r="K197" i="554"/>
  <c r="M197" i="554" s="1"/>
  <c r="K197" i="554" a="1"/>
  <c r="J197" i="554"/>
  <c r="J197" i="554" a="1"/>
  <c r="H197" i="554"/>
  <c r="K196" i="554" a="1"/>
  <c r="K196" i="554" s="1"/>
  <c r="M196" i="554" s="1"/>
  <c r="H196" i="554"/>
  <c r="K195" i="554"/>
  <c r="M195" i="554" s="1"/>
  <c r="K195" i="554" a="1"/>
  <c r="H195" i="554"/>
  <c r="K194" i="554" a="1"/>
  <c r="K194" i="554" s="1"/>
  <c r="M194" i="554" s="1"/>
  <c r="H194" i="554"/>
  <c r="K193" i="554"/>
  <c r="M193" i="554" s="1"/>
  <c r="K193" i="554" a="1"/>
  <c r="H193" i="554"/>
  <c r="V192" i="554"/>
  <c r="W192" i="554" s="1"/>
  <c r="N192" i="554"/>
  <c r="K192" i="554" a="1"/>
  <c r="K192" i="554" s="1"/>
  <c r="M192" i="554" s="1"/>
  <c r="J192" i="554" a="1"/>
  <c r="J192" i="554" s="1"/>
  <c r="H192" i="554"/>
  <c r="W191" i="554"/>
  <c r="V191" i="554"/>
  <c r="N191" i="554"/>
  <c r="K191" i="554"/>
  <c r="M191" i="554" s="1"/>
  <c r="K191" i="554" a="1"/>
  <c r="J191" i="554"/>
  <c r="J191" i="554" a="1"/>
  <c r="H191" i="554"/>
  <c r="V190" i="554"/>
  <c r="W190" i="554" s="1"/>
  <c r="N190" i="554"/>
  <c r="K190" i="554" a="1"/>
  <c r="K190" i="554" s="1"/>
  <c r="M190" i="554" s="1"/>
  <c r="J190" i="554" a="1"/>
  <c r="J190" i="554" s="1"/>
  <c r="H190" i="554"/>
  <c r="N189" i="554"/>
  <c r="K189" i="554" a="1"/>
  <c r="K189" i="554" s="1"/>
  <c r="M189" i="554" s="1"/>
  <c r="J189" i="554" a="1"/>
  <c r="J189" i="554" s="1"/>
  <c r="H189" i="554"/>
  <c r="N188" i="554"/>
  <c r="K188" i="554" a="1"/>
  <c r="K188" i="554" s="1"/>
  <c r="M188" i="554" s="1"/>
  <c r="J188" i="554" a="1"/>
  <c r="J188" i="554" s="1"/>
  <c r="H188" i="554"/>
  <c r="W187" i="554"/>
  <c r="V187" i="554"/>
  <c r="N187" i="554"/>
  <c r="K187" i="554" a="1"/>
  <c r="K187" i="554" s="1"/>
  <c r="M187" i="554" s="1"/>
  <c r="J187" i="554" a="1"/>
  <c r="J187" i="554" s="1"/>
  <c r="H187" i="554"/>
  <c r="V186" i="554"/>
  <c r="W186" i="554" s="1"/>
  <c r="N186" i="554"/>
  <c r="K186" i="554" a="1"/>
  <c r="K186" i="554" s="1"/>
  <c r="M186" i="554" s="1"/>
  <c r="J186" i="554" a="1"/>
  <c r="J186" i="554" s="1"/>
  <c r="H186" i="554"/>
  <c r="N185" i="554"/>
  <c r="K185" i="554"/>
  <c r="M185" i="554" s="1"/>
  <c r="K185" i="554" a="1"/>
  <c r="H185" i="554"/>
  <c r="N184" i="554"/>
  <c r="K184" i="554" a="1"/>
  <c r="K184" i="554" s="1"/>
  <c r="M184" i="554" s="1"/>
  <c r="H184" i="554"/>
  <c r="W183" i="554"/>
  <c r="V183" i="554"/>
  <c r="N183" i="554"/>
  <c r="K183" i="554" a="1"/>
  <c r="K183" i="554" s="1"/>
  <c r="M183" i="554" s="1"/>
  <c r="J183" i="554" a="1"/>
  <c r="J183" i="554" s="1"/>
  <c r="H183" i="554"/>
  <c r="V182" i="554"/>
  <c r="W182" i="554" s="1"/>
  <c r="N182" i="554"/>
  <c r="K182" i="554" a="1"/>
  <c r="K182" i="554" s="1"/>
  <c r="M182" i="554" s="1"/>
  <c r="J182" i="554" a="1"/>
  <c r="J182" i="554" s="1"/>
  <c r="H182" i="554"/>
  <c r="V181" i="554"/>
  <c r="W181" i="554" s="1"/>
  <c r="N181" i="554"/>
  <c r="K181" i="554"/>
  <c r="M181" i="554" s="1"/>
  <c r="K181" i="554" a="1"/>
  <c r="J181" i="554"/>
  <c r="J181" i="554" a="1"/>
  <c r="H181" i="554"/>
  <c r="V180" i="554"/>
  <c r="W180" i="554" s="1"/>
  <c r="N180" i="554"/>
  <c r="K180" i="554" a="1"/>
  <c r="K180" i="554" s="1"/>
  <c r="M180" i="554" s="1"/>
  <c r="J180" i="554" a="1"/>
  <c r="J180" i="554" s="1"/>
  <c r="H180" i="554"/>
  <c r="W179" i="554"/>
  <c r="V179" i="554"/>
  <c r="N179" i="554"/>
  <c r="K179" i="554" a="1"/>
  <c r="K179" i="554" s="1"/>
  <c r="M179" i="554" s="1"/>
  <c r="J179" i="554" a="1"/>
  <c r="J179" i="554" s="1"/>
  <c r="H179" i="554"/>
  <c r="V178" i="554"/>
  <c r="V199" i="554" s="1"/>
  <c r="N178" i="554"/>
  <c r="K178" i="554" a="1"/>
  <c r="K178" i="554" s="1"/>
  <c r="J178" i="554" a="1"/>
  <c r="J178" i="554" s="1"/>
  <c r="H178" i="554"/>
  <c r="H199" i="554" s="1"/>
  <c r="X171" i="554"/>
  <c r="Q529" i="554" s="1"/>
  <c r="X170" i="554"/>
  <c r="Q528" i="554" s="1"/>
  <c r="G170" i="554"/>
  <c r="C170" i="554"/>
  <c r="X169" i="554"/>
  <c r="Q527" i="554" s="1"/>
  <c r="I169" i="554"/>
  <c r="E169" i="554"/>
  <c r="K169" i="554" s="1"/>
  <c r="M169" i="554" s="1"/>
  <c r="I168" i="554"/>
  <c r="E168" i="554"/>
  <c r="K168" i="554" s="1"/>
  <c r="M168" i="554" s="1"/>
  <c r="I167" i="554"/>
  <c r="E167" i="554"/>
  <c r="K167" i="554" s="1"/>
  <c r="M167" i="554" s="1"/>
  <c r="X166" i="554"/>
  <c r="Q524" i="554" s="1"/>
  <c r="I166" i="554"/>
  <c r="I170" i="554" s="1"/>
  <c r="E166" i="554"/>
  <c r="K166" i="554" s="1"/>
  <c r="AA163" i="554"/>
  <c r="Z163" i="554"/>
  <c r="Y163" i="554"/>
  <c r="X163" i="554"/>
  <c r="U163" i="554"/>
  <c r="T163" i="554"/>
  <c r="S163" i="554"/>
  <c r="R163" i="554"/>
  <c r="Q163" i="554"/>
  <c r="P163" i="554"/>
  <c r="O163" i="554"/>
  <c r="I163" i="554"/>
  <c r="G163" i="554"/>
  <c r="C529" i="554" s="1"/>
  <c r="H162" i="554"/>
  <c r="H161" i="554"/>
  <c r="H160" i="554"/>
  <c r="V159" i="554"/>
  <c r="W159" i="554" s="1"/>
  <c r="N159" i="554"/>
  <c r="K159" i="554"/>
  <c r="K159" i="554" a="1"/>
  <c r="J159" i="554" a="1"/>
  <c r="J159" i="554" s="1"/>
  <c r="H159" i="554"/>
  <c r="D159" i="554"/>
  <c r="V158" i="554"/>
  <c r="W158" i="554" s="1"/>
  <c r="N158" i="554"/>
  <c r="K158" i="554" a="1"/>
  <c r="K158" i="554" s="1"/>
  <c r="M158" i="554" s="1"/>
  <c r="J158" i="554" a="1"/>
  <c r="J158" i="554" s="1"/>
  <c r="H158" i="554"/>
  <c r="H157" i="554"/>
  <c r="H156" i="554"/>
  <c r="V155" i="554"/>
  <c r="W155" i="554" s="1"/>
  <c r="N155" i="554"/>
  <c r="K155" i="554" a="1"/>
  <c r="K155" i="554" s="1"/>
  <c r="M155" i="554" s="1"/>
  <c r="J155" i="554" a="1"/>
  <c r="J155" i="554" s="1"/>
  <c r="H155" i="554"/>
  <c r="V154" i="554"/>
  <c r="W154" i="554" s="1"/>
  <c r="N154" i="554"/>
  <c r="K154" i="554"/>
  <c r="M154" i="554" s="1"/>
  <c r="K154" i="554" a="1"/>
  <c r="J154" i="554"/>
  <c r="J154" i="554" a="1"/>
  <c r="H154" i="554"/>
  <c r="H153" i="554"/>
  <c r="V152" i="554"/>
  <c r="W152" i="554" s="1"/>
  <c r="N152" i="554"/>
  <c r="K152" i="554" a="1"/>
  <c r="K152" i="554" s="1"/>
  <c r="M152" i="554" s="1"/>
  <c r="J152" i="554" a="1"/>
  <c r="J152" i="554" s="1"/>
  <c r="H152" i="554"/>
  <c r="V151" i="554"/>
  <c r="W151" i="554" s="1"/>
  <c r="N151" i="554"/>
  <c r="K151" i="554" a="1"/>
  <c r="K151" i="554" s="1"/>
  <c r="M151" i="554" s="1"/>
  <c r="J151" i="554" a="1"/>
  <c r="J151" i="554" s="1"/>
  <c r="H151" i="554"/>
  <c r="V150" i="554"/>
  <c r="W150" i="554" s="1"/>
  <c r="N150" i="554"/>
  <c r="K150" i="554"/>
  <c r="M150" i="554" s="1"/>
  <c r="K150" i="554" a="1"/>
  <c r="J150" i="554"/>
  <c r="J150" i="554" a="1"/>
  <c r="H150" i="554"/>
  <c r="V149" i="554"/>
  <c r="N149" i="554"/>
  <c r="N163" i="554" s="1"/>
  <c r="K149" i="554" a="1"/>
  <c r="K149" i="554" s="1"/>
  <c r="J149" i="554" a="1"/>
  <c r="J149" i="554" s="1"/>
  <c r="H149" i="554"/>
  <c r="H163" i="554" s="1"/>
  <c r="AA148" i="554"/>
  <c r="Z148" i="554"/>
  <c r="Y148" i="554"/>
  <c r="X148" i="554"/>
  <c r="U148" i="554"/>
  <c r="T148" i="554"/>
  <c r="S148" i="554"/>
  <c r="Q148" i="554"/>
  <c r="P148" i="554"/>
  <c r="O148" i="554"/>
  <c r="I148" i="554"/>
  <c r="G148" i="554"/>
  <c r="C528" i="554" s="1"/>
  <c r="V147" i="554"/>
  <c r="W147" i="554" s="1"/>
  <c r="N147" i="554"/>
  <c r="K147" i="554"/>
  <c r="M147" i="554" s="1"/>
  <c r="K147" i="554" a="1"/>
  <c r="J147" i="554"/>
  <c r="J147" i="554" a="1"/>
  <c r="H147" i="554"/>
  <c r="K146" i="554" a="1"/>
  <c r="K146" i="554" s="1"/>
  <c r="H146" i="554"/>
  <c r="K145" i="554" a="1"/>
  <c r="K145" i="554" s="1"/>
  <c r="H145" i="554"/>
  <c r="K144" i="554" a="1"/>
  <c r="K144" i="554" s="1"/>
  <c r="H144" i="554"/>
  <c r="K143" i="554" a="1"/>
  <c r="K143" i="554" s="1"/>
  <c r="H143" i="554"/>
  <c r="W142" i="554"/>
  <c r="V142" i="554"/>
  <c r="N142" i="554"/>
  <c r="K142" i="554" a="1"/>
  <c r="K142" i="554" s="1"/>
  <c r="M142" i="554" s="1"/>
  <c r="J142" i="554" a="1"/>
  <c r="J142" i="554" s="1"/>
  <c r="H142" i="554"/>
  <c r="V141" i="554"/>
  <c r="W141" i="554" s="1"/>
  <c r="N141" i="554"/>
  <c r="K141" i="554"/>
  <c r="M141" i="554" s="1"/>
  <c r="K141" i="554" a="1"/>
  <c r="J141" i="554" a="1"/>
  <c r="J141" i="554" s="1"/>
  <c r="H141" i="554"/>
  <c r="W140" i="554"/>
  <c r="V140" i="554"/>
  <c r="N140" i="554"/>
  <c r="K140" i="554" a="1"/>
  <c r="K140" i="554" s="1"/>
  <c r="M140" i="554" s="1"/>
  <c r="J140" i="554" a="1"/>
  <c r="J140" i="554" s="1"/>
  <c r="H140" i="554"/>
  <c r="V139" i="554"/>
  <c r="W139" i="554" s="1"/>
  <c r="N139" i="554"/>
  <c r="K139" i="554"/>
  <c r="M139" i="554" s="1"/>
  <c r="K139" i="554" a="1"/>
  <c r="J139" i="554" a="1"/>
  <c r="J139" i="554" s="1"/>
  <c r="H139" i="554"/>
  <c r="W138" i="554"/>
  <c r="V138" i="554"/>
  <c r="N138" i="554"/>
  <c r="N148" i="554" s="1"/>
  <c r="K138" i="554" a="1"/>
  <c r="K138" i="554" s="1"/>
  <c r="J138" i="554" a="1"/>
  <c r="J138" i="554" s="1"/>
  <c r="H138" i="554"/>
  <c r="H148" i="554" s="1"/>
  <c r="AA137" i="554"/>
  <c r="Z137" i="554"/>
  <c r="Y137" i="554"/>
  <c r="X137" i="554"/>
  <c r="U137" i="554"/>
  <c r="T137" i="554"/>
  <c r="S137" i="554"/>
  <c r="Q137" i="554"/>
  <c r="P137" i="554"/>
  <c r="O137" i="554"/>
  <c r="R169" i="554" s="1"/>
  <c r="I137" i="554"/>
  <c r="G137" i="554"/>
  <c r="C527" i="554" s="1"/>
  <c r="V136" i="554"/>
  <c r="W136" i="554" s="1"/>
  <c r="N136" i="554"/>
  <c r="K136" i="554" a="1"/>
  <c r="K136" i="554" s="1"/>
  <c r="M136" i="554" s="1"/>
  <c r="J136" i="554" a="1"/>
  <c r="J136" i="554" s="1"/>
  <c r="H136" i="554"/>
  <c r="V135" i="554"/>
  <c r="W135" i="554" s="1"/>
  <c r="N135" i="554"/>
  <c r="K135" i="554" a="1"/>
  <c r="K135" i="554" s="1"/>
  <c r="M135" i="554" s="1"/>
  <c r="J135" i="554" a="1"/>
  <c r="J135" i="554" s="1"/>
  <c r="H135" i="554"/>
  <c r="V134" i="554"/>
  <c r="W134" i="554" s="1"/>
  <c r="N134" i="554"/>
  <c r="K134" i="554" a="1"/>
  <c r="K134" i="554" s="1"/>
  <c r="M134" i="554" s="1"/>
  <c r="J134" i="554" a="1"/>
  <c r="J134" i="554" s="1"/>
  <c r="H134" i="554"/>
  <c r="V133" i="554"/>
  <c r="W133" i="554" s="1"/>
  <c r="N133" i="554"/>
  <c r="K133" i="554"/>
  <c r="M133" i="554" s="1"/>
  <c r="K133" i="554" a="1"/>
  <c r="J133" i="554"/>
  <c r="J133" i="554" a="1"/>
  <c r="H133" i="554"/>
  <c r="V132" i="554"/>
  <c r="W132" i="554" s="1"/>
  <c r="N132" i="554"/>
  <c r="K132" i="554" a="1"/>
  <c r="K132" i="554" s="1"/>
  <c r="M132" i="554" s="1"/>
  <c r="J132" i="554" a="1"/>
  <c r="J132" i="554" s="1"/>
  <c r="H132" i="554"/>
  <c r="W131" i="554"/>
  <c r="V131" i="554"/>
  <c r="N131" i="554"/>
  <c r="K131" i="554" a="1"/>
  <c r="K131" i="554" s="1"/>
  <c r="M131" i="554" s="1"/>
  <c r="J131" i="554" a="1"/>
  <c r="J131" i="554" s="1"/>
  <c r="H131" i="554"/>
  <c r="V130" i="554"/>
  <c r="W130" i="554" s="1"/>
  <c r="N130" i="554"/>
  <c r="K130" i="554" a="1"/>
  <c r="K130" i="554" s="1"/>
  <c r="M130" i="554" s="1"/>
  <c r="J130" i="554" a="1"/>
  <c r="J130" i="554" s="1"/>
  <c r="H130" i="554"/>
  <c r="V129" i="554"/>
  <c r="W129" i="554" s="1"/>
  <c r="N129" i="554"/>
  <c r="K129" i="554"/>
  <c r="M129" i="554" s="1"/>
  <c r="K129" i="554" a="1"/>
  <c r="J129" i="554"/>
  <c r="J129" i="554" a="1"/>
  <c r="H129" i="554"/>
  <c r="V128" i="554"/>
  <c r="W128" i="554" s="1"/>
  <c r="N128" i="554"/>
  <c r="K128" i="554" a="1"/>
  <c r="K128" i="554" s="1"/>
  <c r="M128" i="554" s="1"/>
  <c r="J128" i="554" a="1"/>
  <c r="J128" i="554" s="1"/>
  <c r="H128" i="554"/>
  <c r="W127" i="554"/>
  <c r="V127" i="554"/>
  <c r="N127" i="554"/>
  <c r="K127" i="554" a="1"/>
  <c r="K127" i="554" s="1"/>
  <c r="M127" i="554" s="1"/>
  <c r="J127" i="554" a="1"/>
  <c r="J127" i="554" s="1"/>
  <c r="H127" i="554"/>
  <c r="V126" i="554"/>
  <c r="W126" i="554" s="1"/>
  <c r="N126" i="554"/>
  <c r="K126" i="554" a="1"/>
  <c r="K126" i="554" s="1"/>
  <c r="M126" i="554" s="1"/>
  <c r="J126" i="554" a="1"/>
  <c r="J126" i="554" s="1"/>
  <c r="H126" i="554"/>
  <c r="V125" i="554"/>
  <c r="W125" i="554" s="1"/>
  <c r="N125" i="554"/>
  <c r="K125" i="554"/>
  <c r="M125" i="554" s="1"/>
  <c r="K125" i="554" a="1"/>
  <c r="J125" i="554"/>
  <c r="J125" i="554" a="1"/>
  <c r="H125" i="554"/>
  <c r="V124" i="554"/>
  <c r="W124" i="554" s="1"/>
  <c r="N124" i="554"/>
  <c r="K124" i="554" a="1"/>
  <c r="K124" i="554" s="1"/>
  <c r="M124" i="554" s="1"/>
  <c r="J124" i="554" a="1"/>
  <c r="J124" i="554" s="1"/>
  <c r="H124" i="554"/>
  <c r="W123" i="554"/>
  <c r="V123" i="554"/>
  <c r="N123" i="554"/>
  <c r="K123" i="554" a="1"/>
  <c r="K123" i="554" s="1"/>
  <c r="M123" i="554" s="1"/>
  <c r="J123" i="554" a="1"/>
  <c r="J123" i="554" s="1"/>
  <c r="H123" i="554"/>
  <c r="V122" i="554"/>
  <c r="W122" i="554" s="1"/>
  <c r="N122" i="554"/>
  <c r="K122" i="554" a="1"/>
  <c r="K122" i="554" s="1"/>
  <c r="J122" i="554" a="1"/>
  <c r="J122" i="554" s="1"/>
  <c r="H122" i="554"/>
  <c r="H137" i="554" s="1"/>
  <c r="AA121" i="554"/>
  <c r="Z121" i="554"/>
  <c r="Y121" i="554"/>
  <c r="X121" i="554"/>
  <c r="U121" i="554"/>
  <c r="T121" i="554"/>
  <c r="S121" i="554"/>
  <c r="R121" i="554"/>
  <c r="Q121" i="554"/>
  <c r="P121" i="554"/>
  <c r="O121" i="554"/>
  <c r="I121" i="554"/>
  <c r="G121" i="554"/>
  <c r="C526" i="554" s="1"/>
  <c r="V120" i="554"/>
  <c r="W120" i="554" s="1"/>
  <c r="N120" i="554"/>
  <c r="K120" i="554" a="1"/>
  <c r="K120" i="554" s="1"/>
  <c r="M120" i="554" s="1"/>
  <c r="H120" i="554"/>
  <c r="W119" i="554"/>
  <c r="V119" i="554"/>
  <c r="N119" i="554"/>
  <c r="K119" i="554" a="1"/>
  <c r="K119" i="554" s="1"/>
  <c r="M119" i="554" s="1"/>
  <c r="H119" i="554"/>
  <c r="V118" i="554"/>
  <c r="W118" i="554" s="1"/>
  <c r="N118" i="554"/>
  <c r="K118" i="554" a="1"/>
  <c r="K118" i="554" s="1"/>
  <c r="M118" i="554" s="1"/>
  <c r="H118" i="554"/>
  <c r="K117" i="554" a="1"/>
  <c r="K117" i="554" s="1"/>
  <c r="H117" i="554"/>
  <c r="K116" i="554" a="1"/>
  <c r="K116" i="554" s="1"/>
  <c r="H116" i="554"/>
  <c r="K115" i="554" a="1"/>
  <c r="K115" i="554" s="1"/>
  <c r="H115" i="554"/>
  <c r="V114" i="554"/>
  <c r="W114" i="554" s="1"/>
  <c r="N114" i="554"/>
  <c r="K114" i="554" a="1"/>
  <c r="K114" i="554" s="1"/>
  <c r="M114" i="554" s="1"/>
  <c r="H114" i="554"/>
  <c r="V113" i="554"/>
  <c r="W113" i="554" s="1"/>
  <c r="N113" i="554"/>
  <c r="K113" i="554" a="1"/>
  <c r="K113" i="554" s="1"/>
  <c r="M113" i="554" s="1"/>
  <c r="H113" i="554"/>
  <c r="N112" i="554"/>
  <c r="K112" i="554" a="1"/>
  <c r="K112" i="554" s="1"/>
  <c r="M112" i="554" s="1"/>
  <c r="H112" i="554"/>
  <c r="N111" i="554"/>
  <c r="K111" i="554" a="1"/>
  <c r="K111" i="554" s="1"/>
  <c r="M111" i="554" s="1"/>
  <c r="H111" i="554"/>
  <c r="N110" i="554"/>
  <c r="K110" i="554" a="1"/>
  <c r="K110" i="554" s="1"/>
  <c r="M110" i="554" s="1"/>
  <c r="H110" i="554"/>
  <c r="N109" i="554"/>
  <c r="K109" i="554" a="1"/>
  <c r="K109" i="554" s="1"/>
  <c r="M109" i="554" s="1"/>
  <c r="H109" i="554"/>
  <c r="N108" i="554"/>
  <c r="K108" i="554" a="1"/>
  <c r="K108" i="554" s="1"/>
  <c r="M108" i="554" s="1"/>
  <c r="H108" i="554"/>
  <c r="N107" i="554"/>
  <c r="K107" i="554" a="1"/>
  <c r="K107" i="554" s="1"/>
  <c r="M107" i="554" s="1"/>
  <c r="H107" i="554"/>
  <c r="V106" i="554"/>
  <c r="W106" i="554" s="1"/>
  <c r="N106" i="554"/>
  <c r="K106" i="554" a="1"/>
  <c r="K106" i="554" s="1"/>
  <c r="M106" i="554" s="1"/>
  <c r="J106" i="554" a="1"/>
  <c r="J106" i="554" s="1"/>
  <c r="H106" i="554"/>
  <c r="V105" i="554"/>
  <c r="W105" i="554" s="1"/>
  <c r="N105" i="554"/>
  <c r="K105" i="554" a="1"/>
  <c r="K105" i="554" s="1"/>
  <c r="M105" i="554" s="1"/>
  <c r="J105" i="554" a="1"/>
  <c r="J105" i="554" s="1"/>
  <c r="H105" i="554"/>
  <c r="V104" i="554"/>
  <c r="W104" i="554" s="1"/>
  <c r="N104" i="554"/>
  <c r="K104" i="554" a="1"/>
  <c r="K104" i="554" s="1"/>
  <c r="M104" i="554" s="1"/>
  <c r="J104" i="554" a="1"/>
  <c r="J104" i="554" s="1"/>
  <c r="H104" i="554"/>
  <c r="V103" i="554"/>
  <c r="W103" i="554" s="1"/>
  <c r="N103" i="554"/>
  <c r="K103" i="554" a="1"/>
  <c r="K103" i="554" s="1"/>
  <c r="M103" i="554" s="1"/>
  <c r="J103" i="554" a="1"/>
  <c r="J103" i="554" s="1"/>
  <c r="H103" i="554"/>
  <c r="V102" i="554"/>
  <c r="W102" i="554" s="1"/>
  <c r="N102" i="554"/>
  <c r="K102" i="554" a="1"/>
  <c r="K102" i="554" s="1"/>
  <c r="M102" i="554" s="1"/>
  <c r="J102" i="554" a="1"/>
  <c r="J102" i="554" s="1"/>
  <c r="H102" i="554"/>
  <c r="V101" i="554"/>
  <c r="W101" i="554" s="1"/>
  <c r="N101" i="554"/>
  <c r="K101" i="554" a="1"/>
  <c r="K101" i="554" s="1"/>
  <c r="M101" i="554" s="1"/>
  <c r="J101" i="554" a="1"/>
  <c r="J101" i="554" s="1"/>
  <c r="H101" i="554"/>
  <c r="V100" i="554"/>
  <c r="W100" i="554" s="1"/>
  <c r="N100" i="554"/>
  <c r="K100" i="554" a="1"/>
  <c r="K100" i="554" s="1"/>
  <c r="M100" i="554" s="1"/>
  <c r="J100" i="554" a="1"/>
  <c r="J100" i="554" s="1"/>
  <c r="H100" i="554"/>
  <c r="V99" i="554"/>
  <c r="W99" i="554" s="1"/>
  <c r="N99" i="554"/>
  <c r="K99" i="554" a="1"/>
  <c r="K99" i="554" s="1"/>
  <c r="M99" i="554" s="1"/>
  <c r="J99" i="554" a="1"/>
  <c r="J99" i="554" s="1"/>
  <c r="H99" i="554"/>
  <c r="V98" i="554"/>
  <c r="W98" i="554" s="1"/>
  <c r="N98" i="554"/>
  <c r="K98" i="554" a="1"/>
  <c r="K98" i="554" s="1"/>
  <c r="M98" i="554" s="1"/>
  <c r="J98" i="554" a="1"/>
  <c r="J98" i="554" s="1"/>
  <c r="H98" i="554"/>
  <c r="V97" i="554"/>
  <c r="W97" i="554" s="1"/>
  <c r="N97" i="554"/>
  <c r="K97" i="554" a="1"/>
  <c r="K97" i="554" s="1"/>
  <c r="M97" i="554" s="1"/>
  <c r="J97" i="554" a="1"/>
  <c r="J97" i="554" s="1"/>
  <c r="H97" i="554"/>
  <c r="V96" i="554"/>
  <c r="W96" i="554" s="1"/>
  <c r="N96" i="554"/>
  <c r="K96" i="554" a="1"/>
  <c r="K96" i="554" s="1"/>
  <c r="M96" i="554" s="1"/>
  <c r="J96" i="554" a="1"/>
  <c r="J96" i="554" s="1"/>
  <c r="H96" i="554"/>
  <c r="W95" i="554"/>
  <c r="V95" i="554"/>
  <c r="N95" i="554"/>
  <c r="K95" i="554" a="1"/>
  <c r="K95" i="554" s="1"/>
  <c r="M95" i="554" s="1"/>
  <c r="J95" i="554" a="1"/>
  <c r="J95" i="554" s="1"/>
  <c r="H95" i="554"/>
  <c r="K94" i="554" a="1"/>
  <c r="K94" i="554" s="1"/>
  <c r="M94" i="554" s="1"/>
  <c r="H94" i="554"/>
  <c r="V93" i="554"/>
  <c r="W93" i="554" s="1"/>
  <c r="N93" i="554"/>
  <c r="K93" i="554" a="1"/>
  <c r="K93" i="554" s="1"/>
  <c r="M93" i="554" s="1"/>
  <c r="J93" i="554" a="1"/>
  <c r="J93" i="554" s="1"/>
  <c r="H93" i="554"/>
  <c r="V92" i="554"/>
  <c r="W92" i="554" s="1"/>
  <c r="N92" i="554"/>
  <c r="K92" i="554" a="1"/>
  <c r="K92" i="554" s="1"/>
  <c r="M92" i="554" s="1"/>
  <c r="J92" i="554" a="1"/>
  <c r="J92" i="554" s="1"/>
  <c r="H92" i="554"/>
  <c r="V91" i="554"/>
  <c r="W91" i="554" s="1"/>
  <c r="N91" i="554"/>
  <c r="K91" i="554" a="1"/>
  <c r="K91" i="554" s="1"/>
  <c r="M91" i="554" s="1"/>
  <c r="J91" i="554" a="1"/>
  <c r="J91" i="554" s="1"/>
  <c r="H91" i="554"/>
  <c r="V90" i="554"/>
  <c r="W90" i="554" s="1"/>
  <c r="N90" i="554"/>
  <c r="K90" i="554" a="1"/>
  <c r="K90" i="554" s="1"/>
  <c r="M90" i="554" s="1"/>
  <c r="J90" i="554" a="1"/>
  <c r="J90" i="554" s="1"/>
  <c r="H90" i="554"/>
  <c r="V89" i="554"/>
  <c r="W89" i="554" s="1"/>
  <c r="N89" i="554"/>
  <c r="K89" i="554" a="1"/>
  <c r="K89" i="554" s="1"/>
  <c r="M89" i="554" s="1"/>
  <c r="J89" i="554" a="1"/>
  <c r="J89" i="554" s="1"/>
  <c r="H89" i="554"/>
  <c r="V88" i="554"/>
  <c r="W88" i="554" s="1"/>
  <c r="N88" i="554"/>
  <c r="K88" i="554" a="1"/>
  <c r="K88" i="554" s="1"/>
  <c r="M88" i="554" s="1"/>
  <c r="J88" i="554" a="1"/>
  <c r="J88" i="554" s="1"/>
  <c r="H88" i="554"/>
  <c r="V87" i="554"/>
  <c r="N87" i="554"/>
  <c r="K87" i="554" a="1"/>
  <c r="K87" i="554" s="1"/>
  <c r="J87" i="554" a="1"/>
  <c r="J87" i="554" s="1"/>
  <c r="H87" i="554"/>
  <c r="AA86" i="554"/>
  <c r="Z86" i="554"/>
  <c r="Y86" i="554"/>
  <c r="X86" i="554"/>
  <c r="U86" i="554"/>
  <c r="T86" i="554"/>
  <c r="S86" i="554"/>
  <c r="R86" i="554"/>
  <c r="Q86" i="554"/>
  <c r="P86" i="554"/>
  <c r="O86" i="554"/>
  <c r="R167" i="554" s="1"/>
  <c r="I86" i="554"/>
  <c r="G86" i="554"/>
  <c r="C525" i="554" s="1"/>
  <c r="K85" i="554" a="1"/>
  <c r="K85" i="554" s="1"/>
  <c r="H85" i="554"/>
  <c r="K84" i="554"/>
  <c r="K84" i="554" a="1"/>
  <c r="H84" i="554"/>
  <c r="K83" i="554" a="1"/>
  <c r="K83" i="554" s="1"/>
  <c r="H83" i="554"/>
  <c r="K82" i="554" a="1"/>
  <c r="K82" i="554" s="1"/>
  <c r="H82" i="554"/>
  <c r="K81" i="554" a="1"/>
  <c r="K81" i="554" s="1"/>
  <c r="H81" i="554"/>
  <c r="K80" i="554" a="1"/>
  <c r="K80" i="554" s="1"/>
  <c r="H80" i="554"/>
  <c r="K79" i="554" a="1"/>
  <c r="K79" i="554" s="1"/>
  <c r="M79" i="554" s="1"/>
  <c r="H79" i="554"/>
  <c r="K78" i="554" a="1"/>
  <c r="K78" i="554" s="1"/>
  <c r="M78" i="554" s="1"/>
  <c r="H78" i="554"/>
  <c r="K77" i="554" a="1"/>
  <c r="K77" i="554" s="1"/>
  <c r="M77" i="554" s="1"/>
  <c r="H77" i="554"/>
  <c r="K76" i="554" a="1"/>
  <c r="K76" i="554" s="1"/>
  <c r="M76" i="554" s="1"/>
  <c r="H76" i="554"/>
  <c r="V75" i="554"/>
  <c r="W75" i="554" s="1"/>
  <c r="N75" i="554"/>
  <c r="K75" i="554" a="1"/>
  <c r="K75" i="554" s="1"/>
  <c r="M75" i="554" s="1"/>
  <c r="J75" i="554" a="1"/>
  <c r="J75" i="554" s="1"/>
  <c r="H75" i="554"/>
  <c r="V74" i="554"/>
  <c r="W74" i="554" s="1"/>
  <c r="N74" i="554"/>
  <c r="K74" i="554"/>
  <c r="M74" i="554" s="1"/>
  <c r="K74" i="554" a="1"/>
  <c r="J74" i="554"/>
  <c r="J74" i="554" a="1"/>
  <c r="H74" i="554"/>
  <c r="V73" i="554"/>
  <c r="W73" i="554" s="1"/>
  <c r="N73" i="554"/>
  <c r="K73" i="554" a="1"/>
  <c r="K73" i="554" s="1"/>
  <c r="M73" i="554" s="1"/>
  <c r="J73" i="554" a="1"/>
  <c r="J73" i="554" s="1"/>
  <c r="H73" i="554"/>
  <c r="W72" i="554"/>
  <c r="V72" i="554"/>
  <c r="N72" i="554"/>
  <c r="K72" i="554" a="1"/>
  <c r="K72" i="554" s="1"/>
  <c r="M72" i="554" s="1"/>
  <c r="J72" i="554" a="1"/>
  <c r="J72" i="554" s="1"/>
  <c r="H72" i="554"/>
  <c r="H71" i="554"/>
  <c r="V70" i="554"/>
  <c r="W70" i="554" s="1"/>
  <c r="N70" i="554"/>
  <c r="K70" i="554"/>
  <c r="M70" i="554" s="1"/>
  <c r="K70" i="554" a="1"/>
  <c r="J70" i="554"/>
  <c r="J70" i="554" a="1"/>
  <c r="H70" i="554"/>
  <c r="V69" i="554"/>
  <c r="W69" i="554" s="1"/>
  <c r="N69" i="554"/>
  <c r="K69" i="554" a="1"/>
  <c r="K69" i="554" s="1"/>
  <c r="M69" i="554" s="1"/>
  <c r="J69" i="554" a="1"/>
  <c r="J69" i="554" s="1"/>
  <c r="H69" i="554"/>
  <c r="K68" i="554"/>
  <c r="K68" i="554" a="1"/>
  <c r="H68" i="554"/>
  <c r="K67" i="554" a="1"/>
  <c r="K67" i="554" s="1"/>
  <c r="H67" i="554"/>
  <c r="W66" i="554"/>
  <c r="V66" i="554"/>
  <c r="N66" i="554"/>
  <c r="K66" i="554"/>
  <c r="M66" i="554" s="1"/>
  <c r="K66" i="554" a="1"/>
  <c r="J66" i="554" a="1"/>
  <c r="J66" i="554" s="1"/>
  <c r="H66" i="554"/>
  <c r="V65" i="554"/>
  <c r="W65" i="554" s="1"/>
  <c r="N65" i="554"/>
  <c r="K65" i="554" a="1"/>
  <c r="K65" i="554" s="1"/>
  <c r="M65" i="554" s="1"/>
  <c r="J65" i="554" a="1"/>
  <c r="J65" i="554" s="1"/>
  <c r="H65" i="554"/>
  <c r="V64" i="554"/>
  <c r="W64" i="554" s="1"/>
  <c r="N64" i="554"/>
  <c r="K64" i="554"/>
  <c r="M64" i="554" s="1"/>
  <c r="K64" i="554" a="1"/>
  <c r="J64" i="554" a="1"/>
  <c r="J64" i="554" s="1"/>
  <c r="H64" i="554"/>
  <c r="V63" i="554"/>
  <c r="W63" i="554" s="1"/>
  <c r="N63" i="554"/>
  <c r="K63" i="554" a="1"/>
  <c r="K63" i="554" s="1"/>
  <c r="M63" i="554" s="1"/>
  <c r="J63" i="554" a="1"/>
  <c r="J63" i="554" s="1"/>
  <c r="H63" i="554"/>
  <c r="V62" i="554"/>
  <c r="W62" i="554" s="1"/>
  <c r="N62" i="554"/>
  <c r="K62" i="554"/>
  <c r="M62" i="554" s="1"/>
  <c r="K62" i="554" a="1"/>
  <c r="J62" i="554"/>
  <c r="J62" i="554" a="1"/>
  <c r="H62" i="554"/>
  <c r="V61" i="554"/>
  <c r="W61" i="554" s="1"/>
  <c r="N61" i="554"/>
  <c r="K61" i="554" a="1"/>
  <c r="K61" i="554" s="1"/>
  <c r="M61" i="554" s="1"/>
  <c r="J61" i="554" a="1"/>
  <c r="J61" i="554" s="1"/>
  <c r="H61" i="554"/>
  <c r="V60" i="554"/>
  <c r="W60" i="554" s="1"/>
  <c r="N60" i="554"/>
  <c r="K60" i="554"/>
  <c r="M60" i="554" s="1"/>
  <c r="K60" i="554" a="1"/>
  <c r="J60" i="554"/>
  <c r="J60" i="554" a="1"/>
  <c r="H60" i="554"/>
  <c r="V59" i="554"/>
  <c r="W59" i="554" s="1"/>
  <c r="N59" i="554"/>
  <c r="K59" i="554" a="1"/>
  <c r="K59" i="554" s="1"/>
  <c r="M59" i="554" s="1"/>
  <c r="J59" i="554" a="1"/>
  <c r="J59" i="554" s="1"/>
  <c r="H59" i="554"/>
  <c r="V58" i="554"/>
  <c r="W58" i="554" s="1"/>
  <c r="N58" i="554"/>
  <c r="K58" i="554"/>
  <c r="M58" i="554" s="1"/>
  <c r="K58" i="554" a="1"/>
  <c r="J58" i="554"/>
  <c r="J58" i="554" a="1"/>
  <c r="H58" i="554"/>
  <c r="V57" i="554"/>
  <c r="W57" i="554" s="1"/>
  <c r="N57" i="554"/>
  <c r="K57" i="554" a="1"/>
  <c r="K57" i="554" s="1"/>
  <c r="M57" i="554" s="1"/>
  <c r="J57" i="554" a="1"/>
  <c r="J57" i="554" s="1"/>
  <c r="H57" i="554"/>
  <c r="K56" i="554" a="1"/>
  <c r="K56" i="554" s="1"/>
  <c r="M56" i="554" s="1"/>
  <c r="H56" i="554"/>
  <c r="K55" i="554" a="1"/>
  <c r="K55" i="554" s="1"/>
  <c r="M55" i="554" s="1"/>
  <c r="H55" i="554"/>
  <c r="K54" i="554" a="1"/>
  <c r="K54" i="554" s="1"/>
  <c r="M54" i="554" s="1"/>
  <c r="H54" i="554"/>
  <c r="K53" i="554" a="1"/>
  <c r="K53" i="554" s="1"/>
  <c r="M53" i="554" s="1"/>
  <c r="H53" i="554"/>
  <c r="N52" i="554"/>
  <c r="K52" i="554" a="1"/>
  <c r="K52" i="554" s="1"/>
  <c r="M52" i="554" s="1"/>
  <c r="H52" i="554"/>
  <c r="N51" i="554"/>
  <c r="K51" i="554" a="1"/>
  <c r="K51" i="554" s="1"/>
  <c r="M51" i="554" s="1"/>
  <c r="H51" i="554"/>
  <c r="N50" i="554"/>
  <c r="K50" i="554"/>
  <c r="M50" i="554" s="1"/>
  <c r="K50" i="554" a="1"/>
  <c r="H50" i="554"/>
  <c r="N49" i="554"/>
  <c r="K49" i="554" a="1"/>
  <c r="K49" i="554" s="1"/>
  <c r="M49" i="554" s="1"/>
  <c r="H49" i="554"/>
  <c r="W48" i="554"/>
  <c r="V48" i="554"/>
  <c r="N48" i="554"/>
  <c r="K48" i="554" a="1"/>
  <c r="K48" i="554" s="1"/>
  <c r="M48" i="554" s="1"/>
  <c r="J48" i="554" a="1"/>
  <c r="J48" i="554" s="1"/>
  <c r="H48" i="554"/>
  <c r="V47" i="554"/>
  <c r="W47" i="554" s="1"/>
  <c r="N47" i="554"/>
  <c r="K47" i="554" a="1"/>
  <c r="K47" i="554" s="1"/>
  <c r="M47" i="554" s="1"/>
  <c r="J47" i="554" a="1"/>
  <c r="J47" i="554" s="1"/>
  <c r="H47" i="554"/>
  <c r="V46" i="554"/>
  <c r="W46" i="554" s="1"/>
  <c r="N46" i="554"/>
  <c r="K46" i="554" a="1"/>
  <c r="K46" i="554" s="1"/>
  <c r="M46" i="554" s="1"/>
  <c r="J46" i="554" a="1"/>
  <c r="J46" i="554" s="1"/>
  <c r="H46" i="554"/>
  <c r="V45" i="554"/>
  <c r="W45" i="554" s="1"/>
  <c r="N45" i="554"/>
  <c r="K45" i="554" a="1"/>
  <c r="K45" i="554" s="1"/>
  <c r="M45" i="554" s="1"/>
  <c r="J45" i="554" a="1"/>
  <c r="J45" i="554" s="1"/>
  <c r="H45" i="554"/>
  <c r="V44" i="554"/>
  <c r="W44" i="554" s="1"/>
  <c r="N44" i="554"/>
  <c r="K44" i="554" a="1"/>
  <c r="K44" i="554" s="1"/>
  <c r="M44" i="554" s="1"/>
  <c r="J44" i="554" a="1"/>
  <c r="J44" i="554" s="1"/>
  <c r="H44" i="554"/>
  <c r="V43" i="554"/>
  <c r="W43" i="554" s="1"/>
  <c r="N43" i="554"/>
  <c r="K43" i="554" a="1"/>
  <c r="K43" i="554" s="1"/>
  <c r="M43" i="554" s="1"/>
  <c r="J43" i="554" a="1"/>
  <c r="J43" i="554" s="1"/>
  <c r="H43" i="554"/>
  <c r="V42" i="554"/>
  <c r="W42" i="554" s="1"/>
  <c r="N42" i="554"/>
  <c r="K42" i="554" a="1"/>
  <c r="K42" i="554" s="1"/>
  <c r="M42" i="554" s="1"/>
  <c r="J42" i="554" a="1"/>
  <c r="J42" i="554" s="1"/>
  <c r="H42" i="554"/>
  <c r="V41" i="554"/>
  <c r="W41" i="554" s="1"/>
  <c r="N41" i="554"/>
  <c r="K41" i="554" a="1"/>
  <c r="K41" i="554" s="1"/>
  <c r="M41" i="554" s="1"/>
  <c r="J41" i="554" a="1"/>
  <c r="J41" i="554" s="1"/>
  <c r="H41" i="554"/>
  <c r="V40" i="554"/>
  <c r="W40" i="554" s="1"/>
  <c r="N40" i="554"/>
  <c r="K40" i="554" a="1"/>
  <c r="K40" i="554" s="1"/>
  <c r="M40" i="554" s="1"/>
  <c r="J40" i="554" a="1"/>
  <c r="J40" i="554" s="1"/>
  <c r="H40" i="554"/>
  <c r="V39" i="554"/>
  <c r="W39" i="554" s="1"/>
  <c r="N39" i="554"/>
  <c r="K39" i="554" a="1"/>
  <c r="K39" i="554" s="1"/>
  <c r="M39" i="554" s="1"/>
  <c r="J39" i="554" a="1"/>
  <c r="J39" i="554" s="1"/>
  <c r="H39" i="554"/>
  <c r="V38" i="554"/>
  <c r="W38" i="554" s="1"/>
  <c r="N38" i="554"/>
  <c r="K38" i="554" a="1"/>
  <c r="K38" i="554" s="1"/>
  <c r="M38" i="554" s="1"/>
  <c r="J38" i="554" a="1"/>
  <c r="J38" i="554" s="1"/>
  <c r="H38" i="554"/>
  <c r="V37" i="554"/>
  <c r="W37" i="554" s="1"/>
  <c r="N37" i="554"/>
  <c r="K37" i="554" a="1"/>
  <c r="K37" i="554" s="1"/>
  <c r="M37" i="554" s="1"/>
  <c r="J37" i="554" a="1"/>
  <c r="J37" i="554" s="1"/>
  <c r="H37" i="554"/>
  <c r="H36" i="554"/>
  <c r="H35" i="554"/>
  <c r="H34" i="554"/>
  <c r="V33" i="554"/>
  <c r="W33" i="554" s="1"/>
  <c r="N33" i="554"/>
  <c r="K33" i="554" a="1"/>
  <c r="K33" i="554" s="1"/>
  <c r="M33" i="554" s="1"/>
  <c r="J33" i="554" a="1"/>
  <c r="J33" i="554" s="1"/>
  <c r="H33" i="554"/>
  <c r="V32" i="554"/>
  <c r="W32" i="554" s="1"/>
  <c r="N32" i="554"/>
  <c r="K32" i="554" a="1"/>
  <c r="K32" i="554" s="1"/>
  <c r="M32" i="554" s="1"/>
  <c r="J32" i="554" a="1"/>
  <c r="J32" i="554" s="1"/>
  <c r="H32" i="554"/>
  <c r="V31" i="554"/>
  <c r="W31" i="554" s="1"/>
  <c r="N31" i="554"/>
  <c r="K31" i="554" a="1"/>
  <c r="K31" i="554" s="1"/>
  <c r="M31" i="554" s="1"/>
  <c r="J31" i="554" a="1"/>
  <c r="J31" i="554" s="1"/>
  <c r="H31" i="554"/>
  <c r="K30" i="554" a="1"/>
  <c r="K30" i="554" s="1"/>
  <c r="H30" i="554"/>
  <c r="V29" i="554"/>
  <c r="V86" i="554" s="1"/>
  <c r="W86" i="554" s="1"/>
  <c r="N29" i="554"/>
  <c r="K29" i="554" a="1"/>
  <c r="K29" i="554" s="1"/>
  <c r="J29" i="554" a="1"/>
  <c r="J29" i="554" s="1"/>
  <c r="H29" i="554"/>
  <c r="H86" i="554" s="1"/>
  <c r="AA28" i="554"/>
  <c r="AA164" i="554" s="1"/>
  <c r="Z28" i="554"/>
  <c r="Z164" i="554" s="1"/>
  <c r="Y28" i="554"/>
  <c r="Y164" i="554" s="1"/>
  <c r="X28" i="554"/>
  <c r="X164" i="554" s="1"/>
  <c r="U28" i="554"/>
  <c r="U164" i="554" s="1"/>
  <c r="T28" i="554"/>
  <c r="T164" i="554" s="1"/>
  <c r="S28" i="554"/>
  <c r="S164" i="554" s="1"/>
  <c r="R28" i="554"/>
  <c r="R164" i="554" s="1"/>
  <c r="Q28" i="554"/>
  <c r="Q164" i="554" s="1"/>
  <c r="P28" i="554"/>
  <c r="X167" i="554" s="1"/>
  <c r="O28" i="554"/>
  <c r="R166" i="554" s="1"/>
  <c r="I28" i="554"/>
  <c r="I164" i="554" s="1"/>
  <c r="B172" i="554" s="1"/>
  <c r="G28" i="554"/>
  <c r="C524" i="554" s="1"/>
  <c r="V27" i="554"/>
  <c r="W27" i="554" s="1"/>
  <c r="N27" i="554"/>
  <c r="K27" i="554" a="1"/>
  <c r="K27" i="554" s="1"/>
  <c r="M27" i="554" s="1"/>
  <c r="J27" i="554" a="1"/>
  <c r="J27" i="554" s="1"/>
  <c r="H27" i="554"/>
  <c r="V26" i="554"/>
  <c r="W26" i="554" s="1"/>
  <c r="N26" i="554"/>
  <c r="K26" i="554"/>
  <c r="M26" i="554" s="1"/>
  <c r="K26" i="554" a="1"/>
  <c r="J26" i="554"/>
  <c r="J26" i="554" a="1"/>
  <c r="H26" i="554"/>
  <c r="K25" i="554" a="1"/>
  <c r="K25" i="554" s="1"/>
  <c r="M25" i="554" s="1"/>
  <c r="J25" i="554" a="1"/>
  <c r="J25" i="554" s="1"/>
  <c r="H25" i="554"/>
  <c r="K24" i="554"/>
  <c r="M24" i="554" s="1"/>
  <c r="K24" i="554" a="1"/>
  <c r="J24" i="554"/>
  <c r="J24" i="554" a="1"/>
  <c r="H24" i="554"/>
  <c r="K23" i="554" a="1"/>
  <c r="K23" i="554" s="1"/>
  <c r="M23" i="554" s="1"/>
  <c r="J23" i="554" a="1"/>
  <c r="J23" i="554" s="1"/>
  <c r="H23" i="554"/>
  <c r="K22" i="554"/>
  <c r="M22" i="554" s="1"/>
  <c r="K22" i="554" a="1"/>
  <c r="J22" i="554"/>
  <c r="J22" i="554" a="1"/>
  <c r="H22" i="554"/>
  <c r="V21" i="554"/>
  <c r="W21" i="554" s="1"/>
  <c r="N21" i="554"/>
  <c r="K21" i="554" a="1"/>
  <c r="K21" i="554" s="1"/>
  <c r="M21" i="554" s="1"/>
  <c r="J21" i="554" a="1"/>
  <c r="J21" i="554" s="1"/>
  <c r="H21" i="554"/>
  <c r="W20" i="554"/>
  <c r="V20" i="554"/>
  <c r="N20" i="554"/>
  <c r="K20" i="554" a="1"/>
  <c r="K20" i="554" s="1"/>
  <c r="M20" i="554" s="1"/>
  <c r="J20" i="554" a="1"/>
  <c r="J20" i="554" s="1"/>
  <c r="H20" i="554"/>
  <c r="V19" i="554"/>
  <c r="W19" i="554" s="1"/>
  <c r="N19" i="554"/>
  <c r="K19" i="554" a="1"/>
  <c r="K19" i="554" s="1"/>
  <c r="M19" i="554" s="1"/>
  <c r="J19" i="554" a="1"/>
  <c r="J19" i="554" s="1"/>
  <c r="H19" i="554"/>
  <c r="N18" i="554"/>
  <c r="K18" i="554"/>
  <c r="M18" i="554" s="1"/>
  <c r="K18" i="554" a="1"/>
  <c r="J18" i="554"/>
  <c r="J18" i="554" a="1"/>
  <c r="H18" i="554"/>
  <c r="N17" i="554"/>
  <c r="K17" i="554" a="1"/>
  <c r="K17" i="554" s="1"/>
  <c r="M17" i="554" s="1"/>
  <c r="J17" i="554" a="1"/>
  <c r="J17" i="554" s="1"/>
  <c r="H17" i="554"/>
  <c r="V16" i="554"/>
  <c r="W16" i="554" s="1"/>
  <c r="N16" i="554"/>
  <c r="K16" i="554"/>
  <c r="M16" i="554" s="1"/>
  <c r="K16" i="554" a="1"/>
  <c r="J16" i="554"/>
  <c r="J16" i="554" a="1"/>
  <c r="H16" i="554"/>
  <c r="V15" i="554"/>
  <c r="W15" i="554" s="1"/>
  <c r="N15" i="554"/>
  <c r="K15" i="554" a="1"/>
  <c r="K15" i="554" s="1"/>
  <c r="M15" i="554" s="1"/>
  <c r="J15" i="554" a="1"/>
  <c r="J15" i="554" s="1"/>
  <c r="H15" i="554"/>
  <c r="N14" i="554"/>
  <c r="K14" i="554"/>
  <c r="M14" i="554" s="1"/>
  <c r="K14" i="554" a="1"/>
  <c r="H14" i="554"/>
  <c r="N13" i="554"/>
  <c r="K13" i="554" a="1"/>
  <c r="K13" i="554" s="1"/>
  <c r="M13" i="554" s="1"/>
  <c r="H13" i="554"/>
  <c r="W12" i="554"/>
  <c r="V12" i="554"/>
  <c r="N12" i="554"/>
  <c r="K12" i="554" a="1"/>
  <c r="K12" i="554" s="1"/>
  <c r="M12" i="554" s="1"/>
  <c r="J12" i="554" a="1"/>
  <c r="J12" i="554" s="1"/>
  <c r="H12" i="554"/>
  <c r="V11" i="554"/>
  <c r="W11" i="554" s="1"/>
  <c r="N11" i="554"/>
  <c r="K11" i="554" a="1"/>
  <c r="K11" i="554" s="1"/>
  <c r="M11" i="554" s="1"/>
  <c r="J11" i="554" a="1"/>
  <c r="J11" i="554" s="1"/>
  <c r="H11" i="554"/>
  <c r="V10" i="554"/>
  <c r="W10" i="554" s="1"/>
  <c r="N10" i="554"/>
  <c r="K10" i="554"/>
  <c r="M10" i="554" s="1"/>
  <c r="K10" i="554" a="1"/>
  <c r="J10" i="554"/>
  <c r="J10" i="554" a="1"/>
  <c r="H10" i="554"/>
  <c r="V9" i="554"/>
  <c r="W9" i="554" s="1"/>
  <c r="N9" i="554"/>
  <c r="K9" i="554" a="1"/>
  <c r="K9" i="554" s="1"/>
  <c r="M9" i="554" s="1"/>
  <c r="J9" i="554" a="1"/>
  <c r="J9" i="554" s="1"/>
  <c r="H9" i="554"/>
  <c r="W8" i="554"/>
  <c r="V8" i="554"/>
  <c r="N8" i="554"/>
  <c r="K8" i="554" a="1"/>
  <c r="K8" i="554" s="1"/>
  <c r="M8" i="554" s="1"/>
  <c r="J8" i="554" a="1"/>
  <c r="J8" i="554" s="1"/>
  <c r="H8" i="554"/>
  <c r="V7" i="554"/>
  <c r="V28" i="554" s="1"/>
  <c r="N7" i="554"/>
  <c r="K7" i="554" a="1"/>
  <c r="K7" i="554" s="1"/>
  <c r="J7" i="554" a="1"/>
  <c r="J7" i="554" s="1"/>
  <c r="H7" i="554"/>
  <c r="H28" i="554" s="1"/>
  <c r="H334" i="554" l="1"/>
  <c r="J292" i="554" a="1"/>
  <c r="J292" i="554" s="1"/>
  <c r="J257" i="554" a="1"/>
  <c r="J257" i="554" s="1"/>
  <c r="J308" i="554" a="1"/>
  <c r="J308" i="554" s="1"/>
  <c r="N370" i="554"/>
  <c r="K479" i="554"/>
  <c r="J479" i="554" a="1"/>
  <c r="J479" i="554" s="1"/>
  <c r="R512" i="554"/>
  <c r="V370" i="554"/>
  <c r="J370" i="554" a="1"/>
  <c r="J370" i="554" s="1"/>
  <c r="H428" i="554"/>
  <c r="H507" i="554" s="1"/>
  <c r="E514" i="554" s="1"/>
  <c r="V428" i="554"/>
  <c r="W428" i="554" s="1"/>
  <c r="J428" i="554" a="1"/>
  <c r="J428" i="554" s="1"/>
  <c r="R510" i="554"/>
  <c r="N463" i="554"/>
  <c r="W429" i="554"/>
  <c r="N479" i="554"/>
  <c r="K506" i="554"/>
  <c r="H308" i="554"/>
  <c r="M308" i="554"/>
  <c r="V308" i="554"/>
  <c r="W308" i="554" s="1"/>
  <c r="N292" i="554"/>
  <c r="V257" i="554"/>
  <c r="W257" i="554" s="1"/>
  <c r="N199" i="554"/>
  <c r="N335" i="554" s="1"/>
  <c r="B344" i="554" s="1"/>
  <c r="E344" i="554" s="1"/>
  <c r="H121" i="554"/>
  <c r="V121" i="554"/>
  <c r="W121" i="554" s="1"/>
  <c r="R168" i="554"/>
  <c r="N86" i="554"/>
  <c r="R171" i="554"/>
  <c r="R170" i="554"/>
  <c r="V163" i="554"/>
  <c r="V148" i="554"/>
  <c r="W148" i="554" s="1"/>
  <c r="J148" i="554" a="1"/>
  <c r="J148" i="554" s="1"/>
  <c r="N137" i="554"/>
  <c r="N121" i="554"/>
  <c r="N28" i="554"/>
  <c r="H164" i="554"/>
  <c r="E171" i="554" s="1"/>
  <c r="W163" i="554"/>
  <c r="J163" i="554" a="1"/>
  <c r="J163" i="554" s="1"/>
  <c r="W28" i="554"/>
  <c r="C520" i="554"/>
  <c r="Q525" i="554"/>
  <c r="K86" i="554"/>
  <c r="M29" i="554"/>
  <c r="M86" i="554" s="1"/>
  <c r="K525" i="554"/>
  <c r="K526" i="554"/>
  <c r="K148" i="554"/>
  <c r="K170" i="554"/>
  <c r="M166" i="554"/>
  <c r="M178" i="554"/>
  <c r="M199" i="554" s="1"/>
  <c r="K199" i="554"/>
  <c r="K28" i="554"/>
  <c r="M7" i="554"/>
  <c r="M28" i="554" s="1"/>
  <c r="K524" i="554"/>
  <c r="R173" i="554"/>
  <c r="T166" i="554" s="1" a="1"/>
  <c r="T166" i="554" s="1"/>
  <c r="K121" i="554"/>
  <c r="M87" i="554"/>
  <c r="M121" i="554" s="1"/>
  <c r="K137" i="554"/>
  <c r="M122" i="554"/>
  <c r="M137" i="554" s="1"/>
  <c r="K527" i="554"/>
  <c r="T169" i="554"/>
  <c r="K528" i="554"/>
  <c r="T170" i="554"/>
  <c r="K163" i="554"/>
  <c r="M149" i="554"/>
  <c r="M163" i="554" s="1"/>
  <c r="K529" i="554"/>
  <c r="T171" i="554"/>
  <c r="K257" i="554"/>
  <c r="M200" i="554"/>
  <c r="M257" i="554" s="1"/>
  <c r="C530" i="554"/>
  <c r="E524" i="554" s="1"/>
  <c r="V137" i="554"/>
  <c r="W137" i="554" s="1"/>
  <c r="W149" i="554"/>
  <c r="O164" i="554"/>
  <c r="E170" i="554"/>
  <c r="W178" i="554"/>
  <c r="W199" i="554" s="1"/>
  <c r="J199" i="554" a="1"/>
  <c r="J199" i="554" s="1"/>
  <c r="X338" i="554"/>
  <c r="P335" i="554"/>
  <c r="X339" i="554" s="1"/>
  <c r="X344" i="554" s="1"/>
  <c r="H257" i="554"/>
  <c r="H335" i="554" s="1"/>
  <c r="E342" i="554" s="1"/>
  <c r="W200" i="554"/>
  <c r="K292" i="554"/>
  <c r="M258" i="554"/>
  <c r="M292" i="554" s="1"/>
  <c r="K319" i="554"/>
  <c r="M309" i="554"/>
  <c r="M319" i="554" s="1"/>
  <c r="K334" i="554"/>
  <c r="M320" i="554"/>
  <c r="M334" i="554" s="1"/>
  <c r="W334" i="554"/>
  <c r="W7" i="554"/>
  <c r="J28" i="554" a="1"/>
  <c r="J28" i="554" s="1"/>
  <c r="W29" i="554"/>
  <c r="J86" i="554" a="1"/>
  <c r="J86" i="554" s="1"/>
  <c r="W87" i="554"/>
  <c r="J121" i="554" a="1"/>
  <c r="J121" i="554" s="1"/>
  <c r="J137" i="554" a="1"/>
  <c r="J137" i="554" s="1"/>
  <c r="M138" i="554"/>
  <c r="M148" i="554" s="1"/>
  <c r="G164" i="554"/>
  <c r="P164" i="554"/>
  <c r="X168" i="554" s="1"/>
  <c r="X173" i="554" s="1"/>
  <c r="J335" i="554" a="1"/>
  <c r="J335" i="554" s="1"/>
  <c r="M342" i="554" s="1"/>
  <c r="B342" i="554"/>
  <c r="O335" i="554"/>
  <c r="R337" i="554"/>
  <c r="V292" i="554"/>
  <c r="W292" i="554" s="1"/>
  <c r="K308" i="554"/>
  <c r="V334" i="554"/>
  <c r="R339" i="554"/>
  <c r="R340" i="554"/>
  <c r="W309" i="554"/>
  <c r="R341" i="554"/>
  <c r="R342" i="554"/>
  <c r="W370" i="554"/>
  <c r="K463" i="554"/>
  <c r="K337" i="554"/>
  <c r="K370" i="554"/>
  <c r="K507" i="554" s="1"/>
  <c r="E515" i="554" s="1"/>
  <c r="I515" i="554" s="1"/>
  <c r="M515" i="554" s="1"/>
  <c r="M429" i="554"/>
  <c r="M463" i="554" s="1"/>
  <c r="R511" i="554"/>
  <c r="M464" i="554"/>
  <c r="M479" i="554" s="1"/>
  <c r="W464" i="554"/>
  <c r="V479" i="554"/>
  <c r="W479" i="554" s="1"/>
  <c r="J507" i="554" a="1"/>
  <c r="J507" i="554" s="1"/>
  <c r="M514" i="554" s="1"/>
  <c r="B514" i="554"/>
  <c r="L507" i="554"/>
  <c r="I514" i="554" s="1"/>
  <c r="X509" i="554"/>
  <c r="O507" i="554"/>
  <c r="X510" i="554" s="1"/>
  <c r="R509" i="554"/>
  <c r="M371" i="554"/>
  <c r="M428" i="554" s="1"/>
  <c r="V490" i="554"/>
  <c r="W490" i="554" s="1"/>
  <c r="W506" i="554"/>
  <c r="V506" i="554"/>
  <c r="K509" i="554"/>
  <c r="R534" i="554"/>
  <c r="S534" i="554" a="1"/>
  <c r="S534" i="554" s="1"/>
  <c r="M480" i="554"/>
  <c r="M490" i="554" s="1"/>
  <c r="M491" i="554"/>
  <c r="M506" i="554" s="1"/>
  <c r="J536" i="554"/>
  <c r="Q533" i="554"/>
  <c r="R535" i="554"/>
  <c r="S535" i="554" a="1"/>
  <c r="S535" i="554" s="1"/>
  <c r="T533" i="554" a="1"/>
  <c r="T533" i="554" s="1"/>
  <c r="T534" i="554" a="1"/>
  <c r="T534" i="554" s="1"/>
  <c r="T535" i="554" a="1"/>
  <c r="T535" i="554" s="1"/>
  <c r="C536" i="554"/>
  <c r="T536" i="554" s="1" a="1"/>
  <c r="T536" i="554" s="1"/>
  <c r="J334" i="553" a="1"/>
  <c r="J334" i="553" s="1"/>
  <c r="J327" i="553" a="1"/>
  <c r="J327" i="553" s="1"/>
  <c r="J317" i="553" a="1"/>
  <c r="J317" i="553" s="1"/>
  <c r="J316" i="553" a="1"/>
  <c r="J316" i="553" s="1"/>
  <c r="J315" i="553" a="1"/>
  <c r="J315" i="553" s="1"/>
  <c r="J314" i="553" a="1"/>
  <c r="J314" i="553" s="1"/>
  <c r="M327" i="553"/>
  <c r="K327" i="553" a="1"/>
  <c r="K327" i="553" s="1"/>
  <c r="M317" i="553"/>
  <c r="M316" i="553"/>
  <c r="M315" i="553"/>
  <c r="M314" i="553"/>
  <c r="K317" i="553" a="1"/>
  <c r="K317" i="553" s="1"/>
  <c r="K316" i="553" a="1"/>
  <c r="K316" i="553" s="1"/>
  <c r="K315" i="553" a="1"/>
  <c r="K315" i="553" s="1"/>
  <c r="K314" i="553" a="1"/>
  <c r="K314" i="553" s="1"/>
  <c r="J293" i="553" a="1"/>
  <c r="J293" i="553" s="1"/>
  <c r="J279" i="553" a="1"/>
  <c r="J279" i="553" s="1"/>
  <c r="M238" i="553"/>
  <c r="K238" i="553" a="1"/>
  <c r="K238" i="553" s="1"/>
  <c r="J238" i="553" a="1"/>
  <c r="J238" i="553" s="1"/>
  <c r="J184" i="553" a="1"/>
  <c r="J184" i="553" s="1"/>
  <c r="I327" i="553"/>
  <c r="I212" i="553"/>
  <c r="I237" i="553"/>
  <c r="I238" i="553"/>
  <c r="I294" i="553"/>
  <c r="I184" i="553"/>
  <c r="I191" i="553"/>
  <c r="I198" i="553"/>
  <c r="I291" i="553"/>
  <c r="M507" i="554" l="1"/>
  <c r="N507" i="554"/>
  <c r="B516" i="554" s="1"/>
  <c r="E516" i="554" s="1"/>
  <c r="Z341" i="554"/>
  <c r="Z340" i="554"/>
  <c r="N164" i="554"/>
  <c r="B173" i="554" s="1"/>
  <c r="G519" i="554"/>
  <c r="K164" i="554"/>
  <c r="E172" i="554" s="1"/>
  <c r="I172" i="554" s="1"/>
  <c r="M172" i="554" s="1"/>
  <c r="E529" i="554"/>
  <c r="E528" i="554"/>
  <c r="E527" i="554"/>
  <c r="E525" i="554"/>
  <c r="E526" i="554"/>
  <c r="M509" i="554"/>
  <c r="K513" i="554"/>
  <c r="M513" i="554" s="1"/>
  <c r="M337" i="554"/>
  <c r="K341" i="554"/>
  <c r="M341" i="554" s="1"/>
  <c r="Z343" i="554"/>
  <c r="Z337" i="554" a="1"/>
  <c r="Z337" i="554" s="1"/>
  <c r="V507" i="554"/>
  <c r="Z342" i="554"/>
  <c r="R344" i="554"/>
  <c r="Z166" i="554" a="1"/>
  <c r="Z166" i="554" s="1"/>
  <c r="Z172" i="554"/>
  <c r="Q526" i="554"/>
  <c r="Z168" i="554"/>
  <c r="Z338" i="554"/>
  <c r="W335" i="554"/>
  <c r="Z170" i="554"/>
  <c r="Z169" i="554"/>
  <c r="K530" i="554"/>
  <c r="M529" i="554" s="1"/>
  <c r="T172" i="554"/>
  <c r="M164" i="554"/>
  <c r="K335" i="554"/>
  <c r="M170" i="554"/>
  <c r="T168" i="554"/>
  <c r="T167" i="554"/>
  <c r="Z167" i="554"/>
  <c r="W164" i="554"/>
  <c r="R533" i="554"/>
  <c r="R536" i="554" s="1"/>
  <c r="Q536" i="554"/>
  <c r="S536" i="554" s="1" a="1"/>
  <c r="S536" i="554" s="1"/>
  <c r="S533" i="554" a="1"/>
  <c r="S533" i="554" s="1"/>
  <c r="T509" i="554" a="1"/>
  <c r="T509" i="554" s="1"/>
  <c r="R516" i="554"/>
  <c r="T511" i="554" s="1"/>
  <c r="X516" i="554"/>
  <c r="T342" i="554"/>
  <c r="T339" i="554"/>
  <c r="B171" i="554"/>
  <c r="C519" i="554" s="1"/>
  <c r="J164" i="554" a="1"/>
  <c r="J164" i="554" s="1"/>
  <c r="M171" i="554" s="1"/>
  <c r="Z339" i="554"/>
  <c r="Z171" i="554"/>
  <c r="E530" i="554"/>
  <c r="M524" i="554" a="1"/>
  <c r="M524" i="554" s="1"/>
  <c r="V335" i="554"/>
  <c r="I344" i="554" s="1"/>
  <c r="M344" i="554" s="1" a="1"/>
  <c r="M344" i="554" s="1"/>
  <c r="M335" i="554"/>
  <c r="M526" i="554"/>
  <c r="M525" i="554"/>
  <c r="V164" i="554"/>
  <c r="I173" i="554" s="1"/>
  <c r="M67" i="553"/>
  <c r="J67" i="553" a="1"/>
  <c r="J67" i="553" s="1"/>
  <c r="J112" i="553" a="1"/>
  <c r="J112" i="553" s="1"/>
  <c r="J111" i="553" a="1"/>
  <c r="J111" i="553" s="1"/>
  <c r="J110" i="553" a="1"/>
  <c r="J110" i="553" s="1"/>
  <c r="J109" i="553" a="1"/>
  <c r="J109" i="553" s="1"/>
  <c r="J108" i="553" a="1"/>
  <c r="J108" i="553" s="1"/>
  <c r="M156" i="553"/>
  <c r="K156" i="553" a="1"/>
  <c r="K156" i="553" s="1"/>
  <c r="J156" i="553" a="1"/>
  <c r="J156" i="553" s="1"/>
  <c r="I156" i="553"/>
  <c r="I108" i="553"/>
  <c r="I123" i="553"/>
  <c r="I19" i="553"/>
  <c r="I120" i="553"/>
  <c r="I40" i="553"/>
  <c r="I27" i="553"/>
  <c r="I29" i="553"/>
  <c r="L164" i="554" l="1"/>
  <c r="I171" i="554" s="1"/>
  <c r="C521" i="554"/>
  <c r="G521" i="554" s="1"/>
  <c r="E173" i="554"/>
  <c r="O519" i="554" a="1"/>
  <c r="O519" i="554" s="1"/>
  <c r="Z515" i="554"/>
  <c r="Z512" i="554"/>
  <c r="Z511" i="554"/>
  <c r="Z514" i="554"/>
  <c r="Z513" i="554"/>
  <c r="M528" i="554"/>
  <c r="T343" i="554"/>
  <c r="T338" i="554"/>
  <c r="T340" i="554"/>
  <c r="M173" i="554" a="1"/>
  <c r="M173" i="554" s="1"/>
  <c r="Z509" i="554" a="1"/>
  <c r="Z509" i="554" s="1"/>
  <c r="T515" i="554"/>
  <c r="T512" i="554"/>
  <c r="T510" i="554"/>
  <c r="T513" i="554"/>
  <c r="T514" i="554"/>
  <c r="E343" i="554"/>
  <c r="L335" i="554"/>
  <c r="I342" i="554" s="1"/>
  <c r="M527" i="554"/>
  <c r="Q530" i="554"/>
  <c r="T337" i="554" a="1"/>
  <c r="T337" i="554" s="1"/>
  <c r="I516" i="554"/>
  <c r="M516" i="554" s="1" a="1"/>
  <c r="M516" i="554" s="1"/>
  <c r="W507" i="554"/>
  <c r="T341" i="554"/>
  <c r="Z510" i="554"/>
  <c r="D534" i="553"/>
  <c r="D535" i="553"/>
  <c r="D533" i="553"/>
  <c r="S527" i="554" l="1"/>
  <c r="S529" i="554"/>
  <c r="S524" i="554" a="1"/>
  <c r="S524" i="554" s="1"/>
  <c r="S528" i="554"/>
  <c r="S525" i="554"/>
  <c r="I343" i="554"/>
  <c r="M343" i="554" s="1"/>
  <c r="G520" i="554"/>
  <c r="K521" i="554"/>
  <c r="O521" i="554" s="1" a="1"/>
  <c r="O521" i="554" s="1"/>
  <c r="S526" i="554"/>
  <c r="K520" i="554" l="1"/>
  <c r="O520" i="554" s="1"/>
  <c r="K519" i="554"/>
  <c r="S530" i="554"/>
  <c r="G156" i="553"/>
  <c r="G294" i="553"/>
  <c r="G191" i="553"/>
  <c r="G112" i="551"/>
  <c r="G65" i="553"/>
  <c r="G187" i="553"/>
  <c r="G238" i="553"/>
  <c r="G293" i="553"/>
  <c r="G219" i="553"/>
  <c r="G327" i="553"/>
  <c r="G291" i="553"/>
  <c r="G316" i="553"/>
  <c r="G184" i="553"/>
  <c r="G237" i="553"/>
  <c r="G212" i="553"/>
  <c r="G200" i="553"/>
  <c r="G40" i="553"/>
  <c r="G27" i="553"/>
  <c r="G150" i="553" l="1"/>
  <c r="G108" i="553"/>
  <c r="G120" i="553"/>
  <c r="G123" i="553"/>
  <c r="G67" i="553"/>
  <c r="G29" i="553"/>
  <c r="G19" i="553"/>
  <c r="P536" i="553"/>
  <c r="O536" i="553"/>
  <c r="N536" i="553"/>
  <c r="M536" i="553"/>
  <c r="L536" i="553"/>
  <c r="K536" i="553"/>
  <c r="I536" i="553"/>
  <c r="H536" i="553"/>
  <c r="G536" i="553"/>
  <c r="F536" i="553"/>
  <c r="E536" i="553"/>
  <c r="D536" i="553"/>
  <c r="C535" i="553"/>
  <c r="C534" i="553"/>
  <c r="C533" i="553"/>
  <c r="G517" i="553"/>
  <c r="N517" i="553" s="1"/>
  <c r="X515" i="553"/>
  <c r="X514" i="553"/>
  <c r="X513" i="553"/>
  <c r="G513" i="553"/>
  <c r="C513" i="553"/>
  <c r="X512" i="553"/>
  <c r="I512" i="553"/>
  <c r="E512" i="553"/>
  <c r="K512" i="553" s="1"/>
  <c r="M512" i="553" s="1"/>
  <c r="X511" i="553"/>
  <c r="I511" i="553"/>
  <c r="E511" i="553"/>
  <c r="K511" i="553" s="1"/>
  <c r="M511" i="553" s="1"/>
  <c r="I510" i="553"/>
  <c r="E510" i="553"/>
  <c r="K510" i="553" s="1"/>
  <c r="M510" i="553" s="1"/>
  <c r="I509" i="553"/>
  <c r="I513" i="553" s="1"/>
  <c r="E509" i="553"/>
  <c r="K509" i="553" s="1"/>
  <c r="AA506" i="553"/>
  <c r="Z506" i="553"/>
  <c r="Y506" i="553"/>
  <c r="X506" i="553"/>
  <c r="U506" i="553"/>
  <c r="T506" i="553"/>
  <c r="S506" i="553"/>
  <c r="R506" i="553"/>
  <c r="Q506" i="553"/>
  <c r="P506" i="553"/>
  <c r="O506" i="553"/>
  <c r="I506" i="553"/>
  <c r="G506" i="553"/>
  <c r="J506" i="553" s="1" a="1"/>
  <c r="J506" i="553" s="1"/>
  <c r="H505" i="553"/>
  <c r="H504" i="553"/>
  <c r="H503" i="553"/>
  <c r="D502" i="553"/>
  <c r="H502" i="553" s="1"/>
  <c r="V501" i="553"/>
  <c r="W501" i="553" s="1"/>
  <c r="N501" i="553"/>
  <c r="K501" i="553" a="1"/>
  <c r="K501" i="553" s="1"/>
  <c r="M501" i="553" s="1"/>
  <c r="J501" i="553" a="1"/>
  <c r="J501" i="553" s="1"/>
  <c r="H501" i="553"/>
  <c r="H500" i="553"/>
  <c r="H499" i="553"/>
  <c r="V498" i="553"/>
  <c r="W498" i="553" s="1"/>
  <c r="N498" i="553"/>
  <c r="K498" i="553" a="1"/>
  <c r="K498" i="553" s="1"/>
  <c r="M498" i="553" s="1"/>
  <c r="J498" i="553" a="1"/>
  <c r="J498" i="553" s="1"/>
  <c r="H498" i="553"/>
  <c r="V497" i="553"/>
  <c r="W497" i="553" s="1"/>
  <c r="N497" i="553"/>
  <c r="K497" i="553"/>
  <c r="M497" i="553" s="1"/>
  <c r="K497" i="553" a="1"/>
  <c r="J497" i="553"/>
  <c r="J497" i="553" a="1"/>
  <c r="H497" i="553"/>
  <c r="H496" i="553"/>
  <c r="H495" i="553"/>
  <c r="V494" i="553"/>
  <c r="W494" i="553" s="1"/>
  <c r="N494" i="553"/>
  <c r="K494" i="553" a="1"/>
  <c r="K494" i="553" s="1"/>
  <c r="M494" i="553" s="1"/>
  <c r="J494" i="553" a="1"/>
  <c r="J494" i="553" s="1"/>
  <c r="H494" i="553"/>
  <c r="V493" i="553"/>
  <c r="W493" i="553" s="1"/>
  <c r="N493" i="553"/>
  <c r="K493" i="553" a="1"/>
  <c r="K493" i="553" s="1"/>
  <c r="M493" i="553" s="1"/>
  <c r="J493" i="553" a="1"/>
  <c r="J493" i="553" s="1"/>
  <c r="H493" i="553"/>
  <c r="V492" i="553"/>
  <c r="W492" i="553" s="1"/>
  <c r="N492" i="553"/>
  <c r="K492" i="553" a="1"/>
  <c r="K492" i="553" s="1"/>
  <c r="M492" i="553" s="1"/>
  <c r="J492" i="553" a="1"/>
  <c r="J492" i="553" s="1"/>
  <c r="H492" i="553"/>
  <c r="V491" i="553"/>
  <c r="W491" i="553" s="1"/>
  <c r="N491" i="553"/>
  <c r="N506" i="553" s="1"/>
  <c r="K491" i="553" a="1"/>
  <c r="K491" i="553" s="1"/>
  <c r="K506" i="553" s="1"/>
  <c r="J491" i="553" a="1"/>
  <c r="J491" i="553" s="1"/>
  <c r="H491" i="553"/>
  <c r="H506" i="553" s="1"/>
  <c r="AA490" i="553"/>
  <c r="Z490" i="553"/>
  <c r="Y490" i="553"/>
  <c r="X490" i="553"/>
  <c r="U490" i="553"/>
  <c r="T490" i="553"/>
  <c r="S490" i="553"/>
  <c r="Q490" i="553"/>
  <c r="P490" i="553"/>
  <c r="O490" i="553"/>
  <c r="R513" i="553" s="1"/>
  <c r="I490" i="553"/>
  <c r="G490" i="553"/>
  <c r="J490" i="553" s="1" a="1"/>
  <c r="J490" i="553" s="1"/>
  <c r="V489" i="553"/>
  <c r="W489" i="553" s="1"/>
  <c r="N489" i="553"/>
  <c r="K489" i="553" a="1"/>
  <c r="K489" i="553" s="1"/>
  <c r="M489" i="553" s="1"/>
  <c r="J489" i="553" a="1"/>
  <c r="J489" i="553" s="1"/>
  <c r="H489" i="553"/>
  <c r="H488" i="553"/>
  <c r="H487" i="553"/>
  <c r="H486" i="553"/>
  <c r="H485" i="553"/>
  <c r="W484" i="553"/>
  <c r="V484" i="553"/>
  <c r="N484" i="553"/>
  <c r="K484" i="553" a="1"/>
  <c r="K484" i="553" s="1"/>
  <c r="M484" i="553" s="1"/>
  <c r="J484" i="553" a="1"/>
  <c r="J484" i="553" s="1"/>
  <c r="H484" i="553"/>
  <c r="V483" i="553"/>
  <c r="W483" i="553" s="1"/>
  <c r="N483" i="553"/>
  <c r="K483" i="553" a="1"/>
  <c r="K483" i="553" s="1"/>
  <c r="M483" i="553" s="1"/>
  <c r="J483" i="553" a="1"/>
  <c r="J483" i="553" s="1"/>
  <c r="H483" i="553"/>
  <c r="V482" i="553"/>
  <c r="W482" i="553" s="1"/>
  <c r="N482" i="553"/>
  <c r="K482" i="553"/>
  <c r="M482" i="553" s="1"/>
  <c r="K482" i="553" a="1"/>
  <c r="J482" i="553"/>
  <c r="J482" i="553" a="1"/>
  <c r="H482" i="553"/>
  <c r="V481" i="553"/>
  <c r="W481" i="553" s="1"/>
  <c r="N481" i="553"/>
  <c r="K481" i="553" a="1"/>
  <c r="K481" i="553" s="1"/>
  <c r="M481" i="553" s="1"/>
  <c r="J481" i="553" a="1"/>
  <c r="J481" i="553" s="1"/>
  <c r="H481" i="553"/>
  <c r="W480" i="553"/>
  <c r="V480" i="553"/>
  <c r="N480" i="553"/>
  <c r="N490" i="553" s="1"/>
  <c r="K480" i="553" a="1"/>
  <c r="K480" i="553" s="1"/>
  <c r="K490" i="553" s="1"/>
  <c r="J480" i="553" a="1"/>
  <c r="J480" i="553" s="1"/>
  <c r="H480" i="553"/>
  <c r="H490" i="553" s="1"/>
  <c r="AA479" i="553"/>
  <c r="Z479" i="553"/>
  <c r="Y479" i="553"/>
  <c r="X479" i="553"/>
  <c r="U479" i="553"/>
  <c r="T479" i="553"/>
  <c r="S479" i="553"/>
  <c r="Q479" i="553"/>
  <c r="P479" i="553"/>
  <c r="O479" i="553"/>
  <c r="I479" i="553"/>
  <c r="G479" i="553"/>
  <c r="V478" i="553"/>
  <c r="W478" i="553" s="1"/>
  <c r="N478" i="553"/>
  <c r="K478" i="553" a="1"/>
  <c r="K478" i="553" s="1"/>
  <c r="M478" i="553" s="1"/>
  <c r="J478" i="553" a="1"/>
  <c r="J478" i="553" s="1"/>
  <c r="H478" i="553"/>
  <c r="V477" i="553"/>
  <c r="W477" i="553" s="1"/>
  <c r="N477" i="553"/>
  <c r="K477" i="553"/>
  <c r="M477" i="553" s="1"/>
  <c r="K477" i="553" a="1"/>
  <c r="J477" i="553"/>
  <c r="J477" i="553" a="1"/>
  <c r="H477" i="553"/>
  <c r="V476" i="553"/>
  <c r="W476" i="553" s="1"/>
  <c r="N476" i="553"/>
  <c r="K476" i="553" a="1"/>
  <c r="K476" i="553" s="1"/>
  <c r="M476" i="553" s="1"/>
  <c r="J476" i="553" a="1"/>
  <c r="J476" i="553" s="1"/>
  <c r="H476" i="553"/>
  <c r="V475" i="553"/>
  <c r="W475" i="553" s="1"/>
  <c r="N475" i="553"/>
  <c r="K475" i="553"/>
  <c r="M475" i="553" s="1"/>
  <c r="K475" i="553" a="1"/>
  <c r="J475" i="553"/>
  <c r="J475" i="553" a="1"/>
  <c r="H475" i="553"/>
  <c r="V474" i="553"/>
  <c r="W474" i="553" s="1"/>
  <c r="N474" i="553"/>
  <c r="K474" i="553" a="1"/>
  <c r="K474" i="553" s="1"/>
  <c r="M474" i="553" s="1"/>
  <c r="J474" i="553" a="1"/>
  <c r="J474" i="553" s="1"/>
  <c r="H474" i="553"/>
  <c r="W473" i="553"/>
  <c r="V473" i="553"/>
  <c r="N473" i="553"/>
  <c r="K473" i="553" a="1"/>
  <c r="K473" i="553" s="1"/>
  <c r="M473" i="553" s="1"/>
  <c r="J473" i="553" a="1"/>
  <c r="J473" i="553" s="1"/>
  <c r="H473" i="553"/>
  <c r="V472" i="553"/>
  <c r="W472" i="553" s="1"/>
  <c r="N472" i="553"/>
  <c r="K472" i="553" a="1"/>
  <c r="K472" i="553" s="1"/>
  <c r="M472" i="553" s="1"/>
  <c r="J472" i="553" a="1"/>
  <c r="J472" i="553" s="1"/>
  <c r="H472" i="553"/>
  <c r="V471" i="553"/>
  <c r="W471" i="553" s="1"/>
  <c r="N471" i="553"/>
  <c r="K471" i="553"/>
  <c r="M471" i="553" s="1"/>
  <c r="K471" i="553" a="1"/>
  <c r="J471" i="553"/>
  <c r="J471" i="553" a="1"/>
  <c r="H471" i="553"/>
  <c r="V470" i="553"/>
  <c r="W470" i="553" s="1"/>
  <c r="N470" i="553"/>
  <c r="K470" i="553" a="1"/>
  <c r="K470" i="553" s="1"/>
  <c r="M470" i="553" s="1"/>
  <c r="J470" i="553" a="1"/>
  <c r="J470" i="553" s="1"/>
  <c r="H470" i="553"/>
  <c r="W469" i="553"/>
  <c r="V469" i="553"/>
  <c r="N469" i="553"/>
  <c r="K469" i="553" a="1"/>
  <c r="K469" i="553" s="1"/>
  <c r="M469" i="553" s="1"/>
  <c r="J469" i="553" a="1"/>
  <c r="J469" i="553" s="1"/>
  <c r="H469" i="553"/>
  <c r="V468" i="553"/>
  <c r="W468" i="553" s="1"/>
  <c r="N468" i="553"/>
  <c r="K468" i="553" a="1"/>
  <c r="K468" i="553" s="1"/>
  <c r="M468" i="553" s="1"/>
  <c r="J468" i="553" a="1"/>
  <c r="J468" i="553" s="1"/>
  <c r="H468" i="553"/>
  <c r="V467" i="553"/>
  <c r="W467" i="553" s="1"/>
  <c r="N467" i="553"/>
  <c r="K467" i="553"/>
  <c r="M467" i="553" s="1"/>
  <c r="K467" i="553" a="1"/>
  <c r="J467" i="553"/>
  <c r="J467" i="553" a="1"/>
  <c r="H467" i="553"/>
  <c r="V466" i="553"/>
  <c r="W466" i="553" s="1"/>
  <c r="N466" i="553"/>
  <c r="K466" i="553" a="1"/>
  <c r="K466" i="553" s="1"/>
  <c r="M466" i="553" s="1"/>
  <c r="J466" i="553" a="1"/>
  <c r="J466" i="553" s="1"/>
  <c r="H466" i="553"/>
  <c r="W465" i="553"/>
  <c r="V465" i="553"/>
  <c r="N465" i="553"/>
  <c r="K465" i="553" a="1"/>
  <c r="K465" i="553" s="1"/>
  <c r="M465" i="553" s="1"/>
  <c r="J465" i="553" a="1"/>
  <c r="J465" i="553" s="1"/>
  <c r="H465" i="553"/>
  <c r="V464" i="553"/>
  <c r="N464" i="553"/>
  <c r="K464" i="553" a="1"/>
  <c r="K464" i="553" s="1"/>
  <c r="J464" i="553" a="1"/>
  <c r="J464" i="553" s="1"/>
  <c r="H464" i="553"/>
  <c r="H479" i="553" s="1"/>
  <c r="AA463" i="553"/>
  <c r="Z463" i="553"/>
  <c r="Y463" i="553"/>
  <c r="X463" i="553"/>
  <c r="U463" i="553"/>
  <c r="T463" i="553"/>
  <c r="S463" i="553"/>
  <c r="R463" i="553"/>
  <c r="Q463" i="553"/>
  <c r="P463" i="553"/>
  <c r="O463" i="553"/>
  <c r="I463" i="553"/>
  <c r="G463" i="553"/>
  <c r="V462" i="553"/>
  <c r="W462" i="553" s="1"/>
  <c r="N462" i="553"/>
  <c r="K462" i="553" a="1"/>
  <c r="K462" i="553" s="1"/>
  <c r="M462" i="553" s="1"/>
  <c r="J462" i="553" a="1"/>
  <c r="J462" i="553" s="1"/>
  <c r="H462" i="553"/>
  <c r="V461" i="553"/>
  <c r="W461" i="553" s="1"/>
  <c r="N461" i="553"/>
  <c r="K461" i="553"/>
  <c r="M461" i="553" s="1"/>
  <c r="K461" i="553" a="1"/>
  <c r="J461" i="553"/>
  <c r="J461" i="553" a="1"/>
  <c r="H461" i="553"/>
  <c r="V460" i="553"/>
  <c r="W460" i="553" s="1"/>
  <c r="N460" i="553"/>
  <c r="K460" i="553" a="1"/>
  <c r="K460" i="553" s="1"/>
  <c r="M460" i="553" s="1"/>
  <c r="J460" i="553" a="1"/>
  <c r="J460" i="553" s="1"/>
  <c r="H460" i="553"/>
  <c r="K459" i="553" a="1"/>
  <c r="K459" i="553" s="1"/>
  <c r="M459" i="553" s="1"/>
  <c r="H459" i="553"/>
  <c r="K458" i="553" a="1"/>
  <c r="K458" i="553" s="1"/>
  <c r="M458" i="553" s="1"/>
  <c r="H458" i="553"/>
  <c r="K457" i="553" a="1"/>
  <c r="K457" i="553" s="1"/>
  <c r="M457" i="553" s="1"/>
  <c r="H457" i="553"/>
  <c r="W456" i="553"/>
  <c r="V456" i="553"/>
  <c r="N456" i="553"/>
  <c r="K456" i="553" a="1"/>
  <c r="K456" i="553" s="1"/>
  <c r="M456" i="553" s="1"/>
  <c r="J456" i="553" a="1"/>
  <c r="J456" i="553" s="1"/>
  <c r="H456" i="553"/>
  <c r="V455" i="553"/>
  <c r="W455" i="553" s="1"/>
  <c r="N455" i="553"/>
  <c r="K455" i="553" a="1"/>
  <c r="K455" i="553" s="1"/>
  <c r="M455" i="553" s="1"/>
  <c r="J455" i="553" a="1"/>
  <c r="J455" i="553" s="1"/>
  <c r="H455" i="553"/>
  <c r="N454" i="553"/>
  <c r="K454" i="553"/>
  <c r="M454" i="553" s="1"/>
  <c r="K454" i="553" a="1"/>
  <c r="H454" i="553"/>
  <c r="N453" i="553"/>
  <c r="K453" i="553" a="1"/>
  <c r="K453" i="553" s="1"/>
  <c r="M453" i="553" s="1"/>
  <c r="H453" i="553"/>
  <c r="N452" i="553"/>
  <c r="K452" i="553" a="1"/>
  <c r="K452" i="553" s="1"/>
  <c r="M452" i="553" s="1"/>
  <c r="H452" i="553"/>
  <c r="N451" i="553"/>
  <c r="K451" i="553" a="1"/>
  <c r="K451" i="553" s="1"/>
  <c r="M451" i="553" s="1"/>
  <c r="H451" i="553"/>
  <c r="N450" i="553"/>
  <c r="K450" i="553"/>
  <c r="M450" i="553" s="1"/>
  <c r="K450" i="553" a="1"/>
  <c r="H450" i="553"/>
  <c r="N449" i="553"/>
  <c r="K449" i="553" a="1"/>
  <c r="K449" i="553" s="1"/>
  <c r="M449" i="553" s="1"/>
  <c r="H449" i="553"/>
  <c r="W448" i="553"/>
  <c r="V448" i="553"/>
  <c r="N448" i="553"/>
  <c r="K448" i="553" a="1"/>
  <c r="K448" i="553" s="1"/>
  <c r="M448" i="553" s="1"/>
  <c r="J448" i="553" a="1"/>
  <c r="J448" i="553" s="1"/>
  <c r="H448" i="553"/>
  <c r="V447" i="553"/>
  <c r="W447" i="553" s="1"/>
  <c r="N447" i="553"/>
  <c r="K447" i="553" a="1"/>
  <c r="K447" i="553" s="1"/>
  <c r="M447" i="553" s="1"/>
  <c r="J447" i="553" a="1"/>
  <c r="J447" i="553" s="1"/>
  <c r="H447" i="553"/>
  <c r="V446" i="553"/>
  <c r="W446" i="553" s="1"/>
  <c r="N446" i="553"/>
  <c r="K446" i="553"/>
  <c r="M446" i="553" s="1"/>
  <c r="K446" i="553" a="1"/>
  <c r="J446" i="553"/>
  <c r="J446" i="553" a="1"/>
  <c r="H446" i="553"/>
  <c r="V445" i="553"/>
  <c r="W445" i="553" s="1"/>
  <c r="N445" i="553"/>
  <c r="K445" i="553" a="1"/>
  <c r="K445" i="553" s="1"/>
  <c r="M445" i="553" s="1"/>
  <c r="J445" i="553" a="1"/>
  <c r="J445" i="553" s="1"/>
  <c r="H445" i="553"/>
  <c r="W444" i="553"/>
  <c r="V444" i="553"/>
  <c r="N444" i="553"/>
  <c r="K444" i="553" a="1"/>
  <c r="K444" i="553" s="1"/>
  <c r="M444" i="553" s="1"/>
  <c r="J444" i="553" a="1"/>
  <c r="J444" i="553" s="1"/>
  <c r="H444" i="553"/>
  <c r="V443" i="553"/>
  <c r="W443" i="553" s="1"/>
  <c r="N443" i="553"/>
  <c r="K443" i="553" a="1"/>
  <c r="K443" i="553" s="1"/>
  <c r="M443" i="553" s="1"/>
  <c r="J443" i="553" a="1"/>
  <c r="J443" i="553" s="1"/>
  <c r="H443" i="553"/>
  <c r="V442" i="553"/>
  <c r="W442" i="553" s="1"/>
  <c r="N442" i="553"/>
  <c r="K442" i="553"/>
  <c r="M442" i="553" s="1"/>
  <c r="K442" i="553" a="1"/>
  <c r="J442" i="553"/>
  <c r="J442" i="553" a="1"/>
  <c r="H442" i="553"/>
  <c r="V441" i="553"/>
  <c r="W441" i="553" s="1"/>
  <c r="N441" i="553"/>
  <c r="K441" i="553" a="1"/>
  <c r="K441" i="553" s="1"/>
  <c r="M441" i="553" s="1"/>
  <c r="J441" i="553" a="1"/>
  <c r="J441" i="553" s="1"/>
  <c r="H441" i="553"/>
  <c r="W440" i="553"/>
  <c r="V440" i="553"/>
  <c r="N440" i="553"/>
  <c r="K440" i="553" a="1"/>
  <c r="K440" i="553" s="1"/>
  <c r="M440" i="553" s="1"/>
  <c r="J440" i="553" a="1"/>
  <c r="J440" i="553" s="1"/>
  <c r="H440" i="553"/>
  <c r="V439" i="553"/>
  <c r="W439" i="553" s="1"/>
  <c r="N439" i="553"/>
  <c r="K439" i="553" a="1"/>
  <c r="K439" i="553" s="1"/>
  <c r="M439" i="553" s="1"/>
  <c r="J439" i="553" a="1"/>
  <c r="J439" i="553" s="1"/>
  <c r="H439" i="553"/>
  <c r="V438" i="553"/>
  <c r="W438" i="553" s="1"/>
  <c r="N438" i="553"/>
  <c r="K438" i="553"/>
  <c r="M438" i="553" s="1"/>
  <c r="K438" i="553" a="1"/>
  <c r="J438" i="553"/>
  <c r="J438" i="553" a="1"/>
  <c r="H438" i="553"/>
  <c r="V437" i="553"/>
  <c r="W437" i="553" s="1"/>
  <c r="N437" i="553"/>
  <c r="K437" i="553" a="1"/>
  <c r="K437" i="553" s="1"/>
  <c r="M437" i="553" s="1"/>
  <c r="J437" i="553" a="1"/>
  <c r="J437" i="553" s="1"/>
  <c r="H437" i="553"/>
  <c r="N436" i="553"/>
  <c r="K436" i="553" a="1"/>
  <c r="K436" i="553" s="1"/>
  <c r="M436" i="553" s="1"/>
  <c r="H436" i="553"/>
  <c r="V435" i="553"/>
  <c r="W435" i="553" s="1"/>
  <c r="N435" i="553"/>
  <c r="K435" i="553" a="1"/>
  <c r="K435" i="553" s="1"/>
  <c r="M435" i="553" s="1"/>
  <c r="J435" i="553" a="1"/>
  <c r="J435" i="553" s="1"/>
  <c r="H435" i="553"/>
  <c r="V434" i="553"/>
  <c r="W434" i="553" s="1"/>
  <c r="N434" i="553"/>
  <c r="K434" i="553"/>
  <c r="M434" i="553" s="1"/>
  <c r="K434" i="553" a="1"/>
  <c r="J434" i="553"/>
  <c r="J434" i="553" a="1"/>
  <c r="H434" i="553"/>
  <c r="V433" i="553"/>
  <c r="W433" i="553" s="1"/>
  <c r="N433" i="553"/>
  <c r="K433" i="553" a="1"/>
  <c r="K433" i="553" s="1"/>
  <c r="M433" i="553" s="1"/>
  <c r="J433" i="553" a="1"/>
  <c r="J433" i="553" s="1"/>
  <c r="H433" i="553"/>
  <c r="W432" i="553"/>
  <c r="V432" i="553"/>
  <c r="N432" i="553"/>
  <c r="K432" i="553" a="1"/>
  <c r="K432" i="553" s="1"/>
  <c r="M432" i="553" s="1"/>
  <c r="J432" i="553" a="1"/>
  <c r="J432" i="553" s="1"/>
  <c r="H432" i="553"/>
  <c r="V431" i="553"/>
  <c r="W431" i="553" s="1"/>
  <c r="N431" i="553"/>
  <c r="K431" i="553" a="1"/>
  <c r="K431" i="553" s="1"/>
  <c r="M431" i="553" s="1"/>
  <c r="J431" i="553" a="1"/>
  <c r="J431" i="553" s="1"/>
  <c r="H431" i="553"/>
  <c r="V430" i="553"/>
  <c r="W430" i="553" s="1"/>
  <c r="N430" i="553"/>
  <c r="K430" i="553"/>
  <c r="M430" i="553" s="1"/>
  <c r="K430" i="553" a="1"/>
  <c r="J430" i="553"/>
  <c r="J430" i="553" a="1"/>
  <c r="H430" i="553"/>
  <c r="V429" i="553"/>
  <c r="N429" i="553"/>
  <c r="K429" i="553" a="1"/>
  <c r="K429" i="553" s="1"/>
  <c r="J429" i="553" a="1"/>
  <c r="J429" i="553" s="1"/>
  <c r="H429" i="553"/>
  <c r="AA428" i="553"/>
  <c r="Z428" i="553"/>
  <c r="Y428" i="553"/>
  <c r="X428" i="553"/>
  <c r="U428" i="553"/>
  <c r="T428" i="553"/>
  <c r="S428" i="553"/>
  <c r="R428" i="553"/>
  <c r="Q428" i="553"/>
  <c r="P428" i="553"/>
  <c r="O428" i="553"/>
  <c r="R510" i="553" s="1"/>
  <c r="I428" i="553"/>
  <c r="G428" i="553"/>
  <c r="J428" i="553" s="1" a="1"/>
  <c r="J428" i="553" s="1"/>
  <c r="K427" i="553" a="1"/>
  <c r="K427" i="553" s="1"/>
  <c r="M427" i="553" s="1"/>
  <c r="H427" i="553"/>
  <c r="K426" i="553"/>
  <c r="M426" i="553" s="1"/>
  <c r="K426" i="553" a="1"/>
  <c r="H426" i="553"/>
  <c r="K425" i="553" a="1"/>
  <c r="K425" i="553" s="1"/>
  <c r="M425" i="553" s="1"/>
  <c r="H425" i="553"/>
  <c r="K424" i="553" a="1"/>
  <c r="K424" i="553" s="1"/>
  <c r="M424" i="553" s="1"/>
  <c r="H424" i="553"/>
  <c r="K423" i="553" a="1"/>
  <c r="K423" i="553" s="1"/>
  <c r="M423" i="553" s="1"/>
  <c r="H423" i="553"/>
  <c r="K422" i="553" a="1"/>
  <c r="K422" i="553" s="1"/>
  <c r="M422" i="553" s="1"/>
  <c r="H422" i="553"/>
  <c r="K421" i="553" a="1"/>
  <c r="K421" i="553" s="1"/>
  <c r="M421" i="553" s="1"/>
  <c r="H421" i="553"/>
  <c r="K420" i="553" a="1"/>
  <c r="K420" i="553" s="1"/>
  <c r="M420" i="553" s="1"/>
  <c r="H420" i="553"/>
  <c r="K419" i="553" a="1"/>
  <c r="K419" i="553" s="1"/>
  <c r="M419" i="553" s="1"/>
  <c r="H419" i="553"/>
  <c r="K418" i="553" a="1"/>
  <c r="K418" i="553" s="1"/>
  <c r="M418" i="553" s="1"/>
  <c r="H418" i="553"/>
  <c r="V417" i="553"/>
  <c r="W417" i="553" s="1"/>
  <c r="N417" i="553"/>
  <c r="K417" i="553"/>
  <c r="M417" i="553" s="1"/>
  <c r="K417" i="553" a="1"/>
  <c r="J417" i="553"/>
  <c r="J417" i="553" a="1"/>
  <c r="H417" i="553"/>
  <c r="V416" i="553"/>
  <c r="W416" i="553" s="1"/>
  <c r="N416" i="553"/>
  <c r="K416" i="553" a="1"/>
  <c r="K416" i="553" s="1"/>
  <c r="M416" i="553" s="1"/>
  <c r="J416" i="553" a="1"/>
  <c r="J416" i="553" s="1"/>
  <c r="H416" i="553"/>
  <c r="V415" i="553"/>
  <c r="W415" i="553" s="1"/>
  <c r="N415" i="553"/>
  <c r="K415" i="553"/>
  <c r="M415" i="553" s="1"/>
  <c r="K415" i="553" a="1"/>
  <c r="J415" i="553"/>
  <c r="J415" i="553" a="1"/>
  <c r="H415" i="553"/>
  <c r="V414" i="553"/>
  <c r="W414" i="553" s="1"/>
  <c r="N414" i="553"/>
  <c r="K414" i="553" a="1"/>
  <c r="K414" i="553" s="1"/>
  <c r="M414" i="553" s="1"/>
  <c r="J414" i="553" a="1"/>
  <c r="J414" i="553" s="1"/>
  <c r="H414" i="553"/>
  <c r="H413" i="553"/>
  <c r="V412" i="553"/>
  <c r="W412" i="553" s="1"/>
  <c r="N412" i="553"/>
  <c r="K412" i="553" a="1"/>
  <c r="K412" i="553" s="1"/>
  <c r="M412" i="553" s="1"/>
  <c r="J412" i="553" a="1"/>
  <c r="J412" i="553" s="1"/>
  <c r="H412" i="553"/>
  <c r="V411" i="553"/>
  <c r="W411" i="553" s="1"/>
  <c r="N411" i="553"/>
  <c r="K411" i="553"/>
  <c r="M411" i="553" s="1"/>
  <c r="K411" i="553" a="1"/>
  <c r="J411" i="553" a="1"/>
  <c r="J411" i="553" s="1"/>
  <c r="H411" i="553"/>
  <c r="H410" i="553"/>
  <c r="K409" i="553" a="1"/>
  <c r="K409" i="553" s="1"/>
  <c r="H409" i="553"/>
  <c r="V408" i="553"/>
  <c r="W408" i="553" s="1"/>
  <c r="N408" i="553"/>
  <c r="K408" i="553" a="1"/>
  <c r="K408" i="553" s="1"/>
  <c r="M408" i="553" s="1"/>
  <c r="J408" i="553" a="1"/>
  <c r="J408" i="553" s="1"/>
  <c r="H408" i="553"/>
  <c r="V407" i="553"/>
  <c r="W407" i="553" s="1"/>
  <c r="N407" i="553"/>
  <c r="K407" i="553"/>
  <c r="M407" i="553" s="1"/>
  <c r="K407" i="553" a="1"/>
  <c r="J407" i="553"/>
  <c r="J407" i="553" a="1"/>
  <c r="H407" i="553"/>
  <c r="V406" i="553"/>
  <c r="W406" i="553" s="1"/>
  <c r="N406" i="553"/>
  <c r="K406" i="553" a="1"/>
  <c r="K406" i="553" s="1"/>
  <c r="M406" i="553" s="1"/>
  <c r="J406" i="553" a="1"/>
  <c r="J406" i="553" s="1"/>
  <c r="H406" i="553"/>
  <c r="V405" i="553"/>
  <c r="W405" i="553" s="1"/>
  <c r="N405" i="553"/>
  <c r="K405" i="553" a="1"/>
  <c r="K405" i="553" s="1"/>
  <c r="M405" i="553" s="1"/>
  <c r="J405" i="553" a="1"/>
  <c r="J405" i="553" s="1"/>
  <c r="H405" i="553"/>
  <c r="V404" i="553"/>
  <c r="W404" i="553" s="1"/>
  <c r="N404" i="553"/>
  <c r="K404" i="553" a="1"/>
  <c r="K404" i="553" s="1"/>
  <c r="M404" i="553" s="1"/>
  <c r="J404" i="553" a="1"/>
  <c r="J404" i="553" s="1"/>
  <c r="H404" i="553"/>
  <c r="V403" i="553"/>
  <c r="W403" i="553" s="1"/>
  <c r="N403" i="553"/>
  <c r="K403" i="553"/>
  <c r="M403" i="553" s="1"/>
  <c r="K403" i="553" a="1"/>
  <c r="J403" i="553"/>
  <c r="J403" i="553" a="1"/>
  <c r="H403" i="553"/>
  <c r="V402" i="553"/>
  <c r="W402" i="553" s="1"/>
  <c r="N402" i="553"/>
  <c r="K402" i="553" a="1"/>
  <c r="K402" i="553" s="1"/>
  <c r="M402" i="553" s="1"/>
  <c r="J402" i="553" a="1"/>
  <c r="J402" i="553" s="1"/>
  <c r="H402" i="553"/>
  <c r="V401" i="553"/>
  <c r="W401" i="553" s="1"/>
  <c r="N401" i="553"/>
  <c r="K401" i="553" a="1"/>
  <c r="K401" i="553" s="1"/>
  <c r="M401" i="553" s="1"/>
  <c r="J401" i="553" a="1"/>
  <c r="J401" i="553" s="1"/>
  <c r="H401" i="553"/>
  <c r="V400" i="553"/>
  <c r="W400" i="553" s="1"/>
  <c r="N400" i="553"/>
  <c r="K400" i="553" a="1"/>
  <c r="K400" i="553" s="1"/>
  <c r="M400" i="553" s="1"/>
  <c r="J400" i="553" a="1"/>
  <c r="J400" i="553" s="1"/>
  <c r="H400" i="553"/>
  <c r="V399" i="553"/>
  <c r="W399" i="553" s="1"/>
  <c r="N399" i="553"/>
  <c r="K399" i="553"/>
  <c r="M399" i="553" s="1"/>
  <c r="K399" i="553" a="1"/>
  <c r="J399" i="553"/>
  <c r="J399" i="553" a="1"/>
  <c r="H399" i="553"/>
  <c r="K398" i="553" a="1"/>
  <c r="K398" i="553" s="1"/>
  <c r="M398" i="553" s="1"/>
  <c r="H398" i="553"/>
  <c r="K397" i="553" a="1"/>
  <c r="K397" i="553" s="1"/>
  <c r="M397" i="553" s="1"/>
  <c r="H397" i="553"/>
  <c r="K396" i="553" a="1"/>
  <c r="K396" i="553" s="1"/>
  <c r="M396" i="553" s="1"/>
  <c r="H396" i="553"/>
  <c r="K395" i="553" a="1"/>
  <c r="K395" i="553" s="1"/>
  <c r="M395" i="553" s="1"/>
  <c r="H395" i="553"/>
  <c r="N394" i="553"/>
  <c r="K394" i="553" a="1"/>
  <c r="K394" i="553" s="1"/>
  <c r="M394" i="553" s="1"/>
  <c r="H394" i="553"/>
  <c r="N393" i="553"/>
  <c r="K393" i="553" a="1"/>
  <c r="K393" i="553" s="1"/>
  <c r="M393" i="553" s="1"/>
  <c r="H393" i="553"/>
  <c r="N392" i="553"/>
  <c r="K392" i="553" a="1"/>
  <c r="K392" i="553" s="1"/>
  <c r="M392" i="553" s="1"/>
  <c r="H392" i="553"/>
  <c r="N391" i="553"/>
  <c r="K391" i="553" a="1"/>
  <c r="K391" i="553" s="1"/>
  <c r="M391" i="553" s="1"/>
  <c r="H391" i="553"/>
  <c r="V390" i="553"/>
  <c r="W390" i="553" s="1"/>
  <c r="N390" i="553"/>
  <c r="K390" i="553" a="1"/>
  <c r="K390" i="553" s="1"/>
  <c r="M390" i="553" s="1"/>
  <c r="J390" i="553" a="1"/>
  <c r="J390" i="553" s="1"/>
  <c r="H390" i="553"/>
  <c r="V389" i="553"/>
  <c r="W389" i="553" s="1"/>
  <c r="N389" i="553"/>
  <c r="K389" i="553"/>
  <c r="M389" i="553" s="1"/>
  <c r="K389" i="553" a="1"/>
  <c r="J389" i="553"/>
  <c r="J389" i="553" a="1"/>
  <c r="H389" i="553"/>
  <c r="V388" i="553"/>
  <c r="W388" i="553" s="1"/>
  <c r="N388" i="553"/>
  <c r="K388" i="553" a="1"/>
  <c r="K388" i="553" s="1"/>
  <c r="M388" i="553" s="1"/>
  <c r="J388" i="553" a="1"/>
  <c r="J388" i="553" s="1"/>
  <c r="H388" i="553"/>
  <c r="V387" i="553"/>
  <c r="W387" i="553" s="1"/>
  <c r="N387" i="553"/>
  <c r="K387" i="553" a="1"/>
  <c r="K387" i="553" s="1"/>
  <c r="M387" i="553" s="1"/>
  <c r="J387" i="553" a="1"/>
  <c r="J387" i="553" s="1"/>
  <c r="H387" i="553"/>
  <c r="V386" i="553"/>
  <c r="W386" i="553" s="1"/>
  <c r="N386" i="553"/>
  <c r="K386" i="553" a="1"/>
  <c r="K386" i="553" s="1"/>
  <c r="M386" i="553" s="1"/>
  <c r="J386" i="553" a="1"/>
  <c r="J386" i="553" s="1"/>
  <c r="H386" i="553"/>
  <c r="V385" i="553"/>
  <c r="W385" i="553" s="1"/>
  <c r="N385" i="553"/>
  <c r="K385" i="553"/>
  <c r="M385" i="553" s="1"/>
  <c r="K385" i="553" a="1"/>
  <c r="J385" i="553"/>
  <c r="J385" i="553" a="1"/>
  <c r="H385" i="553"/>
  <c r="V384" i="553"/>
  <c r="W384" i="553" s="1"/>
  <c r="N384" i="553"/>
  <c r="K384" i="553" a="1"/>
  <c r="K384" i="553" s="1"/>
  <c r="M384" i="553" s="1"/>
  <c r="J384" i="553" a="1"/>
  <c r="J384" i="553" s="1"/>
  <c r="H384" i="553"/>
  <c r="V383" i="553"/>
  <c r="W383" i="553" s="1"/>
  <c r="N383" i="553"/>
  <c r="K383" i="553" a="1"/>
  <c r="K383" i="553" s="1"/>
  <c r="M383" i="553" s="1"/>
  <c r="J383" i="553" a="1"/>
  <c r="J383" i="553" s="1"/>
  <c r="H383" i="553"/>
  <c r="V382" i="553"/>
  <c r="W382" i="553" s="1"/>
  <c r="N382" i="553"/>
  <c r="K382" i="553" a="1"/>
  <c r="K382" i="553" s="1"/>
  <c r="M382" i="553" s="1"/>
  <c r="J382" i="553" a="1"/>
  <c r="J382" i="553" s="1"/>
  <c r="H382" i="553"/>
  <c r="V381" i="553"/>
  <c r="W381" i="553" s="1"/>
  <c r="N381" i="553"/>
  <c r="K381" i="553"/>
  <c r="M381" i="553" s="1"/>
  <c r="K381" i="553" a="1"/>
  <c r="J381" i="553"/>
  <c r="J381" i="553" a="1"/>
  <c r="H381" i="553"/>
  <c r="V380" i="553"/>
  <c r="W380" i="553" s="1"/>
  <c r="N380" i="553"/>
  <c r="K380" i="553" a="1"/>
  <c r="K380" i="553" s="1"/>
  <c r="M380" i="553" s="1"/>
  <c r="J380" i="553" a="1"/>
  <c r="J380" i="553" s="1"/>
  <c r="H380" i="553"/>
  <c r="W379" i="553"/>
  <c r="V379" i="553"/>
  <c r="N379" i="553"/>
  <c r="K379" i="553" a="1"/>
  <c r="K379" i="553" s="1"/>
  <c r="M379" i="553" s="1"/>
  <c r="J379" i="553" a="1"/>
  <c r="J379" i="553" s="1"/>
  <c r="H379" i="553"/>
  <c r="K378" i="553"/>
  <c r="M378" i="553" s="1"/>
  <c r="K378" i="553" a="1"/>
  <c r="H378" i="553"/>
  <c r="K377" i="553" a="1"/>
  <c r="K377" i="553" s="1"/>
  <c r="M377" i="553" s="1"/>
  <c r="H377" i="553"/>
  <c r="K376" i="553" a="1"/>
  <c r="K376" i="553" s="1"/>
  <c r="M376" i="553" s="1"/>
  <c r="H376" i="553"/>
  <c r="W375" i="553"/>
  <c r="V375" i="553"/>
  <c r="N375" i="553"/>
  <c r="K375" i="553" a="1"/>
  <c r="K375" i="553" s="1"/>
  <c r="M375" i="553" s="1"/>
  <c r="J375" i="553" a="1"/>
  <c r="J375" i="553" s="1"/>
  <c r="H375" i="553"/>
  <c r="V374" i="553"/>
  <c r="W374" i="553" s="1"/>
  <c r="N374" i="553"/>
  <c r="K374" i="553" a="1"/>
  <c r="K374" i="553" s="1"/>
  <c r="M374" i="553" s="1"/>
  <c r="J374" i="553" a="1"/>
  <c r="J374" i="553" s="1"/>
  <c r="H374" i="553"/>
  <c r="V373" i="553"/>
  <c r="W373" i="553" s="1"/>
  <c r="N373" i="553"/>
  <c r="K373" i="553"/>
  <c r="M373" i="553" s="1"/>
  <c r="K373" i="553" a="1"/>
  <c r="J373" i="553"/>
  <c r="J373" i="553" a="1"/>
  <c r="H373" i="553"/>
  <c r="K372" i="553" a="1"/>
  <c r="K372" i="553" s="1"/>
  <c r="H372" i="553"/>
  <c r="V371" i="553"/>
  <c r="V428" i="553" s="1"/>
  <c r="W428" i="553" s="1"/>
  <c r="N371" i="553"/>
  <c r="N428" i="553" s="1"/>
  <c r="K371" i="553"/>
  <c r="K371" i="553" a="1"/>
  <c r="J371" i="553"/>
  <c r="J371" i="553" a="1"/>
  <c r="H371" i="553"/>
  <c r="H428" i="553" s="1"/>
  <c r="AA370" i="553"/>
  <c r="AA507" i="553" s="1"/>
  <c r="Z370" i="553"/>
  <c r="Z507" i="553" s="1"/>
  <c r="Y370" i="553"/>
  <c r="Y507" i="553" s="1"/>
  <c r="X370" i="553"/>
  <c r="X507" i="553" s="1"/>
  <c r="U370" i="553"/>
  <c r="U507" i="553" s="1"/>
  <c r="T370" i="553"/>
  <c r="T507" i="553" s="1"/>
  <c r="S370" i="553"/>
  <c r="S507" i="553" s="1"/>
  <c r="R370" i="553"/>
  <c r="R507" i="553" s="1"/>
  <c r="Q370" i="553"/>
  <c r="Q507" i="553" s="1"/>
  <c r="P370" i="553"/>
  <c r="P507" i="553" s="1"/>
  <c r="O370" i="553"/>
  <c r="I370" i="553"/>
  <c r="I507" i="553" s="1"/>
  <c r="B515" i="553" s="1"/>
  <c r="G370" i="553"/>
  <c r="G507" i="553" s="1"/>
  <c r="V369" i="553"/>
  <c r="W369" i="553" s="1"/>
  <c r="N369" i="553"/>
  <c r="K369" i="553" a="1"/>
  <c r="K369" i="553" s="1"/>
  <c r="M369" i="553" s="1"/>
  <c r="J369" i="553" a="1"/>
  <c r="J369" i="553" s="1"/>
  <c r="H369" i="553"/>
  <c r="V368" i="553"/>
  <c r="W368" i="553" s="1"/>
  <c r="N368" i="553"/>
  <c r="K368" i="553"/>
  <c r="M368" i="553" s="1"/>
  <c r="K368" i="553" a="1"/>
  <c r="J368" i="553"/>
  <c r="J368" i="553" a="1"/>
  <c r="H368" i="553"/>
  <c r="K367" i="553" a="1"/>
  <c r="K367" i="553" s="1"/>
  <c r="M367" i="553" s="1"/>
  <c r="H367" i="553"/>
  <c r="K366" i="553"/>
  <c r="M366" i="553" s="1"/>
  <c r="K366" i="553" a="1"/>
  <c r="H366" i="553"/>
  <c r="K365" i="553" a="1"/>
  <c r="K365" i="553" s="1"/>
  <c r="M365" i="553" s="1"/>
  <c r="H365" i="553"/>
  <c r="K364" i="553" a="1"/>
  <c r="K364" i="553" s="1"/>
  <c r="M364" i="553" s="1"/>
  <c r="H364" i="553"/>
  <c r="W363" i="553"/>
  <c r="V363" i="553"/>
  <c r="N363" i="553"/>
  <c r="K363" i="553" a="1"/>
  <c r="K363" i="553" s="1"/>
  <c r="M363" i="553" s="1"/>
  <c r="J363" i="553" a="1"/>
  <c r="J363" i="553" s="1"/>
  <c r="H363" i="553"/>
  <c r="V362" i="553"/>
  <c r="W362" i="553" s="1"/>
  <c r="N362" i="553"/>
  <c r="K362" i="553" a="1"/>
  <c r="K362" i="553" s="1"/>
  <c r="M362" i="553" s="1"/>
  <c r="J362" i="553" a="1"/>
  <c r="J362" i="553" s="1"/>
  <c r="H362" i="553"/>
  <c r="V361" i="553"/>
  <c r="W361" i="553" s="1"/>
  <c r="N361" i="553"/>
  <c r="K361" i="553"/>
  <c r="M361" i="553" s="1"/>
  <c r="K361" i="553" a="1"/>
  <c r="J361" i="553"/>
  <c r="J361" i="553" a="1"/>
  <c r="H361" i="553"/>
  <c r="H360" i="553"/>
  <c r="H359" i="553"/>
  <c r="V358" i="553"/>
  <c r="W358" i="553" s="1"/>
  <c r="N358" i="553"/>
  <c r="K358" i="553" a="1"/>
  <c r="K358" i="553" s="1"/>
  <c r="M358" i="553" s="1"/>
  <c r="J358" i="553" a="1"/>
  <c r="J358" i="553" s="1"/>
  <c r="H358" i="553"/>
  <c r="W357" i="553"/>
  <c r="V357" i="553"/>
  <c r="N357" i="553"/>
  <c r="K357" i="553" a="1"/>
  <c r="K357" i="553" s="1"/>
  <c r="M357" i="553" s="1"/>
  <c r="J357" i="553"/>
  <c r="J357" i="553" a="1"/>
  <c r="H357" i="553"/>
  <c r="K356" i="553" a="1"/>
  <c r="K356" i="553" s="1"/>
  <c r="M356" i="553" s="1"/>
  <c r="H356" i="553"/>
  <c r="K355" i="553" a="1"/>
  <c r="K355" i="553" s="1"/>
  <c r="M355" i="553" s="1"/>
  <c r="H355" i="553"/>
  <c r="V354" i="553"/>
  <c r="W354" i="553" s="1"/>
  <c r="N354" i="553"/>
  <c r="K354" i="553"/>
  <c r="M354" i="553" s="1"/>
  <c r="K354" i="553" a="1"/>
  <c r="J354" i="553" a="1"/>
  <c r="J354" i="553" s="1"/>
  <c r="H354" i="553"/>
  <c r="W353" i="553"/>
  <c r="V353" i="553"/>
  <c r="N353" i="553"/>
  <c r="K353" i="553" a="1"/>
  <c r="K353" i="553" s="1"/>
  <c r="M353" i="553" s="1"/>
  <c r="J353" i="553" a="1"/>
  <c r="J353" i="553" s="1"/>
  <c r="H353" i="553"/>
  <c r="V352" i="553"/>
  <c r="W352" i="553" s="1"/>
  <c r="N352" i="553"/>
  <c r="K352" i="553"/>
  <c r="M352" i="553" s="1"/>
  <c r="K352" i="553" a="1"/>
  <c r="J352" i="553" a="1"/>
  <c r="J352" i="553" s="1"/>
  <c r="H352" i="553"/>
  <c r="W351" i="553"/>
  <c r="V351" i="553"/>
  <c r="N351" i="553"/>
  <c r="K351" i="553" a="1"/>
  <c r="K351" i="553" s="1"/>
  <c r="M351" i="553" s="1"/>
  <c r="J351" i="553" a="1"/>
  <c r="J351" i="553" s="1"/>
  <c r="H351" i="553"/>
  <c r="V350" i="553"/>
  <c r="W350" i="553" s="1"/>
  <c r="N350" i="553"/>
  <c r="K350" i="553"/>
  <c r="M350" i="553" s="1"/>
  <c r="K350" i="553" a="1"/>
  <c r="J350" i="553" a="1"/>
  <c r="J350" i="553" s="1"/>
  <c r="H350" i="553"/>
  <c r="V349" i="553"/>
  <c r="V370" i="553" s="1"/>
  <c r="N349" i="553"/>
  <c r="K349" i="553" a="1"/>
  <c r="K349" i="553" s="1"/>
  <c r="J349" i="553" a="1"/>
  <c r="J349" i="553" s="1"/>
  <c r="H349" i="553"/>
  <c r="H370" i="553" s="1"/>
  <c r="X343" i="553"/>
  <c r="X342" i="553"/>
  <c r="X341" i="553"/>
  <c r="G341" i="553"/>
  <c r="C341" i="553"/>
  <c r="X340" i="553"/>
  <c r="I340" i="553"/>
  <c r="E340" i="553"/>
  <c r="K340" i="553" s="1"/>
  <c r="M340" i="553" s="1"/>
  <c r="I339" i="553"/>
  <c r="E339" i="553"/>
  <c r="K339" i="553" s="1"/>
  <c r="M339" i="553" s="1"/>
  <c r="I338" i="553"/>
  <c r="E338" i="553"/>
  <c r="K338" i="553" s="1"/>
  <c r="M338" i="553" s="1"/>
  <c r="X337" i="553"/>
  <c r="I337" i="553"/>
  <c r="I341" i="553" s="1"/>
  <c r="E337" i="553"/>
  <c r="E341" i="553" s="1"/>
  <c r="AA334" i="553"/>
  <c r="Z334" i="553"/>
  <c r="Y334" i="553"/>
  <c r="X334" i="553"/>
  <c r="U334" i="553"/>
  <c r="T334" i="553"/>
  <c r="S334" i="553"/>
  <c r="R334" i="553"/>
  <c r="Q334" i="553"/>
  <c r="P334" i="553"/>
  <c r="O334" i="553"/>
  <c r="I334" i="553"/>
  <c r="G334" i="553"/>
  <c r="K333" i="553" a="1"/>
  <c r="K333" i="553" s="1"/>
  <c r="H333" i="553"/>
  <c r="K332" i="553" a="1"/>
  <c r="K332" i="553" s="1"/>
  <c r="H332" i="553"/>
  <c r="K331" i="553"/>
  <c r="K331" i="553" a="1"/>
  <c r="H331" i="553"/>
  <c r="V330" i="553"/>
  <c r="W330" i="553" s="1"/>
  <c r="N330" i="553"/>
  <c r="K330" i="553" a="1"/>
  <c r="K330" i="553" s="1"/>
  <c r="H330" i="553"/>
  <c r="D330" i="553"/>
  <c r="H329" i="553"/>
  <c r="K328" i="553" a="1"/>
  <c r="K328" i="553" s="1"/>
  <c r="H328" i="553"/>
  <c r="H327" i="553"/>
  <c r="V326" i="553"/>
  <c r="W326" i="553" s="1"/>
  <c r="N326" i="553"/>
  <c r="K326" i="553" a="1"/>
  <c r="K326" i="553" s="1"/>
  <c r="M326" i="553" s="1"/>
  <c r="J326" i="553" a="1"/>
  <c r="J326" i="553" s="1"/>
  <c r="H326" i="553"/>
  <c r="V325" i="553"/>
  <c r="W325" i="553" s="1"/>
  <c r="N325" i="553"/>
  <c r="K325" i="553" a="1"/>
  <c r="K325" i="553" s="1"/>
  <c r="M325" i="553" s="1"/>
  <c r="J325" i="553" a="1"/>
  <c r="J325" i="553" s="1"/>
  <c r="H325" i="553"/>
  <c r="H324" i="553"/>
  <c r="V323" i="553"/>
  <c r="W323" i="553" s="1"/>
  <c r="N323" i="553"/>
  <c r="K323" i="553" a="1"/>
  <c r="K323" i="553" s="1"/>
  <c r="M323" i="553" s="1"/>
  <c r="J323" i="553" a="1"/>
  <c r="J323" i="553" s="1"/>
  <c r="H323" i="553"/>
  <c r="V322" i="553"/>
  <c r="W322" i="553" s="1"/>
  <c r="N322" i="553"/>
  <c r="K322" i="553" a="1"/>
  <c r="K322" i="553" s="1"/>
  <c r="M322" i="553" s="1"/>
  <c r="J322" i="553" a="1"/>
  <c r="J322" i="553" s="1"/>
  <c r="H322" i="553"/>
  <c r="V321" i="553"/>
  <c r="W321" i="553" s="1"/>
  <c r="N321" i="553"/>
  <c r="K321" i="553"/>
  <c r="M321" i="553" s="1"/>
  <c r="K321" i="553" a="1"/>
  <c r="J321" i="553"/>
  <c r="J321" i="553" a="1"/>
  <c r="H321" i="553"/>
  <c r="V320" i="553"/>
  <c r="V334" i="553" s="1"/>
  <c r="N320" i="553"/>
  <c r="K320" i="553" a="1"/>
  <c r="K320" i="553" s="1"/>
  <c r="J320" i="553" a="1"/>
  <c r="J320" i="553" s="1"/>
  <c r="H320" i="553"/>
  <c r="AA319" i="553"/>
  <c r="Z319" i="553"/>
  <c r="Y319" i="553"/>
  <c r="X319" i="553"/>
  <c r="U319" i="553"/>
  <c r="T319" i="553"/>
  <c r="S319" i="553"/>
  <c r="Q319" i="553"/>
  <c r="P319" i="553"/>
  <c r="O319" i="553"/>
  <c r="I319" i="553"/>
  <c r="G319" i="553"/>
  <c r="V318" i="553"/>
  <c r="W318" i="553" s="1"/>
  <c r="N318" i="553"/>
  <c r="K318" i="553"/>
  <c r="M318" i="553" s="1"/>
  <c r="K318" i="553" a="1"/>
  <c r="J318" i="553"/>
  <c r="J318" i="553" a="1"/>
  <c r="H318" i="553"/>
  <c r="H317" i="553"/>
  <c r="H316" i="553"/>
  <c r="H315" i="553"/>
  <c r="H314" i="553"/>
  <c r="V313" i="553"/>
  <c r="W313" i="553" s="1"/>
  <c r="N313" i="553"/>
  <c r="K313" i="553" a="1"/>
  <c r="K313" i="553" s="1"/>
  <c r="M313" i="553" s="1"/>
  <c r="J313" i="553" a="1"/>
  <c r="J313" i="553" s="1"/>
  <c r="H313" i="553"/>
  <c r="V312" i="553"/>
  <c r="W312" i="553" s="1"/>
  <c r="N312" i="553"/>
  <c r="K312" i="553" a="1"/>
  <c r="K312" i="553" s="1"/>
  <c r="M312" i="553" s="1"/>
  <c r="J312" i="553" a="1"/>
  <c r="J312" i="553" s="1"/>
  <c r="H312" i="553"/>
  <c r="V311" i="553"/>
  <c r="W311" i="553" s="1"/>
  <c r="N311" i="553"/>
  <c r="K311" i="553" a="1"/>
  <c r="K311" i="553" s="1"/>
  <c r="M311" i="553" s="1"/>
  <c r="J311" i="553" a="1"/>
  <c r="J311" i="553" s="1"/>
  <c r="H311" i="553"/>
  <c r="V310" i="553"/>
  <c r="W310" i="553" s="1"/>
  <c r="N310" i="553"/>
  <c r="K310" i="553"/>
  <c r="M310" i="553" s="1"/>
  <c r="K310" i="553" a="1"/>
  <c r="J310" i="553"/>
  <c r="J310" i="553" a="1"/>
  <c r="H310" i="553"/>
  <c r="V309" i="553"/>
  <c r="N309" i="553"/>
  <c r="N319" i="553" s="1"/>
  <c r="K309" i="553" a="1"/>
  <c r="K309" i="553" s="1"/>
  <c r="J309" i="553" a="1"/>
  <c r="J309" i="553" s="1"/>
  <c r="H309" i="553"/>
  <c r="AA308" i="553"/>
  <c r="Z308" i="553"/>
  <c r="Y308" i="553"/>
  <c r="X308" i="553"/>
  <c r="U308" i="553"/>
  <c r="T308" i="553"/>
  <c r="S308" i="553"/>
  <c r="Q308" i="553"/>
  <c r="P308" i="553"/>
  <c r="O308" i="553"/>
  <c r="I308" i="553"/>
  <c r="G308" i="553"/>
  <c r="V307" i="553"/>
  <c r="W307" i="553" s="1"/>
  <c r="N307" i="553"/>
  <c r="K307" i="553"/>
  <c r="M307" i="553" s="1"/>
  <c r="K307" i="553" a="1"/>
  <c r="J307" i="553"/>
  <c r="J307" i="553" a="1"/>
  <c r="H307" i="553"/>
  <c r="V306" i="553"/>
  <c r="W306" i="553" s="1"/>
  <c r="N306" i="553"/>
  <c r="K306" i="553" a="1"/>
  <c r="K306" i="553" s="1"/>
  <c r="M306" i="553" s="1"/>
  <c r="J306" i="553" a="1"/>
  <c r="J306" i="553" s="1"/>
  <c r="H306" i="553"/>
  <c r="W305" i="553"/>
  <c r="V305" i="553"/>
  <c r="N305" i="553"/>
  <c r="K305" i="553" a="1"/>
  <c r="K305" i="553" s="1"/>
  <c r="M305" i="553" s="1"/>
  <c r="J305" i="553" a="1"/>
  <c r="J305" i="553" s="1"/>
  <c r="H305" i="553"/>
  <c r="V304" i="553"/>
  <c r="W304" i="553" s="1"/>
  <c r="N304" i="553"/>
  <c r="K304" i="553" a="1"/>
  <c r="K304" i="553" s="1"/>
  <c r="M304" i="553" s="1"/>
  <c r="J304" i="553" a="1"/>
  <c r="J304" i="553" s="1"/>
  <c r="H304" i="553"/>
  <c r="V303" i="553"/>
  <c r="W303" i="553" s="1"/>
  <c r="N303" i="553"/>
  <c r="K303" i="553"/>
  <c r="M303" i="553" s="1"/>
  <c r="K303" i="553" a="1"/>
  <c r="J303" i="553"/>
  <c r="J303" i="553" a="1"/>
  <c r="H303" i="553"/>
  <c r="V302" i="553"/>
  <c r="W302" i="553" s="1"/>
  <c r="N302" i="553"/>
  <c r="K302" i="553" a="1"/>
  <c r="K302" i="553" s="1"/>
  <c r="M302" i="553" s="1"/>
  <c r="J302" i="553" a="1"/>
  <c r="J302" i="553" s="1"/>
  <c r="H302" i="553"/>
  <c r="W301" i="553"/>
  <c r="V301" i="553"/>
  <c r="N301" i="553"/>
  <c r="K301" i="553" a="1"/>
  <c r="K301" i="553" s="1"/>
  <c r="M301" i="553" s="1"/>
  <c r="J301" i="553" a="1"/>
  <c r="J301" i="553" s="1"/>
  <c r="H301" i="553"/>
  <c r="V300" i="553"/>
  <c r="W300" i="553" s="1"/>
  <c r="N300" i="553"/>
  <c r="K300" i="553" a="1"/>
  <c r="K300" i="553" s="1"/>
  <c r="M300" i="553" s="1"/>
  <c r="J300" i="553" a="1"/>
  <c r="J300" i="553" s="1"/>
  <c r="H300" i="553"/>
  <c r="V299" i="553"/>
  <c r="W299" i="553" s="1"/>
  <c r="N299" i="553"/>
  <c r="K299" i="553"/>
  <c r="M299" i="553" s="1"/>
  <c r="K299" i="553" a="1"/>
  <c r="J299" i="553"/>
  <c r="J299" i="553" a="1"/>
  <c r="H299" i="553"/>
  <c r="V298" i="553"/>
  <c r="W298" i="553" s="1"/>
  <c r="N298" i="553"/>
  <c r="K298" i="553" a="1"/>
  <c r="K298" i="553" s="1"/>
  <c r="M298" i="553" s="1"/>
  <c r="J298" i="553" a="1"/>
  <c r="J298" i="553" s="1"/>
  <c r="H298" i="553"/>
  <c r="W297" i="553"/>
  <c r="V297" i="553"/>
  <c r="N297" i="553"/>
  <c r="K297" i="553" a="1"/>
  <c r="K297" i="553" s="1"/>
  <c r="M297" i="553" s="1"/>
  <c r="J297" i="553" a="1"/>
  <c r="J297" i="553" s="1"/>
  <c r="H297" i="553"/>
  <c r="V296" i="553"/>
  <c r="W296" i="553" s="1"/>
  <c r="N296" i="553"/>
  <c r="K296" i="553" a="1"/>
  <c r="K296" i="553" s="1"/>
  <c r="M296" i="553" s="1"/>
  <c r="J296" i="553" a="1"/>
  <c r="J296" i="553" s="1"/>
  <c r="H296" i="553"/>
  <c r="V295" i="553"/>
  <c r="W295" i="553" s="1"/>
  <c r="N295" i="553"/>
  <c r="K295" i="553"/>
  <c r="M295" i="553" s="1"/>
  <c r="K295" i="553" a="1"/>
  <c r="J295" i="553"/>
  <c r="J295" i="553" a="1"/>
  <c r="H295" i="553"/>
  <c r="V294" i="553"/>
  <c r="W294" i="553" s="1"/>
  <c r="N294" i="553"/>
  <c r="K294" i="553" a="1"/>
  <c r="K294" i="553" s="1"/>
  <c r="M294" i="553" s="1"/>
  <c r="J294" i="553" a="1"/>
  <c r="J294" i="553" s="1"/>
  <c r="H294" i="553"/>
  <c r="W293" i="553"/>
  <c r="V293" i="553"/>
  <c r="N293" i="553"/>
  <c r="N308" i="553" s="1"/>
  <c r="K293" i="553" a="1"/>
  <c r="K293" i="553" s="1"/>
  <c r="H293" i="553"/>
  <c r="AA292" i="553"/>
  <c r="Z292" i="553"/>
  <c r="Y292" i="553"/>
  <c r="X292" i="553"/>
  <c r="U292" i="553"/>
  <c r="T292" i="553"/>
  <c r="S292" i="553"/>
  <c r="R292" i="553"/>
  <c r="Q292" i="553"/>
  <c r="P292" i="553"/>
  <c r="O292" i="553"/>
  <c r="R339" i="553" s="1"/>
  <c r="I292" i="553"/>
  <c r="G292" i="553"/>
  <c r="V291" i="553"/>
  <c r="W291" i="553" s="1"/>
  <c r="N291" i="553"/>
  <c r="K291" i="553" a="1"/>
  <c r="K291" i="553" s="1"/>
  <c r="M291" i="553" s="1"/>
  <c r="J291" i="553" a="1"/>
  <c r="J291" i="553" s="1"/>
  <c r="H291" i="553"/>
  <c r="W290" i="553"/>
  <c r="V290" i="553"/>
  <c r="N290" i="553"/>
  <c r="K290" i="553" a="1"/>
  <c r="K290" i="553" s="1"/>
  <c r="M290" i="553" s="1"/>
  <c r="J290" i="553" a="1"/>
  <c r="J290" i="553" s="1"/>
  <c r="H290" i="553"/>
  <c r="V289" i="553"/>
  <c r="W289" i="553" s="1"/>
  <c r="N289" i="553"/>
  <c r="K289" i="553" a="1"/>
  <c r="K289" i="553" s="1"/>
  <c r="M289" i="553" s="1"/>
  <c r="J289" i="553" a="1"/>
  <c r="J289" i="553" s="1"/>
  <c r="H289" i="553"/>
  <c r="H288" i="553"/>
  <c r="H287" i="553"/>
  <c r="H286" i="553"/>
  <c r="V285" i="553"/>
  <c r="W285" i="553" s="1"/>
  <c r="N285" i="553"/>
  <c r="K285" i="553" a="1"/>
  <c r="K285" i="553" s="1"/>
  <c r="M285" i="553" s="1"/>
  <c r="J285" i="553" a="1"/>
  <c r="J285" i="553" s="1"/>
  <c r="H285" i="553"/>
  <c r="V284" i="553"/>
  <c r="W284" i="553" s="1"/>
  <c r="N284" i="553"/>
  <c r="K284" i="553"/>
  <c r="M284" i="553" s="1"/>
  <c r="K284" i="553" a="1"/>
  <c r="J284" i="553"/>
  <c r="J284" i="553" a="1"/>
  <c r="H284" i="553"/>
  <c r="N283" i="553"/>
  <c r="K283" i="553" a="1"/>
  <c r="K283" i="553" s="1"/>
  <c r="M283" i="553" s="1"/>
  <c r="H283" i="553"/>
  <c r="N282" i="553"/>
  <c r="K282" i="553" a="1"/>
  <c r="K282" i="553" s="1"/>
  <c r="M282" i="553" s="1"/>
  <c r="H282" i="553"/>
  <c r="N281" i="553"/>
  <c r="K281" i="553" a="1"/>
  <c r="K281" i="553" s="1"/>
  <c r="M281" i="553" s="1"/>
  <c r="H281" i="553"/>
  <c r="N280" i="553"/>
  <c r="K280" i="553"/>
  <c r="M280" i="553" s="1"/>
  <c r="K280" i="553" a="1"/>
  <c r="H280" i="553"/>
  <c r="N279" i="553"/>
  <c r="K279" i="553" a="1"/>
  <c r="K279" i="553" s="1"/>
  <c r="M279" i="553" s="1"/>
  <c r="H279" i="553"/>
  <c r="N278" i="553"/>
  <c r="K278" i="553" a="1"/>
  <c r="K278" i="553" s="1"/>
  <c r="M278" i="553" s="1"/>
  <c r="H278" i="553"/>
  <c r="V277" i="553"/>
  <c r="W277" i="553" s="1"/>
  <c r="N277" i="553"/>
  <c r="K277" i="553" a="1"/>
  <c r="K277" i="553" s="1"/>
  <c r="M277" i="553" s="1"/>
  <c r="J277" i="553" a="1"/>
  <c r="J277" i="553" s="1"/>
  <c r="H277" i="553"/>
  <c r="V276" i="553"/>
  <c r="W276" i="553" s="1"/>
  <c r="N276" i="553"/>
  <c r="K276" i="553"/>
  <c r="M276" i="553" s="1"/>
  <c r="K276" i="553" a="1"/>
  <c r="J276" i="553"/>
  <c r="J276" i="553" a="1"/>
  <c r="H276" i="553"/>
  <c r="V275" i="553"/>
  <c r="W275" i="553" s="1"/>
  <c r="N275" i="553"/>
  <c r="K275" i="553" a="1"/>
  <c r="K275" i="553" s="1"/>
  <c r="M275" i="553" s="1"/>
  <c r="J275" i="553" a="1"/>
  <c r="J275" i="553" s="1"/>
  <c r="H275" i="553"/>
  <c r="W274" i="553"/>
  <c r="V274" i="553"/>
  <c r="N274" i="553"/>
  <c r="K274" i="553" a="1"/>
  <c r="K274" i="553" s="1"/>
  <c r="M274" i="553" s="1"/>
  <c r="J274" i="553" a="1"/>
  <c r="J274" i="553" s="1"/>
  <c r="H274" i="553"/>
  <c r="V273" i="553"/>
  <c r="W273" i="553" s="1"/>
  <c r="N273" i="553"/>
  <c r="K273" i="553" a="1"/>
  <c r="K273" i="553" s="1"/>
  <c r="M273" i="553" s="1"/>
  <c r="J273" i="553" a="1"/>
  <c r="J273" i="553" s="1"/>
  <c r="H273" i="553"/>
  <c r="V272" i="553"/>
  <c r="W272" i="553" s="1"/>
  <c r="N272" i="553"/>
  <c r="K272" i="553"/>
  <c r="M272" i="553" s="1"/>
  <c r="K272" i="553" a="1"/>
  <c r="J272" i="553"/>
  <c r="J272" i="553" a="1"/>
  <c r="H272" i="553"/>
  <c r="V271" i="553"/>
  <c r="W271" i="553" s="1"/>
  <c r="N271" i="553"/>
  <c r="K271" i="553" a="1"/>
  <c r="K271" i="553" s="1"/>
  <c r="M271" i="553" s="1"/>
  <c r="J271" i="553" a="1"/>
  <c r="J271" i="553" s="1"/>
  <c r="H271" i="553"/>
  <c r="W270" i="553"/>
  <c r="V270" i="553"/>
  <c r="N270" i="553"/>
  <c r="K270" i="553" a="1"/>
  <c r="K270" i="553" s="1"/>
  <c r="M270" i="553" s="1"/>
  <c r="J270" i="553" a="1"/>
  <c r="J270" i="553" s="1"/>
  <c r="H270" i="553"/>
  <c r="V269" i="553"/>
  <c r="W269" i="553" s="1"/>
  <c r="N269" i="553"/>
  <c r="K269" i="553" a="1"/>
  <c r="K269" i="553" s="1"/>
  <c r="M269" i="553" s="1"/>
  <c r="J269" i="553" a="1"/>
  <c r="J269" i="553" s="1"/>
  <c r="H269" i="553"/>
  <c r="V268" i="553"/>
  <c r="W268" i="553" s="1"/>
  <c r="N268" i="553"/>
  <c r="K268" i="553"/>
  <c r="M268" i="553" s="1"/>
  <c r="K268" i="553" a="1"/>
  <c r="J268" i="553"/>
  <c r="J268" i="553" a="1"/>
  <c r="H268" i="553"/>
  <c r="V267" i="553"/>
  <c r="W267" i="553" s="1"/>
  <c r="N267" i="553"/>
  <c r="K267" i="553" a="1"/>
  <c r="K267" i="553" s="1"/>
  <c r="M267" i="553" s="1"/>
  <c r="J267" i="553" a="1"/>
  <c r="J267" i="553" s="1"/>
  <c r="H267" i="553"/>
  <c r="W266" i="553"/>
  <c r="V266" i="553"/>
  <c r="N266" i="553"/>
  <c r="K266" i="553" a="1"/>
  <c r="K266" i="553" s="1"/>
  <c r="M266" i="553" s="1"/>
  <c r="J266" i="553" a="1"/>
  <c r="J266" i="553" s="1"/>
  <c r="H266" i="553"/>
  <c r="N265" i="553"/>
  <c r="K265" i="553" a="1"/>
  <c r="K265" i="553" s="1"/>
  <c r="M265" i="553" s="1"/>
  <c r="H265" i="553"/>
  <c r="V264" i="553"/>
  <c r="W264" i="553" s="1"/>
  <c r="N264" i="553"/>
  <c r="K264" i="553"/>
  <c r="M264" i="553" s="1"/>
  <c r="K264" i="553" a="1"/>
  <c r="J264" i="553"/>
  <c r="J264" i="553" a="1"/>
  <c r="H264" i="553"/>
  <c r="V263" i="553"/>
  <c r="W263" i="553" s="1"/>
  <c r="N263" i="553"/>
  <c r="K263" i="553" a="1"/>
  <c r="K263" i="553" s="1"/>
  <c r="M263" i="553" s="1"/>
  <c r="J263" i="553" a="1"/>
  <c r="J263" i="553" s="1"/>
  <c r="H263" i="553"/>
  <c r="W262" i="553"/>
  <c r="V262" i="553"/>
  <c r="N262" i="553"/>
  <c r="K262" i="553" a="1"/>
  <c r="K262" i="553" s="1"/>
  <c r="M262" i="553" s="1"/>
  <c r="J262" i="553" a="1"/>
  <c r="J262" i="553" s="1"/>
  <c r="H262" i="553"/>
  <c r="V261" i="553"/>
  <c r="W261" i="553" s="1"/>
  <c r="N261" i="553"/>
  <c r="K261" i="553" a="1"/>
  <c r="K261" i="553" s="1"/>
  <c r="M261" i="553" s="1"/>
  <c r="J261" i="553" a="1"/>
  <c r="J261" i="553" s="1"/>
  <c r="H261" i="553"/>
  <c r="V260" i="553"/>
  <c r="W260" i="553" s="1"/>
  <c r="N260" i="553"/>
  <c r="K260" i="553"/>
  <c r="M260" i="553" s="1"/>
  <c r="K260" i="553" a="1"/>
  <c r="J260" i="553"/>
  <c r="J260" i="553" a="1"/>
  <c r="H260" i="553"/>
  <c r="V259" i="553"/>
  <c r="W259" i="553" s="1"/>
  <c r="N259" i="553"/>
  <c r="K259" i="553" a="1"/>
  <c r="K259" i="553" s="1"/>
  <c r="M259" i="553" s="1"/>
  <c r="J259" i="553" a="1"/>
  <c r="J259" i="553" s="1"/>
  <c r="H259" i="553"/>
  <c r="W258" i="553"/>
  <c r="V258" i="553"/>
  <c r="N258" i="553"/>
  <c r="N292" i="553" s="1"/>
  <c r="K258" i="553" a="1"/>
  <c r="K258" i="553" s="1"/>
  <c r="J258" i="553" a="1"/>
  <c r="J258" i="553" s="1"/>
  <c r="H258" i="553"/>
  <c r="H292" i="553" s="1"/>
  <c r="AA257" i="553"/>
  <c r="Z257" i="553"/>
  <c r="Y257" i="553"/>
  <c r="X257" i="553"/>
  <c r="U257" i="553"/>
  <c r="T257" i="553"/>
  <c r="S257" i="553"/>
  <c r="R257" i="553"/>
  <c r="Q257" i="553"/>
  <c r="P257" i="553"/>
  <c r="O257" i="553"/>
  <c r="I257" i="553"/>
  <c r="G257" i="553"/>
  <c r="H256" i="553"/>
  <c r="H255" i="553"/>
  <c r="H254" i="553"/>
  <c r="H253" i="553"/>
  <c r="H252" i="553"/>
  <c r="H251" i="553"/>
  <c r="K250" i="553" a="1"/>
  <c r="K250" i="553" s="1"/>
  <c r="M250" i="553" s="1"/>
  <c r="H250" i="553"/>
  <c r="K249" i="553" a="1"/>
  <c r="K249" i="553" s="1"/>
  <c r="M249" i="553" s="1"/>
  <c r="H249" i="553"/>
  <c r="K248" i="553" a="1"/>
  <c r="K248" i="553" s="1"/>
  <c r="M248" i="553" s="1"/>
  <c r="H248" i="553"/>
  <c r="K247" i="553" a="1"/>
  <c r="K247" i="553" s="1"/>
  <c r="M247" i="553" s="1"/>
  <c r="H247" i="553"/>
  <c r="W246" i="553"/>
  <c r="V246" i="553"/>
  <c r="N246" i="553"/>
  <c r="K246" i="553" a="1"/>
  <c r="K246" i="553" s="1"/>
  <c r="M246" i="553" s="1"/>
  <c r="J246" i="553" a="1"/>
  <c r="J246" i="553" s="1"/>
  <c r="H246" i="553"/>
  <c r="V245" i="553"/>
  <c r="W245" i="553" s="1"/>
  <c r="N245" i="553"/>
  <c r="K245" i="553" a="1"/>
  <c r="K245" i="553" s="1"/>
  <c r="M245" i="553" s="1"/>
  <c r="J245" i="553" a="1"/>
  <c r="J245" i="553" s="1"/>
  <c r="H245" i="553"/>
  <c r="V244" i="553"/>
  <c r="W244" i="553" s="1"/>
  <c r="N244" i="553"/>
  <c r="K244" i="553"/>
  <c r="M244" i="553" s="1"/>
  <c r="K244" i="553" a="1"/>
  <c r="J244" i="553"/>
  <c r="J244" i="553" a="1"/>
  <c r="H244" i="553"/>
  <c r="V243" i="553"/>
  <c r="W243" i="553" s="1"/>
  <c r="N243" i="553"/>
  <c r="K243" i="553" a="1"/>
  <c r="K243" i="553" s="1"/>
  <c r="M243" i="553" s="1"/>
  <c r="J243" i="553" a="1"/>
  <c r="J243" i="553" s="1"/>
  <c r="H243" i="553"/>
  <c r="M242" i="553"/>
  <c r="H242" i="553"/>
  <c r="W241" i="553"/>
  <c r="V241" i="553"/>
  <c r="N241" i="553"/>
  <c r="K241" i="553" a="1"/>
  <c r="K241" i="553" s="1"/>
  <c r="M241" i="553" s="1"/>
  <c r="J241" i="553" a="1"/>
  <c r="J241" i="553" s="1"/>
  <c r="H241" i="553"/>
  <c r="V240" i="553"/>
  <c r="W240" i="553" s="1"/>
  <c r="N240" i="553"/>
  <c r="K240" i="553" a="1"/>
  <c r="K240" i="553" s="1"/>
  <c r="M240" i="553" s="1"/>
  <c r="J240" i="553" a="1"/>
  <c r="J240" i="553" s="1"/>
  <c r="H240" i="553"/>
  <c r="K239" i="553" a="1"/>
  <c r="K239" i="553" s="1"/>
  <c r="M239" i="553" s="1"/>
  <c r="H239" i="553"/>
  <c r="H238" i="553"/>
  <c r="V237" i="553"/>
  <c r="W237" i="553" s="1"/>
  <c r="N237" i="553"/>
  <c r="K237" i="553" a="1"/>
  <c r="K237" i="553" s="1"/>
  <c r="M237" i="553" s="1"/>
  <c r="J237" i="553" a="1"/>
  <c r="J237" i="553" s="1"/>
  <c r="H237" i="553"/>
  <c r="W236" i="553"/>
  <c r="V236" i="553"/>
  <c r="N236" i="553"/>
  <c r="K236" i="553" a="1"/>
  <c r="K236" i="553" s="1"/>
  <c r="M236" i="553" s="1"/>
  <c r="J236" i="553" a="1"/>
  <c r="J236" i="553" s="1"/>
  <c r="H236" i="553"/>
  <c r="V235" i="553"/>
  <c r="W235" i="553" s="1"/>
  <c r="N235" i="553"/>
  <c r="K235" i="553" a="1"/>
  <c r="K235" i="553" s="1"/>
  <c r="M235" i="553" s="1"/>
  <c r="J235" i="553" a="1"/>
  <c r="J235" i="553" s="1"/>
  <c r="H235" i="553"/>
  <c r="V234" i="553"/>
  <c r="W234" i="553" s="1"/>
  <c r="N234" i="553"/>
  <c r="K234" i="553"/>
  <c r="M234" i="553" s="1"/>
  <c r="K234" i="553" a="1"/>
  <c r="J234" i="553"/>
  <c r="J234" i="553" a="1"/>
  <c r="H234" i="553"/>
  <c r="V233" i="553"/>
  <c r="W233" i="553" s="1"/>
  <c r="N233" i="553"/>
  <c r="K233" i="553" a="1"/>
  <c r="K233" i="553" s="1"/>
  <c r="M233" i="553" s="1"/>
  <c r="J233" i="553" a="1"/>
  <c r="J233" i="553" s="1"/>
  <c r="H233" i="553"/>
  <c r="W232" i="553"/>
  <c r="V232" i="553"/>
  <c r="N232" i="553"/>
  <c r="K232" i="553" a="1"/>
  <c r="K232" i="553" s="1"/>
  <c r="M232" i="553" s="1"/>
  <c r="J232" i="553" a="1"/>
  <c r="J232" i="553" s="1"/>
  <c r="H232" i="553"/>
  <c r="V231" i="553"/>
  <c r="W231" i="553" s="1"/>
  <c r="N231" i="553"/>
  <c r="K231" i="553" a="1"/>
  <c r="K231" i="553" s="1"/>
  <c r="M231" i="553" s="1"/>
  <c r="J231" i="553" a="1"/>
  <c r="J231" i="553" s="1"/>
  <c r="H231" i="553"/>
  <c r="V230" i="553"/>
  <c r="W230" i="553" s="1"/>
  <c r="N230" i="553"/>
  <c r="K230" i="553"/>
  <c r="M230" i="553" s="1"/>
  <c r="K230" i="553" a="1"/>
  <c r="J230" i="553"/>
  <c r="J230" i="553" a="1"/>
  <c r="H230" i="553"/>
  <c r="V229" i="553"/>
  <c r="W229" i="553" s="1"/>
  <c r="N229" i="553"/>
  <c r="K229" i="553" a="1"/>
  <c r="K229" i="553" s="1"/>
  <c r="M229" i="553" s="1"/>
  <c r="J229" i="553" a="1"/>
  <c r="J229" i="553" s="1"/>
  <c r="H229" i="553"/>
  <c r="W228" i="553"/>
  <c r="V228" i="553"/>
  <c r="N228" i="553"/>
  <c r="K228" i="553" a="1"/>
  <c r="K228" i="553" s="1"/>
  <c r="M228" i="553" s="1"/>
  <c r="J228" i="553" a="1"/>
  <c r="J228" i="553" s="1"/>
  <c r="H228" i="553"/>
  <c r="N227" i="553"/>
  <c r="K227" i="553" a="1"/>
  <c r="K227" i="553" s="1"/>
  <c r="M227" i="553" s="1"/>
  <c r="H227" i="553"/>
  <c r="N226" i="553"/>
  <c r="K226" i="553"/>
  <c r="M226" i="553" s="1"/>
  <c r="K226" i="553" a="1"/>
  <c r="H226" i="553"/>
  <c r="N225" i="553"/>
  <c r="K225" i="553" a="1"/>
  <c r="K225" i="553" s="1"/>
  <c r="M225" i="553" s="1"/>
  <c r="H225" i="553"/>
  <c r="N224" i="553"/>
  <c r="K224" i="553" a="1"/>
  <c r="K224" i="553" s="1"/>
  <c r="M224" i="553" s="1"/>
  <c r="H224" i="553"/>
  <c r="N223" i="553"/>
  <c r="K223" i="553" a="1"/>
  <c r="K223" i="553" s="1"/>
  <c r="M223" i="553" s="1"/>
  <c r="H223" i="553"/>
  <c r="N222" i="553"/>
  <c r="K222" i="553"/>
  <c r="M222" i="553" s="1"/>
  <c r="K222" i="553" a="1"/>
  <c r="H222" i="553"/>
  <c r="N221" i="553"/>
  <c r="K221" i="553" a="1"/>
  <c r="K221" i="553" s="1"/>
  <c r="M221" i="553" s="1"/>
  <c r="H221" i="553"/>
  <c r="N220" i="553"/>
  <c r="K220" i="553" a="1"/>
  <c r="K220" i="553" s="1"/>
  <c r="M220" i="553" s="1"/>
  <c r="H220" i="553"/>
  <c r="V219" i="553"/>
  <c r="W219" i="553" s="1"/>
  <c r="N219" i="553"/>
  <c r="K219" i="553" a="1"/>
  <c r="K219" i="553" s="1"/>
  <c r="M219" i="553" s="1"/>
  <c r="J219" i="553" a="1"/>
  <c r="J219" i="553" s="1"/>
  <c r="H219" i="553"/>
  <c r="V218" i="553"/>
  <c r="W218" i="553" s="1"/>
  <c r="N218" i="553"/>
  <c r="K218" i="553"/>
  <c r="M218" i="553" s="1"/>
  <c r="K218" i="553" a="1"/>
  <c r="J218" i="553" a="1"/>
  <c r="J218" i="553" s="1"/>
  <c r="H218" i="553"/>
  <c r="V217" i="553"/>
  <c r="W217" i="553" s="1"/>
  <c r="N217" i="553"/>
  <c r="K217" i="553" a="1"/>
  <c r="K217" i="553" s="1"/>
  <c r="M217" i="553" s="1"/>
  <c r="J217" i="553" a="1"/>
  <c r="J217" i="553" s="1"/>
  <c r="H217" i="553"/>
  <c r="V216" i="553"/>
  <c r="W216" i="553" s="1"/>
  <c r="N216" i="553"/>
  <c r="K216" i="553" a="1"/>
  <c r="K216" i="553" s="1"/>
  <c r="M216" i="553" s="1"/>
  <c r="J216" i="553" a="1"/>
  <c r="J216" i="553" s="1"/>
  <c r="H216" i="553"/>
  <c r="V215" i="553"/>
  <c r="W215" i="553" s="1"/>
  <c r="N215" i="553"/>
  <c r="K215" i="553" a="1"/>
  <c r="K215" i="553" s="1"/>
  <c r="M215" i="553" s="1"/>
  <c r="J215" i="553" a="1"/>
  <c r="J215" i="553" s="1"/>
  <c r="H215" i="553"/>
  <c r="V214" i="553"/>
  <c r="W214" i="553" s="1"/>
  <c r="N214" i="553"/>
  <c r="K214" i="553"/>
  <c r="M214" i="553" s="1"/>
  <c r="K214" i="553" a="1"/>
  <c r="J214" i="553"/>
  <c r="J214" i="553" a="1"/>
  <c r="H214" i="553"/>
  <c r="V213" i="553"/>
  <c r="W213" i="553" s="1"/>
  <c r="N213" i="553"/>
  <c r="K213" i="553" a="1"/>
  <c r="K213" i="553" s="1"/>
  <c r="M213" i="553" s="1"/>
  <c r="J213" i="553" a="1"/>
  <c r="J213" i="553" s="1"/>
  <c r="H213" i="553"/>
  <c r="W212" i="553"/>
  <c r="V212" i="553"/>
  <c r="N212" i="553"/>
  <c r="K212" i="553" a="1"/>
  <c r="K212" i="553" s="1"/>
  <c r="M212" i="553" s="1"/>
  <c r="J212" i="553" a="1"/>
  <c r="J212" i="553" s="1"/>
  <c r="H212" i="553"/>
  <c r="V211" i="553"/>
  <c r="W211" i="553" s="1"/>
  <c r="N211" i="553"/>
  <c r="K211" i="553" a="1"/>
  <c r="K211" i="553" s="1"/>
  <c r="M211" i="553" s="1"/>
  <c r="J211" i="553" a="1"/>
  <c r="J211" i="553" s="1"/>
  <c r="H211" i="553"/>
  <c r="V210" i="553"/>
  <c r="W210" i="553" s="1"/>
  <c r="N210" i="553"/>
  <c r="K210" i="553"/>
  <c r="M210" i="553" s="1"/>
  <c r="K210" i="553" a="1"/>
  <c r="J210" i="553"/>
  <c r="J210" i="553" a="1"/>
  <c r="H210" i="553"/>
  <c r="V209" i="553"/>
  <c r="W209" i="553" s="1"/>
  <c r="N209" i="553"/>
  <c r="K209" i="553" a="1"/>
  <c r="K209" i="553" s="1"/>
  <c r="M209" i="553" s="1"/>
  <c r="J209" i="553" a="1"/>
  <c r="J209" i="553" s="1"/>
  <c r="H209" i="553"/>
  <c r="V208" i="553"/>
  <c r="W208" i="553" s="1"/>
  <c r="N208" i="553"/>
  <c r="K208" i="553" a="1"/>
  <c r="K208" i="553" s="1"/>
  <c r="M208" i="553" s="1"/>
  <c r="J208" i="553" a="1"/>
  <c r="J208" i="553" s="1"/>
  <c r="H208" i="553"/>
  <c r="H207" i="553"/>
  <c r="H206" i="553"/>
  <c r="H205" i="553"/>
  <c r="V204" i="553"/>
  <c r="W204" i="553" s="1"/>
  <c r="N204" i="553"/>
  <c r="K204" i="553" a="1"/>
  <c r="K204" i="553" s="1"/>
  <c r="M204" i="553" s="1"/>
  <c r="J204" i="553" a="1"/>
  <c r="J204" i="553" s="1"/>
  <c r="H204" i="553"/>
  <c r="V203" i="553"/>
  <c r="W203" i="553" s="1"/>
  <c r="N203" i="553"/>
  <c r="K203" i="553" a="1"/>
  <c r="K203" i="553" s="1"/>
  <c r="M203" i="553" s="1"/>
  <c r="J203" i="553" a="1"/>
  <c r="J203" i="553" s="1"/>
  <c r="H203" i="553"/>
  <c r="V202" i="553"/>
  <c r="W202" i="553" s="1"/>
  <c r="N202" i="553"/>
  <c r="K202" i="553"/>
  <c r="M202" i="553" s="1"/>
  <c r="K202" i="553" a="1"/>
  <c r="J202" i="553"/>
  <c r="J202" i="553" a="1"/>
  <c r="H202" i="553"/>
  <c r="H201" i="553"/>
  <c r="W200" i="553"/>
  <c r="V200" i="553"/>
  <c r="V257" i="553" s="1"/>
  <c r="W257" i="553" s="1"/>
  <c r="N200" i="553"/>
  <c r="N257" i="553" s="1"/>
  <c r="K200" i="553"/>
  <c r="M200" i="553" s="1"/>
  <c r="K200" i="553" a="1"/>
  <c r="J200" i="553" a="1"/>
  <c r="J200" i="553" s="1"/>
  <c r="H200" i="553"/>
  <c r="H257" i="553" s="1"/>
  <c r="AA199" i="553"/>
  <c r="AA335" i="553" s="1"/>
  <c r="Z199" i="553"/>
  <c r="Z335" i="553" s="1"/>
  <c r="Y199" i="553"/>
  <c r="Y335" i="553" s="1"/>
  <c r="X199" i="553"/>
  <c r="X335" i="553" s="1"/>
  <c r="U199" i="553"/>
  <c r="U335" i="553" s="1"/>
  <c r="T199" i="553"/>
  <c r="T335" i="553" s="1"/>
  <c r="S199" i="553"/>
  <c r="S335" i="553" s="1"/>
  <c r="R199" i="553"/>
  <c r="R335" i="553" s="1"/>
  <c r="Q199" i="553"/>
  <c r="Q335" i="553" s="1"/>
  <c r="P199" i="553"/>
  <c r="O199" i="553"/>
  <c r="I199" i="553"/>
  <c r="I335" i="553" s="1"/>
  <c r="B343" i="553" s="1"/>
  <c r="G199" i="553"/>
  <c r="G335" i="553" s="1"/>
  <c r="V198" i="553"/>
  <c r="W198" i="553" s="1"/>
  <c r="N198" i="553"/>
  <c r="K198" i="553" a="1"/>
  <c r="K198" i="553" s="1"/>
  <c r="M198" i="553" s="1"/>
  <c r="J198" i="553" a="1"/>
  <c r="J198" i="553" s="1"/>
  <c r="H198" i="553"/>
  <c r="V197" i="553"/>
  <c r="W197" i="553" s="1"/>
  <c r="N197" i="553"/>
  <c r="K197" i="553" a="1"/>
  <c r="K197" i="553" s="1"/>
  <c r="M197" i="553" s="1"/>
  <c r="J197" i="553" a="1"/>
  <c r="J197" i="553" s="1"/>
  <c r="H197" i="553"/>
  <c r="K196" i="553"/>
  <c r="M196" i="553" s="1"/>
  <c r="K196" i="553" a="1"/>
  <c r="H196" i="553"/>
  <c r="K195" i="553" a="1"/>
  <c r="K195" i="553" s="1"/>
  <c r="M195" i="553" s="1"/>
  <c r="H195" i="553"/>
  <c r="K194" i="553"/>
  <c r="M194" i="553" s="1"/>
  <c r="K194" i="553" a="1"/>
  <c r="H194" i="553"/>
  <c r="K193" i="553" a="1"/>
  <c r="K193" i="553" s="1"/>
  <c r="M193" i="553" s="1"/>
  <c r="H193" i="553"/>
  <c r="V192" i="553"/>
  <c r="W192" i="553" s="1"/>
  <c r="N192" i="553"/>
  <c r="K192" i="553" a="1"/>
  <c r="K192" i="553" s="1"/>
  <c r="M192" i="553" s="1"/>
  <c r="J192" i="553" a="1"/>
  <c r="J192" i="553" s="1"/>
  <c r="H192" i="553"/>
  <c r="V191" i="553"/>
  <c r="W191" i="553" s="1"/>
  <c r="N191" i="553"/>
  <c r="K191" i="553"/>
  <c r="M191" i="553" s="1"/>
  <c r="K191" i="553" a="1"/>
  <c r="J191" i="553" a="1"/>
  <c r="J191" i="553" s="1"/>
  <c r="H191" i="553"/>
  <c r="V190" i="553"/>
  <c r="W190" i="553" s="1"/>
  <c r="N190" i="553"/>
  <c r="K190" i="553" a="1"/>
  <c r="K190" i="553" s="1"/>
  <c r="M190" i="553" s="1"/>
  <c r="J190" i="553" a="1"/>
  <c r="J190" i="553" s="1"/>
  <c r="H190" i="553"/>
  <c r="N189" i="553"/>
  <c r="K189" i="553" a="1"/>
  <c r="K189" i="553" s="1"/>
  <c r="M189" i="553" s="1"/>
  <c r="J189" i="553" a="1"/>
  <c r="J189" i="553" s="1"/>
  <c r="H189" i="553"/>
  <c r="N188" i="553"/>
  <c r="K188" i="553" a="1"/>
  <c r="K188" i="553" s="1"/>
  <c r="M188" i="553" s="1"/>
  <c r="J188" i="553" a="1"/>
  <c r="J188" i="553" s="1"/>
  <c r="H188" i="553"/>
  <c r="V187" i="553"/>
  <c r="W187" i="553" s="1"/>
  <c r="N187" i="553"/>
  <c r="K187" i="553" a="1"/>
  <c r="K187" i="553" s="1"/>
  <c r="M187" i="553" s="1"/>
  <c r="J187" i="553" a="1"/>
  <c r="J187" i="553" s="1"/>
  <c r="H187" i="553"/>
  <c r="V186" i="553"/>
  <c r="W186" i="553" s="1"/>
  <c r="N186" i="553"/>
  <c r="K186" i="553" a="1"/>
  <c r="K186" i="553" s="1"/>
  <c r="M186" i="553" s="1"/>
  <c r="J186" i="553" a="1"/>
  <c r="J186" i="553" s="1"/>
  <c r="H186" i="553"/>
  <c r="N185" i="553"/>
  <c r="K185" i="553" a="1"/>
  <c r="K185" i="553" s="1"/>
  <c r="M185" i="553" s="1"/>
  <c r="H185" i="553"/>
  <c r="N184" i="553"/>
  <c r="K184" i="553" a="1"/>
  <c r="K184" i="553" s="1"/>
  <c r="M184" i="553" s="1"/>
  <c r="H184" i="553"/>
  <c r="W183" i="553"/>
  <c r="V183" i="553"/>
  <c r="N183" i="553"/>
  <c r="K183" i="553" a="1"/>
  <c r="K183" i="553" s="1"/>
  <c r="M183" i="553" s="1"/>
  <c r="J183" i="553" a="1"/>
  <c r="J183" i="553" s="1"/>
  <c r="H183" i="553"/>
  <c r="V182" i="553"/>
  <c r="W182" i="553" s="1"/>
  <c r="N182" i="553"/>
  <c r="K182" i="553" a="1"/>
  <c r="K182" i="553" s="1"/>
  <c r="M182" i="553" s="1"/>
  <c r="J182" i="553" a="1"/>
  <c r="J182" i="553" s="1"/>
  <c r="H182" i="553"/>
  <c r="V181" i="553"/>
  <c r="W181" i="553" s="1"/>
  <c r="N181" i="553"/>
  <c r="K181" i="553"/>
  <c r="M181" i="553" s="1"/>
  <c r="K181" i="553" a="1"/>
  <c r="J181" i="553"/>
  <c r="J181" i="553" a="1"/>
  <c r="H181" i="553"/>
  <c r="V180" i="553"/>
  <c r="W180" i="553" s="1"/>
  <c r="N180" i="553"/>
  <c r="K180" i="553" a="1"/>
  <c r="K180" i="553" s="1"/>
  <c r="M180" i="553" s="1"/>
  <c r="J180" i="553" a="1"/>
  <c r="J180" i="553" s="1"/>
  <c r="H180" i="553"/>
  <c r="W179" i="553"/>
  <c r="V179" i="553"/>
  <c r="N179" i="553"/>
  <c r="K179" i="553" a="1"/>
  <c r="K179" i="553" s="1"/>
  <c r="M179" i="553" s="1"/>
  <c r="J179" i="553" a="1"/>
  <c r="J179" i="553" s="1"/>
  <c r="H179" i="553"/>
  <c r="V178" i="553"/>
  <c r="V199" i="553" s="1"/>
  <c r="N178" i="553"/>
  <c r="K178" i="553" a="1"/>
  <c r="K178" i="553" s="1"/>
  <c r="J178" i="553" a="1"/>
  <c r="J178" i="553" s="1"/>
  <c r="H178" i="553"/>
  <c r="X171" i="553"/>
  <c r="Q529" i="553" s="1"/>
  <c r="X170" i="553"/>
  <c r="Q528" i="553" s="1"/>
  <c r="G170" i="553"/>
  <c r="C170" i="553"/>
  <c r="X169" i="553"/>
  <c r="Q527" i="553" s="1"/>
  <c r="I169" i="553"/>
  <c r="E169" i="553"/>
  <c r="K169" i="553" s="1"/>
  <c r="M169" i="553" s="1"/>
  <c r="I168" i="553"/>
  <c r="E168" i="553"/>
  <c r="K168" i="553" s="1"/>
  <c r="M168" i="553" s="1"/>
  <c r="I167" i="553"/>
  <c r="E167" i="553"/>
  <c r="K167" i="553" s="1"/>
  <c r="M167" i="553" s="1"/>
  <c r="X166" i="553"/>
  <c r="Q524" i="553" s="1"/>
  <c r="I166" i="553"/>
  <c r="I170" i="553" s="1"/>
  <c r="E166" i="553"/>
  <c r="E170" i="553" s="1"/>
  <c r="AA163" i="553"/>
  <c r="Z163" i="553"/>
  <c r="Y163" i="553"/>
  <c r="X163" i="553"/>
  <c r="U163" i="553"/>
  <c r="T163" i="553"/>
  <c r="S163" i="553"/>
  <c r="R163" i="553"/>
  <c r="Q163" i="553"/>
  <c r="P163" i="553"/>
  <c r="O163" i="553"/>
  <c r="I163" i="553"/>
  <c r="G163" i="553"/>
  <c r="C529" i="553" s="1"/>
  <c r="H162" i="553"/>
  <c r="H161" i="553"/>
  <c r="H160" i="553"/>
  <c r="V159" i="553"/>
  <c r="W159" i="553" s="1"/>
  <c r="N159" i="553"/>
  <c r="K159" i="553"/>
  <c r="K159" i="553" a="1"/>
  <c r="J159" i="553" a="1"/>
  <c r="J159" i="553" s="1"/>
  <c r="H159" i="553"/>
  <c r="D159" i="553"/>
  <c r="V158" i="553"/>
  <c r="W158" i="553" s="1"/>
  <c r="N158" i="553"/>
  <c r="K158" i="553" a="1"/>
  <c r="K158" i="553" s="1"/>
  <c r="M158" i="553" s="1"/>
  <c r="J158" i="553" a="1"/>
  <c r="J158" i="553" s="1"/>
  <c r="H158" i="553"/>
  <c r="H157" i="553"/>
  <c r="H156" i="553"/>
  <c r="V155" i="553"/>
  <c r="W155" i="553" s="1"/>
  <c r="N155" i="553"/>
  <c r="K155" i="553" a="1"/>
  <c r="K155" i="553" s="1"/>
  <c r="M155" i="553" s="1"/>
  <c r="J155" i="553" a="1"/>
  <c r="J155" i="553" s="1"/>
  <c r="H155" i="553"/>
  <c r="V154" i="553"/>
  <c r="W154" i="553" s="1"/>
  <c r="N154" i="553"/>
  <c r="K154" i="553" a="1"/>
  <c r="K154" i="553" s="1"/>
  <c r="M154" i="553" s="1"/>
  <c r="J154" i="553" a="1"/>
  <c r="J154" i="553" s="1"/>
  <c r="H154" i="553"/>
  <c r="H153" i="553"/>
  <c r="W152" i="553"/>
  <c r="V152" i="553"/>
  <c r="N152" i="553"/>
  <c r="K152" i="553" a="1"/>
  <c r="K152" i="553" s="1"/>
  <c r="M152" i="553" s="1"/>
  <c r="J152" i="553" a="1"/>
  <c r="J152" i="553" s="1"/>
  <c r="H152" i="553"/>
  <c r="V151" i="553"/>
  <c r="W151" i="553" s="1"/>
  <c r="N151" i="553"/>
  <c r="K151" i="553" a="1"/>
  <c r="K151" i="553" s="1"/>
  <c r="M151" i="553" s="1"/>
  <c r="J151" i="553" a="1"/>
  <c r="J151" i="553" s="1"/>
  <c r="H151" i="553"/>
  <c r="W150" i="553"/>
  <c r="V150" i="553"/>
  <c r="N150" i="553"/>
  <c r="K150" i="553"/>
  <c r="M150" i="553" s="1"/>
  <c r="K150" i="553" a="1"/>
  <c r="J150" i="553" a="1"/>
  <c r="J150" i="553" s="1"/>
  <c r="H150" i="553"/>
  <c r="V149" i="553"/>
  <c r="W149" i="553" s="1"/>
  <c r="N149" i="553"/>
  <c r="N163" i="553" s="1"/>
  <c r="K149" i="553" a="1"/>
  <c r="K149" i="553" s="1"/>
  <c r="J149" i="553" a="1"/>
  <c r="J149" i="553" s="1"/>
  <c r="H149" i="553"/>
  <c r="AA148" i="553"/>
  <c r="Z148" i="553"/>
  <c r="Y148" i="553"/>
  <c r="X148" i="553"/>
  <c r="U148" i="553"/>
  <c r="T148" i="553"/>
  <c r="S148" i="553"/>
  <c r="Q148" i="553"/>
  <c r="P148" i="553"/>
  <c r="O148" i="553"/>
  <c r="R170" i="553" s="1"/>
  <c r="I148" i="553"/>
  <c r="G148" i="553"/>
  <c r="C528" i="553" s="1"/>
  <c r="V147" i="553"/>
  <c r="W147" i="553" s="1"/>
  <c r="N147" i="553"/>
  <c r="K147" i="553" a="1"/>
  <c r="K147" i="553" s="1"/>
  <c r="M147" i="553" s="1"/>
  <c r="J147" i="553" a="1"/>
  <c r="J147" i="553" s="1"/>
  <c r="H147" i="553"/>
  <c r="K146" i="553" a="1"/>
  <c r="K146" i="553" s="1"/>
  <c r="H146" i="553"/>
  <c r="K145" i="553" a="1"/>
  <c r="K145" i="553" s="1"/>
  <c r="H145" i="553"/>
  <c r="K144" i="553" a="1"/>
  <c r="K144" i="553" s="1"/>
  <c r="H144" i="553"/>
  <c r="K143" i="553" a="1"/>
  <c r="K143" i="553" s="1"/>
  <c r="H143" i="553"/>
  <c r="V142" i="553"/>
  <c r="W142" i="553" s="1"/>
  <c r="N142" i="553"/>
  <c r="K142" i="553" a="1"/>
  <c r="K142" i="553" s="1"/>
  <c r="M142" i="553" s="1"/>
  <c r="J142" i="553" a="1"/>
  <c r="J142" i="553" s="1"/>
  <c r="H142" i="553"/>
  <c r="V141" i="553"/>
  <c r="W141" i="553" s="1"/>
  <c r="N141" i="553"/>
  <c r="K141" i="553"/>
  <c r="M141" i="553" s="1"/>
  <c r="K141" i="553" a="1"/>
  <c r="J141" i="553"/>
  <c r="J141" i="553" a="1"/>
  <c r="H141" i="553"/>
  <c r="V140" i="553"/>
  <c r="W140" i="553" s="1"/>
  <c r="N140" i="553"/>
  <c r="K140" i="553" a="1"/>
  <c r="K140" i="553" s="1"/>
  <c r="M140" i="553" s="1"/>
  <c r="J140" i="553" a="1"/>
  <c r="J140" i="553" s="1"/>
  <c r="H140" i="553"/>
  <c r="V139" i="553"/>
  <c r="W139" i="553" s="1"/>
  <c r="N139" i="553"/>
  <c r="K139" i="553"/>
  <c r="M139" i="553" s="1"/>
  <c r="K139" i="553" a="1"/>
  <c r="J139" i="553" a="1"/>
  <c r="J139" i="553" s="1"/>
  <c r="H139" i="553"/>
  <c r="V138" i="553"/>
  <c r="V148" i="553" s="1"/>
  <c r="W148" i="553" s="1"/>
  <c r="N138" i="553"/>
  <c r="N148" i="553" s="1"/>
  <c r="K138" i="553" a="1"/>
  <c r="K138" i="553" s="1"/>
  <c r="J138" i="553" a="1"/>
  <c r="J138" i="553" s="1"/>
  <c r="H138" i="553"/>
  <c r="H148" i="553" s="1"/>
  <c r="AA137" i="553"/>
  <c r="Z137" i="553"/>
  <c r="Y137" i="553"/>
  <c r="X137" i="553"/>
  <c r="U137" i="553"/>
  <c r="T137" i="553"/>
  <c r="S137" i="553"/>
  <c r="Q137" i="553"/>
  <c r="P137" i="553"/>
  <c r="O137" i="553"/>
  <c r="R169" i="553" s="1"/>
  <c r="I137" i="553"/>
  <c r="G137" i="553"/>
  <c r="C527" i="553" s="1"/>
  <c r="V136" i="553"/>
  <c r="W136" i="553" s="1"/>
  <c r="N136" i="553"/>
  <c r="K136" i="553" a="1"/>
  <c r="K136" i="553" s="1"/>
  <c r="M136" i="553" s="1"/>
  <c r="J136" i="553" a="1"/>
  <c r="J136" i="553" s="1"/>
  <c r="H136" i="553"/>
  <c r="V135" i="553"/>
  <c r="W135" i="553" s="1"/>
  <c r="N135" i="553"/>
  <c r="K135" i="553" a="1"/>
  <c r="K135" i="553" s="1"/>
  <c r="M135" i="553" s="1"/>
  <c r="J135" i="553" a="1"/>
  <c r="J135" i="553" s="1"/>
  <c r="H135" i="553"/>
  <c r="V134" i="553"/>
  <c r="W134" i="553" s="1"/>
  <c r="N134" i="553"/>
  <c r="K134" i="553" a="1"/>
  <c r="K134" i="553" s="1"/>
  <c r="M134" i="553" s="1"/>
  <c r="J134" i="553" a="1"/>
  <c r="J134" i="553" s="1"/>
  <c r="H134" i="553"/>
  <c r="V133" i="553"/>
  <c r="W133" i="553" s="1"/>
  <c r="N133" i="553"/>
  <c r="K133" i="553" a="1"/>
  <c r="K133" i="553" s="1"/>
  <c r="M133" i="553" s="1"/>
  <c r="J133" i="553" a="1"/>
  <c r="J133" i="553" s="1"/>
  <c r="H133" i="553"/>
  <c r="V132" i="553"/>
  <c r="W132" i="553" s="1"/>
  <c r="N132" i="553"/>
  <c r="K132" i="553" a="1"/>
  <c r="K132" i="553" s="1"/>
  <c r="M132" i="553" s="1"/>
  <c r="J132" i="553" a="1"/>
  <c r="J132" i="553" s="1"/>
  <c r="H132" i="553"/>
  <c r="V131" i="553"/>
  <c r="W131" i="553" s="1"/>
  <c r="N131" i="553"/>
  <c r="K131" i="553" a="1"/>
  <c r="K131" i="553" s="1"/>
  <c r="M131" i="553" s="1"/>
  <c r="J131" i="553" a="1"/>
  <c r="J131" i="553" s="1"/>
  <c r="H131" i="553"/>
  <c r="V130" i="553"/>
  <c r="W130" i="553" s="1"/>
  <c r="N130" i="553"/>
  <c r="K130" i="553" a="1"/>
  <c r="K130" i="553" s="1"/>
  <c r="M130" i="553" s="1"/>
  <c r="J130" i="553" a="1"/>
  <c r="J130" i="553" s="1"/>
  <c r="H130" i="553"/>
  <c r="V129" i="553"/>
  <c r="W129" i="553" s="1"/>
  <c r="N129" i="553"/>
  <c r="K129" i="553" a="1"/>
  <c r="K129" i="553" s="1"/>
  <c r="M129" i="553" s="1"/>
  <c r="J129" i="553" a="1"/>
  <c r="J129" i="553" s="1"/>
  <c r="H129" i="553"/>
  <c r="V128" i="553"/>
  <c r="W128" i="553" s="1"/>
  <c r="N128" i="553"/>
  <c r="K128" i="553" a="1"/>
  <c r="K128" i="553" s="1"/>
  <c r="M128" i="553" s="1"/>
  <c r="J128" i="553" a="1"/>
  <c r="J128" i="553" s="1"/>
  <c r="H128" i="553"/>
  <c r="V127" i="553"/>
  <c r="W127" i="553" s="1"/>
  <c r="N127" i="553"/>
  <c r="K127" i="553" a="1"/>
  <c r="K127" i="553" s="1"/>
  <c r="M127" i="553" s="1"/>
  <c r="J127" i="553" a="1"/>
  <c r="J127" i="553" s="1"/>
  <c r="H127" i="553"/>
  <c r="V126" i="553"/>
  <c r="W126" i="553" s="1"/>
  <c r="N126" i="553"/>
  <c r="K126" i="553"/>
  <c r="M126" i="553" s="1"/>
  <c r="K126" i="553" a="1"/>
  <c r="J126" i="553"/>
  <c r="J126" i="553" a="1"/>
  <c r="H126" i="553"/>
  <c r="V125" i="553"/>
  <c r="W125" i="553" s="1"/>
  <c r="N125" i="553"/>
  <c r="K125" i="553" a="1"/>
  <c r="K125" i="553" s="1"/>
  <c r="M125" i="553" s="1"/>
  <c r="J125" i="553" a="1"/>
  <c r="J125" i="553" s="1"/>
  <c r="H125" i="553"/>
  <c r="W124" i="553"/>
  <c r="V124" i="553"/>
  <c r="N124" i="553"/>
  <c r="K124" i="553" a="1"/>
  <c r="K124" i="553" s="1"/>
  <c r="M124" i="553" s="1"/>
  <c r="J124" i="553" a="1"/>
  <c r="J124" i="553" s="1"/>
  <c r="H124" i="553"/>
  <c r="V123" i="553"/>
  <c r="W123" i="553" s="1"/>
  <c r="N123" i="553"/>
  <c r="K123" i="553" a="1"/>
  <c r="K123" i="553" s="1"/>
  <c r="M123" i="553" s="1"/>
  <c r="J123" i="553" a="1"/>
  <c r="J123" i="553" s="1"/>
  <c r="H123" i="553"/>
  <c r="W122" i="553"/>
  <c r="V122" i="553"/>
  <c r="V137" i="553" s="1"/>
  <c r="W137" i="553" s="1"/>
  <c r="N122" i="553"/>
  <c r="K122" i="553" a="1"/>
  <c r="K122" i="553" s="1"/>
  <c r="M122" i="553" s="1"/>
  <c r="J122" i="553" a="1"/>
  <c r="J122" i="553" s="1"/>
  <c r="H122" i="553"/>
  <c r="H137" i="553" s="1"/>
  <c r="AA121" i="553"/>
  <c r="Z121" i="553"/>
  <c r="Y121" i="553"/>
  <c r="X121" i="553"/>
  <c r="U121" i="553"/>
  <c r="T121" i="553"/>
  <c r="S121" i="553"/>
  <c r="R121" i="553"/>
  <c r="Q121" i="553"/>
  <c r="P121" i="553"/>
  <c r="O121" i="553"/>
  <c r="R168" i="553" s="1"/>
  <c r="I121" i="553"/>
  <c r="G121" i="553"/>
  <c r="C526" i="553" s="1"/>
  <c r="V120" i="553"/>
  <c r="W120" i="553" s="1"/>
  <c r="N120" i="553"/>
  <c r="K120" i="553" a="1"/>
  <c r="K120" i="553" s="1"/>
  <c r="M120" i="553" s="1"/>
  <c r="J120" i="553" a="1"/>
  <c r="J120" i="553" s="1"/>
  <c r="H120" i="553"/>
  <c r="V119" i="553"/>
  <c r="W119" i="553" s="1"/>
  <c r="N119" i="553"/>
  <c r="K119" i="553" a="1"/>
  <c r="K119" i="553" s="1"/>
  <c r="M119" i="553" s="1"/>
  <c r="J119" i="553" a="1"/>
  <c r="J119" i="553" s="1"/>
  <c r="H119" i="553"/>
  <c r="V118" i="553"/>
  <c r="W118" i="553" s="1"/>
  <c r="N118" i="553"/>
  <c r="K118" i="553" a="1"/>
  <c r="K118" i="553" s="1"/>
  <c r="M118" i="553" s="1"/>
  <c r="J118" i="553" a="1"/>
  <c r="J118" i="553" s="1"/>
  <c r="H118" i="553"/>
  <c r="K117" i="553" a="1"/>
  <c r="K117" i="553" s="1"/>
  <c r="H117" i="553"/>
  <c r="K116" i="553" a="1"/>
  <c r="K116" i="553" s="1"/>
  <c r="H116" i="553"/>
  <c r="K115" i="553"/>
  <c r="K115" i="553" a="1"/>
  <c r="H115" i="553"/>
  <c r="V114" i="553"/>
  <c r="W114" i="553" s="1"/>
  <c r="N114" i="553"/>
  <c r="K114" i="553" a="1"/>
  <c r="K114" i="553" s="1"/>
  <c r="M114" i="553" s="1"/>
  <c r="J114" i="553" a="1"/>
  <c r="J114" i="553" s="1"/>
  <c r="H114" i="553"/>
  <c r="W113" i="553"/>
  <c r="V113" i="553"/>
  <c r="N113" i="553"/>
  <c r="K113" i="553" a="1"/>
  <c r="K113" i="553" s="1"/>
  <c r="M113" i="553" s="1"/>
  <c r="J113" i="553" a="1"/>
  <c r="J113" i="553" s="1"/>
  <c r="H113" i="553"/>
  <c r="N112" i="553"/>
  <c r="K112" i="553" a="1"/>
  <c r="K112" i="553" s="1"/>
  <c r="M112" i="553" s="1"/>
  <c r="H112" i="553"/>
  <c r="N111" i="553"/>
  <c r="K111" i="553" a="1"/>
  <c r="K111" i="553" s="1"/>
  <c r="M111" i="553" s="1"/>
  <c r="H111" i="553"/>
  <c r="N110" i="553"/>
  <c r="K110" i="553" a="1"/>
  <c r="K110" i="553" s="1"/>
  <c r="M110" i="553" s="1"/>
  <c r="H110" i="553"/>
  <c r="N109" i="553"/>
  <c r="K109" i="553" a="1"/>
  <c r="K109" i="553" s="1"/>
  <c r="M109" i="553" s="1"/>
  <c r="H109" i="553"/>
  <c r="N108" i="553"/>
  <c r="K108" i="553" a="1"/>
  <c r="K108" i="553" s="1"/>
  <c r="M108" i="553" s="1"/>
  <c r="H108" i="553"/>
  <c r="N107" i="553"/>
  <c r="K107" i="553" a="1"/>
  <c r="K107" i="553" s="1"/>
  <c r="M107" i="553" s="1"/>
  <c r="H107" i="553"/>
  <c r="V106" i="553"/>
  <c r="W106" i="553" s="1"/>
  <c r="N106" i="553"/>
  <c r="K106" i="553" a="1"/>
  <c r="K106" i="553" s="1"/>
  <c r="M106" i="553" s="1"/>
  <c r="J106" i="553" a="1"/>
  <c r="J106" i="553" s="1"/>
  <c r="H106" i="553"/>
  <c r="V105" i="553"/>
  <c r="W105" i="553" s="1"/>
  <c r="N105" i="553"/>
  <c r="K105" i="553" a="1"/>
  <c r="K105" i="553" s="1"/>
  <c r="M105" i="553" s="1"/>
  <c r="J105" i="553" a="1"/>
  <c r="J105" i="553" s="1"/>
  <c r="H105" i="553"/>
  <c r="V104" i="553"/>
  <c r="W104" i="553" s="1"/>
  <c r="N104" i="553"/>
  <c r="K104" i="553" a="1"/>
  <c r="K104" i="553" s="1"/>
  <c r="M104" i="553" s="1"/>
  <c r="J104" i="553" a="1"/>
  <c r="J104" i="553" s="1"/>
  <c r="H104" i="553"/>
  <c r="V103" i="553"/>
  <c r="W103" i="553" s="1"/>
  <c r="N103" i="553"/>
  <c r="K103" i="553"/>
  <c r="M103" i="553" s="1"/>
  <c r="K103" i="553" a="1"/>
  <c r="J103" i="553"/>
  <c r="J103" i="553" a="1"/>
  <c r="H103" i="553"/>
  <c r="V102" i="553"/>
  <c r="W102" i="553" s="1"/>
  <c r="N102" i="553"/>
  <c r="K102" i="553" a="1"/>
  <c r="K102" i="553" s="1"/>
  <c r="M102" i="553" s="1"/>
  <c r="J102" i="553" a="1"/>
  <c r="J102" i="553" s="1"/>
  <c r="H102" i="553"/>
  <c r="V101" i="553"/>
  <c r="W101" i="553" s="1"/>
  <c r="N101" i="553"/>
  <c r="K101" i="553"/>
  <c r="M101" i="553" s="1"/>
  <c r="K101" i="553" a="1"/>
  <c r="J101" i="553"/>
  <c r="J101" i="553" a="1"/>
  <c r="H101" i="553"/>
  <c r="V100" i="553"/>
  <c r="W100" i="553" s="1"/>
  <c r="N100" i="553"/>
  <c r="K100" i="553" a="1"/>
  <c r="K100" i="553" s="1"/>
  <c r="M100" i="553" s="1"/>
  <c r="J100" i="553" a="1"/>
  <c r="J100" i="553" s="1"/>
  <c r="H100" i="553"/>
  <c r="W99" i="553"/>
  <c r="V99" i="553"/>
  <c r="N99" i="553"/>
  <c r="K99" i="553" a="1"/>
  <c r="K99" i="553" s="1"/>
  <c r="M99" i="553" s="1"/>
  <c r="J99" i="553" a="1"/>
  <c r="J99" i="553" s="1"/>
  <c r="H99" i="553"/>
  <c r="V98" i="553"/>
  <c r="W98" i="553" s="1"/>
  <c r="N98" i="553"/>
  <c r="K98" i="553" a="1"/>
  <c r="K98" i="553" s="1"/>
  <c r="M98" i="553" s="1"/>
  <c r="J98" i="553" a="1"/>
  <c r="J98" i="553" s="1"/>
  <c r="H98" i="553"/>
  <c r="V97" i="553"/>
  <c r="W97" i="553" s="1"/>
  <c r="N97" i="553"/>
  <c r="K97" i="553"/>
  <c r="M97" i="553" s="1"/>
  <c r="K97" i="553" a="1"/>
  <c r="J97" i="553"/>
  <c r="J97" i="553" a="1"/>
  <c r="H97" i="553"/>
  <c r="V96" i="553"/>
  <c r="W96" i="553" s="1"/>
  <c r="N96" i="553"/>
  <c r="K96" i="553" a="1"/>
  <c r="K96" i="553" s="1"/>
  <c r="M96" i="553" s="1"/>
  <c r="J96" i="553" a="1"/>
  <c r="J96" i="553" s="1"/>
  <c r="H96" i="553"/>
  <c r="W95" i="553"/>
  <c r="V95" i="553"/>
  <c r="N95" i="553"/>
  <c r="K95" i="553" a="1"/>
  <c r="K95" i="553" s="1"/>
  <c r="M95" i="553" s="1"/>
  <c r="J95" i="553" a="1"/>
  <c r="J95" i="553" s="1"/>
  <c r="H95" i="553"/>
  <c r="K94" i="553"/>
  <c r="M94" i="553" s="1"/>
  <c r="K94" i="553" a="1"/>
  <c r="H94" i="553"/>
  <c r="V93" i="553"/>
  <c r="W93" i="553" s="1"/>
  <c r="N93" i="553"/>
  <c r="K93" i="553" a="1"/>
  <c r="K93" i="553" s="1"/>
  <c r="M93" i="553" s="1"/>
  <c r="J93" i="553" a="1"/>
  <c r="J93" i="553" s="1"/>
  <c r="H93" i="553"/>
  <c r="W92" i="553"/>
  <c r="V92" i="553"/>
  <c r="N92" i="553"/>
  <c r="K92" i="553" a="1"/>
  <c r="K92" i="553" s="1"/>
  <c r="M92" i="553" s="1"/>
  <c r="J92" i="553" a="1"/>
  <c r="J92" i="553" s="1"/>
  <c r="H92" i="553"/>
  <c r="V91" i="553"/>
  <c r="W91" i="553" s="1"/>
  <c r="N91" i="553"/>
  <c r="K91" i="553" a="1"/>
  <c r="K91" i="553" s="1"/>
  <c r="M91" i="553" s="1"/>
  <c r="J91" i="553" a="1"/>
  <c r="J91" i="553" s="1"/>
  <c r="H91" i="553"/>
  <c r="V90" i="553"/>
  <c r="W90" i="553" s="1"/>
  <c r="N90" i="553"/>
  <c r="K90" i="553"/>
  <c r="M90" i="553" s="1"/>
  <c r="K90" i="553" a="1"/>
  <c r="J90" i="553"/>
  <c r="J90" i="553" a="1"/>
  <c r="H90" i="553"/>
  <c r="V89" i="553"/>
  <c r="W89" i="553" s="1"/>
  <c r="N89" i="553"/>
  <c r="K89" i="553" a="1"/>
  <c r="K89" i="553" s="1"/>
  <c r="M89" i="553" s="1"/>
  <c r="J89" i="553" a="1"/>
  <c r="J89" i="553" s="1"/>
  <c r="H89" i="553"/>
  <c r="W88" i="553"/>
  <c r="V88" i="553"/>
  <c r="N88" i="553"/>
  <c r="K88" i="553" a="1"/>
  <c r="K88" i="553" s="1"/>
  <c r="M88" i="553" s="1"/>
  <c r="J88" i="553" a="1"/>
  <c r="J88" i="553" s="1"/>
  <c r="H88" i="553"/>
  <c r="V87" i="553"/>
  <c r="V121" i="553" s="1"/>
  <c r="W121" i="553" s="1"/>
  <c r="N87" i="553"/>
  <c r="K87" i="553" a="1"/>
  <c r="K87" i="553" s="1"/>
  <c r="J87" i="553" a="1"/>
  <c r="J87" i="553" s="1"/>
  <c r="H87" i="553"/>
  <c r="H121" i="553" s="1"/>
  <c r="AA86" i="553"/>
  <c r="Z86" i="553"/>
  <c r="Y86" i="553"/>
  <c r="X86" i="553"/>
  <c r="U86" i="553"/>
  <c r="T86" i="553"/>
  <c r="S86" i="553"/>
  <c r="R86" i="553"/>
  <c r="Q86" i="553"/>
  <c r="P86" i="553"/>
  <c r="O86" i="553"/>
  <c r="R167" i="553" s="1"/>
  <c r="I86" i="553"/>
  <c r="G86" i="553"/>
  <c r="C525" i="553" s="1"/>
  <c r="K85" i="553" a="1"/>
  <c r="K85" i="553" s="1"/>
  <c r="H85" i="553"/>
  <c r="K84" i="553"/>
  <c r="K84" i="553" a="1"/>
  <c r="H84" i="553"/>
  <c r="K83" i="553" a="1"/>
  <c r="K83" i="553" s="1"/>
  <c r="H83" i="553"/>
  <c r="K82" i="553" a="1"/>
  <c r="K82" i="553" s="1"/>
  <c r="H82" i="553"/>
  <c r="K81" i="553" a="1"/>
  <c r="K81" i="553" s="1"/>
  <c r="H81" i="553"/>
  <c r="K80" i="553" a="1"/>
  <c r="K80" i="553" s="1"/>
  <c r="H80" i="553"/>
  <c r="K79" i="553" a="1"/>
  <c r="K79" i="553" s="1"/>
  <c r="M79" i="553" s="1"/>
  <c r="H79" i="553"/>
  <c r="K78" i="553" a="1"/>
  <c r="K78" i="553" s="1"/>
  <c r="M78" i="553" s="1"/>
  <c r="H78" i="553"/>
  <c r="K77" i="553" a="1"/>
  <c r="K77" i="553" s="1"/>
  <c r="M77" i="553" s="1"/>
  <c r="H77" i="553"/>
  <c r="K76" i="553" a="1"/>
  <c r="K76" i="553" s="1"/>
  <c r="M76" i="553" s="1"/>
  <c r="H76" i="553"/>
  <c r="W75" i="553"/>
  <c r="V75" i="553"/>
  <c r="N75" i="553"/>
  <c r="K75" i="553" a="1"/>
  <c r="K75" i="553" s="1"/>
  <c r="M75" i="553" s="1"/>
  <c r="J75" i="553" a="1"/>
  <c r="J75" i="553" s="1"/>
  <c r="H75" i="553"/>
  <c r="V74" i="553"/>
  <c r="W74" i="553" s="1"/>
  <c r="N74" i="553"/>
  <c r="K74" i="553" a="1"/>
  <c r="K74" i="553" s="1"/>
  <c r="M74" i="553" s="1"/>
  <c r="J74" i="553" a="1"/>
  <c r="J74" i="553" s="1"/>
  <c r="H74" i="553"/>
  <c r="V73" i="553"/>
  <c r="W73" i="553" s="1"/>
  <c r="N73" i="553"/>
  <c r="K73" i="553"/>
  <c r="M73" i="553" s="1"/>
  <c r="K73" i="553" a="1"/>
  <c r="J73" i="553"/>
  <c r="J73" i="553" a="1"/>
  <c r="H73" i="553"/>
  <c r="V72" i="553"/>
  <c r="W72" i="553" s="1"/>
  <c r="N72" i="553"/>
  <c r="K72" i="553" a="1"/>
  <c r="K72" i="553" s="1"/>
  <c r="M72" i="553" s="1"/>
  <c r="J72" i="553" a="1"/>
  <c r="J72" i="553" s="1"/>
  <c r="H72" i="553"/>
  <c r="H71" i="553"/>
  <c r="V70" i="553"/>
  <c r="W70" i="553" s="1"/>
  <c r="N70" i="553"/>
  <c r="K70" i="553" a="1"/>
  <c r="K70" i="553" s="1"/>
  <c r="M70" i="553" s="1"/>
  <c r="J70" i="553" a="1"/>
  <c r="J70" i="553" s="1"/>
  <c r="H70" i="553"/>
  <c r="W69" i="553"/>
  <c r="V69" i="553"/>
  <c r="N69" i="553"/>
  <c r="K69" i="553" a="1"/>
  <c r="K69" i="553" s="1"/>
  <c r="M69" i="553" s="1"/>
  <c r="J69" i="553" a="1"/>
  <c r="J69" i="553" s="1"/>
  <c r="H69" i="553"/>
  <c r="K68" i="553" a="1"/>
  <c r="K68" i="553" s="1"/>
  <c r="H68" i="553"/>
  <c r="K67" i="553" a="1"/>
  <c r="K67" i="553" s="1"/>
  <c r="H67" i="553"/>
  <c r="V66" i="553"/>
  <c r="W66" i="553" s="1"/>
  <c r="N66" i="553"/>
  <c r="K66" i="553" a="1"/>
  <c r="K66" i="553" s="1"/>
  <c r="M66" i="553" s="1"/>
  <c r="J66" i="553" a="1"/>
  <c r="J66" i="553" s="1"/>
  <c r="H66" i="553"/>
  <c r="V65" i="553"/>
  <c r="W65" i="553" s="1"/>
  <c r="N65" i="553"/>
  <c r="K65" i="553" a="1"/>
  <c r="K65" i="553" s="1"/>
  <c r="M65" i="553" s="1"/>
  <c r="J65" i="553" a="1"/>
  <c r="J65" i="553" s="1"/>
  <c r="H65" i="553"/>
  <c r="V64" i="553"/>
  <c r="W64" i="553" s="1"/>
  <c r="N64" i="553"/>
  <c r="K64" i="553" a="1"/>
  <c r="K64" i="553" s="1"/>
  <c r="M64" i="553" s="1"/>
  <c r="J64" i="553" a="1"/>
  <c r="J64" i="553" s="1"/>
  <c r="H64" i="553"/>
  <c r="V63" i="553"/>
  <c r="W63" i="553" s="1"/>
  <c r="N63" i="553"/>
  <c r="K63" i="553" a="1"/>
  <c r="K63" i="553" s="1"/>
  <c r="M63" i="553" s="1"/>
  <c r="J63" i="553" a="1"/>
  <c r="J63" i="553" s="1"/>
  <c r="H63" i="553"/>
  <c r="V62" i="553"/>
  <c r="W62" i="553" s="1"/>
  <c r="N62" i="553"/>
  <c r="K62" i="553" a="1"/>
  <c r="K62" i="553" s="1"/>
  <c r="M62" i="553" s="1"/>
  <c r="J62" i="553" a="1"/>
  <c r="J62" i="553" s="1"/>
  <c r="H62" i="553"/>
  <c r="V61" i="553"/>
  <c r="W61" i="553" s="1"/>
  <c r="N61" i="553"/>
  <c r="K61" i="553" a="1"/>
  <c r="K61" i="553" s="1"/>
  <c r="M61" i="553" s="1"/>
  <c r="J61" i="553" a="1"/>
  <c r="J61" i="553" s="1"/>
  <c r="H61" i="553"/>
  <c r="V60" i="553"/>
  <c r="W60" i="553" s="1"/>
  <c r="N60" i="553"/>
  <c r="K60" i="553" a="1"/>
  <c r="K60" i="553" s="1"/>
  <c r="M60" i="553" s="1"/>
  <c r="J60" i="553" a="1"/>
  <c r="J60" i="553" s="1"/>
  <c r="H60" i="553"/>
  <c r="V59" i="553"/>
  <c r="W59" i="553" s="1"/>
  <c r="N59" i="553"/>
  <c r="K59" i="553" a="1"/>
  <c r="K59" i="553" s="1"/>
  <c r="M59" i="553" s="1"/>
  <c r="J59" i="553" a="1"/>
  <c r="J59" i="553" s="1"/>
  <c r="H59" i="553"/>
  <c r="V58" i="553"/>
  <c r="W58" i="553" s="1"/>
  <c r="N58" i="553"/>
  <c r="K58" i="553" a="1"/>
  <c r="K58" i="553" s="1"/>
  <c r="M58" i="553" s="1"/>
  <c r="J58" i="553" a="1"/>
  <c r="J58" i="553" s="1"/>
  <c r="H58" i="553"/>
  <c r="V57" i="553"/>
  <c r="W57" i="553" s="1"/>
  <c r="N57" i="553"/>
  <c r="K57" i="553" a="1"/>
  <c r="K57" i="553" s="1"/>
  <c r="M57" i="553" s="1"/>
  <c r="J57" i="553" a="1"/>
  <c r="J57" i="553" s="1"/>
  <c r="H57" i="553"/>
  <c r="K56" i="553" a="1"/>
  <c r="K56" i="553" s="1"/>
  <c r="M56" i="553" s="1"/>
  <c r="H56" i="553"/>
  <c r="K55" i="553"/>
  <c r="M55" i="553" s="1"/>
  <c r="K55" i="553" a="1"/>
  <c r="H55" i="553"/>
  <c r="K54" i="553" a="1"/>
  <c r="K54" i="553" s="1"/>
  <c r="M54" i="553" s="1"/>
  <c r="H54" i="553"/>
  <c r="K53" i="553" a="1"/>
  <c r="K53" i="553" s="1"/>
  <c r="M53" i="553" s="1"/>
  <c r="H53" i="553"/>
  <c r="N52" i="553"/>
  <c r="K52" i="553" a="1"/>
  <c r="K52" i="553" s="1"/>
  <c r="M52" i="553" s="1"/>
  <c r="H52" i="553"/>
  <c r="N51" i="553"/>
  <c r="K51" i="553" a="1"/>
  <c r="K51" i="553" s="1"/>
  <c r="M51" i="553" s="1"/>
  <c r="H51" i="553"/>
  <c r="N50" i="553"/>
  <c r="K50" i="553" a="1"/>
  <c r="K50" i="553" s="1"/>
  <c r="M50" i="553" s="1"/>
  <c r="H50" i="553"/>
  <c r="N49" i="553"/>
  <c r="K49" i="553" a="1"/>
  <c r="K49" i="553" s="1"/>
  <c r="M49" i="553" s="1"/>
  <c r="H49" i="553"/>
  <c r="V48" i="553"/>
  <c r="W48" i="553" s="1"/>
  <c r="N48" i="553"/>
  <c r="K48" i="553" a="1"/>
  <c r="K48" i="553" s="1"/>
  <c r="M48" i="553" s="1"/>
  <c r="J48" i="553" a="1"/>
  <c r="J48" i="553" s="1"/>
  <c r="H48" i="553"/>
  <c r="V47" i="553"/>
  <c r="W47" i="553" s="1"/>
  <c r="N47" i="553"/>
  <c r="K47" i="553" a="1"/>
  <c r="K47" i="553" s="1"/>
  <c r="M47" i="553" s="1"/>
  <c r="J47" i="553" a="1"/>
  <c r="J47" i="553" s="1"/>
  <c r="H47" i="553"/>
  <c r="V46" i="553"/>
  <c r="W46" i="553" s="1"/>
  <c r="N46" i="553"/>
  <c r="K46" i="553" a="1"/>
  <c r="K46" i="553" s="1"/>
  <c r="M46" i="553" s="1"/>
  <c r="J46" i="553" a="1"/>
  <c r="J46" i="553" s="1"/>
  <c r="H46" i="553"/>
  <c r="V45" i="553"/>
  <c r="W45" i="553" s="1"/>
  <c r="N45" i="553"/>
  <c r="K45" i="553"/>
  <c r="M45" i="553" s="1"/>
  <c r="K45" i="553" a="1"/>
  <c r="J45" i="553" a="1"/>
  <c r="J45" i="553" s="1"/>
  <c r="H45" i="553"/>
  <c r="W44" i="553"/>
  <c r="V44" i="553"/>
  <c r="N44" i="553"/>
  <c r="K44" i="553" a="1"/>
  <c r="K44" i="553" s="1"/>
  <c r="M44" i="553" s="1"/>
  <c r="J44" i="553" a="1"/>
  <c r="J44" i="553" s="1"/>
  <c r="H44" i="553"/>
  <c r="V43" i="553"/>
  <c r="W43" i="553" s="1"/>
  <c r="N43" i="553"/>
  <c r="K43" i="553"/>
  <c r="M43" i="553" s="1"/>
  <c r="K43" i="553" a="1"/>
  <c r="J43" i="553" a="1"/>
  <c r="J43" i="553" s="1"/>
  <c r="H43" i="553"/>
  <c r="W42" i="553"/>
  <c r="V42" i="553"/>
  <c r="N42" i="553"/>
  <c r="K42" i="553" a="1"/>
  <c r="K42" i="553" s="1"/>
  <c r="M42" i="553" s="1"/>
  <c r="J42" i="553" a="1"/>
  <c r="J42" i="553" s="1"/>
  <c r="H42" i="553"/>
  <c r="V41" i="553"/>
  <c r="W41" i="553" s="1"/>
  <c r="N41" i="553"/>
  <c r="K41" i="553"/>
  <c r="M41" i="553" s="1"/>
  <c r="K41" i="553" a="1"/>
  <c r="J41" i="553" a="1"/>
  <c r="J41" i="553" s="1"/>
  <c r="H41" i="553"/>
  <c r="W40" i="553"/>
  <c r="V40" i="553"/>
  <c r="N40" i="553"/>
  <c r="K40" i="553" a="1"/>
  <c r="K40" i="553" s="1"/>
  <c r="M40" i="553" s="1"/>
  <c r="J40" i="553" a="1"/>
  <c r="J40" i="553" s="1"/>
  <c r="H40" i="553"/>
  <c r="V39" i="553"/>
  <c r="W39" i="553" s="1"/>
  <c r="N39" i="553"/>
  <c r="K39" i="553" a="1"/>
  <c r="K39" i="553" s="1"/>
  <c r="M39" i="553" s="1"/>
  <c r="J39" i="553" a="1"/>
  <c r="J39" i="553" s="1"/>
  <c r="H39" i="553"/>
  <c r="W38" i="553"/>
  <c r="V38" i="553"/>
  <c r="N38" i="553"/>
  <c r="K38" i="553" a="1"/>
  <c r="K38" i="553" s="1"/>
  <c r="M38" i="553" s="1"/>
  <c r="J38" i="553" a="1"/>
  <c r="J38" i="553" s="1"/>
  <c r="H38" i="553"/>
  <c r="V37" i="553"/>
  <c r="W37" i="553" s="1"/>
  <c r="N37" i="553"/>
  <c r="K37" i="553" a="1"/>
  <c r="K37" i="553" s="1"/>
  <c r="M37" i="553" s="1"/>
  <c r="J37" i="553" a="1"/>
  <c r="J37" i="553" s="1"/>
  <c r="H37" i="553"/>
  <c r="H36" i="553"/>
  <c r="H35" i="553"/>
  <c r="H34" i="553"/>
  <c r="V33" i="553"/>
  <c r="W33" i="553" s="1"/>
  <c r="N33" i="553"/>
  <c r="K33" i="553" a="1"/>
  <c r="K33" i="553" s="1"/>
  <c r="M33" i="553" s="1"/>
  <c r="J33" i="553" a="1"/>
  <c r="J33" i="553" s="1"/>
  <c r="H33" i="553"/>
  <c r="V32" i="553"/>
  <c r="W32" i="553" s="1"/>
  <c r="N32" i="553"/>
  <c r="K32" i="553"/>
  <c r="M32" i="553" s="1"/>
  <c r="K32" i="553" a="1"/>
  <c r="J32" i="553"/>
  <c r="J32" i="553" a="1"/>
  <c r="H32" i="553"/>
  <c r="V31" i="553"/>
  <c r="W31" i="553" s="1"/>
  <c r="N31" i="553"/>
  <c r="K31" i="553" a="1"/>
  <c r="K31" i="553" s="1"/>
  <c r="M31" i="553" s="1"/>
  <c r="J31" i="553" a="1"/>
  <c r="J31" i="553" s="1"/>
  <c r="H31" i="553"/>
  <c r="K30" i="553"/>
  <c r="K30" i="553" a="1"/>
  <c r="H30" i="553"/>
  <c r="V29" i="553"/>
  <c r="V86" i="553" s="1"/>
  <c r="W86" i="553" s="1"/>
  <c r="N29" i="553"/>
  <c r="N86" i="553" s="1"/>
  <c r="K29" i="553" a="1"/>
  <c r="K29" i="553" s="1"/>
  <c r="J29" i="553" a="1"/>
  <c r="J29" i="553" s="1"/>
  <c r="H29" i="553"/>
  <c r="H86" i="553" s="1"/>
  <c r="AA28" i="553"/>
  <c r="AA164" i="553" s="1"/>
  <c r="Z28" i="553"/>
  <c r="Z164" i="553" s="1"/>
  <c r="Y28" i="553"/>
  <c r="Y164" i="553" s="1"/>
  <c r="X28" i="553"/>
  <c r="X164" i="553" s="1"/>
  <c r="U28" i="553"/>
  <c r="U164" i="553" s="1"/>
  <c r="T28" i="553"/>
  <c r="T164" i="553" s="1"/>
  <c r="S28" i="553"/>
  <c r="S164" i="553" s="1"/>
  <c r="R28" i="553"/>
  <c r="R164" i="553" s="1"/>
  <c r="Q28" i="553"/>
  <c r="Q164" i="553" s="1"/>
  <c r="P28" i="553"/>
  <c r="X167" i="553" s="1"/>
  <c r="O28" i="553"/>
  <c r="O164" i="553" s="1"/>
  <c r="I28" i="553"/>
  <c r="I164" i="553" s="1"/>
  <c r="B172" i="553" s="1"/>
  <c r="G28" i="553"/>
  <c r="C524" i="553" s="1"/>
  <c r="V27" i="553"/>
  <c r="W27" i="553" s="1"/>
  <c r="N27" i="553"/>
  <c r="K27" i="553" a="1"/>
  <c r="K27" i="553" s="1"/>
  <c r="M27" i="553" s="1"/>
  <c r="J27" i="553" a="1"/>
  <c r="J27" i="553" s="1"/>
  <c r="H27" i="553"/>
  <c r="V26" i="553"/>
  <c r="W26" i="553" s="1"/>
  <c r="N26" i="553"/>
  <c r="K26" i="553" a="1"/>
  <c r="K26" i="553" s="1"/>
  <c r="M26" i="553" s="1"/>
  <c r="J26" i="553" a="1"/>
  <c r="J26" i="553" s="1"/>
  <c r="H26" i="553"/>
  <c r="K25" i="553"/>
  <c r="M25" i="553" s="1"/>
  <c r="K25" i="553" a="1"/>
  <c r="J25" i="553"/>
  <c r="J25" i="553" a="1"/>
  <c r="H25" i="553"/>
  <c r="K24" i="553" a="1"/>
  <c r="K24" i="553" s="1"/>
  <c r="M24" i="553" s="1"/>
  <c r="J24" i="553" a="1"/>
  <c r="J24" i="553" s="1"/>
  <c r="H24" i="553"/>
  <c r="K23" i="553" a="1"/>
  <c r="K23" i="553" s="1"/>
  <c r="M23" i="553" s="1"/>
  <c r="J23" i="553" a="1"/>
  <c r="J23" i="553" s="1"/>
  <c r="H23" i="553"/>
  <c r="K22" i="553" a="1"/>
  <c r="K22" i="553" s="1"/>
  <c r="M22" i="553" s="1"/>
  <c r="J22" i="553" a="1"/>
  <c r="J22" i="553" s="1"/>
  <c r="H22" i="553"/>
  <c r="V21" i="553"/>
  <c r="W21" i="553" s="1"/>
  <c r="N21" i="553"/>
  <c r="K21" i="553" a="1"/>
  <c r="K21" i="553" s="1"/>
  <c r="M21" i="553" s="1"/>
  <c r="J21" i="553" a="1"/>
  <c r="J21" i="553" s="1"/>
  <c r="H21" i="553"/>
  <c r="V20" i="553"/>
  <c r="W20" i="553" s="1"/>
  <c r="N20" i="553"/>
  <c r="K20" i="553" a="1"/>
  <c r="K20" i="553" s="1"/>
  <c r="M20" i="553" s="1"/>
  <c r="J20" i="553" a="1"/>
  <c r="J20" i="553" s="1"/>
  <c r="H20" i="553"/>
  <c r="W19" i="553"/>
  <c r="V19" i="553"/>
  <c r="N19" i="553"/>
  <c r="K19" i="553" a="1"/>
  <c r="K19" i="553" s="1"/>
  <c r="M19" i="553" s="1"/>
  <c r="J19" i="553" a="1"/>
  <c r="J19" i="553" s="1"/>
  <c r="H19" i="553"/>
  <c r="N18" i="553"/>
  <c r="K18" i="553" a="1"/>
  <c r="K18" i="553" s="1"/>
  <c r="M18" i="553" s="1"/>
  <c r="J18" i="553" a="1"/>
  <c r="J18" i="553" s="1"/>
  <c r="H18" i="553"/>
  <c r="N17" i="553"/>
  <c r="K17" i="553" a="1"/>
  <c r="K17" i="553" s="1"/>
  <c r="M17" i="553" s="1"/>
  <c r="J17" i="553" a="1"/>
  <c r="J17" i="553" s="1"/>
  <c r="H17" i="553"/>
  <c r="V16" i="553"/>
  <c r="W16" i="553" s="1"/>
  <c r="N16" i="553"/>
  <c r="K16" i="553" a="1"/>
  <c r="K16" i="553" s="1"/>
  <c r="M16" i="553" s="1"/>
  <c r="J16" i="553" a="1"/>
  <c r="J16" i="553" s="1"/>
  <c r="H16" i="553"/>
  <c r="V15" i="553"/>
  <c r="W15" i="553" s="1"/>
  <c r="N15" i="553"/>
  <c r="K15" i="553"/>
  <c r="M15" i="553" s="1"/>
  <c r="K15" i="553" a="1"/>
  <c r="J15" i="553"/>
  <c r="J15" i="553" a="1"/>
  <c r="H15" i="553"/>
  <c r="N14" i="553"/>
  <c r="K14" i="553" a="1"/>
  <c r="K14" i="553" s="1"/>
  <c r="M14" i="553" s="1"/>
  <c r="H14" i="553"/>
  <c r="N13" i="553"/>
  <c r="K13" i="553" a="1"/>
  <c r="K13" i="553" s="1"/>
  <c r="M13" i="553" s="1"/>
  <c r="H13" i="553"/>
  <c r="V12" i="553"/>
  <c r="W12" i="553" s="1"/>
  <c r="N12" i="553"/>
  <c r="K12" i="553" a="1"/>
  <c r="K12" i="553" s="1"/>
  <c r="M12" i="553" s="1"/>
  <c r="J12" i="553" a="1"/>
  <c r="J12" i="553" s="1"/>
  <c r="H12" i="553"/>
  <c r="V11" i="553"/>
  <c r="W11" i="553" s="1"/>
  <c r="N11" i="553"/>
  <c r="K11" i="553"/>
  <c r="M11" i="553" s="1"/>
  <c r="K11" i="553" a="1"/>
  <c r="J11" i="553"/>
  <c r="J11" i="553" a="1"/>
  <c r="H11" i="553"/>
  <c r="V10" i="553"/>
  <c r="W10" i="553" s="1"/>
  <c r="N10" i="553"/>
  <c r="K10" i="553" a="1"/>
  <c r="K10" i="553" s="1"/>
  <c r="M10" i="553" s="1"/>
  <c r="J10" i="553" a="1"/>
  <c r="J10" i="553" s="1"/>
  <c r="H10" i="553"/>
  <c r="W9" i="553"/>
  <c r="V9" i="553"/>
  <c r="N9" i="553"/>
  <c r="K9" i="553" a="1"/>
  <c r="K9" i="553" s="1"/>
  <c r="M9" i="553" s="1"/>
  <c r="J9" i="553" a="1"/>
  <c r="J9" i="553" s="1"/>
  <c r="H9" i="553"/>
  <c r="V8" i="553"/>
  <c r="W8" i="553" s="1"/>
  <c r="N8" i="553"/>
  <c r="K8" i="553" a="1"/>
  <c r="K8" i="553" s="1"/>
  <c r="M8" i="553" s="1"/>
  <c r="J8" i="553" a="1"/>
  <c r="J8" i="553" s="1"/>
  <c r="H8" i="553"/>
  <c r="V7" i="553"/>
  <c r="V28" i="553" s="1"/>
  <c r="N7" i="553"/>
  <c r="N28" i="553" s="1"/>
  <c r="K7" i="553"/>
  <c r="M7" i="553" s="1"/>
  <c r="K7" i="553" a="1"/>
  <c r="J7" i="553"/>
  <c r="J7" i="553" a="1"/>
  <c r="H7" i="553"/>
  <c r="H28" i="553" s="1"/>
  <c r="J319" i="553" l="1" a="1"/>
  <c r="J319" i="553" s="1"/>
  <c r="J292" i="553" a="1"/>
  <c r="J292" i="553" s="1"/>
  <c r="J308" i="553" a="1"/>
  <c r="J308" i="553" s="1"/>
  <c r="J257" i="553" a="1"/>
  <c r="J257" i="553" s="1"/>
  <c r="J535" i="553"/>
  <c r="Q535" i="553" s="1"/>
  <c r="J534" i="553"/>
  <c r="Q534" i="553" s="1"/>
  <c r="J533" i="553"/>
  <c r="N370" i="553"/>
  <c r="W371" i="553"/>
  <c r="V463" i="553"/>
  <c r="W463" i="553" s="1"/>
  <c r="J463" i="553" a="1"/>
  <c r="J463" i="553" s="1"/>
  <c r="R511" i="553"/>
  <c r="N479" i="553"/>
  <c r="K428" i="553"/>
  <c r="K479" i="553"/>
  <c r="J479" i="553" a="1"/>
  <c r="J479" i="553" s="1"/>
  <c r="R512" i="553"/>
  <c r="R342" i="553"/>
  <c r="V319" i="553"/>
  <c r="H308" i="553"/>
  <c r="K308" i="553"/>
  <c r="V308" i="553"/>
  <c r="W308" i="553" s="1"/>
  <c r="V335" i="553"/>
  <c r="I344" i="553" s="1"/>
  <c r="V292" i="553"/>
  <c r="W292" i="553" s="1"/>
  <c r="K292" i="553"/>
  <c r="H319" i="553"/>
  <c r="W319" i="553"/>
  <c r="R171" i="553"/>
  <c r="J148" i="553" a="1"/>
  <c r="J148" i="553" s="1"/>
  <c r="M137" i="553"/>
  <c r="N137" i="553"/>
  <c r="N121" i="553"/>
  <c r="N164" i="553" s="1"/>
  <c r="B173" i="553" s="1"/>
  <c r="E173" i="553" s="1"/>
  <c r="W7" i="553"/>
  <c r="H163" i="553"/>
  <c r="H164" i="553" s="1"/>
  <c r="E171" i="553" s="1"/>
  <c r="J163" i="553" a="1"/>
  <c r="J163" i="553" s="1"/>
  <c r="J137" i="553" a="1"/>
  <c r="J137" i="553" s="1"/>
  <c r="M28" i="553"/>
  <c r="Q525" i="553"/>
  <c r="K525" i="553"/>
  <c r="K526" i="553"/>
  <c r="K199" i="553"/>
  <c r="M178" i="553"/>
  <c r="M199" i="553" s="1"/>
  <c r="W28" i="553"/>
  <c r="C520" i="553"/>
  <c r="M29" i="553"/>
  <c r="M86" i="553" s="1"/>
  <c r="K86" i="553"/>
  <c r="M87" i="553"/>
  <c r="M121" i="553" s="1"/>
  <c r="K121" i="553"/>
  <c r="K527" i="553"/>
  <c r="K148" i="553"/>
  <c r="M138" i="553"/>
  <c r="M148" i="553" s="1"/>
  <c r="K528" i="553"/>
  <c r="K163" i="553"/>
  <c r="M149" i="553"/>
  <c r="M163" i="553" s="1"/>
  <c r="K529" i="553"/>
  <c r="J28" i="553" a="1"/>
  <c r="J28" i="553" s="1"/>
  <c r="K28" i="553"/>
  <c r="W29" i="553"/>
  <c r="J86" i="553" a="1"/>
  <c r="J86" i="553" s="1"/>
  <c r="W87" i="553"/>
  <c r="J121" i="553" a="1"/>
  <c r="J121" i="553" s="1"/>
  <c r="K137" i="553"/>
  <c r="V163" i="553"/>
  <c r="W163" i="553" s="1"/>
  <c r="G164" i="553"/>
  <c r="P164" i="553"/>
  <c r="X168" i="553" s="1"/>
  <c r="X173" i="553" s="1"/>
  <c r="K166" i="553"/>
  <c r="R166" i="553"/>
  <c r="K319" i="553"/>
  <c r="M309" i="553"/>
  <c r="M319" i="553" s="1"/>
  <c r="K334" i="553"/>
  <c r="M320" i="553"/>
  <c r="M334" i="553" s="1"/>
  <c r="C530" i="553"/>
  <c r="E524" i="553" s="1"/>
  <c r="W138" i="553"/>
  <c r="H199" i="553"/>
  <c r="N199" i="553"/>
  <c r="W178" i="553"/>
  <c r="W199" i="553" s="1"/>
  <c r="M257" i="553"/>
  <c r="J199" i="553" a="1"/>
  <c r="J199" i="553" s="1"/>
  <c r="X338" i="553"/>
  <c r="P335" i="553"/>
  <c r="X339" i="553" s="1"/>
  <c r="X344" i="553" s="1"/>
  <c r="K257" i="553"/>
  <c r="M293" i="553"/>
  <c r="M308" i="553" s="1"/>
  <c r="R340" i="553"/>
  <c r="W309" i="553"/>
  <c r="R341" i="553"/>
  <c r="H334" i="553"/>
  <c r="N334" i="553"/>
  <c r="W320" i="553"/>
  <c r="W334" i="553" s="1"/>
  <c r="K463" i="553"/>
  <c r="M429" i="553"/>
  <c r="M463" i="553" s="1"/>
  <c r="J335" i="553" a="1"/>
  <c r="J335" i="553" s="1"/>
  <c r="M342" i="553" s="1"/>
  <c r="B342" i="553"/>
  <c r="M344" i="553" s="1" a="1"/>
  <c r="M344" i="553" s="1"/>
  <c r="O335" i="553"/>
  <c r="R337" i="553"/>
  <c r="R338" i="553"/>
  <c r="M258" i="553"/>
  <c r="M292" i="553" s="1"/>
  <c r="M349" i="553"/>
  <c r="M370" i="553" s="1"/>
  <c r="K370" i="553"/>
  <c r="K507" i="553" s="1"/>
  <c r="E515" i="553" s="1"/>
  <c r="K337" i="553"/>
  <c r="W349" i="553"/>
  <c r="W370" i="553" s="1"/>
  <c r="J370" i="553" a="1"/>
  <c r="J370" i="553" s="1"/>
  <c r="M464" i="553"/>
  <c r="M479" i="553" s="1"/>
  <c r="W464" i="553"/>
  <c r="V479" i="553"/>
  <c r="W479" i="553" s="1"/>
  <c r="B514" i="553"/>
  <c r="J507" i="553" a="1"/>
  <c r="J507" i="553" s="1"/>
  <c r="M514" i="553" s="1"/>
  <c r="I515" i="553"/>
  <c r="M515" i="553" s="1"/>
  <c r="R509" i="553"/>
  <c r="X509" i="553"/>
  <c r="O507" i="553"/>
  <c r="X510" i="553" s="1"/>
  <c r="M371" i="553"/>
  <c r="M428" i="553" s="1"/>
  <c r="H463" i="553"/>
  <c r="H507" i="553" s="1"/>
  <c r="E514" i="553" s="1"/>
  <c r="N463" i="553"/>
  <c r="N507" i="553" s="1"/>
  <c r="B516" i="553" s="1"/>
  <c r="E516" i="553" s="1"/>
  <c r="W429" i="553"/>
  <c r="V490" i="553"/>
  <c r="W490" i="553" s="1"/>
  <c r="W506" i="553"/>
  <c r="V506" i="553"/>
  <c r="R534" i="553"/>
  <c r="S534" i="553" a="1"/>
  <c r="S534" i="553" s="1"/>
  <c r="M480" i="553"/>
  <c r="M490" i="553" s="1"/>
  <c r="M491" i="553"/>
  <c r="M506" i="553" s="1"/>
  <c r="R514" i="553"/>
  <c r="K513" i="553"/>
  <c r="M509" i="553"/>
  <c r="J536" i="553"/>
  <c r="Q533" i="553"/>
  <c r="R535" i="553"/>
  <c r="S535" i="553" a="1"/>
  <c r="S535" i="553" s="1"/>
  <c r="E513" i="553"/>
  <c r="T533" i="553" a="1"/>
  <c r="T533" i="553" s="1"/>
  <c r="T534" i="553" a="1"/>
  <c r="T534" i="553" s="1"/>
  <c r="T535" i="553" a="1"/>
  <c r="T535" i="553" s="1"/>
  <c r="C536" i="553"/>
  <c r="T536" i="553" s="1" a="1"/>
  <c r="T536" i="553" s="1"/>
  <c r="L507" i="553" l="1"/>
  <c r="I514" i="553" s="1"/>
  <c r="Z341" i="553"/>
  <c r="Z340" i="553"/>
  <c r="Z343" i="553"/>
  <c r="Z170" i="553"/>
  <c r="Z169" i="553"/>
  <c r="Z171" i="553"/>
  <c r="M164" i="553"/>
  <c r="E528" i="553"/>
  <c r="E527" i="553"/>
  <c r="E525" i="553"/>
  <c r="E529" i="553"/>
  <c r="E526" i="553"/>
  <c r="M513" i="553"/>
  <c r="R516" i="553"/>
  <c r="T509" i="553" s="1" a="1"/>
  <c r="T509" i="553" s="1"/>
  <c r="V507" i="553"/>
  <c r="M507" i="553"/>
  <c r="R344" i="553"/>
  <c r="Z338" i="553"/>
  <c r="N335" i="553"/>
  <c r="B344" i="553" s="1"/>
  <c r="Z172" i="553"/>
  <c r="Z166" i="553" a="1"/>
  <c r="Z166" i="553" s="1"/>
  <c r="K524" i="553"/>
  <c r="R173" i="553"/>
  <c r="Q526" i="553"/>
  <c r="Z168" i="553"/>
  <c r="K164" i="553"/>
  <c r="E172" i="553" s="1"/>
  <c r="V164" i="553"/>
  <c r="I173" i="553" s="1"/>
  <c r="K335" i="553"/>
  <c r="R533" i="553"/>
  <c r="R536" i="553" s="1"/>
  <c r="Q536" i="553"/>
  <c r="S536" i="553" s="1" a="1"/>
  <c r="S536" i="553" s="1"/>
  <c r="S533" i="553" a="1"/>
  <c r="S533" i="553" s="1"/>
  <c r="T514" i="553"/>
  <c r="X516" i="553"/>
  <c r="Z510" i="553" s="1"/>
  <c r="M337" i="553"/>
  <c r="K341" i="553"/>
  <c r="M341" i="553" s="1"/>
  <c r="T338" i="553"/>
  <c r="Z342" i="553"/>
  <c r="Z337" i="553" a="1"/>
  <c r="Z337" i="553" s="1"/>
  <c r="T340" i="553"/>
  <c r="Z339" i="553"/>
  <c r="W335" i="553"/>
  <c r="H335" i="553"/>
  <c r="E342" i="553" s="1"/>
  <c r="G519" i="553" s="1"/>
  <c r="E530" i="553"/>
  <c r="M166" i="553"/>
  <c r="K170" i="553"/>
  <c r="M170" i="553" s="1"/>
  <c r="J164" i="553" a="1"/>
  <c r="J164" i="553" s="1"/>
  <c r="M171" i="553" s="1"/>
  <c r="B171" i="553"/>
  <c r="C519" i="553" s="1"/>
  <c r="W164" i="553"/>
  <c r="M335" i="553"/>
  <c r="Z167" i="553"/>
  <c r="M238" i="551"/>
  <c r="M201" i="551"/>
  <c r="K238" i="551" a="1"/>
  <c r="K238" i="551" s="1"/>
  <c r="K201" i="551" a="1"/>
  <c r="K201" i="551" s="1"/>
  <c r="J238" i="551" a="1"/>
  <c r="J238" i="551" s="1"/>
  <c r="J201" i="551" a="1"/>
  <c r="J201" i="551" s="1"/>
  <c r="Z509" i="553" l="1" a="1"/>
  <c r="Z509" i="553" s="1"/>
  <c r="E343" i="553"/>
  <c r="I343" i="553" s="1"/>
  <c r="M343" i="553" s="1"/>
  <c r="L335" i="553"/>
  <c r="I342" i="553" s="1"/>
  <c r="G520" i="553"/>
  <c r="K520" i="553" s="1"/>
  <c r="O520" i="553" s="1"/>
  <c r="I172" i="553"/>
  <c r="M172" i="553" s="1"/>
  <c r="Q530" i="553"/>
  <c r="K530" i="553"/>
  <c r="M524" i="553" s="1" a="1"/>
  <c r="M524" i="553" s="1"/>
  <c r="T172" i="553"/>
  <c r="T167" i="553"/>
  <c r="T168" i="553"/>
  <c r="T169" i="553"/>
  <c r="T170" i="553"/>
  <c r="T171" i="553"/>
  <c r="E344" i="553"/>
  <c r="C521" i="553"/>
  <c r="G521" i="553" s="1"/>
  <c r="T343" i="553"/>
  <c r="T339" i="553"/>
  <c r="T342" i="553"/>
  <c r="O519" i="553" a="1"/>
  <c r="O519" i="553" s="1"/>
  <c r="L164" i="553"/>
  <c r="I171" i="553" s="1"/>
  <c r="T341" i="553"/>
  <c r="Z515" i="553"/>
  <c r="Z512" i="553"/>
  <c r="Z513" i="553"/>
  <c r="Z514" i="553"/>
  <c r="Z511" i="553"/>
  <c r="M173" i="553" a="1"/>
  <c r="M173" i="553" s="1"/>
  <c r="T166" i="553" a="1"/>
  <c r="T166" i="553" s="1"/>
  <c r="T337" i="553" a="1"/>
  <c r="T337" i="553" s="1"/>
  <c r="I516" i="553"/>
  <c r="M516" i="553" s="1" a="1"/>
  <c r="M516" i="553" s="1"/>
  <c r="W507" i="553"/>
  <c r="T515" i="553"/>
  <c r="T511" i="553"/>
  <c r="T513" i="553"/>
  <c r="T510" i="553"/>
  <c r="T512" i="553"/>
  <c r="I187" i="551"/>
  <c r="I198" i="551"/>
  <c r="I191" i="551"/>
  <c r="I211" i="551"/>
  <c r="I307" i="551"/>
  <c r="I297" i="551"/>
  <c r="I291" i="551"/>
  <c r="M30" i="551"/>
  <c r="M116" i="551"/>
  <c r="M144" i="551"/>
  <c r="J144" i="551" a="1"/>
  <c r="J144" i="551" s="1"/>
  <c r="I126" i="551"/>
  <c r="I127" i="551"/>
  <c r="I40" i="551"/>
  <c r="J116" i="551" a="1"/>
  <c r="J116" i="551" s="1"/>
  <c r="J115" i="551" a="1"/>
  <c r="J115" i="551" s="1"/>
  <c r="J114" i="551" a="1"/>
  <c r="J114" i="551" s="1"/>
  <c r="J113" i="551" a="1"/>
  <c r="J113" i="551" s="1"/>
  <c r="J112" i="551" a="1"/>
  <c r="J112" i="551" s="1"/>
  <c r="J111" i="551" a="1"/>
  <c r="J111" i="551" s="1"/>
  <c r="J30" i="551" a="1"/>
  <c r="J30" i="551" s="1"/>
  <c r="J19" i="551" a="1"/>
  <c r="J19" i="551" s="1"/>
  <c r="I30" i="551"/>
  <c r="I32" i="551"/>
  <c r="I144" i="551"/>
  <c r="I20" i="551"/>
  <c r="I111" i="551"/>
  <c r="I116" i="551"/>
  <c r="I112" i="551"/>
  <c r="I19" i="551"/>
  <c r="I16" i="551"/>
  <c r="K519" i="553" l="1"/>
  <c r="K521" i="553"/>
  <c r="O521" i="553" s="1" a="1"/>
  <c r="O521" i="553" s="1"/>
  <c r="S527" i="553"/>
  <c r="S529" i="553"/>
  <c r="S528" i="553"/>
  <c r="S524" i="553" a="1"/>
  <c r="S524" i="553" s="1"/>
  <c r="S525" i="553"/>
  <c r="M526" i="553"/>
  <c r="M528" i="553"/>
  <c r="M527" i="553"/>
  <c r="M525" i="553"/>
  <c r="M529" i="553"/>
  <c r="S526" i="553"/>
  <c r="G187" i="551"/>
  <c r="S530" i="553" l="1"/>
  <c r="G307" i="551"/>
  <c r="G65" i="551"/>
  <c r="G238" i="551"/>
  <c r="D534" i="551"/>
  <c r="D535" i="551"/>
  <c r="D533" i="551"/>
  <c r="G201" i="551" l="1"/>
  <c r="G211" i="551"/>
  <c r="G291" i="551"/>
  <c r="G191" i="551" l="1"/>
  <c r="G198" i="551"/>
  <c r="G190" i="551"/>
  <c r="G40" i="551"/>
  <c r="G144" i="551"/>
  <c r="G16" i="551"/>
  <c r="G111" i="551"/>
  <c r="G126" i="551"/>
  <c r="G32" i="551"/>
  <c r="G20" i="551"/>
  <c r="G19" i="551"/>
  <c r="P536" i="551"/>
  <c r="O536" i="551"/>
  <c r="N536" i="551"/>
  <c r="M536" i="551"/>
  <c r="L536" i="551"/>
  <c r="K536" i="551"/>
  <c r="I536" i="551"/>
  <c r="H536" i="551"/>
  <c r="G536" i="551"/>
  <c r="F536" i="551"/>
  <c r="E536" i="551"/>
  <c r="D536" i="551"/>
  <c r="C535" i="551"/>
  <c r="J535" i="551" s="1"/>
  <c r="Q535" i="551" s="1"/>
  <c r="C534" i="551"/>
  <c r="J534" i="551" s="1"/>
  <c r="Q534" i="551" s="1"/>
  <c r="C533" i="551"/>
  <c r="J533" i="551" s="1"/>
  <c r="G517" i="551"/>
  <c r="N517" i="551" s="1"/>
  <c r="X515" i="551"/>
  <c r="X514" i="551"/>
  <c r="X513" i="551"/>
  <c r="G513" i="551"/>
  <c r="C513" i="551"/>
  <c r="X512" i="551"/>
  <c r="I512" i="551"/>
  <c r="E512" i="551"/>
  <c r="K512" i="551" s="1"/>
  <c r="M512" i="551" s="1"/>
  <c r="X511" i="551"/>
  <c r="I511" i="551"/>
  <c r="E511" i="551"/>
  <c r="K511" i="551" s="1"/>
  <c r="M511" i="551" s="1"/>
  <c r="I510" i="551"/>
  <c r="E510" i="551"/>
  <c r="K510" i="551" s="1"/>
  <c r="M510" i="551" s="1"/>
  <c r="I509" i="551"/>
  <c r="I513" i="551" s="1"/>
  <c r="E509" i="551"/>
  <c r="E513" i="551" s="1"/>
  <c r="AA506" i="551"/>
  <c r="Z506" i="551"/>
  <c r="Y506" i="551"/>
  <c r="X506" i="551"/>
  <c r="U506" i="551"/>
  <c r="T506" i="551"/>
  <c r="S506" i="551"/>
  <c r="R506" i="551"/>
  <c r="Q506" i="551"/>
  <c r="P506" i="551"/>
  <c r="R514" i="551" s="1"/>
  <c r="O506" i="551"/>
  <c r="I506" i="551"/>
  <c r="G506" i="551"/>
  <c r="J506" i="551" s="1" a="1"/>
  <c r="J506" i="551" s="1"/>
  <c r="H505" i="551"/>
  <c r="H504" i="551"/>
  <c r="H503" i="551"/>
  <c r="D502" i="551"/>
  <c r="H502" i="551" s="1"/>
  <c r="V501" i="551"/>
  <c r="W501" i="551" s="1"/>
  <c r="N501" i="551"/>
  <c r="K501" i="551" a="1"/>
  <c r="K501" i="551" s="1"/>
  <c r="M501" i="551" s="1"/>
  <c r="J501" i="551" a="1"/>
  <c r="J501" i="551" s="1"/>
  <c r="H501" i="551"/>
  <c r="H500" i="551"/>
  <c r="H499" i="551"/>
  <c r="V498" i="551"/>
  <c r="W498" i="551" s="1"/>
  <c r="N498" i="551"/>
  <c r="M498" i="551"/>
  <c r="K498" i="551" a="1"/>
  <c r="K498" i="551" s="1"/>
  <c r="J498" i="551" a="1"/>
  <c r="J498" i="551" s="1"/>
  <c r="H498" i="551"/>
  <c r="W497" i="551"/>
  <c r="V497" i="551"/>
  <c r="N497" i="551"/>
  <c r="K497" i="551" a="1"/>
  <c r="K497" i="551" s="1"/>
  <c r="M497" i="551" s="1"/>
  <c r="J497" i="551" a="1"/>
  <c r="J497" i="551" s="1"/>
  <c r="H497" i="551"/>
  <c r="H496" i="551"/>
  <c r="H495" i="551"/>
  <c r="V494" i="551"/>
  <c r="W494" i="551" s="1"/>
  <c r="N494" i="551"/>
  <c r="M494" i="551"/>
  <c r="K494" i="551" a="1"/>
  <c r="K494" i="551" s="1"/>
  <c r="J494" i="551" a="1"/>
  <c r="J494" i="551" s="1"/>
  <c r="H494" i="551"/>
  <c r="W493" i="551"/>
  <c r="V493" i="551"/>
  <c r="N493" i="551"/>
  <c r="K493" i="551" a="1"/>
  <c r="K493" i="551" s="1"/>
  <c r="M493" i="551" s="1"/>
  <c r="J493" i="551" a="1"/>
  <c r="J493" i="551" s="1"/>
  <c r="H493" i="551"/>
  <c r="V492" i="551"/>
  <c r="W492" i="551" s="1"/>
  <c r="N492" i="551"/>
  <c r="M492" i="551"/>
  <c r="K492" i="551" a="1"/>
  <c r="K492" i="551" s="1"/>
  <c r="J492" i="551" a="1"/>
  <c r="J492" i="551" s="1"/>
  <c r="H492" i="551"/>
  <c r="W491" i="551"/>
  <c r="V491" i="551"/>
  <c r="N491" i="551"/>
  <c r="N506" i="551" s="1"/>
  <c r="K491" i="551" a="1"/>
  <c r="K491" i="551" s="1"/>
  <c r="J491" i="551" a="1"/>
  <c r="J491" i="551" s="1"/>
  <c r="H491" i="551"/>
  <c r="AA490" i="551"/>
  <c r="Z490" i="551"/>
  <c r="Y490" i="551"/>
  <c r="X490" i="551"/>
  <c r="U490" i="551"/>
  <c r="T490" i="551"/>
  <c r="S490" i="551"/>
  <c r="Q490" i="551"/>
  <c r="P490" i="551"/>
  <c r="O490" i="551"/>
  <c r="R513" i="551" s="1"/>
  <c r="I490" i="551"/>
  <c r="G490" i="551"/>
  <c r="J490" i="551" s="1" a="1"/>
  <c r="J490" i="551" s="1"/>
  <c r="V489" i="551"/>
  <c r="W489" i="551" s="1"/>
  <c r="N489" i="551"/>
  <c r="K489" i="551" a="1"/>
  <c r="K489" i="551" s="1"/>
  <c r="M489" i="551" s="1"/>
  <c r="J489" i="551" a="1"/>
  <c r="J489" i="551" s="1"/>
  <c r="H489" i="551"/>
  <c r="H488" i="551"/>
  <c r="H487" i="551"/>
  <c r="H486" i="551"/>
  <c r="H485" i="551"/>
  <c r="W484" i="551"/>
  <c r="V484" i="551"/>
  <c r="N484" i="551"/>
  <c r="K484" i="551" a="1"/>
  <c r="K484" i="551" s="1"/>
  <c r="M484" i="551" s="1"/>
  <c r="J484" i="551" a="1"/>
  <c r="J484" i="551" s="1"/>
  <c r="H484" i="551"/>
  <c r="V483" i="551"/>
  <c r="W483" i="551" s="1"/>
  <c r="N483" i="551"/>
  <c r="K483" i="551" a="1"/>
  <c r="K483" i="551" s="1"/>
  <c r="M483" i="551" s="1"/>
  <c r="J483" i="551" a="1"/>
  <c r="J483" i="551" s="1"/>
  <c r="H483" i="551"/>
  <c r="V482" i="551"/>
  <c r="W482" i="551" s="1"/>
  <c r="N482" i="551"/>
  <c r="K482" i="551"/>
  <c r="M482" i="551" s="1"/>
  <c r="K482" i="551" a="1"/>
  <c r="J482" i="551"/>
  <c r="J482" i="551" a="1"/>
  <c r="H482" i="551"/>
  <c r="V481" i="551"/>
  <c r="W481" i="551" s="1"/>
  <c r="N481" i="551"/>
  <c r="K481" i="551" a="1"/>
  <c r="K481" i="551" s="1"/>
  <c r="M481" i="551" s="1"/>
  <c r="J481" i="551" a="1"/>
  <c r="J481" i="551" s="1"/>
  <c r="H481" i="551"/>
  <c r="W480" i="551"/>
  <c r="V480" i="551"/>
  <c r="V490" i="551" s="1"/>
  <c r="N480" i="551"/>
  <c r="N490" i="551" s="1"/>
  <c r="K480" i="551" a="1"/>
  <c r="K480" i="551" s="1"/>
  <c r="J480" i="551" a="1"/>
  <c r="J480" i="551" s="1"/>
  <c r="H480" i="551"/>
  <c r="AA479" i="551"/>
  <c r="Z479" i="551"/>
  <c r="Y479" i="551"/>
  <c r="X479" i="551"/>
  <c r="U479" i="551"/>
  <c r="T479" i="551"/>
  <c r="S479" i="551"/>
  <c r="Q479" i="551"/>
  <c r="P479" i="551"/>
  <c r="O479" i="551"/>
  <c r="I479" i="551"/>
  <c r="G479" i="551"/>
  <c r="V478" i="551"/>
  <c r="W478" i="551" s="1"/>
  <c r="N478" i="551"/>
  <c r="M478" i="551"/>
  <c r="K478" i="551" a="1"/>
  <c r="K478" i="551" s="1"/>
  <c r="J478" i="551" a="1"/>
  <c r="J478" i="551" s="1"/>
  <c r="H478" i="551"/>
  <c r="W477" i="551"/>
  <c r="V477" i="551"/>
  <c r="N477" i="551"/>
  <c r="K477" i="551" a="1"/>
  <c r="K477" i="551" s="1"/>
  <c r="M477" i="551" s="1"/>
  <c r="J477" i="551" a="1"/>
  <c r="J477" i="551" s="1"/>
  <c r="H477" i="551"/>
  <c r="V476" i="551"/>
  <c r="W476" i="551" s="1"/>
  <c r="N476" i="551"/>
  <c r="M476" i="551"/>
  <c r="K476" i="551" a="1"/>
  <c r="K476" i="551" s="1"/>
  <c r="J476" i="551" a="1"/>
  <c r="J476" i="551" s="1"/>
  <c r="H476" i="551"/>
  <c r="W475" i="551"/>
  <c r="V475" i="551"/>
  <c r="N475" i="551"/>
  <c r="K475" i="551" a="1"/>
  <c r="K475" i="551" s="1"/>
  <c r="M475" i="551" s="1"/>
  <c r="J475" i="551" a="1"/>
  <c r="J475" i="551" s="1"/>
  <c r="H475" i="551"/>
  <c r="V474" i="551"/>
  <c r="W474" i="551" s="1"/>
  <c r="N474" i="551"/>
  <c r="M474" i="551"/>
  <c r="K474" i="551" a="1"/>
  <c r="K474" i="551" s="1"/>
  <c r="J474" i="551" a="1"/>
  <c r="J474" i="551" s="1"/>
  <c r="H474" i="551"/>
  <c r="W473" i="551"/>
  <c r="V473" i="551"/>
  <c r="N473" i="551"/>
  <c r="K473" i="551" a="1"/>
  <c r="K473" i="551" s="1"/>
  <c r="M473" i="551" s="1"/>
  <c r="J473" i="551" a="1"/>
  <c r="J473" i="551" s="1"/>
  <c r="H473" i="551"/>
  <c r="V472" i="551"/>
  <c r="W472" i="551" s="1"/>
  <c r="N472" i="551"/>
  <c r="M472" i="551"/>
  <c r="K472" i="551" a="1"/>
  <c r="K472" i="551" s="1"/>
  <c r="J472" i="551" a="1"/>
  <c r="J472" i="551" s="1"/>
  <c r="H472" i="551"/>
  <c r="W471" i="551"/>
  <c r="V471" i="551"/>
  <c r="N471" i="551"/>
  <c r="K471" i="551" a="1"/>
  <c r="K471" i="551" s="1"/>
  <c r="M471" i="551" s="1"/>
  <c r="J471" i="551" a="1"/>
  <c r="J471" i="551" s="1"/>
  <c r="H471" i="551"/>
  <c r="V470" i="551"/>
  <c r="W470" i="551" s="1"/>
  <c r="N470" i="551"/>
  <c r="M470" i="551"/>
  <c r="K470" i="551" a="1"/>
  <c r="K470" i="551" s="1"/>
  <c r="J470" i="551" a="1"/>
  <c r="J470" i="551" s="1"/>
  <c r="H470" i="551"/>
  <c r="W469" i="551"/>
  <c r="V469" i="551"/>
  <c r="N469" i="551"/>
  <c r="K469" i="551" a="1"/>
  <c r="K469" i="551" s="1"/>
  <c r="M469" i="551" s="1"/>
  <c r="J469" i="551" a="1"/>
  <c r="J469" i="551" s="1"/>
  <c r="H469" i="551"/>
  <c r="V468" i="551"/>
  <c r="W468" i="551" s="1"/>
  <c r="N468" i="551"/>
  <c r="M468" i="551"/>
  <c r="K468" i="551" a="1"/>
  <c r="K468" i="551" s="1"/>
  <c r="J468" i="551" a="1"/>
  <c r="J468" i="551" s="1"/>
  <c r="H468" i="551"/>
  <c r="W467" i="551"/>
  <c r="V467" i="551"/>
  <c r="N467" i="551"/>
  <c r="K467" i="551" a="1"/>
  <c r="K467" i="551" s="1"/>
  <c r="M467" i="551" s="1"/>
  <c r="J467" i="551" a="1"/>
  <c r="J467" i="551" s="1"/>
  <c r="H467" i="551"/>
  <c r="V466" i="551"/>
  <c r="W466" i="551" s="1"/>
  <c r="N466" i="551"/>
  <c r="M466" i="551"/>
  <c r="K466" i="551" a="1"/>
  <c r="K466" i="551" s="1"/>
  <c r="J466" i="551" a="1"/>
  <c r="J466" i="551" s="1"/>
  <c r="H466" i="551"/>
  <c r="W465" i="551"/>
  <c r="V465" i="551"/>
  <c r="N465" i="551"/>
  <c r="K465" i="551" a="1"/>
  <c r="K465" i="551" s="1"/>
  <c r="M465" i="551" s="1"/>
  <c r="J465" i="551" a="1"/>
  <c r="J465" i="551" s="1"/>
  <c r="H465" i="551"/>
  <c r="V464" i="551"/>
  <c r="W464" i="551" s="1"/>
  <c r="N464" i="551"/>
  <c r="K464" i="551" a="1"/>
  <c r="K464" i="551" s="1"/>
  <c r="J464" i="551" a="1"/>
  <c r="J464" i="551" s="1"/>
  <c r="H464" i="551"/>
  <c r="H479" i="551" s="1"/>
  <c r="AA463" i="551"/>
  <c r="Z463" i="551"/>
  <c r="Y463" i="551"/>
  <c r="X463" i="551"/>
  <c r="U463" i="551"/>
  <c r="T463" i="551"/>
  <c r="S463" i="551"/>
  <c r="R463" i="551"/>
  <c r="Q463" i="551"/>
  <c r="P463" i="551"/>
  <c r="O463" i="551"/>
  <c r="I463" i="551"/>
  <c r="G463" i="551"/>
  <c r="V462" i="551"/>
  <c r="W462" i="551" s="1"/>
  <c r="N462" i="551"/>
  <c r="K462" i="551" a="1"/>
  <c r="K462" i="551" s="1"/>
  <c r="M462" i="551" s="1"/>
  <c r="J462" i="551" a="1"/>
  <c r="J462" i="551" s="1"/>
  <c r="H462" i="551"/>
  <c r="V461" i="551"/>
  <c r="W461" i="551" s="1"/>
  <c r="N461" i="551"/>
  <c r="K461" i="551"/>
  <c r="M461" i="551" s="1"/>
  <c r="K461" i="551" a="1"/>
  <c r="J461" i="551"/>
  <c r="J461" i="551" a="1"/>
  <c r="H461" i="551"/>
  <c r="V460" i="551"/>
  <c r="W460" i="551" s="1"/>
  <c r="N460" i="551"/>
  <c r="K460" i="551" a="1"/>
  <c r="K460" i="551" s="1"/>
  <c r="M460" i="551" s="1"/>
  <c r="J460" i="551" a="1"/>
  <c r="J460" i="551" s="1"/>
  <c r="H460" i="551"/>
  <c r="K459" i="551" a="1"/>
  <c r="K459" i="551" s="1"/>
  <c r="M459" i="551" s="1"/>
  <c r="H459" i="551"/>
  <c r="K458" i="551" a="1"/>
  <c r="K458" i="551" s="1"/>
  <c r="M458" i="551" s="1"/>
  <c r="H458" i="551"/>
  <c r="K457" i="551" a="1"/>
  <c r="K457" i="551" s="1"/>
  <c r="M457" i="551" s="1"/>
  <c r="H457" i="551"/>
  <c r="W456" i="551"/>
  <c r="V456" i="551"/>
  <c r="N456" i="551"/>
  <c r="K456" i="551" a="1"/>
  <c r="K456" i="551" s="1"/>
  <c r="M456" i="551" s="1"/>
  <c r="J456" i="551" a="1"/>
  <c r="J456" i="551" s="1"/>
  <c r="H456" i="551"/>
  <c r="V455" i="551"/>
  <c r="W455" i="551" s="1"/>
  <c r="N455" i="551"/>
  <c r="K455" i="551" a="1"/>
  <c r="K455" i="551" s="1"/>
  <c r="M455" i="551" s="1"/>
  <c r="J455" i="551" a="1"/>
  <c r="J455" i="551" s="1"/>
  <c r="H455" i="551"/>
  <c r="N454" i="551"/>
  <c r="K454" i="551"/>
  <c r="M454" i="551" s="1"/>
  <c r="K454" i="551" a="1"/>
  <c r="H454" i="551"/>
  <c r="N453" i="551"/>
  <c r="K453" i="551" a="1"/>
  <c r="K453" i="551" s="1"/>
  <c r="M453" i="551" s="1"/>
  <c r="H453" i="551"/>
  <c r="N452" i="551"/>
  <c r="K452" i="551" a="1"/>
  <c r="K452" i="551" s="1"/>
  <c r="M452" i="551" s="1"/>
  <c r="H452" i="551"/>
  <c r="N451" i="551"/>
  <c r="K451" i="551" a="1"/>
  <c r="K451" i="551" s="1"/>
  <c r="M451" i="551" s="1"/>
  <c r="H451" i="551"/>
  <c r="N450" i="551"/>
  <c r="K450" i="551"/>
  <c r="M450" i="551" s="1"/>
  <c r="K450" i="551" a="1"/>
  <c r="H450" i="551"/>
  <c r="N449" i="551"/>
  <c r="K449" i="551" a="1"/>
  <c r="K449" i="551" s="1"/>
  <c r="M449" i="551" s="1"/>
  <c r="H449" i="551"/>
  <c r="W448" i="551"/>
  <c r="V448" i="551"/>
  <c r="N448" i="551"/>
  <c r="K448" i="551" a="1"/>
  <c r="K448" i="551" s="1"/>
  <c r="M448" i="551" s="1"/>
  <c r="J448" i="551" a="1"/>
  <c r="J448" i="551" s="1"/>
  <c r="H448" i="551"/>
  <c r="V447" i="551"/>
  <c r="W447" i="551" s="1"/>
  <c r="N447" i="551"/>
  <c r="K447" i="551" a="1"/>
  <c r="K447" i="551" s="1"/>
  <c r="M447" i="551" s="1"/>
  <c r="J447" i="551" a="1"/>
  <c r="J447" i="551" s="1"/>
  <c r="H447" i="551"/>
  <c r="V446" i="551"/>
  <c r="W446" i="551" s="1"/>
  <c r="N446" i="551"/>
  <c r="K446" i="551"/>
  <c r="M446" i="551" s="1"/>
  <c r="K446" i="551" a="1"/>
  <c r="J446" i="551"/>
  <c r="J446" i="551" a="1"/>
  <c r="H446" i="551"/>
  <c r="V445" i="551"/>
  <c r="W445" i="551" s="1"/>
  <c r="N445" i="551"/>
  <c r="K445" i="551" a="1"/>
  <c r="K445" i="551" s="1"/>
  <c r="M445" i="551" s="1"/>
  <c r="J445" i="551" a="1"/>
  <c r="J445" i="551" s="1"/>
  <c r="H445" i="551"/>
  <c r="W444" i="551"/>
  <c r="V444" i="551"/>
  <c r="N444" i="551"/>
  <c r="K444" i="551" a="1"/>
  <c r="K444" i="551" s="1"/>
  <c r="M444" i="551" s="1"/>
  <c r="J444" i="551" a="1"/>
  <c r="J444" i="551" s="1"/>
  <c r="H444" i="551"/>
  <c r="V443" i="551"/>
  <c r="W443" i="551" s="1"/>
  <c r="N443" i="551"/>
  <c r="K443" i="551" a="1"/>
  <c r="K443" i="551" s="1"/>
  <c r="M443" i="551" s="1"/>
  <c r="J443" i="551" a="1"/>
  <c r="J443" i="551" s="1"/>
  <c r="H443" i="551"/>
  <c r="V442" i="551"/>
  <c r="W442" i="551" s="1"/>
  <c r="N442" i="551"/>
  <c r="K442" i="551"/>
  <c r="M442" i="551" s="1"/>
  <c r="K442" i="551" a="1"/>
  <c r="J442" i="551"/>
  <c r="J442" i="551" a="1"/>
  <c r="H442" i="551"/>
  <c r="V441" i="551"/>
  <c r="W441" i="551" s="1"/>
  <c r="N441" i="551"/>
  <c r="K441" i="551" a="1"/>
  <c r="K441" i="551" s="1"/>
  <c r="M441" i="551" s="1"/>
  <c r="J441" i="551" a="1"/>
  <c r="J441" i="551" s="1"/>
  <c r="H441" i="551"/>
  <c r="W440" i="551"/>
  <c r="V440" i="551"/>
  <c r="N440" i="551"/>
  <c r="K440" i="551" a="1"/>
  <c r="K440" i="551" s="1"/>
  <c r="M440" i="551" s="1"/>
  <c r="J440" i="551" a="1"/>
  <c r="J440" i="551" s="1"/>
  <c r="H440" i="551"/>
  <c r="V439" i="551"/>
  <c r="W439" i="551" s="1"/>
  <c r="N439" i="551"/>
  <c r="K439" i="551" a="1"/>
  <c r="K439" i="551" s="1"/>
  <c r="M439" i="551" s="1"/>
  <c r="J439" i="551" a="1"/>
  <c r="J439" i="551" s="1"/>
  <c r="H439" i="551"/>
  <c r="V438" i="551"/>
  <c r="W438" i="551" s="1"/>
  <c r="N438" i="551"/>
  <c r="K438" i="551"/>
  <c r="M438" i="551" s="1"/>
  <c r="K438" i="551" a="1"/>
  <c r="J438" i="551"/>
  <c r="J438" i="551" a="1"/>
  <c r="H438" i="551"/>
  <c r="V437" i="551"/>
  <c r="W437" i="551" s="1"/>
  <c r="N437" i="551"/>
  <c r="K437" i="551" a="1"/>
  <c r="K437" i="551" s="1"/>
  <c r="M437" i="551" s="1"/>
  <c r="J437" i="551" a="1"/>
  <c r="J437" i="551" s="1"/>
  <c r="H437" i="551"/>
  <c r="N436" i="551"/>
  <c r="K436" i="551" a="1"/>
  <c r="K436" i="551" s="1"/>
  <c r="M436" i="551" s="1"/>
  <c r="H436" i="551"/>
  <c r="V435" i="551"/>
  <c r="W435" i="551" s="1"/>
  <c r="N435" i="551"/>
  <c r="K435" i="551" a="1"/>
  <c r="K435" i="551" s="1"/>
  <c r="M435" i="551" s="1"/>
  <c r="J435" i="551" a="1"/>
  <c r="J435" i="551" s="1"/>
  <c r="H435" i="551"/>
  <c r="V434" i="551"/>
  <c r="W434" i="551" s="1"/>
  <c r="N434" i="551"/>
  <c r="K434" i="551"/>
  <c r="M434" i="551" s="1"/>
  <c r="K434" i="551" a="1"/>
  <c r="J434" i="551"/>
  <c r="J434" i="551" a="1"/>
  <c r="H434" i="551"/>
  <c r="V433" i="551"/>
  <c r="W433" i="551" s="1"/>
  <c r="N433" i="551"/>
  <c r="K433" i="551" a="1"/>
  <c r="K433" i="551" s="1"/>
  <c r="M433" i="551" s="1"/>
  <c r="J433" i="551" a="1"/>
  <c r="J433" i="551" s="1"/>
  <c r="H433" i="551"/>
  <c r="W432" i="551"/>
  <c r="V432" i="551"/>
  <c r="N432" i="551"/>
  <c r="K432" i="551" a="1"/>
  <c r="K432" i="551" s="1"/>
  <c r="M432" i="551" s="1"/>
  <c r="J432" i="551" a="1"/>
  <c r="J432" i="551" s="1"/>
  <c r="H432" i="551"/>
  <c r="V431" i="551"/>
  <c r="W431" i="551" s="1"/>
  <c r="N431" i="551"/>
  <c r="K431" i="551" a="1"/>
  <c r="K431" i="551" s="1"/>
  <c r="M431" i="551" s="1"/>
  <c r="J431" i="551" a="1"/>
  <c r="J431" i="551" s="1"/>
  <c r="H431" i="551"/>
  <c r="V430" i="551"/>
  <c r="W430" i="551" s="1"/>
  <c r="N430" i="551"/>
  <c r="K430" i="551"/>
  <c r="M430" i="551" s="1"/>
  <c r="K430" i="551" a="1"/>
  <c r="J430" i="551"/>
  <c r="J430" i="551" a="1"/>
  <c r="H430" i="551"/>
  <c r="V429" i="551"/>
  <c r="N429" i="551"/>
  <c r="N463" i="551" s="1"/>
  <c r="K429" i="551" a="1"/>
  <c r="K429" i="551" s="1"/>
  <c r="J429" i="551" a="1"/>
  <c r="J429" i="551" s="1"/>
  <c r="H429" i="551"/>
  <c r="AA428" i="551"/>
  <c r="Z428" i="551"/>
  <c r="Y428" i="551"/>
  <c r="X428" i="551"/>
  <c r="U428" i="551"/>
  <c r="T428" i="551"/>
  <c r="S428" i="551"/>
  <c r="R428" i="551"/>
  <c r="Q428" i="551"/>
  <c r="P428" i="551"/>
  <c r="O428" i="551"/>
  <c r="R510" i="551" s="1"/>
  <c r="I428" i="551"/>
  <c r="G428" i="551"/>
  <c r="J428" i="551" s="1" a="1"/>
  <c r="J428" i="551" s="1"/>
  <c r="K427" i="551" a="1"/>
  <c r="K427" i="551" s="1"/>
  <c r="M427" i="551" s="1"/>
  <c r="H427" i="551"/>
  <c r="K426" i="551"/>
  <c r="M426" i="551" s="1"/>
  <c r="K426" i="551" a="1"/>
  <c r="H426" i="551"/>
  <c r="K425" i="551" a="1"/>
  <c r="K425" i="551" s="1"/>
  <c r="M425" i="551" s="1"/>
  <c r="H425" i="551"/>
  <c r="K424" i="551"/>
  <c r="M424" i="551" s="1"/>
  <c r="K424" i="551" a="1"/>
  <c r="H424" i="551"/>
  <c r="K423" i="551" a="1"/>
  <c r="K423" i="551" s="1"/>
  <c r="M423" i="551" s="1"/>
  <c r="H423" i="551"/>
  <c r="K422" i="551"/>
  <c r="M422" i="551" s="1"/>
  <c r="K422" i="551" a="1"/>
  <c r="H422" i="551"/>
  <c r="K421" i="551" a="1"/>
  <c r="K421" i="551" s="1"/>
  <c r="M421" i="551" s="1"/>
  <c r="H421" i="551"/>
  <c r="K420" i="551"/>
  <c r="M420" i="551" s="1"/>
  <c r="K420" i="551" a="1"/>
  <c r="H420" i="551"/>
  <c r="K419" i="551" a="1"/>
  <c r="K419" i="551" s="1"/>
  <c r="M419" i="551" s="1"/>
  <c r="H419" i="551"/>
  <c r="K418" i="551"/>
  <c r="M418" i="551" s="1"/>
  <c r="K418" i="551" a="1"/>
  <c r="H418" i="551"/>
  <c r="V417" i="551"/>
  <c r="W417" i="551" s="1"/>
  <c r="N417" i="551"/>
  <c r="K417" i="551" a="1"/>
  <c r="K417" i="551" s="1"/>
  <c r="M417" i="551" s="1"/>
  <c r="J417" i="551" a="1"/>
  <c r="J417" i="551" s="1"/>
  <c r="H417" i="551"/>
  <c r="W416" i="551"/>
  <c r="V416" i="551"/>
  <c r="N416" i="551"/>
  <c r="K416" i="551" a="1"/>
  <c r="K416" i="551" s="1"/>
  <c r="M416" i="551" s="1"/>
  <c r="J416" i="551" a="1"/>
  <c r="J416" i="551" s="1"/>
  <c r="H416" i="551"/>
  <c r="V415" i="551"/>
  <c r="W415" i="551" s="1"/>
  <c r="N415" i="551"/>
  <c r="K415" i="551" a="1"/>
  <c r="K415" i="551" s="1"/>
  <c r="M415" i="551" s="1"/>
  <c r="J415" i="551" a="1"/>
  <c r="J415" i="551" s="1"/>
  <c r="H415" i="551"/>
  <c r="V414" i="551"/>
  <c r="W414" i="551" s="1"/>
  <c r="N414" i="551"/>
  <c r="K414" i="551"/>
  <c r="M414" i="551" s="1"/>
  <c r="K414" i="551" a="1"/>
  <c r="J414" i="551"/>
  <c r="J414" i="551" a="1"/>
  <c r="H414" i="551"/>
  <c r="H413" i="551"/>
  <c r="W412" i="551"/>
  <c r="V412" i="551"/>
  <c r="N412" i="551"/>
  <c r="K412" i="551" a="1"/>
  <c r="K412" i="551" s="1"/>
  <c r="M412" i="551" s="1"/>
  <c r="J412" i="551" a="1"/>
  <c r="J412" i="551" s="1"/>
  <c r="H412" i="551"/>
  <c r="V411" i="551"/>
  <c r="W411" i="551" s="1"/>
  <c r="N411" i="551"/>
  <c r="K411" i="551" a="1"/>
  <c r="K411" i="551" s="1"/>
  <c r="M411" i="551" s="1"/>
  <c r="J411" i="551" a="1"/>
  <c r="J411" i="551" s="1"/>
  <c r="H411" i="551"/>
  <c r="H410" i="551"/>
  <c r="K409" i="551" a="1"/>
  <c r="K409" i="551" s="1"/>
  <c r="H409" i="551"/>
  <c r="W408" i="551"/>
  <c r="V408" i="551"/>
  <c r="N408" i="551"/>
  <c r="K408" i="551" a="1"/>
  <c r="K408" i="551" s="1"/>
  <c r="M408" i="551" s="1"/>
  <c r="J408" i="551" a="1"/>
  <c r="J408" i="551" s="1"/>
  <c r="H408" i="551"/>
  <c r="V407" i="551"/>
  <c r="W407" i="551" s="1"/>
  <c r="N407" i="551"/>
  <c r="K407" i="551" a="1"/>
  <c r="K407" i="551" s="1"/>
  <c r="M407" i="551" s="1"/>
  <c r="J407" i="551" a="1"/>
  <c r="J407" i="551" s="1"/>
  <c r="H407" i="551"/>
  <c r="V406" i="551"/>
  <c r="W406" i="551" s="1"/>
  <c r="N406" i="551"/>
  <c r="K406" i="551"/>
  <c r="M406" i="551" s="1"/>
  <c r="K406" i="551" a="1"/>
  <c r="J406" i="551"/>
  <c r="J406" i="551" a="1"/>
  <c r="H406" i="551"/>
  <c r="V405" i="551"/>
  <c r="W405" i="551" s="1"/>
  <c r="N405" i="551"/>
  <c r="K405" i="551" a="1"/>
  <c r="K405" i="551" s="1"/>
  <c r="M405" i="551" s="1"/>
  <c r="J405" i="551" a="1"/>
  <c r="J405" i="551" s="1"/>
  <c r="H405" i="551"/>
  <c r="W404" i="551"/>
  <c r="V404" i="551"/>
  <c r="N404" i="551"/>
  <c r="K404" i="551" a="1"/>
  <c r="K404" i="551" s="1"/>
  <c r="M404" i="551" s="1"/>
  <c r="J404" i="551" a="1"/>
  <c r="J404" i="551" s="1"/>
  <c r="H404" i="551"/>
  <c r="V403" i="551"/>
  <c r="W403" i="551" s="1"/>
  <c r="N403" i="551"/>
  <c r="K403" i="551" a="1"/>
  <c r="K403" i="551" s="1"/>
  <c r="M403" i="551" s="1"/>
  <c r="J403" i="551" a="1"/>
  <c r="J403" i="551" s="1"/>
  <c r="H403" i="551"/>
  <c r="V402" i="551"/>
  <c r="W402" i="551" s="1"/>
  <c r="N402" i="551"/>
  <c r="K402" i="551"/>
  <c r="M402" i="551" s="1"/>
  <c r="K402" i="551" a="1"/>
  <c r="J402" i="551"/>
  <c r="J402" i="551" a="1"/>
  <c r="H402" i="551"/>
  <c r="V401" i="551"/>
  <c r="W401" i="551" s="1"/>
  <c r="N401" i="551"/>
  <c r="K401" i="551" a="1"/>
  <c r="K401" i="551" s="1"/>
  <c r="M401" i="551" s="1"/>
  <c r="J401" i="551" a="1"/>
  <c r="J401" i="551" s="1"/>
  <c r="H401" i="551"/>
  <c r="W400" i="551"/>
  <c r="V400" i="551"/>
  <c r="N400" i="551"/>
  <c r="K400" i="551" a="1"/>
  <c r="K400" i="551" s="1"/>
  <c r="M400" i="551" s="1"/>
  <c r="J400" i="551" a="1"/>
  <c r="J400" i="551" s="1"/>
  <c r="H400" i="551"/>
  <c r="V399" i="551"/>
  <c r="W399" i="551" s="1"/>
  <c r="N399" i="551"/>
  <c r="K399" i="551" a="1"/>
  <c r="K399" i="551" s="1"/>
  <c r="M399" i="551" s="1"/>
  <c r="J399" i="551" a="1"/>
  <c r="J399" i="551" s="1"/>
  <c r="H399" i="551"/>
  <c r="K398" i="551" a="1"/>
  <c r="K398" i="551" s="1"/>
  <c r="M398" i="551" s="1"/>
  <c r="H398" i="551"/>
  <c r="K397" i="551" a="1"/>
  <c r="K397" i="551" s="1"/>
  <c r="M397" i="551" s="1"/>
  <c r="H397" i="551"/>
  <c r="K396" i="551" a="1"/>
  <c r="K396" i="551" s="1"/>
  <c r="M396" i="551" s="1"/>
  <c r="H396" i="551"/>
  <c r="K395" i="551" a="1"/>
  <c r="K395" i="551" s="1"/>
  <c r="M395" i="551" s="1"/>
  <c r="H395" i="551"/>
  <c r="N394" i="551"/>
  <c r="K394" i="551"/>
  <c r="M394" i="551" s="1"/>
  <c r="K394" i="551" a="1"/>
  <c r="H394" i="551"/>
  <c r="N393" i="551"/>
  <c r="K393" i="551" a="1"/>
  <c r="K393" i="551" s="1"/>
  <c r="M393" i="551" s="1"/>
  <c r="H393" i="551"/>
  <c r="N392" i="551"/>
  <c r="K392" i="551" a="1"/>
  <c r="K392" i="551" s="1"/>
  <c r="M392" i="551" s="1"/>
  <c r="H392" i="551"/>
  <c r="N391" i="551"/>
  <c r="K391" i="551" a="1"/>
  <c r="K391" i="551" s="1"/>
  <c r="M391" i="551" s="1"/>
  <c r="H391" i="551"/>
  <c r="V390" i="551"/>
  <c r="W390" i="551" s="1"/>
  <c r="N390" i="551"/>
  <c r="K390" i="551"/>
  <c r="M390" i="551" s="1"/>
  <c r="K390" i="551" a="1"/>
  <c r="J390" i="551"/>
  <c r="J390" i="551" a="1"/>
  <c r="H390" i="551"/>
  <c r="V389" i="551"/>
  <c r="W389" i="551" s="1"/>
  <c r="N389" i="551"/>
  <c r="K389" i="551" a="1"/>
  <c r="K389" i="551" s="1"/>
  <c r="M389" i="551" s="1"/>
  <c r="J389" i="551" a="1"/>
  <c r="J389" i="551" s="1"/>
  <c r="H389" i="551"/>
  <c r="W388" i="551"/>
  <c r="V388" i="551"/>
  <c r="N388" i="551"/>
  <c r="K388" i="551" a="1"/>
  <c r="K388" i="551" s="1"/>
  <c r="M388" i="551" s="1"/>
  <c r="J388" i="551" a="1"/>
  <c r="J388" i="551" s="1"/>
  <c r="H388" i="551"/>
  <c r="V387" i="551"/>
  <c r="W387" i="551" s="1"/>
  <c r="N387" i="551"/>
  <c r="K387" i="551" a="1"/>
  <c r="K387" i="551" s="1"/>
  <c r="M387" i="551" s="1"/>
  <c r="J387" i="551" a="1"/>
  <c r="J387" i="551" s="1"/>
  <c r="H387" i="551"/>
  <c r="V386" i="551"/>
  <c r="W386" i="551" s="1"/>
  <c r="N386" i="551"/>
  <c r="K386" i="551"/>
  <c r="M386" i="551" s="1"/>
  <c r="K386" i="551" a="1"/>
  <c r="J386" i="551"/>
  <c r="J386" i="551" a="1"/>
  <c r="H386" i="551"/>
  <c r="V385" i="551"/>
  <c r="W385" i="551" s="1"/>
  <c r="N385" i="551"/>
  <c r="K385" i="551" a="1"/>
  <c r="K385" i="551" s="1"/>
  <c r="M385" i="551" s="1"/>
  <c r="J385" i="551" a="1"/>
  <c r="J385" i="551" s="1"/>
  <c r="H385" i="551"/>
  <c r="W384" i="551"/>
  <c r="V384" i="551"/>
  <c r="N384" i="551"/>
  <c r="K384" i="551" a="1"/>
  <c r="K384" i="551" s="1"/>
  <c r="M384" i="551" s="1"/>
  <c r="J384" i="551" a="1"/>
  <c r="J384" i="551" s="1"/>
  <c r="H384" i="551"/>
  <c r="V383" i="551"/>
  <c r="W383" i="551" s="1"/>
  <c r="N383" i="551"/>
  <c r="K383" i="551" a="1"/>
  <c r="K383" i="551" s="1"/>
  <c r="M383" i="551" s="1"/>
  <c r="J383" i="551" a="1"/>
  <c r="J383" i="551" s="1"/>
  <c r="H383" i="551"/>
  <c r="V382" i="551"/>
  <c r="W382" i="551" s="1"/>
  <c r="N382" i="551"/>
  <c r="K382" i="551"/>
  <c r="M382" i="551" s="1"/>
  <c r="K382" i="551" a="1"/>
  <c r="J382" i="551"/>
  <c r="J382" i="551" a="1"/>
  <c r="H382" i="551"/>
  <c r="V381" i="551"/>
  <c r="W381" i="551" s="1"/>
  <c r="N381" i="551"/>
  <c r="K381" i="551" a="1"/>
  <c r="K381" i="551" s="1"/>
  <c r="M381" i="551" s="1"/>
  <c r="J381" i="551" a="1"/>
  <c r="J381" i="551" s="1"/>
  <c r="H381" i="551"/>
  <c r="W380" i="551"/>
  <c r="V380" i="551"/>
  <c r="N380" i="551"/>
  <c r="K380" i="551" a="1"/>
  <c r="K380" i="551" s="1"/>
  <c r="M380" i="551" s="1"/>
  <c r="J380" i="551" a="1"/>
  <c r="J380" i="551" s="1"/>
  <c r="H380" i="551"/>
  <c r="V379" i="551"/>
  <c r="W379" i="551" s="1"/>
  <c r="N379" i="551"/>
  <c r="K379" i="551" a="1"/>
  <c r="K379" i="551" s="1"/>
  <c r="M379" i="551" s="1"/>
  <c r="J379" i="551" a="1"/>
  <c r="J379" i="551" s="1"/>
  <c r="H379" i="551"/>
  <c r="K378" i="551" a="1"/>
  <c r="K378" i="551" s="1"/>
  <c r="M378" i="551" s="1"/>
  <c r="H378" i="551"/>
  <c r="K377" i="551" a="1"/>
  <c r="K377" i="551" s="1"/>
  <c r="M377" i="551" s="1"/>
  <c r="H377" i="551"/>
  <c r="K376" i="551" a="1"/>
  <c r="K376" i="551" s="1"/>
  <c r="M376" i="551" s="1"/>
  <c r="H376" i="551"/>
  <c r="V375" i="551"/>
  <c r="W375" i="551" s="1"/>
  <c r="N375" i="551"/>
  <c r="K375" i="551" a="1"/>
  <c r="K375" i="551" s="1"/>
  <c r="M375" i="551" s="1"/>
  <c r="J375" i="551" a="1"/>
  <c r="J375" i="551" s="1"/>
  <c r="H375" i="551"/>
  <c r="W374" i="551"/>
  <c r="V374" i="551"/>
  <c r="N374" i="551"/>
  <c r="K374" i="551" a="1"/>
  <c r="K374" i="551" s="1"/>
  <c r="M374" i="551" s="1"/>
  <c r="J374" i="551" a="1"/>
  <c r="J374" i="551" s="1"/>
  <c r="H374" i="551"/>
  <c r="V373" i="551"/>
  <c r="W373" i="551" s="1"/>
  <c r="N373" i="551"/>
  <c r="K373" i="551" a="1"/>
  <c r="K373" i="551" s="1"/>
  <c r="M373" i="551" s="1"/>
  <c r="J373" i="551" a="1"/>
  <c r="J373" i="551" s="1"/>
  <c r="H373" i="551"/>
  <c r="K372" i="551" a="1"/>
  <c r="K372" i="551" s="1"/>
  <c r="H372" i="551"/>
  <c r="V371" i="551"/>
  <c r="N371" i="551"/>
  <c r="K371" i="551" a="1"/>
  <c r="K371" i="551" s="1"/>
  <c r="J371" i="551" a="1"/>
  <c r="J371" i="551" s="1"/>
  <c r="H371" i="551"/>
  <c r="AA370" i="551"/>
  <c r="AA507" i="551" s="1"/>
  <c r="Z370" i="551"/>
  <c r="Z507" i="551" s="1"/>
  <c r="Y370" i="551"/>
  <c r="Y507" i="551" s="1"/>
  <c r="X370" i="551"/>
  <c r="X507" i="551" s="1"/>
  <c r="U370" i="551"/>
  <c r="U507" i="551" s="1"/>
  <c r="T370" i="551"/>
  <c r="T507" i="551" s="1"/>
  <c r="S370" i="551"/>
  <c r="S507" i="551" s="1"/>
  <c r="R370" i="551"/>
  <c r="R507" i="551" s="1"/>
  <c r="Q370" i="551"/>
  <c r="Q507" i="551" s="1"/>
  <c r="P370" i="551"/>
  <c r="P507" i="551" s="1"/>
  <c r="O370" i="551"/>
  <c r="I370" i="551"/>
  <c r="I507" i="551" s="1"/>
  <c r="B515" i="551" s="1"/>
  <c r="G370" i="551"/>
  <c r="G507" i="551" s="1"/>
  <c r="V369" i="551"/>
  <c r="W369" i="551" s="1"/>
  <c r="N369" i="551"/>
  <c r="K369" i="551" a="1"/>
  <c r="K369" i="551" s="1"/>
  <c r="M369" i="551" s="1"/>
  <c r="J369" i="551" a="1"/>
  <c r="J369" i="551" s="1"/>
  <c r="H369" i="551"/>
  <c r="V368" i="551"/>
  <c r="W368" i="551" s="1"/>
  <c r="N368" i="551"/>
  <c r="K368" i="551"/>
  <c r="M368" i="551" s="1"/>
  <c r="K368" i="551" a="1"/>
  <c r="J368" i="551"/>
  <c r="J368" i="551" a="1"/>
  <c r="H368" i="551"/>
  <c r="K367" i="551" a="1"/>
  <c r="K367" i="551" s="1"/>
  <c r="M367" i="551" s="1"/>
  <c r="H367" i="551"/>
  <c r="K366" i="551" a="1"/>
  <c r="K366" i="551" s="1"/>
  <c r="M366" i="551" s="1"/>
  <c r="H366" i="551"/>
  <c r="K365" i="551" a="1"/>
  <c r="K365" i="551" s="1"/>
  <c r="M365" i="551" s="1"/>
  <c r="H365" i="551"/>
  <c r="K364" i="551" a="1"/>
  <c r="K364" i="551" s="1"/>
  <c r="M364" i="551" s="1"/>
  <c r="H364" i="551"/>
  <c r="V363" i="551"/>
  <c r="W363" i="551" s="1"/>
  <c r="N363" i="551"/>
  <c r="K363" i="551" a="1"/>
  <c r="K363" i="551" s="1"/>
  <c r="M363" i="551" s="1"/>
  <c r="J363" i="551" a="1"/>
  <c r="J363" i="551" s="1"/>
  <c r="H363" i="551"/>
  <c r="V362" i="551"/>
  <c r="W362" i="551" s="1"/>
  <c r="N362" i="551"/>
  <c r="K362" i="551" a="1"/>
  <c r="K362" i="551" s="1"/>
  <c r="M362" i="551" s="1"/>
  <c r="J362" i="551" a="1"/>
  <c r="J362" i="551" s="1"/>
  <c r="H362" i="551"/>
  <c r="V361" i="551"/>
  <c r="W361" i="551" s="1"/>
  <c r="N361" i="551"/>
  <c r="K361" i="551" a="1"/>
  <c r="K361" i="551" s="1"/>
  <c r="M361" i="551" s="1"/>
  <c r="J361" i="551" a="1"/>
  <c r="J361" i="551" s="1"/>
  <c r="H361" i="551"/>
  <c r="H360" i="551"/>
  <c r="H359" i="551"/>
  <c r="V358" i="551"/>
  <c r="W358" i="551" s="1"/>
  <c r="N358" i="551"/>
  <c r="K358" i="551"/>
  <c r="M358" i="551" s="1"/>
  <c r="K358" i="551" a="1"/>
  <c r="J358" i="551"/>
  <c r="J358" i="551" a="1"/>
  <c r="H358" i="551"/>
  <c r="V357" i="551"/>
  <c r="W357" i="551" s="1"/>
  <c r="N357" i="551"/>
  <c r="K357" i="551" a="1"/>
  <c r="K357" i="551" s="1"/>
  <c r="M357" i="551" s="1"/>
  <c r="J357" i="551" a="1"/>
  <c r="J357" i="551" s="1"/>
  <c r="H357" i="551"/>
  <c r="K356" i="551" a="1"/>
  <c r="K356" i="551" s="1"/>
  <c r="M356" i="551" s="1"/>
  <c r="H356" i="551"/>
  <c r="K355" i="551" a="1"/>
  <c r="K355" i="551" s="1"/>
  <c r="M355" i="551" s="1"/>
  <c r="H355" i="551"/>
  <c r="W354" i="551"/>
  <c r="V354" i="551"/>
  <c r="N354" i="551"/>
  <c r="K354" i="551" a="1"/>
  <c r="K354" i="551" s="1"/>
  <c r="M354" i="551" s="1"/>
  <c r="J354" i="551" a="1"/>
  <c r="J354" i="551" s="1"/>
  <c r="H354" i="551"/>
  <c r="V353" i="551"/>
  <c r="W353" i="551" s="1"/>
  <c r="N353" i="551"/>
  <c r="K353" i="551" a="1"/>
  <c r="K353" i="551" s="1"/>
  <c r="M353" i="551" s="1"/>
  <c r="J353" i="551" a="1"/>
  <c r="J353" i="551" s="1"/>
  <c r="H353" i="551"/>
  <c r="V352" i="551"/>
  <c r="W352" i="551" s="1"/>
  <c r="N352" i="551"/>
  <c r="K352" i="551"/>
  <c r="M352" i="551" s="1"/>
  <c r="K352" i="551" a="1"/>
  <c r="J352" i="551"/>
  <c r="J352" i="551" a="1"/>
  <c r="H352" i="551"/>
  <c r="V351" i="551"/>
  <c r="W351" i="551" s="1"/>
  <c r="N351" i="551"/>
  <c r="K351" i="551" a="1"/>
  <c r="K351" i="551" s="1"/>
  <c r="M351" i="551" s="1"/>
  <c r="J351" i="551" a="1"/>
  <c r="J351" i="551" s="1"/>
  <c r="H351" i="551"/>
  <c r="W350" i="551"/>
  <c r="V350" i="551"/>
  <c r="N350" i="551"/>
  <c r="K350" i="551" a="1"/>
  <c r="K350" i="551" s="1"/>
  <c r="M350" i="551" s="1"/>
  <c r="J350" i="551" a="1"/>
  <c r="J350" i="551" s="1"/>
  <c r="H350" i="551"/>
  <c r="V349" i="551"/>
  <c r="V370" i="551" s="1"/>
  <c r="N349" i="551"/>
  <c r="K349" i="551" a="1"/>
  <c r="K349" i="551" s="1"/>
  <c r="J349" i="551" a="1"/>
  <c r="J349" i="551" s="1"/>
  <c r="H349" i="551"/>
  <c r="H370" i="551" s="1"/>
  <c r="X343" i="551"/>
  <c r="X342" i="551"/>
  <c r="X341" i="551"/>
  <c r="G341" i="551"/>
  <c r="C341" i="551"/>
  <c r="X340" i="551"/>
  <c r="I340" i="551"/>
  <c r="E340" i="551"/>
  <c r="K340" i="551" s="1"/>
  <c r="M340" i="551" s="1"/>
  <c r="I339" i="551"/>
  <c r="E339" i="551"/>
  <c r="K339" i="551" s="1"/>
  <c r="M339" i="551" s="1"/>
  <c r="I338" i="551"/>
  <c r="E338" i="551"/>
  <c r="K338" i="551" s="1"/>
  <c r="M338" i="551" s="1"/>
  <c r="X337" i="551"/>
  <c r="I337" i="551"/>
  <c r="I341" i="551" s="1"/>
  <c r="E337" i="551"/>
  <c r="K337" i="551" s="1"/>
  <c r="AA334" i="551"/>
  <c r="Z334" i="551"/>
  <c r="Y334" i="551"/>
  <c r="X334" i="551"/>
  <c r="U334" i="551"/>
  <c r="T334" i="551"/>
  <c r="S334" i="551"/>
  <c r="R334" i="551"/>
  <c r="Q334" i="551"/>
  <c r="P334" i="551"/>
  <c r="O334" i="551"/>
  <c r="R342" i="551" s="1"/>
  <c r="I334" i="551"/>
  <c r="G334" i="551"/>
  <c r="K333" i="551" a="1"/>
  <c r="K333" i="551" s="1"/>
  <c r="H333" i="551"/>
  <c r="K332" i="551"/>
  <c r="K332" i="551" a="1"/>
  <c r="H332" i="551"/>
  <c r="K331" i="551" a="1"/>
  <c r="K331" i="551" s="1"/>
  <c r="H331" i="551"/>
  <c r="V330" i="551"/>
  <c r="W330" i="551" s="1"/>
  <c r="N330" i="551"/>
  <c r="K330" i="551" a="1"/>
  <c r="K330" i="551" s="1"/>
  <c r="D330" i="551"/>
  <c r="H330" i="551" s="1"/>
  <c r="H329" i="551"/>
  <c r="K328" i="551" a="1"/>
  <c r="K328" i="551" s="1"/>
  <c r="H328" i="551"/>
  <c r="H327" i="551"/>
  <c r="V326" i="551"/>
  <c r="W326" i="551" s="1"/>
  <c r="N326" i="551"/>
  <c r="K326" i="551" a="1"/>
  <c r="K326" i="551" s="1"/>
  <c r="M326" i="551" s="1"/>
  <c r="J326" i="551" a="1"/>
  <c r="J326" i="551" s="1"/>
  <c r="H326" i="551"/>
  <c r="V325" i="551"/>
  <c r="W325" i="551" s="1"/>
  <c r="N325" i="551"/>
  <c r="K325" i="551" a="1"/>
  <c r="K325" i="551" s="1"/>
  <c r="M325" i="551" s="1"/>
  <c r="J325" i="551" a="1"/>
  <c r="J325" i="551" s="1"/>
  <c r="H325" i="551"/>
  <c r="H324" i="551"/>
  <c r="V323" i="551"/>
  <c r="W323" i="551" s="1"/>
  <c r="N323" i="551"/>
  <c r="K323" i="551" a="1"/>
  <c r="K323" i="551" s="1"/>
  <c r="M323" i="551" s="1"/>
  <c r="J323" i="551" a="1"/>
  <c r="J323" i="551" s="1"/>
  <c r="H323" i="551"/>
  <c r="V322" i="551"/>
  <c r="W322" i="551" s="1"/>
  <c r="N322" i="551"/>
  <c r="K322" i="551"/>
  <c r="M322" i="551" s="1"/>
  <c r="K322" i="551" a="1"/>
  <c r="J322" i="551"/>
  <c r="J322" i="551" a="1"/>
  <c r="H322" i="551"/>
  <c r="V321" i="551"/>
  <c r="W321" i="551" s="1"/>
  <c r="N321" i="551"/>
  <c r="K321" i="551" a="1"/>
  <c r="K321" i="551" s="1"/>
  <c r="M321" i="551" s="1"/>
  <c r="J321" i="551" a="1"/>
  <c r="J321" i="551" s="1"/>
  <c r="H321" i="551"/>
  <c r="V320" i="551"/>
  <c r="V334" i="551" s="1"/>
  <c r="N320" i="551"/>
  <c r="N334" i="551" s="1"/>
  <c r="K320" i="551" a="1"/>
  <c r="K320" i="551" s="1"/>
  <c r="J320" i="551" a="1"/>
  <c r="J320" i="551" s="1"/>
  <c r="H320" i="551"/>
  <c r="H334" i="551" s="1"/>
  <c r="AA319" i="551"/>
  <c r="Z319" i="551"/>
  <c r="Y319" i="551"/>
  <c r="X319" i="551"/>
  <c r="U319" i="551"/>
  <c r="T319" i="551"/>
  <c r="S319" i="551"/>
  <c r="Q319" i="551"/>
  <c r="P319" i="551"/>
  <c r="O319" i="551"/>
  <c r="R341" i="551" s="1"/>
  <c r="I319" i="551"/>
  <c r="G319" i="551"/>
  <c r="J319" i="551" s="1" a="1"/>
  <c r="J319" i="551" s="1"/>
  <c r="V318" i="551"/>
  <c r="W318" i="551" s="1"/>
  <c r="N318" i="551"/>
  <c r="K318" i="551" a="1"/>
  <c r="K318" i="551" s="1"/>
  <c r="M318" i="551" s="1"/>
  <c r="J318" i="551" a="1"/>
  <c r="J318" i="551" s="1"/>
  <c r="H318" i="551"/>
  <c r="H317" i="551"/>
  <c r="H316" i="551"/>
  <c r="H315" i="551"/>
  <c r="H314" i="551"/>
  <c r="W313" i="551"/>
  <c r="V313" i="551"/>
  <c r="N313" i="551"/>
  <c r="K313" i="551" a="1"/>
  <c r="K313" i="551" s="1"/>
  <c r="M313" i="551" s="1"/>
  <c r="J313" i="551" a="1"/>
  <c r="J313" i="551" s="1"/>
  <c r="H313" i="551"/>
  <c r="V312" i="551"/>
  <c r="W312" i="551" s="1"/>
  <c r="N312" i="551"/>
  <c r="K312" i="551" a="1"/>
  <c r="K312" i="551" s="1"/>
  <c r="M312" i="551" s="1"/>
  <c r="J312" i="551" a="1"/>
  <c r="J312" i="551" s="1"/>
  <c r="H312" i="551"/>
  <c r="V311" i="551"/>
  <c r="W311" i="551" s="1"/>
  <c r="N311" i="551"/>
  <c r="K311" i="551"/>
  <c r="M311" i="551" s="1"/>
  <c r="K311" i="551" a="1"/>
  <c r="J311" i="551"/>
  <c r="J311" i="551" a="1"/>
  <c r="H311" i="551"/>
  <c r="V310" i="551"/>
  <c r="W310" i="551" s="1"/>
  <c r="N310" i="551"/>
  <c r="K310" i="551" a="1"/>
  <c r="K310" i="551" s="1"/>
  <c r="M310" i="551" s="1"/>
  <c r="J310" i="551" a="1"/>
  <c r="J310" i="551" s="1"/>
  <c r="H310" i="551"/>
  <c r="W309" i="551"/>
  <c r="V309" i="551"/>
  <c r="V319" i="551" s="1"/>
  <c r="W319" i="551" s="1"/>
  <c r="N309" i="551"/>
  <c r="N319" i="551" s="1"/>
  <c r="K309" i="551" a="1"/>
  <c r="K309" i="551" s="1"/>
  <c r="K319" i="551" s="1"/>
  <c r="J309" i="551" a="1"/>
  <c r="J309" i="551" s="1"/>
  <c r="H309" i="551"/>
  <c r="H319" i="551" s="1"/>
  <c r="AA308" i="551"/>
  <c r="Z308" i="551"/>
  <c r="Y308" i="551"/>
  <c r="X308" i="551"/>
  <c r="U308" i="551"/>
  <c r="T308" i="551"/>
  <c r="S308" i="551"/>
  <c r="Q308" i="551"/>
  <c r="P308" i="551"/>
  <c r="O308" i="551"/>
  <c r="R340" i="551" s="1"/>
  <c r="I308" i="551"/>
  <c r="G308" i="551"/>
  <c r="V307" i="551"/>
  <c r="W307" i="551" s="1"/>
  <c r="N307" i="551"/>
  <c r="K307" i="551" a="1"/>
  <c r="K307" i="551" s="1"/>
  <c r="M307" i="551" s="1"/>
  <c r="J307" i="551" a="1"/>
  <c r="J307" i="551" s="1"/>
  <c r="H307" i="551"/>
  <c r="W306" i="551"/>
  <c r="V306" i="551"/>
  <c r="N306" i="551"/>
  <c r="K306" i="551" a="1"/>
  <c r="K306" i="551" s="1"/>
  <c r="M306" i="551" s="1"/>
  <c r="J306" i="551" a="1"/>
  <c r="J306" i="551" s="1"/>
  <c r="H306" i="551"/>
  <c r="V305" i="551"/>
  <c r="W305" i="551" s="1"/>
  <c r="N305" i="551"/>
  <c r="K305" i="551" a="1"/>
  <c r="K305" i="551" s="1"/>
  <c r="M305" i="551" s="1"/>
  <c r="J305" i="551" a="1"/>
  <c r="J305" i="551" s="1"/>
  <c r="H305" i="551"/>
  <c r="V304" i="551"/>
  <c r="W304" i="551" s="1"/>
  <c r="N304" i="551"/>
  <c r="K304" i="551"/>
  <c r="M304" i="551" s="1"/>
  <c r="K304" i="551" a="1"/>
  <c r="J304" i="551"/>
  <c r="J304" i="551" a="1"/>
  <c r="H304" i="551"/>
  <c r="V303" i="551"/>
  <c r="W303" i="551" s="1"/>
  <c r="N303" i="551"/>
  <c r="K303" i="551" a="1"/>
  <c r="K303" i="551" s="1"/>
  <c r="M303" i="551" s="1"/>
  <c r="J303" i="551" a="1"/>
  <c r="J303" i="551" s="1"/>
  <c r="H303" i="551"/>
  <c r="V302" i="551"/>
  <c r="W302" i="551" s="1"/>
  <c r="N302" i="551"/>
  <c r="K302" i="551" a="1"/>
  <c r="K302" i="551" s="1"/>
  <c r="M302" i="551" s="1"/>
  <c r="J302" i="551" a="1"/>
  <c r="J302" i="551" s="1"/>
  <c r="H302" i="551"/>
  <c r="V301" i="551"/>
  <c r="W301" i="551" s="1"/>
  <c r="N301" i="551"/>
  <c r="K301" i="551"/>
  <c r="M301" i="551" s="1"/>
  <c r="K301" i="551" a="1"/>
  <c r="J301" i="551"/>
  <c r="J301" i="551" a="1"/>
  <c r="H301" i="551"/>
  <c r="V300" i="551"/>
  <c r="W300" i="551" s="1"/>
  <c r="N300" i="551"/>
  <c r="K300" i="551"/>
  <c r="M300" i="551" s="1"/>
  <c r="K300" i="551" a="1"/>
  <c r="J300" i="551"/>
  <c r="J300" i="551" a="1"/>
  <c r="H300" i="551"/>
  <c r="V299" i="551"/>
  <c r="W299" i="551" s="1"/>
  <c r="N299" i="551"/>
  <c r="K299" i="551" a="1"/>
  <c r="K299" i="551" s="1"/>
  <c r="M299" i="551" s="1"/>
  <c r="J299" i="551" a="1"/>
  <c r="J299" i="551" s="1"/>
  <c r="H299" i="551"/>
  <c r="W298" i="551"/>
  <c r="V298" i="551"/>
  <c r="N298" i="551"/>
  <c r="K298" i="551" a="1"/>
  <c r="K298" i="551" s="1"/>
  <c r="M298" i="551" s="1"/>
  <c r="J298" i="551" a="1"/>
  <c r="J298" i="551" s="1"/>
  <c r="H298" i="551"/>
  <c r="V297" i="551"/>
  <c r="W297" i="551" s="1"/>
  <c r="N297" i="551"/>
  <c r="K297" i="551" a="1"/>
  <c r="K297" i="551" s="1"/>
  <c r="M297" i="551" s="1"/>
  <c r="J297" i="551" a="1"/>
  <c r="J297" i="551" s="1"/>
  <c r="H297" i="551"/>
  <c r="V296" i="551"/>
  <c r="W296" i="551" s="1"/>
  <c r="N296" i="551"/>
  <c r="K296" i="551"/>
  <c r="M296" i="551" s="1"/>
  <c r="K296" i="551" a="1"/>
  <c r="J296" i="551"/>
  <c r="J296" i="551" a="1"/>
  <c r="H296" i="551"/>
  <c r="V295" i="551"/>
  <c r="W295" i="551" s="1"/>
  <c r="N295" i="551"/>
  <c r="K295" i="551" a="1"/>
  <c r="K295" i="551" s="1"/>
  <c r="M295" i="551" s="1"/>
  <c r="J295" i="551" a="1"/>
  <c r="J295" i="551" s="1"/>
  <c r="H295" i="551"/>
  <c r="W294" i="551"/>
  <c r="V294" i="551"/>
  <c r="N294" i="551"/>
  <c r="K294" i="551" a="1"/>
  <c r="K294" i="551" s="1"/>
  <c r="M294" i="551" s="1"/>
  <c r="J294" i="551" a="1"/>
  <c r="J294" i="551" s="1"/>
  <c r="H294" i="551"/>
  <c r="V293" i="551"/>
  <c r="W293" i="551" s="1"/>
  <c r="N293" i="551"/>
  <c r="N308" i="551" s="1"/>
  <c r="K293" i="551" a="1"/>
  <c r="K293" i="551" s="1"/>
  <c r="J293" i="551" a="1"/>
  <c r="J293" i="551" s="1"/>
  <c r="H293" i="551"/>
  <c r="AA292" i="551"/>
  <c r="Z292" i="551"/>
  <c r="Y292" i="551"/>
  <c r="X292" i="551"/>
  <c r="U292" i="551"/>
  <c r="T292" i="551"/>
  <c r="S292" i="551"/>
  <c r="R292" i="551"/>
  <c r="Q292" i="551"/>
  <c r="P292" i="551"/>
  <c r="O292" i="551"/>
  <c r="R339" i="551" s="1"/>
  <c r="I292" i="551"/>
  <c r="G292" i="551"/>
  <c r="V291" i="551"/>
  <c r="W291" i="551" s="1"/>
  <c r="N291" i="551"/>
  <c r="K291" i="551" a="1"/>
  <c r="K291" i="551" s="1"/>
  <c r="M291" i="551" s="1"/>
  <c r="J291" i="551" a="1"/>
  <c r="J291" i="551" s="1"/>
  <c r="H291" i="551"/>
  <c r="W290" i="551"/>
  <c r="V290" i="551"/>
  <c r="N290" i="551"/>
  <c r="K290" i="551" a="1"/>
  <c r="K290" i="551" s="1"/>
  <c r="M290" i="551" s="1"/>
  <c r="J290" i="551" a="1"/>
  <c r="J290" i="551" s="1"/>
  <c r="H290" i="551"/>
  <c r="V289" i="551"/>
  <c r="W289" i="551" s="1"/>
  <c r="N289" i="551"/>
  <c r="K289" i="551" a="1"/>
  <c r="K289" i="551" s="1"/>
  <c r="M289" i="551" s="1"/>
  <c r="J289" i="551" a="1"/>
  <c r="J289" i="551" s="1"/>
  <c r="H289" i="551"/>
  <c r="H288" i="551"/>
  <c r="H287" i="551"/>
  <c r="H286" i="551"/>
  <c r="V285" i="551"/>
  <c r="W285" i="551" s="1"/>
  <c r="N285" i="551"/>
  <c r="K285" i="551" a="1"/>
  <c r="K285" i="551" s="1"/>
  <c r="M285" i="551" s="1"/>
  <c r="J285" i="551" a="1"/>
  <c r="J285" i="551" s="1"/>
  <c r="H285" i="551"/>
  <c r="V284" i="551"/>
  <c r="W284" i="551" s="1"/>
  <c r="N284" i="551"/>
  <c r="K284" i="551"/>
  <c r="M284" i="551" s="1"/>
  <c r="K284" i="551" a="1"/>
  <c r="J284" i="551"/>
  <c r="J284" i="551" a="1"/>
  <c r="H284" i="551"/>
  <c r="N283" i="551"/>
  <c r="K283" i="551" a="1"/>
  <c r="K283" i="551" s="1"/>
  <c r="M283" i="551" s="1"/>
  <c r="H283" i="551"/>
  <c r="N282" i="551"/>
  <c r="K282" i="551" a="1"/>
  <c r="K282" i="551" s="1"/>
  <c r="M282" i="551" s="1"/>
  <c r="H282" i="551"/>
  <c r="N281" i="551"/>
  <c r="K281" i="551" a="1"/>
  <c r="K281" i="551" s="1"/>
  <c r="M281" i="551" s="1"/>
  <c r="H281" i="551"/>
  <c r="N280" i="551"/>
  <c r="K280" i="551"/>
  <c r="M280" i="551" s="1"/>
  <c r="K280" i="551" a="1"/>
  <c r="H280" i="551"/>
  <c r="N279" i="551"/>
  <c r="K279" i="551" a="1"/>
  <c r="K279" i="551" s="1"/>
  <c r="M279" i="551" s="1"/>
  <c r="H279" i="551"/>
  <c r="N278" i="551"/>
  <c r="K278" i="551" a="1"/>
  <c r="K278" i="551" s="1"/>
  <c r="M278" i="551" s="1"/>
  <c r="H278" i="551"/>
  <c r="V277" i="551"/>
  <c r="W277" i="551" s="1"/>
  <c r="N277" i="551"/>
  <c r="K277" i="551" a="1"/>
  <c r="K277" i="551" s="1"/>
  <c r="M277" i="551" s="1"/>
  <c r="J277" i="551" a="1"/>
  <c r="J277" i="551" s="1"/>
  <c r="H277" i="551"/>
  <c r="V276" i="551"/>
  <c r="W276" i="551" s="1"/>
  <c r="N276" i="551"/>
  <c r="K276" i="551"/>
  <c r="M276" i="551" s="1"/>
  <c r="K276" i="551" a="1"/>
  <c r="J276" i="551"/>
  <c r="J276" i="551" a="1"/>
  <c r="H276" i="551"/>
  <c r="V275" i="551"/>
  <c r="W275" i="551" s="1"/>
  <c r="N275" i="551"/>
  <c r="K275" i="551" a="1"/>
  <c r="K275" i="551" s="1"/>
  <c r="M275" i="551" s="1"/>
  <c r="J275" i="551" a="1"/>
  <c r="J275" i="551" s="1"/>
  <c r="H275" i="551"/>
  <c r="W274" i="551"/>
  <c r="V274" i="551"/>
  <c r="N274" i="551"/>
  <c r="K274" i="551" a="1"/>
  <c r="K274" i="551" s="1"/>
  <c r="M274" i="551" s="1"/>
  <c r="J274" i="551" a="1"/>
  <c r="J274" i="551" s="1"/>
  <c r="H274" i="551"/>
  <c r="V273" i="551"/>
  <c r="W273" i="551" s="1"/>
  <c r="N273" i="551"/>
  <c r="K273" i="551" a="1"/>
  <c r="K273" i="551" s="1"/>
  <c r="M273" i="551" s="1"/>
  <c r="J273" i="551" a="1"/>
  <c r="J273" i="551" s="1"/>
  <c r="H273" i="551"/>
  <c r="V272" i="551"/>
  <c r="W272" i="551" s="1"/>
  <c r="N272" i="551"/>
  <c r="K272" i="551"/>
  <c r="M272" i="551" s="1"/>
  <c r="K272" i="551" a="1"/>
  <c r="J272" i="551"/>
  <c r="J272" i="551" a="1"/>
  <c r="H272" i="551"/>
  <c r="V271" i="551"/>
  <c r="W271" i="551" s="1"/>
  <c r="N271" i="551"/>
  <c r="K271" i="551" a="1"/>
  <c r="K271" i="551" s="1"/>
  <c r="M271" i="551" s="1"/>
  <c r="J271" i="551" a="1"/>
  <c r="J271" i="551" s="1"/>
  <c r="H271" i="551"/>
  <c r="W270" i="551"/>
  <c r="V270" i="551"/>
  <c r="N270" i="551"/>
  <c r="K270" i="551" a="1"/>
  <c r="K270" i="551" s="1"/>
  <c r="M270" i="551" s="1"/>
  <c r="J270" i="551" a="1"/>
  <c r="J270" i="551" s="1"/>
  <c r="H270" i="551"/>
  <c r="V269" i="551"/>
  <c r="W269" i="551" s="1"/>
  <c r="N269" i="551"/>
  <c r="K269" i="551" a="1"/>
  <c r="K269" i="551" s="1"/>
  <c r="M269" i="551" s="1"/>
  <c r="J269" i="551" a="1"/>
  <c r="J269" i="551" s="1"/>
  <c r="H269" i="551"/>
  <c r="V268" i="551"/>
  <c r="W268" i="551" s="1"/>
  <c r="N268" i="551"/>
  <c r="K268" i="551"/>
  <c r="M268" i="551" s="1"/>
  <c r="K268" i="551" a="1"/>
  <c r="J268" i="551"/>
  <c r="J268" i="551" a="1"/>
  <c r="H268" i="551"/>
  <c r="V267" i="551"/>
  <c r="W267" i="551" s="1"/>
  <c r="N267" i="551"/>
  <c r="K267" i="551" a="1"/>
  <c r="K267" i="551" s="1"/>
  <c r="M267" i="551" s="1"/>
  <c r="J267" i="551" a="1"/>
  <c r="J267" i="551" s="1"/>
  <c r="H267" i="551"/>
  <c r="W266" i="551"/>
  <c r="V266" i="551"/>
  <c r="N266" i="551"/>
  <c r="K266" i="551" a="1"/>
  <c r="K266" i="551" s="1"/>
  <c r="M266" i="551" s="1"/>
  <c r="J266" i="551" a="1"/>
  <c r="J266" i="551" s="1"/>
  <c r="H266" i="551"/>
  <c r="N265" i="551"/>
  <c r="K265" i="551" a="1"/>
  <c r="K265" i="551" s="1"/>
  <c r="M265" i="551" s="1"/>
  <c r="H265" i="551"/>
  <c r="V264" i="551"/>
  <c r="W264" i="551" s="1"/>
  <c r="N264" i="551"/>
  <c r="K264" i="551"/>
  <c r="M264" i="551" s="1"/>
  <c r="K264" i="551" a="1"/>
  <c r="J264" i="551"/>
  <c r="J264" i="551" a="1"/>
  <c r="H264" i="551"/>
  <c r="V263" i="551"/>
  <c r="W263" i="551" s="1"/>
  <c r="N263" i="551"/>
  <c r="K263" i="551" a="1"/>
  <c r="K263" i="551" s="1"/>
  <c r="M263" i="551" s="1"/>
  <c r="J263" i="551" a="1"/>
  <c r="J263" i="551" s="1"/>
  <c r="H263" i="551"/>
  <c r="W262" i="551"/>
  <c r="V262" i="551"/>
  <c r="N262" i="551"/>
  <c r="K262" i="551" a="1"/>
  <c r="K262" i="551" s="1"/>
  <c r="M262" i="551" s="1"/>
  <c r="J262" i="551" a="1"/>
  <c r="J262" i="551" s="1"/>
  <c r="H262" i="551"/>
  <c r="V261" i="551"/>
  <c r="W261" i="551" s="1"/>
  <c r="N261" i="551"/>
  <c r="K261" i="551" a="1"/>
  <c r="K261" i="551" s="1"/>
  <c r="M261" i="551" s="1"/>
  <c r="J261" i="551" a="1"/>
  <c r="J261" i="551" s="1"/>
  <c r="H261" i="551"/>
  <c r="V260" i="551"/>
  <c r="W260" i="551" s="1"/>
  <c r="N260" i="551"/>
  <c r="K260" i="551"/>
  <c r="M260" i="551" s="1"/>
  <c r="K260" i="551" a="1"/>
  <c r="J260" i="551"/>
  <c r="J260" i="551" a="1"/>
  <c r="H260" i="551"/>
  <c r="V259" i="551"/>
  <c r="W259" i="551" s="1"/>
  <c r="N259" i="551"/>
  <c r="K259" i="551" a="1"/>
  <c r="K259" i="551" s="1"/>
  <c r="M259" i="551" s="1"/>
  <c r="J259" i="551" a="1"/>
  <c r="J259" i="551" s="1"/>
  <c r="H259" i="551"/>
  <c r="W258" i="551"/>
  <c r="V258" i="551"/>
  <c r="N258" i="551"/>
  <c r="N292" i="551" s="1"/>
  <c r="K258" i="551" a="1"/>
  <c r="K258" i="551" s="1"/>
  <c r="J258" i="551" a="1"/>
  <c r="J258" i="551" s="1"/>
  <c r="H258" i="551"/>
  <c r="AA257" i="551"/>
  <c r="Z257" i="551"/>
  <c r="Y257" i="551"/>
  <c r="X257" i="551"/>
  <c r="U257" i="551"/>
  <c r="T257" i="551"/>
  <c r="S257" i="551"/>
  <c r="R257" i="551"/>
  <c r="Q257" i="551"/>
  <c r="P257" i="551"/>
  <c r="O257" i="551"/>
  <c r="I257" i="551"/>
  <c r="G257" i="551"/>
  <c r="H256" i="551"/>
  <c r="H255" i="551"/>
  <c r="H254" i="551"/>
  <c r="H253" i="551"/>
  <c r="H252" i="551"/>
  <c r="H251" i="551"/>
  <c r="K250" i="551" a="1"/>
  <c r="K250" i="551" s="1"/>
  <c r="M250" i="551" s="1"/>
  <c r="H250" i="551"/>
  <c r="K249" i="551" a="1"/>
  <c r="K249" i="551" s="1"/>
  <c r="M249" i="551" s="1"/>
  <c r="H249" i="551"/>
  <c r="K248" i="551" a="1"/>
  <c r="K248" i="551" s="1"/>
  <c r="M248" i="551" s="1"/>
  <c r="H248" i="551"/>
  <c r="K247" i="551" a="1"/>
  <c r="K247" i="551" s="1"/>
  <c r="M247" i="551" s="1"/>
  <c r="H247" i="551"/>
  <c r="W246" i="551"/>
  <c r="V246" i="551"/>
  <c r="N246" i="551"/>
  <c r="K246" i="551" a="1"/>
  <c r="K246" i="551" s="1"/>
  <c r="M246" i="551" s="1"/>
  <c r="J246" i="551" a="1"/>
  <c r="J246" i="551" s="1"/>
  <c r="H246" i="551"/>
  <c r="V245" i="551"/>
  <c r="W245" i="551" s="1"/>
  <c r="N245" i="551"/>
  <c r="K245" i="551" a="1"/>
  <c r="K245" i="551" s="1"/>
  <c r="M245" i="551" s="1"/>
  <c r="J245" i="551" a="1"/>
  <c r="J245" i="551" s="1"/>
  <c r="H245" i="551"/>
  <c r="V244" i="551"/>
  <c r="W244" i="551" s="1"/>
  <c r="N244" i="551"/>
  <c r="K244" i="551"/>
  <c r="M244" i="551" s="1"/>
  <c r="K244" i="551" a="1"/>
  <c r="J244" i="551"/>
  <c r="J244" i="551" a="1"/>
  <c r="H244" i="551"/>
  <c r="V243" i="551"/>
  <c r="W243" i="551" s="1"/>
  <c r="N243" i="551"/>
  <c r="K243" i="551" a="1"/>
  <c r="K243" i="551" s="1"/>
  <c r="M243" i="551" s="1"/>
  <c r="J243" i="551" a="1"/>
  <c r="J243" i="551" s="1"/>
  <c r="H243" i="551"/>
  <c r="M242" i="551"/>
  <c r="H242" i="551"/>
  <c r="W241" i="551"/>
  <c r="V241" i="551"/>
  <c r="N241" i="551"/>
  <c r="K241" i="551" a="1"/>
  <c r="K241" i="551" s="1"/>
  <c r="M241" i="551" s="1"/>
  <c r="J241" i="551" a="1"/>
  <c r="J241" i="551" s="1"/>
  <c r="H241" i="551"/>
  <c r="V240" i="551"/>
  <c r="W240" i="551" s="1"/>
  <c r="N240" i="551"/>
  <c r="K240" i="551" a="1"/>
  <c r="K240" i="551" s="1"/>
  <c r="M240" i="551" s="1"/>
  <c r="J240" i="551" a="1"/>
  <c r="J240" i="551" s="1"/>
  <c r="H240" i="551"/>
  <c r="K239" i="551" a="1"/>
  <c r="K239" i="551" s="1"/>
  <c r="M239" i="551" s="1"/>
  <c r="H239" i="551"/>
  <c r="H238" i="551"/>
  <c r="V237" i="551"/>
  <c r="W237" i="551" s="1"/>
  <c r="N237" i="551"/>
  <c r="K237" i="551" a="1"/>
  <c r="K237" i="551" s="1"/>
  <c r="M237" i="551" s="1"/>
  <c r="J237" i="551" a="1"/>
  <c r="J237" i="551" s="1"/>
  <c r="H237" i="551"/>
  <c r="W236" i="551"/>
  <c r="V236" i="551"/>
  <c r="N236" i="551"/>
  <c r="K236" i="551" a="1"/>
  <c r="K236" i="551" s="1"/>
  <c r="M236" i="551" s="1"/>
  <c r="J236" i="551" a="1"/>
  <c r="J236" i="551" s="1"/>
  <c r="H236" i="551"/>
  <c r="V235" i="551"/>
  <c r="W235" i="551" s="1"/>
  <c r="N235" i="551"/>
  <c r="K235" i="551" a="1"/>
  <c r="K235" i="551" s="1"/>
  <c r="M235" i="551" s="1"/>
  <c r="J235" i="551" a="1"/>
  <c r="J235" i="551" s="1"/>
  <c r="H235" i="551"/>
  <c r="V234" i="551"/>
  <c r="W234" i="551" s="1"/>
  <c r="N234" i="551"/>
  <c r="K234" i="551" a="1"/>
  <c r="K234" i="551" s="1"/>
  <c r="M234" i="551" s="1"/>
  <c r="J234" i="551" a="1"/>
  <c r="J234" i="551" s="1"/>
  <c r="H234" i="551"/>
  <c r="V233" i="551"/>
  <c r="W233" i="551" s="1"/>
  <c r="N233" i="551"/>
  <c r="K233" i="551" a="1"/>
  <c r="K233" i="551" s="1"/>
  <c r="M233" i="551" s="1"/>
  <c r="J233" i="551" a="1"/>
  <c r="J233" i="551" s="1"/>
  <c r="H233" i="551"/>
  <c r="V232" i="551"/>
  <c r="W232" i="551" s="1"/>
  <c r="N232" i="551"/>
  <c r="K232" i="551"/>
  <c r="M232" i="551" s="1"/>
  <c r="K232" i="551" a="1"/>
  <c r="J232" i="551"/>
  <c r="J232" i="551" a="1"/>
  <c r="H232" i="551"/>
  <c r="V231" i="551"/>
  <c r="W231" i="551" s="1"/>
  <c r="N231" i="551"/>
  <c r="K231" i="551" a="1"/>
  <c r="K231" i="551" s="1"/>
  <c r="M231" i="551" s="1"/>
  <c r="J231" i="551" a="1"/>
  <c r="J231" i="551" s="1"/>
  <c r="H231" i="551"/>
  <c r="W230" i="551"/>
  <c r="V230" i="551"/>
  <c r="N230" i="551"/>
  <c r="K230" i="551" a="1"/>
  <c r="K230" i="551" s="1"/>
  <c r="M230" i="551" s="1"/>
  <c r="J230" i="551" a="1"/>
  <c r="J230" i="551" s="1"/>
  <c r="H230" i="551"/>
  <c r="V229" i="551"/>
  <c r="W229" i="551" s="1"/>
  <c r="N229" i="551"/>
  <c r="K229" i="551" a="1"/>
  <c r="K229" i="551" s="1"/>
  <c r="M229" i="551" s="1"/>
  <c r="J229" i="551" a="1"/>
  <c r="J229" i="551" s="1"/>
  <c r="H229" i="551"/>
  <c r="V228" i="551"/>
  <c r="W228" i="551" s="1"/>
  <c r="N228" i="551"/>
  <c r="K228" i="551"/>
  <c r="M228" i="551" s="1"/>
  <c r="K228" i="551" a="1"/>
  <c r="J228" i="551"/>
  <c r="J228" i="551" a="1"/>
  <c r="H228" i="551"/>
  <c r="N227" i="551"/>
  <c r="K227" i="551" a="1"/>
  <c r="K227" i="551" s="1"/>
  <c r="M227" i="551" s="1"/>
  <c r="H227" i="551"/>
  <c r="N226" i="551"/>
  <c r="K226" i="551" a="1"/>
  <c r="K226" i="551" s="1"/>
  <c r="M226" i="551" s="1"/>
  <c r="H226" i="551"/>
  <c r="N225" i="551"/>
  <c r="K225" i="551" a="1"/>
  <c r="K225" i="551" s="1"/>
  <c r="M225" i="551" s="1"/>
  <c r="H225" i="551"/>
  <c r="N224" i="551"/>
  <c r="K224" i="551"/>
  <c r="M224" i="551" s="1"/>
  <c r="K224" i="551" a="1"/>
  <c r="H224" i="551"/>
  <c r="N223" i="551"/>
  <c r="K223" i="551" a="1"/>
  <c r="K223" i="551" s="1"/>
  <c r="M223" i="551" s="1"/>
  <c r="H223" i="551"/>
  <c r="N222" i="551"/>
  <c r="K222" i="551" a="1"/>
  <c r="K222" i="551" s="1"/>
  <c r="M222" i="551" s="1"/>
  <c r="H222" i="551"/>
  <c r="N221" i="551"/>
  <c r="K221" i="551" a="1"/>
  <c r="K221" i="551" s="1"/>
  <c r="M221" i="551" s="1"/>
  <c r="H221" i="551"/>
  <c r="N220" i="551"/>
  <c r="K220" i="551"/>
  <c r="M220" i="551" s="1"/>
  <c r="K220" i="551" a="1"/>
  <c r="H220" i="551"/>
  <c r="V219" i="551"/>
  <c r="W219" i="551" s="1"/>
  <c r="N219" i="551"/>
  <c r="K219" i="551" a="1"/>
  <c r="K219" i="551" s="1"/>
  <c r="M219" i="551" s="1"/>
  <c r="J219" i="551" a="1"/>
  <c r="J219" i="551" s="1"/>
  <c r="H219" i="551"/>
  <c r="V218" i="551"/>
  <c r="W218" i="551" s="1"/>
  <c r="N218" i="551"/>
  <c r="K218" i="551" a="1"/>
  <c r="K218" i="551" s="1"/>
  <c r="M218" i="551" s="1"/>
  <c r="J218" i="551" a="1"/>
  <c r="J218" i="551" s="1"/>
  <c r="H218" i="551"/>
  <c r="V217" i="551"/>
  <c r="W217" i="551" s="1"/>
  <c r="N217" i="551"/>
  <c r="K217" i="551" a="1"/>
  <c r="K217" i="551" s="1"/>
  <c r="M217" i="551" s="1"/>
  <c r="J217" i="551" a="1"/>
  <c r="J217" i="551" s="1"/>
  <c r="H217" i="551"/>
  <c r="V216" i="551"/>
  <c r="W216" i="551" s="1"/>
  <c r="N216" i="551"/>
  <c r="K216" i="551"/>
  <c r="M216" i="551" s="1"/>
  <c r="K216" i="551" a="1"/>
  <c r="J216" i="551"/>
  <c r="J216" i="551" a="1"/>
  <c r="H216" i="551"/>
  <c r="V215" i="551"/>
  <c r="W215" i="551" s="1"/>
  <c r="N215" i="551"/>
  <c r="K215" i="551" a="1"/>
  <c r="K215" i="551" s="1"/>
  <c r="M215" i="551" s="1"/>
  <c r="J215" i="551" a="1"/>
  <c r="J215" i="551" s="1"/>
  <c r="H215" i="551"/>
  <c r="V214" i="551"/>
  <c r="W214" i="551" s="1"/>
  <c r="N214" i="551"/>
  <c r="K214" i="551" a="1"/>
  <c r="K214" i="551" s="1"/>
  <c r="M214" i="551" s="1"/>
  <c r="J214" i="551" a="1"/>
  <c r="J214" i="551" s="1"/>
  <c r="H214" i="551"/>
  <c r="V213" i="551"/>
  <c r="W213" i="551" s="1"/>
  <c r="N213" i="551"/>
  <c r="K213" i="551" a="1"/>
  <c r="K213" i="551" s="1"/>
  <c r="M213" i="551" s="1"/>
  <c r="J213" i="551" a="1"/>
  <c r="J213" i="551" s="1"/>
  <c r="H213" i="551"/>
  <c r="V212" i="551"/>
  <c r="W212" i="551" s="1"/>
  <c r="N212" i="551"/>
  <c r="K212" i="551"/>
  <c r="M212" i="551" s="1"/>
  <c r="K212" i="551" a="1"/>
  <c r="J212" i="551"/>
  <c r="J212" i="551" a="1"/>
  <c r="H212" i="551"/>
  <c r="V211" i="551"/>
  <c r="W211" i="551" s="1"/>
  <c r="N211" i="551"/>
  <c r="K211" i="551" a="1"/>
  <c r="K211" i="551" s="1"/>
  <c r="M211" i="551" s="1"/>
  <c r="J211" i="551" a="1"/>
  <c r="J211" i="551" s="1"/>
  <c r="H211" i="551"/>
  <c r="V210" i="551"/>
  <c r="W210" i="551" s="1"/>
  <c r="N210" i="551"/>
  <c r="K210" i="551" a="1"/>
  <c r="K210" i="551" s="1"/>
  <c r="M210" i="551" s="1"/>
  <c r="J210" i="551" a="1"/>
  <c r="J210" i="551" s="1"/>
  <c r="H210" i="551"/>
  <c r="V209" i="551"/>
  <c r="W209" i="551" s="1"/>
  <c r="N209" i="551"/>
  <c r="K209" i="551" a="1"/>
  <c r="K209" i="551" s="1"/>
  <c r="M209" i="551" s="1"/>
  <c r="J209" i="551" a="1"/>
  <c r="J209" i="551" s="1"/>
  <c r="H209" i="551"/>
  <c r="V208" i="551"/>
  <c r="W208" i="551" s="1"/>
  <c r="N208" i="551"/>
  <c r="K208" i="551"/>
  <c r="M208" i="551" s="1"/>
  <c r="K208" i="551" a="1"/>
  <c r="J208" i="551"/>
  <c r="J208" i="551" a="1"/>
  <c r="H208" i="551"/>
  <c r="H207" i="551"/>
  <c r="H206" i="551"/>
  <c r="H205" i="551"/>
  <c r="W204" i="551"/>
  <c r="V204" i="551"/>
  <c r="N204" i="551"/>
  <c r="K204" i="551" a="1"/>
  <c r="K204" i="551" s="1"/>
  <c r="M204" i="551" s="1"/>
  <c r="J204" i="551" a="1"/>
  <c r="J204" i="551" s="1"/>
  <c r="H204" i="551"/>
  <c r="V203" i="551"/>
  <c r="W203" i="551" s="1"/>
  <c r="N203" i="551"/>
  <c r="K203" i="551" a="1"/>
  <c r="K203" i="551" s="1"/>
  <c r="M203" i="551" s="1"/>
  <c r="J203" i="551" a="1"/>
  <c r="J203" i="551" s="1"/>
  <c r="H203" i="551"/>
  <c r="V202" i="551"/>
  <c r="W202" i="551" s="1"/>
  <c r="N202" i="551"/>
  <c r="K202" i="551"/>
  <c r="M202" i="551" s="1"/>
  <c r="K202" i="551" a="1"/>
  <c r="J202" i="551"/>
  <c r="J202" i="551" a="1"/>
  <c r="H202" i="551"/>
  <c r="H201" i="551"/>
  <c r="V200" i="551"/>
  <c r="V257" i="551" s="1"/>
  <c r="W257" i="551" s="1"/>
  <c r="N200" i="551"/>
  <c r="N257" i="551" s="1"/>
  <c r="K200" i="551" a="1"/>
  <c r="K200" i="551" s="1"/>
  <c r="M200" i="551" s="1"/>
  <c r="J200" i="551" a="1"/>
  <c r="J200" i="551" s="1"/>
  <c r="H200" i="551"/>
  <c r="H257" i="551" s="1"/>
  <c r="AA199" i="551"/>
  <c r="AA335" i="551" s="1"/>
  <c r="Z199" i="551"/>
  <c r="Z335" i="551" s="1"/>
  <c r="Y199" i="551"/>
  <c r="Y335" i="551" s="1"/>
  <c r="X199" i="551"/>
  <c r="X335" i="551" s="1"/>
  <c r="U199" i="551"/>
  <c r="U335" i="551" s="1"/>
  <c r="T199" i="551"/>
  <c r="T335" i="551" s="1"/>
  <c r="S199" i="551"/>
  <c r="S335" i="551" s="1"/>
  <c r="R199" i="551"/>
  <c r="R335" i="551" s="1"/>
  <c r="Q199" i="551"/>
  <c r="Q335" i="551" s="1"/>
  <c r="P199" i="551"/>
  <c r="O199" i="551"/>
  <c r="I199" i="551"/>
  <c r="I335" i="551" s="1"/>
  <c r="B343" i="551" s="1"/>
  <c r="G199" i="551"/>
  <c r="G335" i="551" s="1"/>
  <c r="W198" i="551"/>
  <c r="V198" i="551"/>
  <c r="N198" i="551"/>
  <c r="K198" i="551"/>
  <c r="M198" i="551" s="1"/>
  <c r="K198" i="551" a="1"/>
  <c r="J198" i="551" a="1"/>
  <c r="J198" i="551" s="1"/>
  <c r="H198" i="551"/>
  <c r="V197" i="551"/>
  <c r="W197" i="551" s="1"/>
  <c r="N197" i="551"/>
  <c r="K197" i="551" a="1"/>
  <c r="K197" i="551" s="1"/>
  <c r="M197" i="551" s="1"/>
  <c r="J197" i="551" a="1"/>
  <c r="J197" i="551" s="1"/>
  <c r="H197" i="551"/>
  <c r="K196" i="551" a="1"/>
  <c r="K196" i="551" s="1"/>
  <c r="M196" i="551" s="1"/>
  <c r="H196" i="551"/>
  <c r="K195" i="551" a="1"/>
  <c r="K195" i="551" s="1"/>
  <c r="M195" i="551" s="1"/>
  <c r="H195" i="551"/>
  <c r="K194" i="551" a="1"/>
  <c r="K194" i="551" s="1"/>
  <c r="M194" i="551" s="1"/>
  <c r="H194" i="551"/>
  <c r="K193" i="551" a="1"/>
  <c r="K193" i="551" s="1"/>
  <c r="M193" i="551" s="1"/>
  <c r="H193" i="551"/>
  <c r="W192" i="551"/>
  <c r="V192" i="551"/>
  <c r="N192" i="551"/>
  <c r="K192" i="551" a="1"/>
  <c r="K192" i="551" s="1"/>
  <c r="M192" i="551" s="1"/>
  <c r="J192" i="551" a="1"/>
  <c r="J192" i="551" s="1"/>
  <c r="H192" i="551"/>
  <c r="V191" i="551"/>
  <c r="W191" i="551" s="1"/>
  <c r="N191" i="551"/>
  <c r="K191" i="551" a="1"/>
  <c r="K191" i="551" s="1"/>
  <c r="M191" i="551" s="1"/>
  <c r="J191" i="551" a="1"/>
  <c r="J191" i="551" s="1"/>
  <c r="H191" i="551"/>
  <c r="W190" i="551"/>
  <c r="V190" i="551"/>
  <c r="N190" i="551"/>
  <c r="K190" i="551"/>
  <c r="M190" i="551" s="1"/>
  <c r="K190" i="551" a="1"/>
  <c r="J190" i="551" a="1"/>
  <c r="J190" i="551" s="1"/>
  <c r="H190" i="551"/>
  <c r="N189" i="551"/>
  <c r="K189" i="551" a="1"/>
  <c r="K189" i="551" s="1"/>
  <c r="M189" i="551" s="1"/>
  <c r="J189" i="551" a="1"/>
  <c r="J189" i="551" s="1"/>
  <c r="H189" i="551"/>
  <c r="N188" i="551"/>
  <c r="K188" i="551" a="1"/>
  <c r="K188" i="551" s="1"/>
  <c r="M188" i="551" s="1"/>
  <c r="J188" i="551" a="1"/>
  <c r="J188" i="551" s="1"/>
  <c r="H188" i="551"/>
  <c r="V187" i="551"/>
  <c r="W187" i="551" s="1"/>
  <c r="N187" i="551"/>
  <c r="K187" i="551" a="1"/>
  <c r="K187" i="551" s="1"/>
  <c r="M187" i="551" s="1"/>
  <c r="J187" i="551" a="1"/>
  <c r="J187" i="551" s="1"/>
  <c r="H187" i="551"/>
  <c r="V186" i="551"/>
  <c r="W186" i="551" s="1"/>
  <c r="N186" i="551"/>
  <c r="K186" i="551" a="1"/>
  <c r="K186" i="551" s="1"/>
  <c r="M186" i="551" s="1"/>
  <c r="J186" i="551" a="1"/>
  <c r="J186" i="551" s="1"/>
  <c r="H186" i="551"/>
  <c r="N185" i="551"/>
  <c r="K185" i="551" a="1"/>
  <c r="K185" i="551" s="1"/>
  <c r="M185" i="551" s="1"/>
  <c r="H185" i="551"/>
  <c r="N184" i="551"/>
  <c r="K184" i="551"/>
  <c r="M184" i="551" s="1"/>
  <c r="K184" i="551" a="1"/>
  <c r="H184" i="551"/>
  <c r="V183" i="551"/>
  <c r="W183" i="551" s="1"/>
  <c r="N183" i="551"/>
  <c r="K183" i="551" a="1"/>
  <c r="K183" i="551" s="1"/>
  <c r="M183" i="551" s="1"/>
  <c r="J183" i="551" a="1"/>
  <c r="J183" i="551" s="1"/>
  <c r="H183" i="551"/>
  <c r="W182" i="551"/>
  <c r="V182" i="551"/>
  <c r="N182" i="551"/>
  <c r="K182" i="551" a="1"/>
  <c r="K182" i="551" s="1"/>
  <c r="M182" i="551" s="1"/>
  <c r="J182" i="551" a="1"/>
  <c r="J182" i="551" s="1"/>
  <c r="H182" i="551"/>
  <c r="V181" i="551"/>
  <c r="W181" i="551" s="1"/>
  <c r="N181" i="551"/>
  <c r="K181" i="551" a="1"/>
  <c r="K181" i="551" s="1"/>
  <c r="M181" i="551" s="1"/>
  <c r="J181" i="551" a="1"/>
  <c r="J181" i="551" s="1"/>
  <c r="H181" i="551"/>
  <c r="V180" i="551"/>
  <c r="W180" i="551" s="1"/>
  <c r="N180" i="551"/>
  <c r="K180" i="551"/>
  <c r="M180" i="551" s="1"/>
  <c r="K180" i="551" a="1"/>
  <c r="J180" i="551"/>
  <c r="J180" i="551" a="1"/>
  <c r="H180" i="551"/>
  <c r="V179" i="551"/>
  <c r="W179" i="551" s="1"/>
  <c r="N179" i="551"/>
  <c r="K179" i="551" a="1"/>
  <c r="K179" i="551" s="1"/>
  <c r="M179" i="551" s="1"/>
  <c r="J179" i="551" a="1"/>
  <c r="J179" i="551" s="1"/>
  <c r="H179" i="551"/>
  <c r="W178" i="551"/>
  <c r="V178" i="551"/>
  <c r="V199" i="551" s="1"/>
  <c r="N178" i="551"/>
  <c r="N199" i="551" s="1"/>
  <c r="N335" i="551" s="1"/>
  <c r="B344" i="551" s="1"/>
  <c r="K178" i="551" a="1"/>
  <c r="K178" i="551" s="1"/>
  <c r="M178" i="551" s="1"/>
  <c r="J178" i="551" a="1"/>
  <c r="J178" i="551" s="1"/>
  <c r="H178" i="551"/>
  <c r="H199" i="551" s="1"/>
  <c r="X171" i="551"/>
  <c r="Q529" i="551" s="1"/>
  <c r="X170" i="551"/>
  <c r="Q528" i="551" s="1"/>
  <c r="G170" i="551"/>
  <c r="C170" i="551"/>
  <c r="X169" i="551"/>
  <c r="Q527" i="551" s="1"/>
  <c r="I169" i="551"/>
  <c r="E169" i="551"/>
  <c r="K169" i="551" s="1"/>
  <c r="M169" i="551" s="1"/>
  <c r="I168" i="551"/>
  <c r="E168" i="551"/>
  <c r="K168" i="551" s="1"/>
  <c r="M168" i="551" s="1"/>
  <c r="I167" i="551"/>
  <c r="E167" i="551"/>
  <c r="K167" i="551" s="1"/>
  <c r="M167" i="551" s="1"/>
  <c r="X166" i="551"/>
  <c r="Q524" i="551" s="1"/>
  <c r="I166" i="551"/>
  <c r="I170" i="551" s="1"/>
  <c r="E166" i="551"/>
  <c r="K166" i="551" s="1"/>
  <c r="AA163" i="551"/>
  <c r="Z163" i="551"/>
  <c r="Y163" i="551"/>
  <c r="X163" i="551"/>
  <c r="U163" i="551"/>
  <c r="T163" i="551"/>
  <c r="S163" i="551"/>
  <c r="R163" i="551"/>
  <c r="Q163" i="551"/>
  <c r="P163" i="551"/>
  <c r="O163" i="551"/>
  <c r="R171" i="551" s="1"/>
  <c r="I163" i="551"/>
  <c r="G163" i="551"/>
  <c r="C529" i="551" s="1"/>
  <c r="H162" i="551"/>
  <c r="H161" i="551"/>
  <c r="H160" i="551"/>
  <c r="V159" i="551"/>
  <c r="W159" i="551" s="1"/>
  <c r="N159" i="551"/>
  <c r="K159" i="551"/>
  <c r="K159" i="551" a="1"/>
  <c r="J159" i="551" a="1"/>
  <c r="J159" i="551" s="1"/>
  <c r="H159" i="551"/>
  <c r="D159" i="551"/>
  <c r="V158" i="551"/>
  <c r="W158" i="551" s="1"/>
  <c r="N158" i="551"/>
  <c r="K158" i="551" a="1"/>
  <c r="K158" i="551" s="1"/>
  <c r="M158" i="551" s="1"/>
  <c r="J158" i="551" a="1"/>
  <c r="J158" i="551" s="1"/>
  <c r="H158" i="551"/>
  <c r="H157" i="551"/>
  <c r="H156" i="551"/>
  <c r="V155" i="551"/>
  <c r="W155" i="551" s="1"/>
  <c r="N155" i="551"/>
  <c r="K155" i="551" a="1"/>
  <c r="K155" i="551" s="1"/>
  <c r="M155" i="551" s="1"/>
  <c r="J155" i="551" a="1"/>
  <c r="J155" i="551" s="1"/>
  <c r="H155" i="551"/>
  <c r="V154" i="551"/>
  <c r="W154" i="551" s="1"/>
  <c r="N154" i="551"/>
  <c r="K154" i="551"/>
  <c r="M154" i="551" s="1"/>
  <c r="K154" i="551" a="1"/>
  <c r="J154" i="551"/>
  <c r="J154" i="551" a="1"/>
  <c r="H154" i="551"/>
  <c r="H153" i="551"/>
  <c r="W152" i="551"/>
  <c r="V152" i="551"/>
  <c r="N152" i="551"/>
  <c r="K152" i="551" a="1"/>
  <c r="K152" i="551" s="1"/>
  <c r="M152" i="551" s="1"/>
  <c r="J152" i="551" a="1"/>
  <c r="J152" i="551" s="1"/>
  <c r="H152" i="551"/>
  <c r="V151" i="551"/>
  <c r="W151" i="551" s="1"/>
  <c r="N151" i="551"/>
  <c r="K151" i="551"/>
  <c r="M151" i="551" s="1"/>
  <c r="K151" i="551" a="1"/>
  <c r="J151" i="551"/>
  <c r="J151" i="551" a="1"/>
  <c r="H151" i="551"/>
  <c r="V150" i="551"/>
  <c r="W150" i="551" s="1"/>
  <c r="N150" i="551"/>
  <c r="K150" i="551" a="1"/>
  <c r="K150" i="551" s="1"/>
  <c r="M150" i="551" s="1"/>
  <c r="J150" i="551" a="1"/>
  <c r="J150" i="551" s="1"/>
  <c r="H150" i="551"/>
  <c r="V149" i="551"/>
  <c r="V163" i="551" s="1"/>
  <c r="W163" i="551" s="1"/>
  <c r="N149" i="551"/>
  <c r="N163" i="551" s="1"/>
  <c r="K149" i="551"/>
  <c r="K149" i="551" a="1"/>
  <c r="J149" i="551"/>
  <c r="J149" i="551" a="1"/>
  <c r="H149" i="551"/>
  <c r="H163" i="551" s="1"/>
  <c r="AA148" i="551"/>
  <c r="Z148" i="551"/>
  <c r="Y148" i="551"/>
  <c r="X148" i="551"/>
  <c r="U148" i="551"/>
  <c r="T148" i="551"/>
  <c r="S148" i="551"/>
  <c r="Q148" i="551"/>
  <c r="P148" i="551"/>
  <c r="O148" i="551"/>
  <c r="I148" i="551"/>
  <c r="G148" i="551"/>
  <c r="C528" i="551" s="1"/>
  <c r="V147" i="551"/>
  <c r="W147" i="551" s="1"/>
  <c r="N147" i="551"/>
  <c r="K147" i="551" a="1"/>
  <c r="K147" i="551" s="1"/>
  <c r="M147" i="551" s="1"/>
  <c r="J147" i="551" a="1"/>
  <c r="J147" i="551" s="1"/>
  <c r="H147" i="551"/>
  <c r="K146" i="551" a="1"/>
  <c r="K146" i="551" s="1"/>
  <c r="H146" i="551"/>
  <c r="K145" i="551" a="1"/>
  <c r="K145" i="551" s="1"/>
  <c r="H145" i="551"/>
  <c r="K144" i="551" a="1"/>
  <c r="K144" i="551" s="1"/>
  <c r="H144" i="551"/>
  <c r="K143" i="551" a="1"/>
  <c r="K143" i="551" s="1"/>
  <c r="H143" i="551"/>
  <c r="W142" i="551"/>
  <c r="V142" i="551"/>
  <c r="N142" i="551"/>
  <c r="K142" i="551" a="1"/>
  <c r="K142" i="551" s="1"/>
  <c r="M142" i="551" s="1"/>
  <c r="J142" i="551" a="1"/>
  <c r="J142" i="551" s="1"/>
  <c r="H142" i="551"/>
  <c r="V141" i="551"/>
  <c r="W141" i="551" s="1"/>
  <c r="N141" i="551"/>
  <c r="K141" i="551" a="1"/>
  <c r="K141" i="551" s="1"/>
  <c r="M141" i="551" s="1"/>
  <c r="J141" i="551" a="1"/>
  <c r="J141" i="551" s="1"/>
  <c r="H141" i="551"/>
  <c r="V140" i="551"/>
  <c r="W140" i="551" s="1"/>
  <c r="N140" i="551"/>
  <c r="K140" i="551"/>
  <c r="M140" i="551" s="1"/>
  <c r="K140" i="551" a="1"/>
  <c r="J140" i="551"/>
  <c r="J140" i="551" a="1"/>
  <c r="H140" i="551"/>
  <c r="V139" i="551"/>
  <c r="W139" i="551" s="1"/>
  <c r="N139" i="551"/>
  <c r="K139" i="551" a="1"/>
  <c r="K139" i="551" s="1"/>
  <c r="M139" i="551" s="1"/>
  <c r="J139" i="551" a="1"/>
  <c r="J139" i="551" s="1"/>
  <c r="H139" i="551"/>
  <c r="W138" i="551"/>
  <c r="V138" i="551"/>
  <c r="V148" i="551" s="1"/>
  <c r="W148" i="551" s="1"/>
  <c r="N138" i="551"/>
  <c r="N148" i="551" s="1"/>
  <c r="K138" i="551" a="1"/>
  <c r="K138" i="551" s="1"/>
  <c r="J138" i="551" a="1"/>
  <c r="J138" i="551" s="1"/>
  <c r="H138" i="551"/>
  <c r="H148" i="551" s="1"/>
  <c r="AA137" i="551"/>
  <c r="Z137" i="551"/>
  <c r="Y137" i="551"/>
  <c r="X137" i="551"/>
  <c r="U137" i="551"/>
  <c r="T137" i="551"/>
  <c r="S137" i="551"/>
  <c r="Q137" i="551"/>
  <c r="P137" i="551"/>
  <c r="O137" i="551"/>
  <c r="I137" i="551"/>
  <c r="G137" i="551"/>
  <c r="C527" i="551" s="1"/>
  <c r="V136" i="551"/>
  <c r="W136" i="551" s="1"/>
  <c r="N136" i="551"/>
  <c r="K136" i="551" a="1"/>
  <c r="K136" i="551" s="1"/>
  <c r="M136" i="551" s="1"/>
  <c r="J136" i="551" a="1"/>
  <c r="J136" i="551" s="1"/>
  <c r="H136" i="551"/>
  <c r="V135" i="551"/>
  <c r="W135" i="551" s="1"/>
  <c r="N135" i="551"/>
  <c r="K135" i="551"/>
  <c r="M135" i="551" s="1"/>
  <c r="K135" i="551" a="1"/>
  <c r="J135" i="551"/>
  <c r="J135" i="551" a="1"/>
  <c r="H135" i="551"/>
  <c r="V134" i="551"/>
  <c r="W134" i="551" s="1"/>
  <c r="N134" i="551"/>
  <c r="K134" i="551" a="1"/>
  <c r="K134" i="551" s="1"/>
  <c r="M134" i="551" s="1"/>
  <c r="J134" i="551" a="1"/>
  <c r="J134" i="551" s="1"/>
  <c r="H134" i="551"/>
  <c r="V133" i="551"/>
  <c r="W133" i="551" s="1"/>
  <c r="N133" i="551"/>
  <c r="K133" i="551"/>
  <c r="M133" i="551" s="1"/>
  <c r="K133" i="551" a="1"/>
  <c r="J133" i="551"/>
  <c r="J133" i="551" a="1"/>
  <c r="H133" i="551"/>
  <c r="V132" i="551"/>
  <c r="W132" i="551" s="1"/>
  <c r="N132" i="551"/>
  <c r="K132" i="551" a="1"/>
  <c r="K132" i="551" s="1"/>
  <c r="M132" i="551" s="1"/>
  <c r="J132" i="551" a="1"/>
  <c r="J132" i="551" s="1"/>
  <c r="H132" i="551"/>
  <c r="W131" i="551"/>
  <c r="V131" i="551"/>
  <c r="N131" i="551"/>
  <c r="K131" i="551" a="1"/>
  <c r="K131" i="551" s="1"/>
  <c r="M131" i="551" s="1"/>
  <c r="J131" i="551" a="1"/>
  <c r="J131" i="551" s="1"/>
  <c r="H131" i="551"/>
  <c r="V130" i="551"/>
  <c r="W130" i="551" s="1"/>
  <c r="N130" i="551"/>
  <c r="K130" i="551" a="1"/>
  <c r="K130" i="551" s="1"/>
  <c r="M130" i="551" s="1"/>
  <c r="J130" i="551" a="1"/>
  <c r="J130" i="551" s="1"/>
  <c r="H130" i="551"/>
  <c r="V129" i="551"/>
  <c r="W129" i="551" s="1"/>
  <c r="N129" i="551"/>
  <c r="K129" i="551"/>
  <c r="M129" i="551" s="1"/>
  <c r="K129" i="551" a="1"/>
  <c r="J129" i="551"/>
  <c r="J129" i="551" a="1"/>
  <c r="H129" i="551"/>
  <c r="V128" i="551"/>
  <c r="W128" i="551" s="1"/>
  <c r="N128" i="551"/>
  <c r="K128" i="551" a="1"/>
  <c r="K128" i="551" s="1"/>
  <c r="M128" i="551" s="1"/>
  <c r="J128" i="551" a="1"/>
  <c r="J128" i="551" s="1"/>
  <c r="H128" i="551"/>
  <c r="W127" i="551"/>
  <c r="V127" i="551"/>
  <c r="N127" i="551"/>
  <c r="K127" i="551" a="1"/>
  <c r="K127" i="551" s="1"/>
  <c r="M127" i="551" s="1"/>
  <c r="J127" i="551" a="1"/>
  <c r="J127" i="551" s="1"/>
  <c r="H127" i="551"/>
  <c r="V126" i="551"/>
  <c r="W126" i="551" s="1"/>
  <c r="N126" i="551"/>
  <c r="K126" i="551" a="1"/>
  <c r="K126" i="551" s="1"/>
  <c r="M126" i="551" s="1"/>
  <c r="J126" i="551" a="1"/>
  <c r="J126" i="551" s="1"/>
  <c r="H126" i="551"/>
  <c r="V125" i="551"/>
  <c r="W125" i="551" s="1"/>
  <c r="N125" i="551"/>
  <c r="K125" i="551" a="1"/>
  <c r="K125" i="551" s="1"/>
  <c r="M125" i="551" s="1"/>
  <c r="J125" i="551" a="1"/>
  <c r="J125" i="551" s="1"/>
  <c r="H125" i="551"/>
  <c r="V124" i="551"/>
  <c r="W124" i="551" s="1"/>
  <c r="N124" i="551"/>
  <c r="K124" i="551" a="1"/>
  <c r="K124" i="551" s="1"/>
  <c r="M124" i="551" s="1"/>
  <c r="J124" i="551" a="1"/>
  <c r="J124" i="551" s="1"/>
  <c r="H124" i="551"/>
  <c r="V123" i="551"/>
  <c r="W123" i="551" s="1"/>
  <c r="N123" i="551"/>
  <c r="K123" i="551"/>
  <c r="M123" i="551" s="1"/>
  <c r="K123" i="551" a="1"/>
  <c r="J123" i="551"/>
  <c r="J123" i="551" a="1"/>
  <c r="H123" i="551"/>
  <c r="V122" i="551"/>
  <c r="W122" i="551" s="1"/>
  <c r="N122" i="551"/>
  <c r="K122" i="551" a="1"/>
  <c r="K122" i="551" s="1"/>
  <c r="J122" i="551" a="1"/>
  <c r="J122" i="551" s="1"/>
  <c r="H122" i="551"/>
  <c r="H137" i="551" s="1"/>
  <c r="AA121" i="551"/>
  <c r="Z121" i="551"/>
  <c r="Y121" i="551"/>
  <c r="X121" i="551"/>
  <c r="U121" i="551"/>
  <c r="T121" i="551"/>
  <c r="S121" i="551"/>
  <c r="R121" i="551"/>
  <c r="Q121" i="551"/>
  <c r="P121" i="551"/>
  <c r="O121" i="551"/>
  <c r="R168" i="551" s="1"/>
  <c r="I121" i="551"/>
  <c r="G121" i="551"/>
  <c r="C526" i="551" s="1"/>
  <c r="V120" i="551"/>
  <c r="W120" i="551" s="1"/>
  <c r="N120" i="551"/>
  <c r="K120" i="551" a="1"/>
  <c r="K120" i="551" s="1"/>
  <c r="M120" i="551" s="1"/>
  <c r="J120" i="551" a="1"/>
  <c r="J120" i="551" s="1"/>
  <c r="H120" i="551"/>
  <c r="V119" i="551"/>
  <c r="W119" i="551" s="1"/>
  <c r="N119" i="551"/>
  <c r="K119" i="551" a="1"/>
  <c r="K119" i="551" s="1"/>
  <c r="M119" i="551" s="1"/>
  <c r="J119" i="551" a="1"/>
  <c r="J119" i="551" s="1"/>
  <c r="H119" i="551"/>
  <c r="V118" i="551"/>
  <c r="W118" i="551" s="1"/>
  <c r="N118" i="551"/>
  <c r="K118" i="551" a="1"/>
  <c r="K118" i="551" s="1"/>
  <c r="M118" i="551" s="1"/>
  <c r="J118" i="551" a="1"/>
  <c r="J118" i="551" s="1"/>
  <c r="H118" i="551"/>
  <c r="K117" i="551" a="1"/>
  <c r="K117" i="551" s="1"/>
  <c r="H117" i="551"/>
  <c r="K116" i="551" a="1"/>
  <c r="K116" i="551" s="1"/>
  <c r="H116" i="551"/>
  <c r="K115" i="551" a="1"/>
  <c r="K115" i="551" s="1"/>
  <c r="H115" i="551"/>
  <c r="V114" i="551"/>
  <c r="W114" i="551" s="1"/>
  <c r="N114" i="551"/>
  <c r="K114" i="551" a="1"/>
  <c r="K114" i="551" s="1"/>
  <c r="M114" i="551" s="1"/>
  <c r="H114" i="551"/>
  <c r="V113" i="551"/>
  <c r="W113" i="551" s="1"/>
  <c r="N113" i="551"/>
  <c r="K113" i="551"/>
  <c r="M113" i="551" s="1"/>
  <c r="K113" i="551" a="1"/>
  <c r="H113" i="551"/>
  <c r="N112" i="551"/>
  <c r="K112" i="551" a="1"/>
  <c r="K112" i="551" s="1"/>
  <c r="M112" i="551" s="1"/>
  <c r="H112" i="551"/>
  <c r="N111" i="551"/>
  <c r="K111" i="551"/>
  <c r="M111" i="551" s="1"/>
  <c r="K111" i="551" a="1"/>
  <c r="H111" i="551"/>
  <c r="N110" i="551"/>
  <c r="K110" i="551" a="1"/>
  <c r="K110" i="551" s="1"/>
  <c r="M110" i="551" s="1"/>
  <c r="H110" i="551"/>
  <c r="N109" i="551"/>
  <c r="K109" i="551" a="1"/>
  <c r="K109" i="551" s="1"/>
  <c r="M109" i="551" s="1"/>
  <c r="H109" i="551"/>
  <c r="N108" i="551"/>
  <c r="K108" i="551" a="1"/>
  <c r="K108" i="551" s="1"/>
  <c r="M108" i="551" s="1"/>
  <c r="H108" i="551"/>
  <c r="N107" i="551"/>
  <c r="K107" i="551"/>
  <c r="M107" i="551" s="1"/>
  <c r="K107" i="551" a="1"/>
  <c r="H107" i="551"/>
  <c r="V106" i="551"/>
  <c r="W106" i="551" s="1"/>
  <c r="N106" i="551"/>
  <c r="K106" i="551" a="1"/>
  <c r="K106" i="551" s="1"/>
  <c r="M106" i="551" s="1"/>
  <c r="J106" i="551" a="1"/>
  <c r="J106" i="551" s="1"/>
  <c r="H106" i="551"/>
  <c r="V105" i="551"/>
  <c r="W105" i="551" s="1"/>
  <c r="N105" i="551"/>
  <c r="K105" i="551" a="1"/>
  <c r="K105" i="551" s="1"/>
  <c r="M105" i="551" s="1"/>
  <c r="J105" i="551" a="1"/>
  <c r="J105" i="551" s="1"/>
  <c r="H105" i="551"/>
  <c r="V104" i="551"/>
  <c r="W104" i="551" s="1"/>
  <c r="N104" i="551"/>
  <c r="K104" i="551" a="1"/>
  <c r="K104" i="551" s="1"/>
  <c r="M104" i="551" s="1"/>
  <c r="J104" i="551" a="1"/>
  <c r="J104" i="551" s="1"/>
  <c r="H104" i="551"/>
  <c r="V103" i="551"/>
  <c r="W103" i="551" s="1"/>
  <c r="N103" i="551"/>
  <c r="K103" i="551"/>
  <c r="M103" i="551" s="1"/>
  <c r="K103" i="551" a="1"/>
  <c r="J103" i="551"/>
  <c r="J103" i="551" a="1"/>
  <c r="H103" i="551"/>
  <c r="V102" i="551"/>
  <c r="W102" i="551" s="1"/>
  <c r="N102" i="551"/>
  <c r="K102" i="551" a="1"/>
  <c r="K102" i="551" s="1"/>
  <c r="M102" i="551" s="1"/>
  <c r="J102" i="551" a="1"/>
  <c r="J102" i="551" s="1"/>
  <c r="H102" i="551"/>
  <c r="V101" i="551"/>
  <c r="W101" i="551" s="1"/>
  <c r="N101" i="551"/>
  <c r="K101" i="551"/>
  <c r="M101" i="551" s="1"/>
  <c r="K101" i="551" a="1"/>
  <c r="J101" i="551"/>
  <c r="J101" i="551" a="1"/>
  <c r="H101" i="551"/>
  <c r="V100" i="551"/>
  <c r="W100" i="551" s="1"/>
  <c r="N100" i="551"/>
  <c r="K100" i="551" a="1"/>
  <c r="K100" i="551" s="1"/>
  <c r="M100" i="551" s="1"/>
  <c r="J100" i="551" a="1"/>
  <c r="J100" i="551" s="1"/>
  <c r="H100" i="551"/>
  <c r="W99" i="551"/>
  <c r="V99" i="551"/>
  <c r="N99" i="551"/>
  <c r="K99" i="551" a="1"/>
  <c r="K99" i="551" s="1"/>
  <c r="M99" i="551" s="1"/>
  <c r="J99" i="551" a="1"/>
  <c r="J99" i="551" s="1"/>
  <c r="H99" i="551"/>
  <c r="V98" i="551"/>
  <c r="W98" i="551" s="1"/>
  <c r="N98" i="551"/>
  <c r="K98" i="551" a="1"/>
  <c r="K98" i="551" s="1"/>
  <c r="M98" i="551" s="1"/>
  <c r="J98" i="551" a="1"/>
  <c r="J98" i="551" s="1"/>
  <c r="H98" i="551"/>
  <c r="V97" i="551"/>
  <c r="W97" i="551" s="1"/>
  <c r="N97" i="551"/>
  <c r="K97" i="551"/>
  <c r="M97" i="551" s="1"/>
  <c r="K97" i="551" a="1"/>
  <c r="J97" i="551"/>
  <c r="J97" i="551" a="1"/>
  <c r="H97" i="551"/>
  <c r="V96" i="551"/>
  <c r="W96" i="551" s="1"/>
  <c r="N96" i="551"/>
  <c r="K96" i="551" a="1"/>
  <c r="K96" i="551" s="1"/>
  <c r="M96" i="551" s="1"/>
  <c r="J96" i="551" a="1"/>
  <c r="J96" i="551" s="1"/>
  <c r="H96" i="551"/>
  <c r="W95" i="551"/>
  <c r="V95" i="551"/>
  <c r="N95" i="551"/>
  <c r="K95" i="551" a="1"/>
  <c r="K95" i="551" s="1"/>
  <c r="M95" i="551" s="1"/>
  <c r="J95" i="551" a="1"/>
  <c r="J95" i="551" s="1"/>
  <c r="H95" i="551"/>
  <c r="K94" i="551"/>
  <c r="M94" i="551" s="1"/>
  <c r="K94" i="551" a="1"/>
  <c r="H94" i="551"/>
  <c r="V93" i="551"/>
  <c r="W93" i="551" s="1"/>
  <c r="N93" i="551"/>
  <c r="K93" i="551" a="1"/>
  <c r="K93" i="551" s="1"/>
  <c r="M93" i="551" s="1"/>
  <c r="J93" i="551" a="1"/>
  <c r="J93" i="551" s="1"/>
  <c r="H93" i="551"/>
  <c r="W92" i="551"/>
  <c r="V92" i="551"/>
  <c r="N92" i="551"/>
  <c r="K92" i="551" a="1"/>
  <c r="K92" i="551" s="1"/>
  <c r="M92" i="551" s="1"/>
  <c r="J92" i="551" a="1"/>
  <c r="J92" i="551" s="1"/>
  <c r="H92" i="551"/>
  <c r="V91" i="551"/>
  <c r="W91" i="551" s="1"/>
  <c r="N91" i="551"/>
  <c r="K91" i="551" a="1"/>
  <c r="K91" i="551" s="1"/>
  <c r="M91" i="551" s="1"/>
  <c r="J91" i="551" a="1"/>
  <c r="J91" i="551" s="1"/>
  <c r="H91" i="551"/>
  <c r="V90" i="551"/>
  <c r="W90" i="551" s="1"/>
  <c r="N90" i="551"/>
  <c r="K90" i="551"/>
  <c r="M90" i="551" s="1"/>
  <c r="K90" i="551" a="1"/>
  <c r="J90" i="551"/>
  <c r="J90" i="551" a="1"/>
  <c r="H90" i="551"/>
  <c r="V89" i="551"/>
  <c r="W89" i="551" s="1"/>
  <c r="N89" i="551"/>
  <c r="K89" i="551" a="1"/>
  <c r="K89" i="551" s="1"/>
  <c r="M89" i="551" s="1"/>
  <c r="J89" i="551" a="1"/>
  <c r="J89" i="551" s="1"/>
  <c r="H89" i="551"/>
  <c r="W88" i="551"/>
  <c r="V88" i="551"/>
  <c r="N88" i="551"/>
  <c r="K88" i="551" a="1"/>
  <c r="K88" i="551" s="1"/>
  <c r="M88" i="551" s="1"/>
  <c r="J88" i="551" a="1"/>
  <c r="J88" i="551" s="1"/>
  <c r="H88" i="551"/>
  <c r="V87" i="551"/>
  <c r="V121" i="551" s="1"/>
  <c r="N87" i="551"/>
  <c r="K87" i="551" a="1"/>
  <c r="K87" i="551" s="1"/>
  <c r="J87" i="551" a="1"/>
  <c r="J87" i="551" s="1"/>
  <c r="H87" i="551"/>
  <c r="AA86" i="551"/>
  <c r="Z86" i="551"/>
  <c r="Y86" i="551"/>
  <c r="X86" i="551"/>
  <c r="U86" i="551"/>
  <c r="T86" i="551"/>
  <c r="S86" i="551"/>
  <c r="R86" i="551"/>
  <c r="Q86" i="551"/>
  <c r="P86" i="551"/>
  <c r="O86" i="551"/>
  <c r="R167" i="551" s="1"/>
  <c r="I86" i="551"/>
  <c r="G86" i="551"/>
  <c r="C525" i="551" s="1"/>
  <c r="K85" i="551" a="1"/>
  <c r="K85" i="551" s="1"/>
  <c r="H85" i="551"/>
  <c r="K84" i="551"/>
  <c r="K84" i="551" a="1"/>
  <c r="H84" i="551"/>
  <c r="K83" i="551" a="1"/>
  <c r="K83" i="551" s="1"/>
  <c r="H83" i="551"/>
  <c r="K82" i="551" a="1"/>
  <c r="K82" i="551" s="1"/>
  <c r="H82" i="551"/>
  <c r="K81" i="551" a="1"/>
  <c r="K81" i="551" s="1"/>
  <c r="H81" i="551"/>
  <c r="K80" i="551" a="1"/>
  <c r="K80" i="551" s="1"/>
  <c r="H80" i="551"/>
  <c r="K79" i="551" a="1"/>
  <c r="K79" i="551" s="1"/>
  <c r="M79" i="551" s="1"/>
  <c r="H79" i="551"/>
  <c r="K78" i="551"/>
  <c r="M78" i="551" s="1"/>
  <c r="K78" i="551" a="1"/>
  <c r="H78" i="551"/>
  <c r="K77" i="551" a="1"/>
  <c r="K77" i="551" s="1"/>
  <c r="M77" i="551" s="1"/>
  <c r="H77" i="551"/>
  <c r="K76" i="551"/>
  <c r="M76" i="551" s="1"/>
  <c r="K76" i="551" a="1"/>
  <c r="H76" i="551"/>
  <c r="V75" i="551"/>
  <c r="W75" i="551" s="1"/>
  <c r="N75" i="551"/>
  <c r="K75" i="551" a="1"/>
  <c r="K75" i="551" s="1"/>
  <c r="M75" i="551" s="1"/>
  <c r="J75" i="551" a="1"/>
  <c r="J75" i="551" s="1"/>
  <c r="H75" i="551"/>
  <c r="V74" i="551"/>
  <c r="W74" i="551" s="1"/>
  <c r="N74" i="551"/>
  <c r="K74" i="551"/>
  <c r="M74" i="551" s="1"/>
  <c r="K74" i="551" a="1"/>
  <c r="J74" i="551"/>
  <c r="J74" i="551" a="1"/>
  <c r="H74" i="551"/>
  <c r="V73" i="551"/>
  <c r="W73" i="551" s="1"/>
  <c r="N73" i="551"/>
  <c r="K73" i="551" a="1"/>
  <c r="K73" i="551" s="1"/>
  <c r="M73" i="551" s="1"/>
  <c r="J73" i="551" a="1"/>
  <c r="J73" i="551" s="1"/>
  <c r="H73" i="551"/>
  <c r="W72" i="551"/>
  <c r="V72" i="551"/>
  <c r="N72" i="551"/>
  <c r="K72" i="551" a="1"/>
  <c r="K72" i="551" s="1"/>
  <c r="M72" i="551" s="1"/>
  <c r="J72" i="551" a="1"/>
  <c r="J72" i="551" s="1"/>
  <c r="H72" i="551"/>
  <c r="H71" i="551"/>
  <c r="V70" i="551"/>
  <c r="W70" i="551" s="1"/>
  <c r="N70" i="551"/>
  <c r="K70" i="551"/>
  <c r="M70" i="551" s="1"/>
  <c r="K70" i="551" a="1"/>
  <c r="J70" i="551"/>
  <c r="J70" i="551" a="1"/>
  <c r="H70" i="551"/>
  <c r="V69" i="551"/>
  <c r="W69" i="551" s="1"/>
  <c r="N69" i="551"/>
  <c r="K69" i="551" a="1"/>
  <c r="K69" i="551" s="1"/>
  <c r="M69" i="551" s="1"/>
  <c r="J69" i="551" a="1"/>
  <c r="J69" i="551" s="1"/>
  <c r="H69" i="551"/>
  <c r="K68" i="551"/>
  <c r="K68" i="551" a="1"/>
  <c r="H68" i="551"/>
  <c r="K67" i="551" a="1"/>
  <c r="K67" i="551" s="1"/>
  <c r="H67" i="551"/>
  <c r="V66" i="551"/>
  <c r="W66" i="551" s="1"/>
  <c r="N66" i="551"/>
  <c r="K66" i="551"/>
  <c r="M66" i="551" s="1"/>
  <c r="K66" i="551" a="1"/>
  <c r="J66" i="551"/>
  <c r="J66" i="551" a="1"/>
  <c r="H66" i="551"/>
  <c r="V65" i="551"/>
  <c r="W65" i="551" s="1"/>
  <c r="N65" i="551"/>
  <c r="K65" i="551" a="1"/>
  <c r="K65" i="551" s="1"/>
  <c r="M65" i="551" s="1"/>
  <c r="J65" i="551" a="1"/>
  <c r="J65" i="551" s="1"/>
  <c r="H65" i="551"/>
  <c r="V64" i="551"/>
  <c r="W64" i="551" s="1"/>
  <c r="N64" i="551"/>
  <c r="K64" i="551" a="1"/>
  <c r="K64" i="551" s="1"/>
  <c r="M64" i="551" s="1"/>
  <c r="J64" i="551" a="1"/>
  <c r="J64" i="551" s="1"/>
  <c r="H64" i="551"/>
  <c r="V63" i="551"/>
  <c r="W63" i="551" s="1"/>
  <c r="N63" i="551"/>
  <c r="K63" i="551" a="1"/>
  <c r="K63" i="551" s="1"/>
  <c r="M63" i="551" s="1"/>
  <c r="J63" i="551" a="1"/>
  <c r="J63" i="551" s="1"/>
  <c r="H63" i="551"/>
  <c r="V62" i="551"/>
  <c r="W62" i="551" s="1"/>
  <c r="N62" i="551"/>
  <c r="K62" i="551"/>
  <c r="M62" i="551" s="1"/>
  <c r="K62" i="551" a="1"/>
  <c r="J62" i="551"/>
  <c r="J62" i="551" a="1"/>
  <c r="H62" i="551"/>
  <c r="V61" i="551"/>
  <c r="W61" i="551" s="1"/>
  <c r="N61" i="551"/>
  <c r="K61" i="551" a="1"/>
  <c r="K61" i="551" s="1"/>
  <c r="M61" i="551" s="1"/>
  <c r="J61" i="551" a="1"/>
  <c r="J61" i="551" s="1"/>
  <c r="H61" i="551"/>
  <c r="W60" i="551"/>
  <c r="V60" i="551"/>
  <c r="N60" i="551"/>
  <c r="K60" i="551" a="1"/>
  <c r="K60" i="551" s="1"/>
  <c r="M60" i="551" s="1"/>
  <c r="J60" i="551" a="1"/>
  <c r="J60" i="551" s="1"/>
  <c r="H60" i="551"/>
  <c r="V59" i="551"/>
  <c r="W59" i="551" s="1"/>
  <c r="N59" i="551"/>
  <c r="K59" i="551" a="1"/>
  <c r="K59" i="551" s="1"/>
  <c r="M59" i="551" s="1"/>
  <c r="J59" i="551" a="1"/>
  <c r="J59" i="551" s="1"/>
  <c r="H59" i="551"/>
  <c r="V58" i="551"/>
  <c r="W58" i="551" s="1"/>
  <c r="N58" i="551"/>
  <c r="K58" i="551"/>
  <c r="M58" i="551" s="1"/>
  <c r="K58" i="551" a="1"/>
  <c r="J58" i="551"/>
  <c r="J58" i="551" a="1"/>
  <c r="H58" i="551"/>
  <c r="V57" i="551"/>
  <c r="W57" i="551" s="1"/>
  <c r="N57" i="551"/>
  <c r="K57" i="551" a="1"/>
  <c r="K57" i="551" s="1"/>
  <c r="M57" i="551" s="1"/>
  <c r="J57" i="551" a="1"/>
  <c r="J57" i="551" s="1"/>
  <c r="H57" i="551"/>
  <c r="K56" i="551" a="1"/>
  <c r="K56" i="551" s="1"/>
  <c r="M56" i="551" s="1"/>
  <c r="H56" i="551"/>
  <c r="K55" i="551" a="1"/>
  <c r="K55" i="551" s="1"/>
  <c r="M55" i="551" s="1"/>
  <c r="H55" i="551"/>
  <c r="K54" i="551" a="1"/>
  <c r="K54" i="551" s="1"/>
  <c r="M54" i="551" s="1"/>
  <c r="H54" i="551"/>
  <c r="K53" i="551" a="1"/>
  <c r="K53" i="551" s="1"/>
  <c r="M53" i="551" s="1"/>
  <c r="H53" i="551"/>
  <c r="N52" i="551"/>
  <c r="K52" i="551" a="1"/>
  <c r="K52" i="551" s="1"/>
  <c r="M52" i="551" s="1"/>
  <c r="H52" i="551"/>
  <c r="N51" i="551"/>
  <c r="K51" i="551" a="1"/>
  <c r="K51" i="551" s="1"/>
  <c r="M51" i="551" s="1"/>
  <c r="H51" i="551"/>
  <c r="N50" i="551"/>
  <c r="K50" i="551"/>
  <c r="M50" i="551" s="1"/>
  <c r="K50" i="551" a="1"/>
  <c r="H50" i="551"/>
  <c r="N49" i="551"/>
  <c r="K49" i="551" a="1"/>
  <c r="K49" i="551" s="1"/>
  <c r="M49" i="551" s="1"/>
  <c r="H49" i="551"/>
  <c r="W48" i="551"/>
  <c r="V48" i="551"/>
  <c r="N48" i="551"/>
  <c r="K48" i="551" a="1"/>
  <c r="K48" i="551" s="1"/>
  <c r="M48" i="551" s="1"/>
  <c r="J48" i="551" a="1"/>
  <c r="J48" i="551" s="1"/>
  <c r="H48" i="551"/>
  <c r="V47" i="551"/>
  <c r="W47" i="551" s="1"/>
  <c r="N47" i="551"/>
  <c r="K47" i="551" a="1"/>
  <c r="K47" i="551" s="1"/>
  <c r="M47" i="551" s="1"/>
  <c r="J47" i="551" a="1"/>
  <c r="J47" i="551" s="1"/>
  <c r="H47" i="551"/>
  <c r="V46" i="551"/>
  <c r="W46" i="551" s="1"/>
  <c r="N46" i="551"/>
  <c r="K46" i="551"/>
  <c r="M46" i="551" s="1"/>
  <c r="K46" i="551" a="1"/>
  <c r="J46" i="551"/>
  <c r="J46" i="551" a="1"/>
  <c r="H46" i="551"/>
  <c r="V45" i="551"/>
  <c r="W45" i="551" s="1"/>
  <c r="N45" i="551"/>
  <c r="K45" i="551" a="1"/>
  <c r="K45" i="551" s="1"/>
  <c r="M45" i="551" s="1"/>
  <c r="J45" i="551" a="1"/>
  <c r="J45" i="551" s="1"/>
  <c r="H45" i="551"/>
  <c r="W44" i="551"/>
  <c r="V44" i="551"/>
  <c r="N44" i="551"/>
  <c r="K44" i="551" a="1"/>
  <c r="K44" i="551" s="1"/>
  <c r="M44" i="551" s="1"/>
  <c r="J44" i="551" a="1"/>
  <c r="J44" i="551" s="1"/>
  <c r="H44" i="551"/>
  <c r="V43" i="551"/>
  <c r="W43" i="551" s="1"/>
  <c r="N43" i="551"/>
  <c r="K43" i="551" a="1"/>
  <c r="K43" i="551" s="1"/>
  <c r="M43" i="551" s="1"/>
  <c r="J43" i="551" a="1"/>
  <c r="J43" i="551" s="1"/>
  <c r="H43" i="551"/>
  <c r="V42" i="551"/>
  <c r="W42" i="551" s="1"/>
  <c r="N42" i="551"/>
  <c r="K42" i="551"/>
  <c r="M42" i="551" s="1"/>
  <c r="K42" i="551" a="1"/>
  <c r="J42" i="551"/>
  <c r="J42" i="551" a="1"/>
  <c r="H42" i="551"/>
  <c r="V41" i="551"/>
  <c r="W41" i="551" s="1"/>
  <c r="N41" i="551"/>
  <c r="K41" i="551" a="1"/>
  <c r="K41" i="551" s="1"/>
  <c r="M41" i="551" s="1"/>
  <c r="J41" i="551" a="1"/>
  <c r="J41" i="551" s="1"/>
  <c r="H41" i="551"/>
  <c r="W40" i="551"/>
  <c r="V40" i="551"/>
  <c r="N40" i="551"/>
  <c r="K40" i="551" a="1"/>
  <c r="K40" i="551" s="1"/>
  <c r="M40" i="551" s="1"/>
  <c r="J40" i="551" a="1"/>
  <c r="J40" i="551" s="1"/>
  <c r="H40" i="551"/>
  <c r="V39" i="551"/>
  <c r="W39" i="551" s="1"/>
  <c r="N39" i="551"/>
  <c r="K39" i="551" a="1"/>
  <c r="K39" i="551" s="1"/>
  <c r="M39" i="551" s="1"/>
  <c r="J39" i="551" a="1"/>
  <c r="J39" i="551" s="1"/>
  <c r="H39" i="551"/>
  <c r="V38" i="551"/>
  <c r="W38" i="551" s="1"/>
  <c r="N38" i="551"/>
  <c r="K38" i="551"/>
  <c r="M38" i="551" s="1"/>
  <c r="K38" i="551" a="1"/>
  <c r="J38" i="551"/>
  <c r="J38" i="551" a="1"/>
  <c r="H38" i="551"/>
  <c r="V37" i="551"/>
  <c r="W37" i="551" s="1"/>
  <c r="N37" i="551"/>
  <c r="K37" i="551" a="1"/>
  <c r="K37" i="551" s="1"/>
  <c r="M37" i="551" s="1"/>
  <c r="J37" i="551" a="1"/>
  <c r="J37" i="551" s="1"/>
  <c r="H37" i="551"/>
  <c r="H36" i="551"/>
  <c r="H35" i="551"/>
  <c r="H34" i="551"/>
  <c r="V33" i="551"/>
  <c r="W33" i="551" s="1"/>
  <c r="N33" i="551"/>
  <c r="K33" i="551" a="1"/>
  <c r="K33" i="551" s="1"/>
  <c r="M33" i="551" s="1"/>
  <c r="J33" i="551" a="1"/>
  <c r="J33" i="551" s="1"/>
  <c r="H33" i="551"/>
  <c r="W32" i="551"/>
  <c r="V32" i="551"/>
  <c r="N32" i="551"/>
  <c r="K32" i="551" a="1"/>
  <c r="K32" i="551" s="1"/>
  <c r="M32" i="551" s="1"/>
  <c r="J32" i="551" a="1"/>
  <c r="J32" i="551" s="1"/>
  <c r="H32" i="551"/>
  <c r="V31" i="551"/>
  <c r="W31" i="551" s="1"/>
  <c r="N31" i="551"/>
  <c r="K31" i="551" a="1"/>
  <c r="K31" i="551" s="1"/>
  <c r="M31" i="551" s="1"/>
  <c r="J31" i="551" a="1"/>
  <c r="J31" i="551" s="1"/>
  <c r="H31" i="551"/>
  <c r="K30" i="551" a="1"/>
  <c r="K30" i="551" s="1"/>
  <c r="H30" i="551"/>
  <c r="V29" i="551"/>
  <c r="V86" i="551" s="1"/>
  <c r="W86" i="551" s="1"/>
  <c r="N29" i="551"/>
  <c r="N86" i="551" s="1"/>
  <c r="K29" i="551" a="1"/>
  <c r="K29" i="551" s="1"/>
  <c r="J29" i="551" a="1"/>
  <c r="J29" i="551" s="1"/>
  <c r="H29" i="551"/>
  <c r="H86" i="551" s="1"/>
  <c r="AA28" i="551"/>
  <c r="AA164" i="551" s="1"/>
  <c r="Z28" i="551"/>
  <c r="Z164" i="551" s="1"/>
  <c r="Y28" i="551"/>
  <c r="Y164" i="551" s="1"/>
  <c r="X28" i="551"/>
  <c r="X164" i="551" s="1"/>
  <c r="U28" i="551"/>
  <c r="U164" i="551" s="1"/>
  <c r="T28" i="551"/>
  <c r="T164" i="551" s="1"/>
  <c r="S28" i="551"/>
  <c r="S164" i="551" s="1"/>
  <c r="R28" i="551"/>
  <c r="R164" i="551" s="1"/>
  <c r="Q28" i="551"/>
  <c r="Q164" i="551" s="1"/>
  <c r="P28" i="551"/>
  <c r="O28" i="551"/>
  <c r="I28" i="551"/>
  <c r="I164" i="551" s="1"/>
  <c r="B172" i="551" s="1"/>
  <c r="G28" i="551"/>
  <c r="V27" i="551"/>
  <c r="W27" i="551" s="1"/>
  <c r="N27" i="551"/>
  <c r="K27" i="551" a="1"/>
  <c r="K27" i="551" s="1"/>
  <c r="M27" i="551" s="1"/>
  <c r="J27" i="551" a="1"/>
  <c r="J27" i="551" s="1"/>
  <c r="H27" i="551"/>
  <c r="V26" i="551"/>
  <c r="W26" i="551" s="1"/>
  <c r="N26" i="551"/>
  <c r="K26" i="551" a="1"/>
  <c r="K26" i="551" s="1"/>
  <c r="M26" i="551" s="1"/>
  <c r="J26" i="551" a="1"/>
  <c r="J26" i="551" s="1"/>
  <c r="H26" i="551"/>
  <c r="K25" i="551"/>
  <c r="M25" i="551" s="1"/>
  <c r="K25" i="551" a="1"/>
  <c r="J25" i="551"/>
  <c r="J25" i="551" a="1"/>
  <c r="H25" i="551"/>
  <c r="K24" i="551" a="1"/>
  <c r="K24" i="551" s="1"/>
  <c r="M24" i="551" s="1"/>
  <c r="J24" i="551" a="1"/>
  <c r="J24" i="551" s="1"/>
  <c r="H24" i="551"/>
  <c r="K23" i="551"/>
  <c r="M23" i="551" s="1"/>
  <c r="K23" i="551" a="1"/>
  <c r="J23" i="551"/>
  <c r="J23" i="551" a="1"/>
  <c r="H23" i="551"/>
  <c r="K22" i="551" a="1"/>
  <c r="K22" i="551" s="1"/>
  <c r="M22" i="551" s="1"/>
  <c r="J22" i="551" a="1"/>
  <c r="J22" i="551" s="1"/>
  <c r="H22" i="551"/>
  <c r="V21" i="551"/>
  <c r="W21" i="551" s="1"/>
  <c r="N21" i="551"/>
  <c r="K21" i="551" a="1"/>
  <c r="K21" i="551" s="1"/>
  <c r="M21" i="551" s="1"/>
  <c r="J21" i="551" a="1"/>
  <c r="J21" i="551" s="1"/>
  <c r="H21" i="551"/>
  <c r="W20" i="551"/>
  <c r="V20" i="551"/>
  <c r="N20" i="551"/>
  <c r="K20" i="551"/>
  <c r="M20" i="551" s="1"/>
  <c r="K20" i="551" a="1"/>
  <c r="J20" i="551"/>
  <c r="J20" i="551" a="1"/>
  <c r="H20" i="551"/>
  <c r="V19" i="551"/>
  <c r="W19" i="551" s="1"/>
  <c r="N19" i="551"/>
  <c r="K19" i="551" a="1"/>
  <c r="K19" i="551" s="1"/>
  <c r="M19" i="551" s="1"/>
  <c r="H19" i="551"/>
  <c r="N18" i="551"/>
  <c r="K18" i="551" a="1"/>
  <c r="K18" i="551" s="1"/>
  <c r="M18" i="551" s="1"/>
  <c r="J18" i="551" a="1"/>
  <c r="J18" i="551" s="1"/>
  <c r="H18" i="551"/>
  <c r="N17" i="551"/>
  <c r="K17" i="551" a="1"/>
  <c r="K17" i="551" s="1"/>
  <c r="M17" i="551" s="1"/>
  <c r="J17" i="551" a="1"/>
  <c r="J17" i="551" s="1"/>
  <c r="H17" i="551"/>
  <c r="W16" i="551"/>
  <c r="V16" i="551"/>
  <c r="N16" i="551"/>
  <c r="K16" i="551" a="1"/>
  <c r="K16" i="551" s="1"/>
  <c r="M16" i="551" s="1"/>
  <c r="J16" i="551" a="1"/>
  <c r="J16" i="551" s="1"/>
  <c r="H16" i="551"/>
  <c r="V15" i="551"/>
  <c r="W15" i="551" s="1"/>
  <c r="N15" i="551"/>
  <c r="K15" i="551" a="1"/>
  <c r="K15" i="551" s="1"/>
  <c r="M15" i="551" s="1"/>
  <c r="J15" i="551" a="1"/>
  <c r="J15" i="551" s="1"/>
  <c r="H15" i="551"/>
  <c r="N14" i="551"/>
  <c r="K14" i="551"/>
  <c r="M14" i="551" s="1"/>
  <c r="K14" i="551" a="1"/>
  <c r="H14" i="551"/>
  <c r="N13" i="551"/>
  <c r="K13" i="551" a="1"/>
  <c r="K13" i="551" s="1"/>
  <c r="M13" i="551" s="1"/>
  <c r="H13" i="551"/>
  <c r="W12" i="551"/>
  <c r="V12" i="551"/>
  <c r="N12" i="551"/>
  <c r="K12" i="551" a="1"/>
  <c r="K12" i="551" s="1"/>
  <c r="M12" i="551" s="1"/>
  <c r="J12" i="551" a="1"/>
  <c r="J12" i="551" s="1"/>
  <c r="H12" i="551"/>
  <c r="V11" i="551"/>
  <c r="W11" i="551" s="1"/>
  <c r="N11" i="551"/>
  <c r="K11" i="551" a="1"/>
  <c r="K11" i="551" s="1"/>
  <c r="M11" i="551" s="1"/>
  <c r="J11" i="551" a="1"/>
  <c r="J11" i="551" s="1"/>
  <c r="H11" i="551"/>
  <c r="V10" i="551"/>
  <c r="W10" i="551" s="1"/>
  <c r="N10" i="551"/>
  <c r="K10" i="551"/>
  <c r="M10" i="551" s="1"/>
  <c r="K10" i="551" a="1"/>
  <c r="J10" i="551"/>
  <c r="J10" i="551" a="1"/>
  <c r="H10" i="551"/>
  <c r="V9" i="551"/>
  <c r="W9" i="551" s="1"/>
  <c r="N9" i="551"/>
  <c r="K9" i="551" a="1"/>
  <c r="K9" i="551" s="1"/>
  <c r="M9" i="551" s="1"/>
  <c r="J9" i="551" a="1"/>
  <c r="J9" i="551" s="1"/>
  <c r="H9" i="551"/>
  <c r="W8" i="551"/>
  <c r="V8" i="551"/>
  <c r="N8" i="551"/>
  <c r="K8" i="551" a="1"/>
  <c r="K8" i="551" s="1"/>
  <c r="M8" i="551" s="1"/>
  <c r="J8" i="551" a="1"/>
  <c r="J8" i="551" s="1"/>
  <c r="H8" i="551"/>
  <c r="V7" i="551"/>
  <c r="V28" i="551" s="1"/>
  <c r="N7" i="551"/>
  <c r="K7" i="551" a="1"/>
  <c r="K7" i="551" s="1"/>
  <c r="J7" i="551" a="1"/>
  <c r="J7" i="551" s="1"/>
  <c r="H7" i="551"/>
  <c r="H28" i="551" s="1"/>
  <c r="J308" i="551" l="1" a="1"/>
  <c r="J308" i="551" s="1"/>
  <c r="J292" i="551" a="1"/>
  <c r="J292" i="551" s="1"/>
  <c r="E344" i="551"/>
  <c r="J257" i="551" a="1"/>
  <c r="J257" i="551" s="1"/>
  <c r="J28" i="551" a="1"/>
  <c r="J28" i="551" s="1"/>
  <c r="H428" i="551"/>
  <c r="H507" i="551" s="1"/>
  <c r="E514" i="551" s="1"/>
  <c r="V428" i="551"/>
  <c r="W428" i="551" s="1"/>
  <c r="N370" i="551"/>
  <c r="N428" i="551"/>
  <c r="H463" i="551"/>
  <c r="V463" i="551"/>
  <c r="W463" i="551" s="1"/>
  <c r="J463" i="551" a="1"/>
  <c r="J463" i="551" s="1"/>
  <c r="R511" i="551"/>
  <c r="R512" i="551"/>
  <c r="H490" i="551"/>
  <c r="H506" i="551"/>
  <c r="W506" i="551"/>
  <c r="W320" i="551"/>
  <c r="W334" i="551" s="1"/>
  <c r="H292" i="551"/>
  <c r="W200" i="551"/>
  <c r="M199" i="551"/>
  <c r="H308" i="551"/>
  <c r="H335" i="551" s="1"/>
  <c r="E342" i="551" s="1"/>
  <c r="J199" i="551" a="1"/>
  <c r="J199" i="551" s="1"/>
  <c r="K163" i="551"/>
  <c r="W149" i="551"/>
  <c r="J163" i="551" a="1"/>
  <c r="J163" i="551" s="1"/>
  <c r="R170" i="551"/>
  <c r="R169" i="551"/>
  <c r="N137" i="551"/>
  <c r="N121" i="551"/>
  <c r="N28" i="551"/>
  <c r="K148" i="551"/>
  <c r="H121" i="551"/>
  <c r="W121" i="551"/>
  <c r="H164" i="551"/>
  <c r="E171" i="551" s="1"/>
  <c r="M29" i="551"/>
  <c r="M86" i="551" s="1"/>
  <c r="K86" i="551"/>
  <c r="M7" i="551"/>
  <c r="M28" i="551" s="1"/>
  <c r="K28" i="551"/>
  <c r="W28" i="551"/>
  <c r="W7" i="551"/>
  <c r="X167" i="551"/>
  <c r="P164" i="551"/>
  <c r="X168" i="551" s="1"/>
  <c r="W29" i="551"/>
  <c r="J86" i="551" a="1"/>
  <c r="J86" i="551" s="1"/>
  <c r="K526" i="551"/>
  <c r="K528" i="551"/>
  <c r="K529" i="551"/>
  <c r="W199" i="551"/>
  <c r="M257" i="551"/>
  <c r="C524" i="551"/>
  <c r="G164" i="551"/>
  <c r="C520" i="551"/>
  <c r="R166" i="551"/>
  <c r="O164" i="551"/>
  <c r="K525" i="551"/>
  <c r="K121" i="551"/>
  <c r="M87" i="551"/>
  <c r="M121" i="551" s="1"/>
  <c r="K137" i="551"/>
  <c r="M122" i="551"/>
  <c r="M137" i="551" s="1"/>
  <c r="K527" i="551"/>
  <c r="K170" i="551"/>
  <c r="M166" i="551"/>
  <c r="V137" i="551"/>
  <c r="W137" i="551" s="1"/>
  <c r="E170" i="551"/>
  <c r="K199" i="551"/>
  <c r="X338" i="551"/>
  <c r="P335" i="551"/>
  <c r="X339" i="551" s="1"/>
  <c r="K257" i="551"/>
  <c r="K292" i="551"/>
  <c r="K308" i="551"/>
  <c r="M293" i="551"/>
  <c r="M308" i="551" s="1"/>
  <c r="K370" i="551"/>
  <c r="M349" i="551"/>
  <c r="M370" i="551" s="1"/>
  <c r="K428" i="551"/>
  <c r="M371" i="551"/>
  <c r="M428" i="551" s="1"/>
  <c r="W87" i="551"/>
  <c r="J121" i="551" a="1"/>
  <c r="J121" i="551" s="1"/>
  <c r="J137" i="551" a="1"/>
  <c r="J137" i="551" s="1"/>
  <c r="M138" i="551"/>
  <c r="M148" i="551" s="1"/>
  <c r="J148" i="551" a="1"/>
  <c r="J148" i="551" s="1"/>
  <c r="M149" i="551"/>
  <c r="M163" i="551" s="1"/>
  <c r="X173" i="551"/>
  <c r="Z169" i="551" s="1"/>
  <c r="B342" i="551"/>
  <c r="J335" i="551" a="1"/>
  <c r="J335" i="551" s="1"/>
  <c r="M342" i="551" s="1"/>
  <c r="R337" i="551"/>
  <c r="O335" i="551"/>
  <c r="R338" i="551"/>
  <c r="M258" i="551"/>
  <c r="M292" i="551" s="1"/>
  <c r="V292" i="551"/>
  <c r="W292" i="551" s="1"/>
  <c r="K334" i="551"/>
  <c r="K341" i="551"/>
  <c r="M337" i="551"/>
  <c r="V308" i="551"/>
  <c r="W308" i="551" s="1"/>
  <c r="E341" i="551"/>
  <c r="J507" i="551" a="1"/>
  <c r="J507" i="551" s="1"/>
  <c r="M514" i="551" s="1"/>
  <c r="B514" i="551"/>
  <c r="X509" i="551"/>
  <c r="O507" i="551"/>
  <c r="X510" i="551" s="1"/>
  <c r="R509" i="551"/>
  <c r="K479" i="551"/>
  <c r="M464" i="551"/>
  <c r="M479" i="551" s="1"/>
  <c r="M309" i="551"/>
  <c r="M319" i="551" s="1"/>
  <c r="M320" i="551"/>
  <c r="M334" i="551" s="1"/>
  <c r="W349" i="551"/>
  <c r="W370" i="551" s="1"/>
  <c r="J370" i="551" a="1"/>
  <c r="J370" i="551" s="1"/>
  <c r="W371" i="551"/>
  <c r="M429" i="551"/>
  <c r="M463" i="551" s="1"/>
  <c r="K463" i="551"/>
  <c r="W429" i="551"/>
  <c r="N479" i="551"/>
  <c r="N507" i="551" s="1"/>
  <c r="B516" i="551" s="1"/>
  <c r="J479" i="551" a="1"/>
  <c r="J479" i="551" s="1"/>
  <c r="V479" i="551"/>
  <c r="W479" i="551" s="1"/>
  <c r="K506" i="551"/>
  <c r="M491" i="551"/>
  <c r="M506" i="551" s="1"/>
  <c r="V506" i="551"/>
  <c r="K509" i="551"/>
  <c r="K490" i="551"/>
  <c r="M480" i="551"/>
  <c r="M490" i="551" s="1"/>
  <c r="W490" i="551"/>
  <c r="R534" i="551"/>
  <c r="S534" i="551" a="1"/>
  <c r="S534" i="551" s="1"/>
  <c r="J536" i="551"/>
  <c r="Q533" i="551"/>
  <c r="R535" i="551"/>
  <c r="S535" i="551" a="1"/>
  <c r="S535" i="551" s="1"/>
  <c r="T533" i="551" a="1"/>
  <c r="T533" i="551" s="1"/>
  <c r="T534" i="551" a="1"/>
  <c r="T534" i="551" s="1"/>
  <c r="T535" i="551" a="1"/>
  <c r="T535" i="551" s="1"/>
  <c r="C536" i="551"/>
  <c r="T536" i="551" s="1" a="1"/>
  <c r="T536" i="551" s="1"/>
  <c r="G321" i="549"/>
  <c r="M335" i="551" l="1"/>
  <c r="X344" i="551"/>
  <c r="Z343" i="551" s="1"/>
  <c r="G519" i="551"/>
  <c r="N164" i="551"/>
  <c r="B173" i="551" s="1"/>
  <c r="E173" i="551" s="1"/>
  <c r="E516" i="551"/>
  <c r="C521" i="551"/>
  <c r="G521" i="551" s="1"/>
  <c r="R533" i="551"/>
  <c r="R536" i="551" s="1"/>
  <c r="Q536" i="551"/>
  <c r="S536" i="551" s="1" a="1"/>
  <c r="S536" i="551" s="1"/>
  <c r="S533" i="551" a="1"/>
  <c r="S533" i="551" s="1"/>
  <c r="M509" i="551"/>
  <c r="K513" i="551"/>
  <c r="M513" i="551" s="1"/>
  <c r="Z337" i="551" a="1"/>
  <c r="Z337" i="551" s="1"/>
  <c r="Z341" i="551"/>
  <c r="Z340" i="551"/>
  <c r="M341" i="551"/>
  <c r="R344" i="551"/>
  <c r="T338" i="551" s="1"/>
  <c r="M507" i="551"/>
  <c r="Z339" i="551"/>
  <c r="K335" i="551"/>
  <c r="Z170" i="551"/>
  <c r="V335" i="551"/>
  <c r="I344" i="551" s="1"/>
  <c r="M344" i="551" s="1" a="1"/>
  <c r="M344" i="551" s="1"/>
  <c r="K524" i="551"/>
  <c r="R173" i="551"/>
  <c r="T166" i="551" s="1" a="1"/>
  <c r="T166" i="551" s="1"/>
  <c r="C530" i="551"/>
  <c r="E524" i="551" s="1"/>
  <c r="W335" i="551"/>
  <c r="Q525" i="551"/>
  <c r="Z167" i="551"/>
  <c r="W164" i="551"/>
  <c r="K164" i="551"/>
  <c r="E172" i="551" s="1"/>
  <c r="R516" i="551"/>
  <c r="T509" i="551" s="1" a="1"/>
  <c r="T509" i="551" s="1"/>
  <c r="X516" i="551"/>
  <c r="Z509" i="551" a="1"/>
  <c r="Z509" i="551" s="1"/>
  <c r="Z166" i="551" a="1"/>
  <c r="Z166" i="551" s="1"/>
  <c r="Z172" i="551"/>
  <c r="V507" i="551"/>
  <c r="K507" i="551"/>
  <c r="Z338" i="551"/>
  <c r="Z171" i="551"/>
  <c r="M170" i="551"/>
  <c r="B171" i="551"/>
  <c r="C519" i="551" s="1"/>
  <c r="L164" i="551"/>
  <c r="I171" i="551" s="1"/>
  <c r="J164" i="551" a="1"/>
  <c r="J164" i="551" s="1"/>
  <c r="M171" i="551" s="1"/>
  <c r="Q526" i="551"/>
  <c r="Z168" i="551"/>
  <c r="V164" i="551"/>
  <c r="I173" i="551" s="1"/>
  <c r="M164" i="551"/>
  <c r="Z342" i="551" l="1"/>
  <c r="M173" i="551" a="1"/>
  <c r="M173" i="551" s="1"/>
  <c r="I516" i="551"/>
  <c r="M516" i="551" s="1" a="1"/>
  <c r="M516" i="551" s="1"/>
  <c r="W507" i="551"/>
  <c r="Z515" i="551"/>
  <c r="Z512" i="551"/>
  <c r="Z513" i="551"/>
  <c r="Z511" i="551"/>
  <c r="Z514" i="551"/>
  <c r="Q530" i="551"/>
  <c r="E526" i="551"/>
  <c r="E529" i="551"/>
  <c r="E525" i="551"/>
  <c r="E527" i="551"/>
  <c r="E528" i="551"/>
  <c r="T337" i="551" a="1"/>
  <c r="T337" i="551" s="1"/>
  <c r="Z510" i="551"/>
  <c r="O519" i="551" a="1"/>
  <c r="O519" i="551" s="1"/>
  <c r="E515" i="551"/>
  <c r="I515" i="551" s="1"/>
  <c r="M515" i="551" s="1"/>
  <c r="L507" i="551"/>
  <c r="I514" i="551" s="1"/>
  <c r="T515" i="551"/>
  <c r="T514" i="551"/>
  <c r="T512" i="551"/>
  <c r="T510" i="551"/>
  <c r="T513" i="551"/>
  <c r="T511" i="551"/>
  <c r="I172" i="551"/>
  <c r="M172" i="551" s="1"/>
  <c r="E530" i="551"/>
  <c r="K530" i="551"/>
  <c r="T172" i="551"/>
  <c r="T168" i="551"/>
  <c r="T170" i="551"/>
  <c r="T171" i="551"/>
  <c r="T167" i="551"/>
  <c r="T169" i="551"/>
  <c r="E343" i="551"/>
  <c r="I343" i="551" s="1"/>
  <c r="M343" i="551" s="1"/>
  <c r="L335" i="551"/>
  <c r="I342" i="551" s="1"/>
  <c r="T343" i="551"/>
  <c r="T340" i="551"/>
  <c r="T339" i="551"/>
  <c r="T342" i="551"/>
  <c r="T341" i="551"/>
  <c r="M201" i="550"/>
  <c r="K201" i="550" a="1"/>
  <c r="K201" i="550" s="1"/>
  <c r="J201" i="550" a="1"/>
  <c r="J201" i="550" s="1"/>
  <c r="M287" i="550"/>
  <c r="K287" i="550" a="1"/>
  <c r="K287" i="550" s="1"/>
  <c r="J287" i="550" a="1"/>
  <c r="J287" i="550" s="1"/>
  <c r="J282" i="550" a="1"/>
  <c r="J282" i="550" s="1"/>
  <c r="J334" i="550" a="1"/>
  <c r="J334" i="550" s="1"/>
  <c r="M315" i="550"/>
  <c r="K315" i="550" a="1"/>
  <c r="K315" i="550" s="1"/>
  <c r="J315" i="550" a="1"/>
  <c r="J315" i="550" s="1"/>
  <c r="I203" i="550"/>
  <c r="I201" i="550"/>
  <c r="I282" i="550"/>
  <c r="I289" i="550"/>
  <c r="I315" i="550"/>
  <c r="I213" i="550"/>
  <c r="I298" i="550"/>
  <c r="I284" i="550"/>
  <c r="I187" i="550"/>
  <c r="I287" i="550"/>
  <c r="M529" i="551" l="1"/>
  <c r="M526" i="551"/>
  <c r="M527" i="551"/>
  <c r="M528" i="551"/>
  <c r="M525" i="551"/>
  <c r="M524" i="551" a="1"/>
  <c r="M524" i="551" s="1"/>
  <c r="S528" i="551"/>
  <c r="S524" i="551" a="1"/>
  <c r="S524" i="551" s="1"/>
  <c r="S527" i="551"/>
  <c r="S529" i="551"/>
  <c r="G520" i="551"/>
  <c r="S525" i="551"/>
  <c r="S526" i="551"/>
  <c r="K521" i="551"/>
  <c r="O521" i="551" s="1" a="1"/>
  <c r="O521" i="551" s="1"/>
  <c r="G113" i="550"/>
  <c r="G10" i="550"/>
  <c r="G118" i="550"/>
  <c r="G213" i="550"/>
  <c r="S530" i="551" l="1"/>
  <c r="K520" i="551"/>
  <c r="O520" i="551" s="1"/>
  <c r="K519" i="551"/>
  <c r="G124" i="550"/>
  <c r="G284" i="550"/>
  <c r="G203" i="550"/>
  <c r="G321" i="550"/>
  <c r="G289" i="550"/>
  <c r="G187" i="550"/>
  <c r="G235" i="550"/>
  <c r="G201" i="550"/>
  <c r="G315" i="550"/>
  <c r="G323" i="550"/>
  <c r="G322" i="550"/>
  <c r="G298" i="550"/>
  <c r="G64" i="550"/>
  <c r="I455" i="550" l="1"/>
  <c r="I431" i="550"/>
  <c r="M145" i="550"/>
  <c r="M144" i="550"/>
  <c r="J150" i="550" a="1"/>
  <c r="J150" i="550" s="1"/>
  <c r="J145" i="550" a="1"/>
  <c r="J145" i="550" s="1"/>
  <c r="J144" i="550" a="1"/>
  <c r="J144" i="550" s="1"/>
  <c r="J112" i="550" a="1"/>
  <c r="J112" i="550" s="1"/>
  <c r="J111" i="550" a="1"/>
  <c r="J111" i="550" s="1"/>
  <c r="I113" i="550" l="1"/>
  <c r="I118" i="550"/>
  <c r="I112" i="550"/>
  <c r="I111" i="550"/>
  <c r="I42" i="550"/>
  <c r="I144" i="550"/>
  <c r="I145" i="550"/>
  <c r="I124" i="550"/>
  <c r="I10" i="550"/>
  <c r="I123" i="550"/>
  <c r="I122" i="550"/>
  <c r="I33" i="550"/>
  <c r="I48" i="550"/>
  <c r="D534" i="550"/>
  <c r="D535" i="550"/>
  <c r="D533" i="550"/>
  <c r="C533" i="550" s="1"/>
  <c r="J533" i="550" s="1"/>
  <c r="G455" i="550"/>
  <c r="G431" i="550"/>
  <c r="G150" i="550"/>
  <c r="G123" i="550"/>
  <c r="G33" i="550"/>
  <c r="G144" i="550"/>
  <c r="G112" i="550"/>
  <c r="G111" i="550"/>
  <c r="G48" i="550"/>
  <c r="G42" i="550"/>
  <c r="G122" i="550"/>
  <c r="P536" i="550"/>
  <c r="O536" i="550"/>
  <c r="N536" i="550"/>
  <c r="M536" i="550"/>
  <c r="L536" i="550"/>
  <c r="K536" i="550"/>
  <c r="I536" i="550"/>
  <c r="H536" i="550"/>
  <c r="G536" i="550"/>
  <c r="F536" i="550"/>
  <c r="E536" i="550"/>
  <c r="D536" i="550"/>
  <c r="C535" i="550"/>
  <c r="J535" i="550" s="1"/>
  <c r="Q535" i="550" s="1"/>
  <c r="C534" i="550"/>
  <c r="J534" i="550" s="1"/>
  <c r="Q534" i="550" s="1"/>
  <c r="G517" i="550"/>
  <c r="N517" i="550" s="1"/>
  <c r="X515" i="550"/>
  <c r="X514" i="550"/>
  <c r="X513" i="550"/>
  <c r="G513" i="550"/>
  <c r="C513" i="550"/>
  <c r="X512" i="550"/>
  <c r="I512" i="550"/>
  <c r="E512" i="550"/>
  <c r="K512" i="550" s="1"/>
  <c r="M512" i="550" s="1"/>
  <c r="X511" i="550"/>
  <c r="I511" i="550"/>
  <c r="E511" i="550"/>
  <c r="K511" i="550" s="1"/>
  <c r="M511" i="550" s="1"/>
  <c r="I510" i="550"/>
  <c r="E510" i="550"/>
  <c r="K510" i="550" s="1"/>
  <c r="M510" i="550" s="1"/>
  <c r="I509" i="550"/>
  <c r="I513" i="550" s="1"/>
  <c r="E509" i="550"/>
  <c r="K509" i="550" s="1"/>
  <c r="AA506" i="550"/>
  <c r="Z506" i="550"/>
  <c r="Y506" i="550"/>
  <c r="X506" i="550"/>
  <c r="U506" i="550"/>
  <c r="T506" i="550"/>
  <c r="S506" i="550"/>
  <c r="R506" i="550"/>
  <c r="Q506" i="550"/>
  <c r="P506" i="550"/>
  <c r="O506" i="550"/>
  <c r="I506" i="550"/>
  <c r="G506" i="550"/>
  <c r="J506" i="550" s="1" a="1"/>
  <c r="J506" i="550" s="1"/>
  <c r="H505" i="550"/>
  <c r="H504" i="550"/>
  <c r="H503" i="550"/>
  <c r="D502" i="550"/>
  <c r="H502" i="550" s="1"/>
  <c r="V501" i="550"/>
  <c r="W501" i="550" s="1"/>
  <c r="N501" i="550"/>
  <c r="K501" i="550" a="1"/>
  <c r="K501" i="550" s="1"/>
  <c r="M501" i="550" s="1"/>
  <c r="J501" i="550" a="1"/>
  <c r="J501" i="550" s="1"/>
  <c r="H501" i="550"/>
  <c r="H500" i="550"/>
  <c r="H499" i="550"/>
  <c r="V498" i="550"/>
  <c r="W498" i="550" s="1"/>
  <c r="N498" i="550"/>
  <c r="K498" i="550" a="1"/>
  <c r="K498" i="550" s="1"/>
  <c r="M498" i="550" s="1"/>
  <c r="J498" i="550" a="1"/>
  <c r="J498" i="550" s="1"/>
  <c r="H498" i="550"/>
  <c r="V497" i="550"/>
  <c r="W497" i="550" s="1"/>
  <c r="N497" i="550"/>
  <c r="K497" i="550"/>
  <c r="M497" i="550" s="1"/>
  <c r="K497" i="550" a="1"/>
  <c r="J497" i="550"/>
  <c r="J497" i="550" a="1"/>
  <c r="H497" i="550"/>
  <c r="H496" i="550"/>
  <c r="H495" i="550"/>
  <c r="V494" i="550"/>
  <c r="W494" i="550" s="1"/>
  <c r="N494" i="550"/>
  <c r="K494" i="550" a="1"/>
  <c r="K494" i="550" s="1"/>
  <c r="M494" i="550" s="1"/>
  <c r="J494" i="550" a="1"/>
  <c r="J494" i="550" s="1"/>
  <c r="H494" i="550"/>
  <c r="V493" i="550"/>
  <c r="W493" i="550" s="1"/>
  <c r="N493" i="550"/>
  <c r="K493" i="550" a="1"/>
  <c r="K493" i="550" s="1"/>
  <c r="M493" i="550" s="1"/>
  <c r="J493" i="550" a="1"/>
  <c r="J493" i="550" s="1"/>
  <c r="H493" i="550"/>
  <c r="V492" i="550"/>
  <c r="W492" i="550" s="1"/>
  <c r="N492" i="550"/>
  <c r="K492" i="550" a="1"/>
  <c r="K492" i="550" s="1"/>
  <c r="M492" i="550" s="1"/>
  <c r="J492" i="550" a="1"/>
  <c r="J492" i="550" s="1"/>
  <c r="H492" i="550"/>
  <c r="V491" i="550"/>
  <c r="W491" i="550" s="1"/>
  <c r="N491" i="550"/>
  <c r="N506" i="550" s="1"/>
  <c r="K491" i="550"/>
  <c r="K491" i="550" a="1"/>
  <c r="J491" i="550" a="1"/>
  <c r="J491" i="550" s="1"/>
  <c r="H491" i="550"/>
  <c r="H506" i="550" s="1"/>
  <c r="AA490" i="550"/>
  <c r="Z490" i="550"/>
  <c r="Y490" i="550"/>
  <c r="X490" i="550"/>
  <c r="U490" i="550"/>
  <c r="T490" i="550"/>
  <c r="S490" i="550"/>
  <c r="Q490" i="550"/>
  <c r="P490" i="550"/>
  <c r="O490" i="550"/>
  <c r="R513" i="550" s="1"/>
  <c r="I490" i="550"/>
  <c r="G490" i="550"/>
  <c r="J490" i="550" s="1" a="1"/>
  <c r="J490" i="550" s="1"/>
  <c r="V489" i="550"/>
  <c r="W489" i="550" s="1"/>
  <c r="N489" i="550"/>
  <c r="K489" i="550" a="1"/>
  <c r="K489" i="550" s="1"/>
  <c r="M489" i="550" s="1"/>
  <c r="J489" i="550" a="1"/>
  <c r="J489" i="550" s="1"/>
  <c r="H489" i="550"/>
  <c r="H488" i="550"/>
  <c r="H487" i="550"/>
  <c r="H486" i="550"/>
  <c r="H485" i="550"/>
  <c r="W484" i="550"/>
  <c r="V484" i="550"/>
  <c r="N484" i="550"/>
  <c r="K484" i="550" a="1"/>
  <c r="K484" i="550" s="1"/>
  <c r="M484" i="550" s="1"/>
  <c r="J484" i="550" a="1"/>
  <c r="J484" i="550" s="1"/>
  <c r="H484" i="550"/>
  <c r="V483" i="550"/>
  <c r="W483" i="550" s="1"/>
  <c r="N483" i="550"/>
  <c r="K483" i="550" a="1"/>
  <c r="K483" i="550" s="1"/>
  <c r="M483" i="550" s="1"/>
  <c r="J483" i="550" a="1"/>
  <c r="J483" i="550" s="1"/>
  <c r="H483" i="550"/>
  <c r="V482" i="550"/>
  <c r="W482" i="550" s="1"/>
  <c r="N482" i="550"/>
  <c r="K482" i="550"/>
  <c r="M482" i="550" s="1"/>
  <c r="K482" i="550" a="1"/>
  <c r="J482" i="550"/>
  <c r="J482" i="550" a="1"/>
  <c r="H482" i="550"/>
  <c r="V481" i="550"/>
  <c r="W481" i="550" s="1"/>
  <c r="N481" i="550"/>
  <c r="K481" i="550" a="1"/>
  <c r="K481" i="550" s="1"/>
  <c r="M481" i="550" s="1"/>
  <c r="J481" i="550" a="1"/>
  <c r="J481" i="550" s="1"/>
  <c r="H481" i="550"/>
  <c r="W480" i="550"/>
  <c r="V480" i="550"/>
  <c r="N480" i="550"/>
  <c r="N490" i="550" s="1"/>
  <c r="K480" i="550" a="1"/>
  <c r="K480" i="550" s="1"/>
  <c r="K490" i="550" s="1"/>
  <c r="J480" i="550" a="1"/>
  <c r="J480" i="550" s="1"/>
  <c r="H480" i="550"/>
  <c r="H490" i="550" s="1"/>
  <c r="AA479" i="550"/>
  <c r="Z479" i="550"/>
  <c r="Y479" i="550"/>
  <c r="X479" i="550"/>
  <c r="U479" i="550"/>
  <c r="T479" i="550"/>
  <c r="S479" i="550"/>
  <c r="Q479" i="550"/>
  <c r="P479" i="550"/>
  <c r="O479" i="550"/>
  <c r="I479" i="550"/>
  <c r="G479" i="550"/>
  <c r="V478" i="550"/>
  <c r="W478" i="550" s="1"/>
  <c r="N478" i="550"/>
  <c r="K478" i="550" a="1"/>
  <c r="K478" i="550" s="1"/>
  <c r="M478" i="550" s="1"/>
  <c r="J478" i="550" a="1"/>
  <c r="J478" i="550" s="1"/>
  <c r="H478" i="550"/>
  <c r="V477" i="550"/>
  <c r="W477" i="550" s="1"/>
  <c r="N477" i="550"/>
  <c r="K477" i="550"/>
  <c r="M477" i="550" s="1"/>
  <c r="K477" i="550" a="1"/>
  <c r="J477" i="550"/>
  <c r="J477" i="550" a="1"/>
  <c r="H477" i="550"/>
  <c r="V476" i="550"/>
  <c r="W476" i="550" s="1"/>
  <c r="N476" i="550"/>
  <c r="K476" i="550" a="1"/>
  <c r="K476" i="550" s="1"/>
  <c r="M476" i="550" s="1"/>
  <c r="J476" i="550" a="1"/>
  <c r="J476" i="550" s="1"/>
  <c r="H476" i="550"/>
  <c r="V475" i="550"/>
  <c r="W475" i="550" s="1"/>
  <c r="N475" i="550"/>
  <c r="K475" i="550"/>
  <c r="M475" i="550" s="1"/>
  <c r="K475" i="550" a="1"/>
  <c r="J475" i="550"/>
  <c r="J475" i="550" a="1"/>
  <c r="H475" i="550"/>
  <c r="V474" i="550"/>
  <c r="W474" i="550" s="1"/>
  <c r="N474" i="550"/>
  <c r="K474" i="550" a="1"/>
  <c r="K474" i="550" s="1"/>
  <c r="M474" i="550" s="1"/>
  <c r="J474" i="550" a="1"/>
  <c r="J474" i="550" s="1"/>
  <c r="H474" i="550"/>
  <c r="W473" i="550"/>
  <c r="V473" i="550"/>
  <c r="N473" i="550"/>
  <c r="K473" i="550" a="1"/>
  <c r="K473" i="550" s="1"/>
  <c r="M473" i="550" s="1"/>
  <c r="J473" i="550" a="1"/>
  <c r="J473" i="550" s="1"/>
  <c r="H473" i="550"/>
  <c r="V472" i="550"/>
  <c r="W472" i="550" s="1"/>
  <c r="N472" i="550"/>
  <c r="K472" i="550" a="1"/>
  <c r="K472" i="550" s="1"/>
  <c r="M472" i="550" s="1"/>
  <c r="J472" i="550" a="1"/>
  <c r="J472" i="550" s="1"/>
  <c r="H472" i="550"/>
  <c r="V471" i="550"/>
  <c r="W471" i="550" s="1"/>
  <c r="N471" i="550"/>
  <c r="K471" i="550"/>
  <c r="M471" i="550" s="1"/>
  <c r="K471" i="550" a="1"/>
  <c r="J471" i="550"/>
  <c r="J471" i="550" a="1"/>
  <c r="H471" i="550"/>
  <c r="V470" i="550"/>
  <c r="W470" i="550" s="1"/>
  <c r="N470" i="550"/>
  <c r="K470" i="550" a="1"/>
  <c r="K470" i="550" s="1"/>
  <c r="M470" i="550" s="1"/>
  <c r="J470" i="550" a="1"/>
  <c r="J470" i="550" s="1"/>
  <c r="H470" i="550"/>
  <c r="V469" i="550"/>
  <c r="W469" i="550" s="1"/>
  <c r="N469" i="550"/>
  <c r="K469" i="550"/>
  <c r="M469" i="550" s="1"/>
  <c r="K469" i="550" a="1"/>
  <c r="J469" i="550"/>
  <c r="J469" i="550" a="1"/>
  <c r="H469" i="550"/>
  <c r="V468" i="550"/>
  <c r="W468" i="550" s="1"/>
  <c r="N468" i="550"/>
  <c r="K468" i="550" a="1"/>
  <c r="K468" i="550" s="1"/>
  <c r="M468" i="550" s="1"/>
  <c r="J468" i="550" a="1"/>
  <c r="J468" i="550" s="1"/>
  <c r="H468" i="550"/>
  <c r="V467" i="550"/>
  <c r="W467" i="550" s="1"/>
  <c r="N467" i="550"/>
  <c r="K467" i="550"/>
  <c r="M467" i="550" s="1"/>
  <c r="K467" i="550" a="1"/>
  <c r="J467" i="550"/>
  <c r="J467" i="550" a="1"/>
  <c r="H467" i="550"/>
  <c r="V466" i="550"/>
  <c r="W466" i="550" s="1"/>
  <c r="N466" i="550"/>
  <c r="K466" i="550" a="1"/>
  <c r="K466" i="550" s="1"/>
  <c r="M466" i="550" s="1"/>
  <c r="J466" i="550" a="1"/>
  <c r="J466" i="550" s="1"/>
  <c r="H466" i="550"/>
  <c r="V465" i="550"/>
  <c r="W465" i="550" s="1"/>
  <c r="N465" i="550"/>
  <c r="K465" i="550"/>
  <c r="M465" i="550" s="1"/>
  <c r="K465" i="550" a="1"/>
  <c r="J465" i="550"/>
  <c r="J465" i="550" a="1"/>
  <c r="H465" i="550"/>
  <c r="V464" i="550"/>
  <c r="N464" i="550"/>
  <c r="K464" i="550" a="1"/>
  <c r="K464" i="550" s="1"/>
  <c r="M464" i="550" s="1"/>
  <c r="J464" i="550" a="1"/>
  <c r="J464" i="550" s="1"/>
  <c r="H464" i="550"/>
  <c r="H479" i="550" s="1"/>
  <c r="AA463" i="550"/>
  <c r="Z463" i="550"/>
  <c r="Y463" i="550"/>
  <c r="X463" i="550"/>
  <c r="U463" i="550"/>
  <c r="T463" i="550"/>
  <c r="S463" i="550"/>
  <c r="R463" i="550"/>
  <c r="Q463" i="550"/>
  <c r="P463" i="550"/>
  <c r="O463" i="550"/>
  <c r="R511" i="550" s="1"/>
  <c r="I463" i="550"/>
  <c r="G463" i="550"/>
  <c r="V462" i="550"/>
  <c r="W462" i="550" s="1"/>
  <c r="N462" i="550"/>
  <c r="M462" i="550"/>
  <c r="K462" i="550" a="1"/>
  <c r="K462" i="550" s="1"/>
  <c r="J462" i="550" a="1"/>
  <c r="J462" i="550" s="1"/>
  <c r="H462" i="550"/>
  <c r="W461" i="550"/>
  <c r="V461" i="550"/>
  <c r="N461" i="550"/>
  <c r="K461" i="550" a="1"/>
  <c r="K461" i="550" s="1"/>
  <c r="M461" i="550" s="1"/>
  <c r="J461" i="550" a="1"/>
  <c r="J461" i="550" s="1"/>
  <c r="H461" i="550"/>
  <c r="W460" i="550"/>
  <c r="V460" i="550"/>
  <c r="N460" i="550"/>
  <c r="K460" i="550" a="1"/>
  <c r="K460" i="550" s="1"/>
  <c r="M460" i="550" s="1"/>
  <c r="J460" i="550" a="1"/>
  <c r="J460" i="550" s="1"/>
  <c r="H460" i="550"/>
  <c r="K459" i="550"/>
  <c r="M459" i="550" s="1"/>
  <c r="K459" i="550" a="1"/>
  <c r="H459" i="550"/>
  <c r="K458" i="550" a="1"/>
  <c r="K458" i="550" s="1"/>
  <c r="M458" i="550" s="1"/>
  <c r="H458" i="550"/>
  <c r="K457" i="550"/>
  <c r="M457" i="550" s="1"/>
  <c r="K457" i="550" a="1"/>
  <c r="H457" i="550"/>
  <c r="V456" i="550"/>
  <c r="W456" i="550" s="1"/>
  <c r="N456" i="550"/>
  <c r="K456" i="550" a="1"/>
  <c r="K456" i="550" s="1"/>
  <c r="M456" i="550" s="1"/>
  <c r="J456" i="550" a="1"/>
  <c r="J456" i="550" s="1"/>
  <c r="H456" i="550"/>
  <c r="V455" i="550"/>
  <c r="W455" i="550" s="1"/>
  <c r="N455" i="550"/>
  <c r="K455" i="550" a="1"/>
  <c r="K455" i="550" s="1"/>
  <c r="M455" i="550" s="1"/>
  <c r="J455" i="550" a="1"/>
  <c r="J455" i="550" s="1"/>
  <c r="H455" i="550"/>
  <c r="N454" i="550"/>
  <c r="K454" i="550" a="1"/>
  <c r="K454" i="550" s="1"/>
  <c r="M454" i="550" s="1"/>
  <c r="H454" i="550"/>
  <c r="N453" i="550"/>
  <c r="K453" i="550" a="1"/>
  <c r="K453" i="550" s="1"/>
  <c r="M453" i="550" s="1"/>
  <c r="H453" i="550"/>
  <c r="N452" i="550"/>
  <c r="K452" i="550" a="1"/>
  <c r="K452" i="550" s="1"/>
  <c r="M452" i="550" s="1"/>
  <c r="H452" i="550"/>
  <c r="N451" i="550"/>
  <c r="K451" i="550" a="1"/>
  <c r="K451" i="550" s="1"/>
  <c r="M451" i="550" s="1"/>
  <c r="H451" i="550"/>
  <c r="N450" i="550"/>
  <c r="K450" i="550" a="1"/>
  <c r="K450" i="550" s="1"/>
  <c r="M450" i="550" s="1"/>
  <c r="H450" i="550"/>
  <c r="N449" i="550"/>
  <c r="K449" i="550" a="1"/>
  <c r="K449" i="550" s="1"/>
  <c r="M449" i="550" s="1"/>
  <c r="H449" i="550"/>
  <c r="V448" i="550"/>
  <c r="W448" i="550" s="1"/>
  <c r="N448" i="550"/>
  <c r="K448" i="550" a="1"/>
  <c r="K448" i="550" s="1"/>
  <c r="M448" i="550" s="1"/>
  <c r="J448" i="550" a="1"/>
  <c r="J448" i="550" s="1"/>
  <c r="H448" i="550"/>
  <c r="V447" i="550"/>
  <c r="W447" i="550" s="1"/>
  <c r="N447" i="550"/>
  <c r="K447" i="550" a="1"/>
  <c r="K447" i="550" s="1"/>
  <c r="M447" i="550" s="1"/>
  <c r="J447" i="550" a="1"/>
  <c r="J447" i="550" s="1"/>
  <c r="H447" i="550"/>
  <c r="V446" i="550"/>
  <c r="W446" i="550" s="1"/>
  <c r="N446" i="550"/>
  <c r="K446" i="550" a="1"/>
  <c r="K446" i="550" s="1"/>
  <c r="M446" i="550" s="1"/>
  <c r="J446" i="550" a="1"/>
  <c r="J446" i="550" s="1"/>
  <c r="H446" i="550"/>
  <c r="V445" i="550"/>
  <c r="W445" i="550" s="1"/>
  <c r="N445" i="550"/>
  <c r="K445" i="550" a="1"/>
  <c r="K445" i="550" s="1"/>
  <c r="M445" i="550" s="1"/>
  <c r="J445" i="550" a="1"/>
  <c r="J445" i="550" s="1"/>
  <c r="H445" i="550"/>
  <c r="V444" i="550"/>
  <c r="W444" i="550" s="1"/>
  <c r="N444" i="550"/>
  <c r="K444" i="550" a="1"/>
  <c r="K444" i="550" s="1"/>
  <c r="M444" i="550" s="1"/>
  <c r="J444" i="550" a="1"/>
  <c r="J444" i="550" s="1"/>
  <c r="H444" i="550"/>
  <c r="V443" i="550"/>
  <c r="W443" i="550" s="1"/>
  <c r="N443" i="550"/>
  <c r="K443" i="550" a="1"/>
  <c r="K443" i="550" s="1"/>
  <c r="M443" i="550" s="1"/>
  <c r="J443" i="550" a="1"/>
  <c r="J443" i="550" s="1"/>
  <c r="H443" i="550"/>
  <c r="V442" i="550"/>
  <c r="W442" i="550" s="1"/>
  <c r="N442" i="550"/>
  <c r="K442" i="550" a="1"/>
  <c r="K442" i="550" s="1"/>
  <c r="M442" i="550" s="1"/>
  <c r="J442" i="550" a="1"/>
  <c r="J442" i="550" s="1"/>
  <c r="H442" i="550"/>
  <c r="V441" i="550"/>
  <c r="W441" i="550" s="1"/>
  <c r="N441" i="550"/>
  <c r="K441" i="550" a="1"/>
  <c r="K441" i="550" s="1"/>
  <c r="M441" i="550" s="1"/>
  <c r="J441" i="550" a="1"/>
  <c r="J441" i="550" s="1"/>
  <c r="H441" i="550"/>
  <c r="V440" i="550"/>
  <c r="W440" i="550" s="1"/>
  <c r="N440" i="550"/>
  <c r="K440" i="550" a="1"/>
  <c r="K440" i="550" s="1"/>
  <c r="M440" i="550" s="1"/>
  <c r="J440" i="550" a="1"/>
  <c r="J440" i="550" s="1"/>
  <c r="H440" i="550"/>
  <c r="V439" i="550"/>
  <c r="W439" i="550" s="1"/>
  <c r="N439" i="550"/>
  <c r="K439" i="550" a="1"/>
  <c r="K439" i="550" s="1"/>
  <c r="M439" i="550" s="1"/>
  <c r="J439" i="550" a="1"/>
  <c r="J439" i="550" s="1"/>
  <c r="H439" i="550"/>
  <c r="V438" i="550"/>
  <c r="W438" i="550" s="1"/>
  <c r="N438" i="550"/>
  <c r="K438" i="550" a="1"/>
  <c r="K438" i="550" s="1"/>
  <c r="M438" i="550" s="1"/>
  <c r="J438" i="550" a="1"/>
  <c r="J438" i="550" s="1"/>
  <c r="H438" i="550"/>
  <c r="V437" i="550"/>
  <c r="W437" i="550" s="1"/>
  <c r="N437" i="550"/>
  <c r="K437" i="550" a="1"/>
  <c r="K437" i="550" s="1"/>
  <c r="M437" i="550" s="1"/>
  <c r="J437" i="550" a="1"/>
  <c r="J437" i="550" s="1"/>
  <c r="H437" i="550"/>
  <c r="N436" i="550"/>
  <c r="K436" i="550" a="1"/>
  <c r="K436" i="550" s="1"/>
  <c r="M436" i="550" s="1"/>
  <c r="H436" i="550"/>
  <c r="V435" i="550"/>
  <c r="W435" i="550" s="1"/>
  <c r="N435" i="550"/>
  <c r="K435" i="550" a="1"/>
  <c r="K435" i="550" s="1"/>
  <c r="M435" i="550" s="1"/>
  <c r="J435" i="550" a="1"/>
  <c r="J435" i="550" s="1"/>
  <c r="H435" i="550"/>
  <c r="V434" i="550"/>
  <c r="W434" i="550" s="1"/>
  <c r="N434" i="550"/>
  <c r="K434" i="550" a="1"/>
  <c r="K434" i="550" s="1"/>
  <c r="M434" i="550" s="1"/>
  <c r="J434" i="550" a="1"/>
  <c r="J434" i="550" s="1"/>
  <c r="H434" i="550"/>
  <c r="V433" i="550"/>
  <c r="W433" i="550" s="1"/>
  <c r="N433" i="550"/>
  <c r="K433" i="550" a="1"/>
  <c r="K433" i="550" s="1"/>
  <c r="M433" i="550" s="1"/>
  <c r="J433" i="550" a="1"/>
  <c r="J433" i="550" s="1"/>
  <c r="H433" i="550"/>
  <c r="V432" i="550"/>
  <c r="W432" i="550" s="1"/>
  <c r="N432" i="550"/>
  <c r="K432" i="550" a="1"/>
  <c r="K432" i="550" s="1"/>
  <c r="M432" i="550" s="1"/>
  <c r="J432" i="550" a="1"/>
  <c r="J432" i="550" s="1"/>
  <c r="H432" i="550"/>
  <c r="W431" i="550"/>
  <c r="V431" i="550"/>
  <c r="N431" i="550"/>
  <c r="K431" i="550" a="1"/>
  <c r="K431" i="550" s="1"/>
  <c r="M431" i="550" s="1"/>
  <c r="J431" i="550" a="1"/>
  <c r="J431" i="550" s="1"/>
  <c r="H431" i="550"/>
  <c r="V430" i="550"/>
  <c r="W430" i="550" s="1"/>
  <c r="N430" i="550"/>
  <c r="K430" i="550" a="1"/>
  <c r="K430" i="550" s="1"/>
  <c r="M430" i="550" s="1"/>
  <c r="J430" i="550" a="1"/>
  <c r="J430" i="550" s="1"/>
  <c r="H430" i="550"/>
  <c r="V429" i="550"/>
  <c r="W429" i="550" s="1"/>
  <c r="N429" i="550"/>
  <c r="K429" i="550" a="1"/>
  <c r="K429" i="550" s="1"/>
  <c r="M429" i="550" s="1"/>
  <c r="J429" i="550" a="1"/>
  <c r="J429" i="550" s="1"/>
  <c r="H429" i="550"/>
  <c r="AA428" i="550"/>
  <c r="Z428" i="550"/>
  <c r="Y428" i="550"/>
  <c r="X428" i="550"/>
  <c r="U428" i="550"/>
  <c r="T428" i="550"/>
  <c r="S428" i="550"/>
  <c r="R428" i="550"/>
  <c r="Q428" i="550"/>
  <c r="P428" i="550"/>
  <c r="O428" i="550"/>
  <c r="I428" i="550"/>
  <c r="G428" i="550"/>
  <c r="J428" i="550" s="1" a="1"/>
  <c r="J428" i="550" s="1"/>
  <c r="K427" i="550" a="1"/>
  <c r="K427" i="550" s="1"/>
  <c r="M427" i="550" s="1"/>
  <c r="H427" i="550"/>
  <c r="K426" i="550" a="1"/>
  <c r="K426" i="550" s="1"/>
  <c r="M426" i="550" s="1"/>
  <c r="H426" i="550"/>
  <c r="K425" i="550" a="1"/>
  <c r="K425" i="550" s="1"/>
  <c r="M425" i="550" s="1"/>
  <c r="H425" i="550"/>
  <c r="K424" i="550" a="1"/>
  <c r="K424" i="550" s="1"/>
  <c r="M424" i="550" s="1"/>
  <c r="H424" i="550"/>
  <c r="K423" i="550" a="1"/>
  <c r="K423" i="550" s="1"/>
  <c r="M423" i="550" s="1"/>
  <c r="H423" i="550"/>
  <c r="K422" i="550" a="1"/>
  <c r="K422" i="550" s="1"/>
  <c r="M422" i="550" s="1"/>
  <c r="H422" i="550"/>
  <c r="K421" i="550" a="1"/>
  <c r="K421" i="550" s="1"/>
  <c r="M421" i="550" s="1"/>
  <c r="H421" i="550"/>
  <c r="K420" i="550" a="1"/>
  <c r="K420" i="550" s="1"/>
  <c r="M420" i="550" s="1"/>
  <c r="H420" i="550"/>
  <c r="K419" i="550" a="1"/>
  <c r="K419" i="550" s="1"/>
  <c r="M419" i="550" s="1"/>
  <c r="H419" i="550"/>
  <c r="K418" i="550" a="1"/>
  <c r="K418" i="550" s="1"/>
  <c r="M418" i="550" s="1"/>
  <c r="H418" i="550"/>
  <c r="W417" i="550"/>
  <c r="V417" i="550"/>
  <c r="N417" i="550"/>
  <c r="K417" i="550" a="1"/>
  <c r="K417" i="550" s="1"/>
  <c r="M417" i="550" s="1"/>
  <c r="J417" i="550" a="1"/>
  <c r="J417" i="550" s="1"/>
  <c r="H417" i="550"/>
  <c r="V416" i="550"/>
  <c r="W416" i="550" s="1"/>
  <c r="N416" i="550"/>
  <c r="K416" i="550" a="1"/>
  <c r="K416" i="550" s="1"/>
  <c r="M416" i="550" s="1"/>
  <c r="J416" i="550" a="1"/>
  <c r="J416" i="550" s="1"/>
  <c r="H416" i="550"/>
  <c r="V415" i="550"/>
  <c r="W415" i="550" s="1"/>
  <c r="N415" i="550"/>
  <c r="K415" i="550"/>
  <c r="M415" i="550" s="1"/>
  <c r="K415" i="550" a="1"/>
  <c r="J415" i="550"/>
  <c r="J415" i="550" a="1"/>
  <c r="H415" i="550"/>
  <c r="V414" i="550"/>
  <c r="W414" i="550" s="1"/>
  <c r="N414" i="550"/>
  <c r="K414" i="550" a="1"/>
  <c r="K414" i="550" s="1"/>
  <c r="M414" i="550" s="1"/>
  <c r="J414" i="550" a="1"/>
  <c r="J414" i="550" s="1"/>
  <c r="H414" i="550"/>
  <c r="H413" i="550"/>
  <c r="V412" i="550"/>
  <c r="W412" i="550" s="1"/>
  <c r="N412" i="550"/>
  <c r="K412" i="550" a="1"/>
  <c r="K412" i="550" s="1"/>
  <c r="M412" i="550" s="1"/>
  <c r="J412" i="550" a="1"/>
  <c r="J412" i="550" s="1"/>
  <c r="H412" i="550"/>
  <c r="W411" i="550"/>
  <c r="V411" i="550"/>
  <c r="N411" i="550"/>
  <c r="K411" i="550" a="1"/>
  <c r="K411" i="550" s="1"/>
  <c r="M411" i="550" s="1"/>
  <c r="J411" i="550" a="1"/>
  <c r="J411" i="550" s="1"/>
  <c r="H411" i="550"/>
  <c r="H410" i="550"/>
  <c r="K409" i="550" a="1"/>
  <c r="K409" i="550" s="1"/>
  <c r="H409" i="550"/>
  <c r="V408" i="550"/>
  <c r="W408" i="550" s="1"/>
  <c r="N408" i="550"/>
  <c r="K408" i="550" a="1"/>
  <c r="K408" i="550" s="1"/>
  <c r="M408" i="550" s="1"/>
  <c r="J408" i="550" a="1"/>
  <c r="J408" i="550" s="1"/>
  <c r="H408" i="550"/>
  <c r="V407" i="550"/>
  <c r="W407" i="550" s="1"/>
  <c r="N407" i="550"/>
  <c r="K407" i="550"/>
  <c r="M407" i="550" s="1"/>
  <c r="K407" i="550" a="1"/>
  <c r="J407" i="550"/>
  <c r="J407" i="550" a="1"/>
  <c r="H407" i="550"/>
  <c r="V406" i="550"/>
  <c r="W406" i="550" s="1"/>
  <c r="N406" i="550"/>
  <c r="K406" i="550" a="1"/>
  <c r="K406" i="550" s="1"/>
  <c r="M406" i="550" s="1"/>
  <c r="J406" i="550" a="1"/>
  <c r="J406" i="550" s="1"/>
  <c r="H406" i="550"/>
  <c r="W405" i="550"/>
  <c r="V405" i="550"/>
  <c r="N405" i="550"/>
  <c r="K405" i="550" a="1"/>
  <c r="K405" i="550" s="1"/>
  <c r="M405" i="550" s="1"/>
  <c r="J405" i="550" a="1"/>
  <c r="J405" i="550" s="1"/>
  <c r="H405" i="550"/>
  <c r="V404" i="550"/>
  <c r="W404" i="550" s="1"/>
  <c r="N404" i="550"/>
  <c r="K404" i="550" a="1"/>
  <c r="K404" i="550" s="1"/>
  <c r="M404" i="550" s="1"/>
  <c r="J404" i="550" a="1"/>
  <c r="J404" i="550" s="1"/>
  <c r="H404" i="550"/>
  <c r="V403" i="550"/>
  <c r="W403" i="550" s="1"/>
  <c r="N403" i="550"/>
  <c r="K403" i="550"/>
  <c r="M403" i="550" s="1"/>
  <c r="K403" i="550" a="1"/>
  <c r="J403" i="550"/>
  <c r="J403" i="550" a="1"/>
  <c r="H403" i="550"/>
  <c r="V402" i="550"/>
  <c r="W402" i="550" s="1"/>
  <c r="N402" i="550"/>
  <c r="K402" i="550" a="1"/>
  <c r="K402" i="550" s="1"/>
  <c r="M402" i="550" s="1"/>
  <c r="J402" i="550" a="1"/>
  <c r="J402" i="550" s="1"/>
  <c r="H402" i="550"/>
  <c r="W401" i="550"/>
  <c r="V401" i="550"/>
  <c r="N401" i="550"/>
  <c r="K401" i="550" a="1"/>
  <c r="K401" i="550" s="1"/>
  <c r="M401" i="550" s="1"/>
  <c r="J401" i="550" a="1"/>
  <c r="J401" i="550" s="1"/>
  <c r="H401" i="550"/>
  <c r="V400" i="550"/>
  <c r="W400" i="550" s="1"/>
  <c r="N400" i="550"/>
  <c r="K400" i="550" a="1"/>
  <c r="K400" i="550" s="1"/>
  <c r="M400" i="550" s="1"/>
  <c r="J400" i="550" a="1"/>
  <c r="J400" i="550" s="1"/>
  <c r="H400" i="550"/>
  <c r="V399" i="550"/>
  <c r="W399" i="550" s="1"/>
  <c r="N399" i="550"/>
  <c r="K399" i="550"/>
  <c r="M399" i="550" s="1"/>
  <c r="K399" i="550" a="1"/>
  <c r="J399" i="550"/>
  <c r="J399" i="550" a="1"/>
  <c r="H399" i="550"/>
  <c r="K398" i="550" a="1"/>
  <c r="K398" i="550" s="1"/>
  <c r="M398" i="550" s="1"/>
  <c r="H398" i="550"/>
  <c r="K397" i="550"/>
  <c r="M397" i="550" s="1"/>
  <c r="K397" i="550" a="1"/>
  <c r="H397" i="550"/>
  <c r="K396" i="550" a="1"/>
  <c r="K396" i="550" s="1"/>
  <c r="M396" i="550" s="1"/>
  <c r="H396" i="550"/>
  <c r="K395" i="550"/>
  <c r="M395" i="550" s="1"/>
  <c r="K395" i="550" a="1"/>
  <c r="H395" i="550"/>
  <c r="N394" i="550"/>
  <c r="K394" i="550" a="1"/>
  <c r="K394" i="550" s="1"/>
  <c r="M394" i="550" s="1"/>
  <c r="H394" i="550"/>
  <c r="N393" i="550"/>
  <c r="K393" i="550" a="1"/>
  <c r="K393" i="550" s="1"/>
  <c r="M393" i="550" s="1"/>
  <c r="H393" i="550"/>
  <c r="N392" i="550"/>
  <c r="K392" i="550" a="1"/>
  <c r="K392" i="550" s="1"/>
  <c r="M392" i="550" s="1"/>
  <c r="H392" i="550"/>
  <c r="N391" i="550"/>
  <c r="K391" i="550"/>
  <c r="M391" i="550" s="1"/>
  <c r="K391" i="550" a="1"/>
  <c r="H391" i="550"/>
  <c r="V390" i="550"/>
  <c r="W390" i="550" s="1"/>
  <c r="N390" i="550"/>
  <c r="K390" i="550" a="1"/>
  <c r="K390" i="550" s="1"/>
  <c r="M390" i="550" s="1"/>
  <c r="J390" i="550" a="1"/>
  <c r="J390" i="550" s="1"/>
  <c r="H390" i="550"/>
  <c r="W389" i="550"/>
  <c r="V389" i="550"/>
  <c r="N389" i="550"/>
  <c r="K389" i="550" a="1"/>
  <c r="K389" i="550" s="1"/>
  <c r="M389" i="550" s="1"/>
  <c r="J389" i="550" a="1"/>
  <c r="J389" i="550" s="1"/>
  <c r="H389" i="550"/>
  <c r="V388" i="550"/>
  <c r="W388" i="550" s="1"/>
  <c r="N388" i="550"/>
  <c r="K388" i="550" a="1"/>
  <c r="K388" i="550" s="1"/>
  <c r="M388" i="550" s="1"/>
  <c r="J388" i="550" a="1"/>
  <c r="J388" i="550" s="1"/>
  <c r="H388" i="550"/>
  <c r="V387" i="550"/>
  <c r="W387" i="550" s="1"/>
  <c r="N387" i="550"/>
  <c r="K387" i="550"/>
  <c r="M387" i="550" s="1"/>
  <c r="K387" i="550" a="1"/>
  <c r="J387" i="550"/>
  <c r="J387" i="550" a="1"/>
  <c r="H387" i="550"/>
  <c r="V386" i="550"/>
  <c r="W386" i="550" s="1"/>
  <c r="N386" i="550"/>
  <c r="K386" i="550" a="1"/>
  <c r="K386" i="550" s="1"/>
  <c r="M386" i="550" s="1"/>
  <c r="J386" i="550" a="1"/>
  <c r="J386" i="550" s="1"/>
  <c r="H386" i="550"/>
  <c r="W385" i="550"/>
  <c r="V385" i="550"/>
  <c r="N385" i="550"/>
  <c r="K385" i="550" a="1"/>
  <c r="K385" i="550" s="1"/>
  <c r="M385" i="550" s="1"/>
  <c r="J385" i="550" a="1"/>
  <c r="J385" i="550" s="1"/>
  <c r="H385" i="550"/>
  <c r="V384" i="550"/>
  <c r="W384" i="550" s="1"/>
  <c r="N384" i="550"/>
  <c r="K384" i="550" a="1"/>
  <c r="K384" i="550" s="1"/>
  <c r="M384" i="550" s="1"/>
  <c r="J384" i="550" a="1"/>
  <c r="J384" i="550" s="1"/>
  <c r="H384" i="550"/>
  <c r="V383" i="550"/>
  <c r="W383" i="550" s="1"/>
  <c r="N383" i="550"/>
  <c r="K383" i="550"/>
  <c r="M383" i="550" s="1"/>
  <c r="K383" i="550" a="1"/>
  <c r="J383" i="550"/>
  <c r="J383" i="550" a="1"/>
  <c r="H383" i="550"/>
  <c r="V382" i="550"/>
  <c r="W382" i="550" s="1"/>
  <c r="N382" i="550"/>
  <c r="K382" i="550" a="1"/>
  <c r="K382" i="550" s="1"/>
  <c r="M382" i="550" s="1"/>
  <c r="J382" i="550" a="1"/>
  <c r="J382" i="550" s="1"/>
  <c r="H382" i="550"/>
  <c r="W381" i="550"/>
  <c r="V381" i="550"/>
  <c r="N381" i="550"/>
  <c r="K381" i="550" a="1"/>
  <c r="K381" i="550" s="1"/>
  <c r="M381" i="550" s="1"/>
  <c r="J381" i="550" a="1"/>
  <c r="J381" i="550" s="1"/>
  <c r="H381" i="550"/>
  <c r="V380" i="550"/>
  <c r="W380" i="550" s="1"/>
  <c r="N380" i="550"/>
  <c r="K380" i="550" a="1"/>
  <c r="K380" i="550" s="1"/>
  <c r="M380" i="550" s="1"/>
  <c r="J380" i="550" a="1"/>
  <c r="J380" i="550" s="1"/>
  <c r="H380" i="550"/>
  <c r="V379" i="550"/>
  <c r="W379" i="550" s="1"/>
  <c r="N379" i="550"/>
  <c r="K379" i="550"/>
  <c r="M379" i="550" s="1"/>
  <c r="K379" i="550" a="1"/>
  <c r="J379" i="550"/>
  <c r="J379" i="550" a="1"/>
  <c r="H379" i="550"/>
  <c r="K378" i="550" a="1"/>
  <c r="K378" i="550" s="1"/>
  <c r="M378" i="550" s="1"/>
  <c r="H378" i="550"/>
  <c r="K377" i="550"/>
  <c r="M377" i="550" s="1"/>
  <c r="K377" i="550" a="1"/>
  <c r="H377" i="550"/>
  <c r="K376" i="550" a="1"/>
  <c r="K376" i="550" s="1"/>
  <c r="M376" i="550" s="1"/>
  <c r="H376" i="550"/>
  <c r="V375" i="550"/>
  <c r="W375" i="550" s="1"/>
  <c r="N375" i="550"/>
  <c r="K375" i="550" a="1"/>
  <c r="K375" i="550" s="1"/>
  <c r="M375" i="550" s="1"/>
  <c r="J375" i="550" a="1"/>
  <c r="J375" i="550" s="1"/>
  <c r="H375" i="550"/>
  <c r="V374" i="550"/>
  <c r="W374" i="550" s="1"/>
  <c r="N374" i="550"/>
  <c r="K374" i="550"/>
  <c r="M374" i="550" s="1"/>
  <c r="K374" i="550" a="1"/>
  <c r="J374" i="550"/>
  <c r="J374" i="550" a="1"/>
  <c r="H374" i="550"/>
  <c r="V373" i="550"/>
  <c r="W373" i="550" s="1"/>
  <c r="N373" i="550"/>
  <c r="K373" i="550" a="1"/>
  <c r="K373" i="550" s="1"/>
  <c r="M373" i="550" s="1"/>
  <c r="J373" i="550" a="1"/>
  <c r="J373" i="550" s="1"/>
  <c r="H373" i="550"/>
  <c r="K372" i="550"/>
  <c r="K372" i="550" a="1"/>
  <c r="H372" i="550"/>
  <c r="V371" i="550"/>
  <c r="N371" i="550"/>
  <c r="N428" i="550" s="1"/>
  <c r="K371" i="550" a="1"/>
  <c r="K371" i="550" s="1"/>
  <c r="J371" i="550" a="1"/>
  <c r="J371" i="550" s="1"/>
  <c r="H371" i="550"/>
  <c r="AA370" i="550"/>
  <c r="AA507" i="550" s="1"/>
  <c r="Z370" i="550"/>
  <c r="Z507" i="550" s="1"/>
  <c r="Y370" i="550"/>
  <c r="Y507" i="550" s="1"/>
  <c r="X370" i="550"/>
  <c r="X507" i="550" s="1"/>
  <c r="U370" i="550"/>
  <c r="U507" i="550" s="1"/>
  <c r="T370" i="550"/>
  <c r="T507" i="550" s="1"/>
  <c r="S370" i="550"/>
  <c r="S507" i="550" s="1"/>
  <c r="R370" i="550"/>
  <c r="R507" i="550" s="1"/>
  <c r="Q370" i="550"/>
  <c r="Q507" i="550" s="1"/>
  <c r="P370" i="550"/>
  <c r="P507" i="550" s="1"/>
  <c r="O370" i="550"/>
  <c r="I370" i="550"/>
  <c r="I507" i="550" s="1"/>
  <c r="B515" i="550" s="1"/>
  <c r="G370" i="550"/>
  <c r="G507" i="550" s="1"/>
  <c r="V369" i="550"/>
  <c r="W369" i="550" s="1"/>
  <c r="N369" i="550"/>
  <c r="K369" i="550" a="1"/>
  <c r="K369" i="550" s="1"/>
  <c r="M369" i="550" s="1"/>
  <c r="J369" i="550" a="1"/>
  <c r="J369" i="550" s="1"/>
  <c r="H369" i="550"/>
  <c r="W368" i="550"/>
  <c r="V368" i="550"/>
  <c r="N368" i="550"/>
  <c r="K368" i="550" a="1"/>
  <c r="K368" i="550" s="1"/>
  <c r="M368" i="550" s="1"/>
  <c r="J368" i="550" a="1"/>
  <c r="J368" i="550" s="1"/>
  <c r="H368" i="550"/>
  <c r="K367" i="550"/>
  <c r="M367" i="550" s="1"/>
  <c r="K367" i="550" a="1"/>
  <c r="H367" i="550"/>
  <c r="K366" i="550" a="1"/>
  <c r="K366" i="550" s="1"/>
  <c r="M366" i="550" s="1"/>
  <c r="H366" i="550"/>
  <c r="K365" i="550"/>
  <c r="M365" i="550" s="1"/>
  <c r="K365" i="550" a="1"/>
  <c r="H365" i="550"/>
  <c r="K364" i="550" a="1"/>
  <c r="K364" i="550" s="1"/>
  <c r="M364" i="550" s="1"/>
  <c r="H364" i="550"/>
  <c r="V363" i="550"/>
  <c r="W363" i="550" s="1"/>
  <c r="N363" i="550"/>
  <c r="K363" i="550" a="1"/>
  <c r="K363" i="550" s="1"/>
  <c r="M363" i="550" s="1"/>
  <c r="J363" i="550" a="1"/>
  <c r="J363" i="550" s="1"/>
  <c r="H363" i="550"/>
  <c r="V362" i="550"/>
  <c r="W362" i="550" s="1"/>
  <c r="N362" i="550"/>
  <c r="K362" i="550"/>
  <c r="M362" i="550" s="1"/>
  <c r="K362" i="550" a="1"/>
  <c r="J362" i="550"/>
  <c r="J362" i="550" a="1"/>
  <c r="H362" i="550"/>
  <c r="V361" i="550"/>
  <c r="W361" i="550" s="1"/>
  <c r="N361" i="550"/>
  <c r="K361" i="550" a="1"/>
  <c r="K361" i="550" s="1"/>
  <c r="M361" i="550" s="1"/>
  <c r="J361" i="550" a="1"/>
  <c r="J361" i="550" s="1"/>
  <c r="H361" i="550"/>
  <c r="H360" i="550"/>
  <c r="H359" i="550"/>
  <c r="V358" i="550"/>
  <c r="W358" i="550" s="1"/>
  <c r="N358" i="550"/>
  <c r="K358" i="550" a="1"/>
  <c r="K358" i="550" s="1"/>
  <c r="M358" i="550" s="1"/>
  <c r="J358" i="550" a="1"/>
  <c r="J358" i="550" s="1"/>
  <c r="H358" i="550"/>
  <c r="V357" i="550"/>
  <c r="W357" i="550" s="1"/>
  <c r="N357" i="550"/>
  <c r="K357" i="550"/>
  <c r="M357" i="550" s="1"/>
  <c r="K357" i="550" a="1"/>
  <c r="J357" i="550"/>
  <c r="J357" i="550" a="1"/>
  <c r="H357" i="550"/>
  <c r="K356" i="550" a="1"/>
  <c r="K356" i="550" s="1"/>
  <c r="M356" i="550" s="1"/>
  <c r="H356" i="550"/>
  <c r="K355" i="550" a="1"/>
  <c r="K355" i="550" s="1"/>
  <c r="M355" i="550" s="1"/>
  <c r="H355" i="550"/>
  <c r="V354" i="550"/>
  <c r="W354" i="550" s="1"/>
  <c r="N354" i="550"/>
  <c r="K354" i="550" a="1"/>
  <c r="K354" i="550" s="1"/>
  <c r="M354" i="550" s="1"/>
  <c r="J354" i="550" a="1"/>
  <c r="J354" i="550" s="1"/>
  <c r="H354" i="550"/>
  <c r="V353" i="550"/>
  <c r="W353" i="550" s="1"/>
  <c r="N353" i="550"/>
  <c r="K353" i="550"/>
  <c r="M353" i="550" s="1"/>
  <c r="K353" i="550" a="1"/>
  <c r="J353" i="550"/>
  <c r="J353" i="550" a="1"/>
  <c r="H353" i="550"/>
  <c r="V352" i="550"/>
  <c r="W352" i="550" s="1"/>
  <c r="N352" i="550"/>
  <c r="K352" i="550" a="1"/>
  <c r="K352" i="550" s="1"/>
  <c r="M352" i="550" s="1"/>
  <c r="J352" i="550" a="1"/>
  <c r="J352" i="550" s="1"/>
  <c r="H352" i="550"/>
  <c r="W351" i="550"/>
  <c r="V351" i="550"/>
  <c r="N351" i="550"/>
  <c r="K351" i="550" a="1"/>
  <c r="K351" i="550" s="1"/>
  <c r="M351" i="550" s="1"/>
  <c r="J351" i="550" a="1"/>
  <c r="J351" i="550" s="1"/>
  <c r="H351" i="550"/>
  <c r="V350" i="550"/>
  <c r="W350" i="550" s="1"/>
  <c r="N350" i="550"/>
  <c r="K350" i="550" a="1"/>
  <c r="K350" i="550" s="1"/>
  <c r="M350" i="550" s="1"/>
  <c r="J350" i="550" a="1"/>
  <c r="J350" i="550" s="1"/>
  <c r="H350" i="550"/>
  <c r="V349" i="550"/>
  <c r="V370" i="550" s="1"/>
  <c r="N349" i="550"/>
  <c r="N370" i="550" s="1"/>
  <c r="K349" i="550"/>
  <c r="K349" i="550" a="1"/>
  <c r="J349" i="550"/>
  <c r="J349" i="550" a="1"/>
  <c r="H349" i="550"/>
  <c r="H370" i="550" s="1"/>
  <c r="X343" i="550"/>
  <c r="X342" i="550"/>
  <c r="X341" i="550"/>
  <c r="G341" i="550"/>
  <c r="C341" i="550"/>
  <c r="X340" i="550"/>
  <c r="I340" i="550"/>
  <c r="E340" i="550"/>
  <c r="K340" i="550" s="1"/>
  <c r="M340" i="550" s="1"/>
  <c r="I339" i="550"/>
  <c r="E339" i="550"/>
  <c r="K339" i="550" s="1"/>
  <c r="M339" i="550" s="1"/>
  <c r="I338" i="550"/>
  <c r="E338" i="550"/>
  <c r="K338" i="550" s="1"/>
  <c r="M338" i="550" s="1"/>
  <c r="X337" i="550"/>
  <c r="I337" i="550"/>
  <c r="I341" i="550" s="1"/>
  <c r="E337" i="550"/>
  <c r="E341" i="550" s="1"/>
  <c r="AA334" i="550"/>
  <c r="Z334" i="550"/>
  <c r="Y334" i="550"/>
  <c r="X334" i="550"/>
  <c r="U334" i="550"/>
  <c r="T334" i="550"/>
  <c r="S334" i="550"/>
  <c r="R334" i="550"/>
  <c r="Q334" i="550"/>
  <c r="P334" i="550"/>
  <c r="O334" i="550"/>
  <c r="I334" i="550"/>
  <c r="G334" i="550"/>
  <c r="K333" i="550" a="1"/>
  <c r="K333" i="550" s="1"/>
  <c r="H333" i="550"/>
  <c r="K332" i="550" a="1"/>
  <c r="K332" i="550" s="1"/>
  <c r="H332" i="550"/>
  <c r="K331" i="550"/>
  <c r="K331" i="550" a="1"/>
  <c r="H331" i="550"/>
  <c r="V330" i="550"/>
  <c r="W330" i="550" s="1"/>
  <c r="N330" i="550"/>
  <c r="K330" i="550" a="1"/>
  <c r="K330" i="550" s="1"/>
  <c r="H330" i="550"/>
  <c r="D330" i="550"/>
  <c r="H329" i="550"/>
  <c r="K328" i="550" a="1"/>
  <c r="K328" i="550" s="1"/>
  <c r="H328" i="550"/>
  <c r="H327" i="550"/>
  <c r="V326" i="550"/>
  <c r="W326" i="550" s="1"/>
  <c r="N326" i="550"/>
  <c r="K326" i="550" a="1"/>
  <c r="K326" i="550" s="1"/>
  <c r="M326" i="550" s="1"/>
  <c r="J326" i="550" a="1"/>
  <c r="J326" i="550" s="1"/>
  <c r="H326" i="550"/>
  <c r="W325" i="550"/>
  <c r="V325" i="550"/>
  <c r="N325" i="550"/>
  <c r="K325" i="550" a="1"/>
  <c r="K325" i="550" s="1"/>
  <c r="M325" i="550" s="1"/>
  <c r="J325" i="550" a="1"/>
  <c r="J325" i="550" s="1"/>
  <c r="H325" i="550"/>
  <c r="H324" i="550"/>
  <c r="W323" i="550"/>
  <c r="V323" i="550"/>
  <c r="N323" i="550"/>
  <c r="K323" i="550" a="1"/>
  <c r="K323" i="550" s="1"/>
  <c r="M323" i="550" s="1"/>
  <c r="J323" i="550" a="1"/>
  <c r="J323" i="550" s="1"/>
  <c r="H323" i="550"/>
  <c r="V322" i="550"/>
  <c r="W322" i="550" s="1"/>
  <c r="N322" i="550"/>
  <c r="K322" i="550" a="1"/>
  <c r="K322" i="550" s="1"/>
  <c r="M322" i="550" s="1"/>
  <c r="J322" i="550" a="1"/>
  <c r="J322" i="550" s="1"/>
  <c r="H322" i="550"/>
  <c r="W321" i="550"/>
  <c r="V321" i="550"/>
  <c r="N321" i="550"/>
  <c r="K321" i="550" a="1"/>
  <c r="K321" i="550" s="1"/>
  <c r="M321" i="550" s="1"/>
  <c r="J321" i="550" a="1"/>
  <c r="J321" i="550" s="1"/>
  <c r="H321" i="550"/>
  <c r="V320" i="550"/>
  <c r="W320" i="550" s="1"/>
  <c r="W334" i="550" s="1"/>
  <c r="N320" i="550"/>
  <c r="N334" i="550" s="1"/>
  <c r="K320" i="550" a="1"/>
  <c r="K320" i="550" s="1"/>
  <c r="J320" i="550" a="1"/>
  <c r="J320" i="550" s="1"/>
  <c r="H320" i="550"/>
  <c r="H334" i="550" s="1"/>
  <c r="AA319" i="550"/>
  <c r="Z319" i="550"/>
  <c r="Y319" i="550"/>
  <c r="X319" i="550"/>
  <c r="U319" i="550"/>
  <c r="T319" i="550"/>
  <c r="S319" i="550"/>
  <c r="Q319" i="550"/>
  <c r="P319" i="550"/>
  <c r="O319" i="550"/>
  <c r="I319" i="550"/>
  <c r="G319" i="550"/>
  <c r="V318" i="550"/>
  <c r="W318" i="550" s="1"/>
  <c r="N318" i="550"/>
  <c r="K318" i="550"/>
  <c r="M318" i="550" s="1"/>
  <c r="K318" i="550" a="1"/>
  <c r="J318" i="550"/>
  <c r="J318" i="550" a="1"/>
  <c r="H318" i="550"/>
  <c r="H317" i="550"/>
  <c r="H316" i="550"/>
  <c r="H315" i="550"/>
  <c r="H314" i="550"/>
  <c r="V313" i="550"/>
  <c r="W313" i="550" s="1"/>
  <c r="N313" i="550"/>
  <c r="K313" i="550" a="1"/>
  <c r="K313" i="550" s="1"/>
  <c r="M313" i="550" s="1"/>
  <c r="J313" i="550" a="1"/>
  <c r="J313" i="550" s="1"/>
  <c r="H313" i="550"/>
  <c r="V312" i="550"/>
  <c r="W312" i="550" s="1"/>
  <c r="N312" i="550"/>
  <c r="K312" i="550" a="1"/>
  <c r="K312" i="550" s="1"/>
  <c r="M312" i="550" s="1"/>
  <c r="J312" i="550" a="1"/>
  <c r="J312" i="550" s="1"/>
  <c r="H312" i="550"/>
  <c r="V311" i="550"/>
  <c r="W311" i="550" s="1"/>
  <c r="N311" i="550"/>
  <c r="K311" i="550" a="1"/>
  <c r="K311" i="550" s="1"/>
  <c r="M311" i="550" s="1"/>
  <c r="J311" i="550" a="1"/>
  <c r="J311" i="550" s="1"/>
  <c r="H311" i="550"/>
  <c r="V310" i="550"/>
  <c r="W310" i="550" s="1"/>
  <c r="N310" i="550"/>
  <c r="K310" i="550"/>
  <c r="M310" i="550" s="1"/>
  <c r="K310" i="550" a="1"/>
  <c r="J310" i="550"/>
  <c r="J310" i="550" a="1"/>
  <c r="H310" i="550"/>
  <c r="V309" i="550"/>
  <c r="V319" i="550" s="1"/>
  <c r="N309" i="550"/>
  <c r="N319" i="550" s="1"/>
  <c r="K309" i="550" a="1"/>
  <c r="K309" i="550" s="1"/>
  <c r="J309" i="550" a="1"/>
  <c r="J309" i="550" s="1"/>
  <c r="H309" i="550"/>
  <c r="H319" i="550" s="1"/>
  <c r="AA308" i="550"/>
  <c r="Z308" i="550"/>
  <c r="Y308" i="550"/>
  <c r="X308" i="550"/>
  <c r="U308" i="550"/>
  <c r="T308" i="550"/>
  <c r="S308" i="550"/>
  <c r="Q308" i="550"/>
  <c r="P308" i="550"/>
  <c r="O308" i="550"/>
  <c r="R340" i="550" s="1"/>
  <c r="I308" i="550"/>
  <c r="G308" i="550"/>
  <c r="V307" i="550"/>
  <c r="W307" i="550" s="1"/>
  <c r="N307" i="550"/>
  <c r="K307" i="550"/>
  <c r="M307" i="550" s="1"/>
  <c r="K307" i="550" a="1"/>
  <c r="J307" i="550"/>
  <c r="J307" i="550" a="1"/>
  <c r="H307" i="550"/>
  <c r="V306" i="550"/>
  <c r="W306" i="550" s="1"/>
  <c r="N306" i="550"/>
  <c r="K306" i="550" a="1"/>
  <c r="K306" i="550" s="1"/>
  <c r="M306" i="550" s="1"/>
  <c r="J306" i="550" a="1"/>
  <c r="J306" i="550" s="1"/>
  <c r="H306" i="550"/>
  <c r="W305" i="550"/>
  <c r="V305" i="550"/>
  <c r="N305" i="550"/>
  <c r="K305" i="550" a="1"/>
  <c r="K305" i="550" s="1"/>
  <c r="M305" i="550" s="1"/>
  <c r="J305" i="550" a="1"/>
  <c r="J305" i="550" s="1"/>
  <c r="H305" i="550"/>
  <c r="V304" i="550"/>
  <c r="W304" i="550" s="1"/>
  <c r="N304" i="550"/>
  <c r="K304" i="550" a="1"/>
  <c r="K304" i="550" s="1"/>
  <c r="M304" i="550" s="1"/>
  <c r="J304" i="550" a="1"/>
  <c r="J304" i="550" s="1"/>
  <c r="H304" i="550"/>
  <c r="V303" i="550"/>
  <c r="W303" i="550" s="1"/>
  <c r="N303" i="550"/>
  <c r="K303" i="550"/>
  <c r="M303" i="550" s="1"/>
  <c r="K303" i="550" a="1"/>
  <c r="J303" i="550"/>
  <c r="J303" i="550" a="1"/>
  <c r="H303" i="550"/>
  <c r="V302" i="550"/>
  <c r="W302" i="550" s="1"/>
  <c r="N302" i="550"/>
  <c r="K302" i="550" a="1"/>
  <c r="K302" i="550" s="1"/>
  <c r="M302" i="550" s="1"/>
  <c r="J302" i="550" a="1"/>
  <c r="J302" i="550" s="1"/>
  <c r="H302" i="550"/>
  <c r="W301" i="550"/>
  <c r="V301" i="550"/>
  <c r="N301" i="550"/>
  <c r="K301" i="550" a="1"/>
  <c r="K301" i="550" s="1"/>
  <c r="M301" i="550" s="1"/>
  <c r="J301" i="550" a="1"/>
  <c r="J301" i="550" s="1"/>
  <c r="H301" i="550"/>
  <c r="V300" i="550"/>
  <c r="W300" i="550" s="1"/>
  <c r="N300" i="550"/>
  <c r="K300" i="550" a="1"/>
  <c r="K300" i="550" s="1"/>
  <c r="M300" i="550" s="1"/>
  <c r="J300" i="550" a="1"/>
  <c r="J300" i="550" s="1"/>
  <c r="H300" i="550"/>
  <c r="V299" i="550"/>
  <c r="W299" i="550" s="1"/>
  <c r="N299" i="550"/>
  <c r="K299" i="550"/>
  <c r="M299" i="550" s="1"/>
  <c r="K299" i="550" a="1"/>
  <c r="J299" i="550"/>
  <c r="J299" i="550" a="1"/>
  <c r="H299" i="550"/>
  <c r="V298" i="550"/>
  <c r="W298" i="550" s="1"/>
  <c r="N298" i="550"/>
  <c r="K298" i="550" a="1"/>
  <c r="K298" i="550" s="1"/>
  <c r="M298" i="550" s="1"/>
  <c r="J298" i="550" a="1"/>
  <c r="J298" i="550" s="1"/>
  <c r="H298" i="550"/>
  <c r="W297" i="550"/>
  <c r="V297" i="550"/>
  <c r="N297" i="550"/>
  <c r="K297" i="550" a="1"/>
  <c r="K297" i="550" s="1"/>
  <c r="M297" i="550" s="1"/>
  <c r="J297" i="550" a="1"/>
  <c r="J297" i="550" s="1"/>
  <c r="H297" i="550"/>
  <c r="V296" i="550"/>
  <c r="W296" i="550" s="1"/>
  <c r="N296" i="550"/>
  <c r="K296" i="550" a="1"/>
  <c r="K296" i="550" s="1"/>
  <c r="M296" i="550" s="1"/>
  <c r="J296" i="550" a="1"/>
  <c r="J296" i="550" s="1"/>
  <c r="H296" i="550"/>
  <c r="V295" i="550"/>
  <c r="W295" i="550" s="1"/>
  <c r="N295" i="550"/>
  <c r="K295" i="550"/>
  <c r="M295" i="550" s="1"/>
  <c r="K295" i="550" a="1"/>
  <c r="J295" i="550"/>
  <c r="J295" i="550" a="1"/>
  <c r="H295" i="550"/>
  <c r="V294" i="550"/>
  <c r="W294" i="550" s="1"/>
  <c r="N294" i="550"/>
  <c r="K294" i="550" a="1"/>
  <c r="K294" i="550" s="1"/>
  <c r="M294" i="550" s="1"/>
  <c r="J294" i="550" a="1"/>
  <c r="J294" i="550" s="1"/>
  <c r="H294" i="550"/>
  <c r="W293" i="550"/>
  <c r="V293" i="550"/>
  <c r="N293" i="550"/>
  <c r="N308" i="550" s="1"/>
  <c r="K293" i="550" a="1"/>
  <c r="K293" i="550" s="1"/>
  <c r="M293" i="550" s="1"/>
  <c r="J293" i="550" a="1"/>
  <c r="J293" i="550" s="1"/>
  <c r="H293" i="550"/>
  <c r="AA292" i="550"/>
  <c r="Z292" i="550"/>
  <c r="Y292" i="550"/>
  <c r="X292" i="550"/>
  <c r="U292" i="550"/>
  <c r="T292" i="550"/>
  <c r="S292" i="550"/>
  <c r="R292" i="550"/>
  <c r="Q292" i="550"/>
  <c r="P292" i="550"/>
  <c r="O292" i="550"/>
  <c r="R339" i="550" s="1"/>
  <c r="I292" i="550"/>
  <c r="G292" i="550"/>
  <c r="V291" i="550"/>
  <c r="W291" i="550" s="1"/>
  <c r="N291" i="550"/>
  <c r="K291" i="550"/>
  <c r="M291" i="550" s="1"/>
  <c r="K291" i="550" a="1"/>
  <c r="J291" i="550"/>
  <c r="J291" i="550" a="1"/>
  <c r="H291" i="550"/>
  <c r="V290" i="550"/>
  <c r="W290" i="550" s="1"/>
  <c r="N290" i="550"/>
  <c r="K290" i="550" a="1"/>
  <c r="K290" i="550" s="1"/>
  <c r="M290" i="550" s="1"/>
  <c r="J290" i="550" a="1"/>
  <c r="J290" i="550" s="1"/>
  <c r="H290" i="550"/>
  <c r="W289" i="550"/>
  <c r="V289" i="550"/>
  <c r="N289" i="550"/>
  <c r="K289" i="550" a="1"/>
  <c r="K289" i="550" s="1"/>
  <c r="M289" i="550" s="1"/>
  <c r="J289" i="550" a="1"/>
  <c r="J289" i="550" s="1"/>
  <c r="H289" i="550"/>
  <c r="H288" i="550"/>
  <c r="H287" i="550"/>
  <c r="H286" i="550"/>
  <c r="V285" i="550"/>
  <c r="W285" i="550" s="1"/>
  <c r="N285" i="550"/>
  <c r="K285" i="550"/>
  <c r="M285" i="550" s="1"/>
  <c r="K285" i="550" a="1"/>
  <c r="J285" i="550"/>
  <c r="J285" i="550" a="1"/>
  <c r="H285" i="550"/>
  <c r="V284" i="550"/>
  <c r="W284" i="550" s="1"/>
  <c r="N284" i="550"/>
  <c r="K284" i="550" a="1"/>
  <c r="K284" i="550" s="1"/>
  <c r="M284" i="550" s="1"/>
  <c r="J284" i="550" a="1"/>
  <c r="J284" i="550" s="1"/>
  <c r="H284" i="550"/>
  <c r="N283" i="550"/>
  <c r="K283" i="550" a="1"/>
  <c r="K283" i="550" s="1"/>
  <c r="M283" i="550" s="1"/>
  <c r="H283" i="550"/>
  <c r="N282" i="550"/>
  <c r="K282" i="550" a="1"/>
  <c r="K282" i="550" s="1"/>
  <c r="M282" i="550" s="1"/>
  <c r="H282" i="550"/>
  <c r="N281" i="550"/>
  <c r="K281" i="550"/>
  <c r="M281" i="550" s="1"/>
  <c r="K281" i="550" a="1"/>
  <c r="H281" i="550"/>
  <c r="N280" i="550"/>
  <c r="K280" i="550" a="1"/>
  <c r="K280" i="550" s="1"/>
  <c r="M280" i="550" s="1"/>
  <c r="H280" i="550"/>
  <c r="N279" i="550"/>
  <c r="K279" i="550" a="1"/>
  <c r="K279" i="550" s="1"/>
  <c r="M279" i="550" s="1"/>
  <c r="H279" i="550"/>
  <c r="N278" i="550"/>
  <c r="K278" i="550" a="1"/>
  <c r="K278" i="550" s="1"/>
  <c r="M278" i="550" s="1"/>
  <c r="H278" i="550"/>
  <c r="V277" i="550"/>
  <c r="W277" i="550" s="1"/>
  <c r="N277" i="550"/>
  <c r="K277" i="550"/>
  <c r="M277" i="550" s="1"/>
  <c r="K277" i="550" a="1"/>
  <c r="J277" i="550"/>
  <c r="J277" i="550" a="1"/>
  <c r="H277" i="550"/>
  <c r="V276" i="550"/>
  <c r="W276" i="550" s="1"/>
  <c r="N276" i="550"/>
  <c r="K276" i="550" a="1"/>
  <c r="K276" i="550" s="1"/>
  <c r="M276" i="550" s="1"/>
  <c r="J276" i="550" a="1"/>
  <c r="J276" i="550" s="1"/>
  <c r="H276" i="550"/>
  <c r="W275" i="550"/>
  <c r="V275" i="550"/>
  <c r="N275" i="550"/>
  <c r="K275" i="550" a="1"/>
  <c r="K275" i="550" s="1"/>
  <c r="M275" i="550" s="1"/>
  <c r="J275" i="550" a="1"/>
  <c r="J275" i="550" s="1"/>
  <c r="H275" i="550"/>
  <c r="V274" i="550"/>
  <c r="W274" i="550" s="1"/>
  <c r="N274" i="550"/>
  <c r="K274" i="550" a="1"/>
  <c r="K274" i="550" s="1"/>
  <c r="M274" i="550" s="1"/>
  <c r="J274" i="550" a="1"/>
  <c r="J274" i="550" s="1"/>
  <c r="H274" i="550"/>
  <c r="V273" i="550"/>
  <c r="W273" i="550" s="1"/>
  <c r="N273" i="550"/>
  <c r="K273" i="550"/>
  <c r="M273" i="550" s="1"/>
  <c r="K273" i="550" a="1"/>
  <c r="J273" i="550"/>
  <c r="J273" i="550" a="1"/>
  <c r="H273" i="550"/>
  <c r="V272" i="550"/>
  <c r="W272" i="550" s="1"/>
  <c r="N272" i="550"/>
  <c r="K272" i="550" a="1"/>
  <c r="K272" i="550" s="1"/>
  <c r="M272" i="550" s="1"/>
  <c r="J272" i="550" a="1"/>
  <c r="J272" i="550" s="1"/>
  <c r="H272" i="550"/>
  <c r="W271" i="550"/>
  <c r="V271" i="550"/>
  <c r="N271" i="550"/>
  <c r="K271" i="550" a="1"/>
  <c r="K271" i="550" s="1"/>
  <c r="M271" i="550" s="1"/>
  <c r="J271" i="550" a="1"/>
  <c r="J271" i="550" s="1"/>
  <c r="H271" i="550"/>
  <c r="V270" i="550"/>
  <c r="W270" i="550" s="1"/>
  <c r="N270" i="550"/>
  <c r="K270" i="550" a="1"/>
  <c r="K270" i="550" s="1"/>
  <c r="M270" i="550" s="1"/>
  <c r="J270" i="550" a="1"/>
  <c r="J270" i="550" s="1"/>
  <c r="H270" i="550"/>
  <c r="V269" i="550"/>
  <c r="W269" i="550" s="1"/>
  <c r="N269" i="550"/>
  <c r="K269" i="550"/>
  <c r="M269" i="550" s="1"/>
  <c r="K269" i="550" a="1"/>
  <c r="J269" i="550"/>
  <c r="J269" i="550" a="1"/>
  <c r="H269" i="550"/>
  <c r="V268" i="550"/>
  <c r="W268" i="550" s="1"/>
  <c r="N268" i="550"/>
  <c r="K268" i="550" a="1"/>
  <c r="K268" i="550" s="1"/>
  <c r="M268" i="550" s="1"/>
  <c r="J268" i="550" a="1"/>
  <c r="J268" i="550" s="1"/>
  <c r="H268" i="550"/>
  <c r="W267" i="550"/>
  <c r="V267" i="550"/>
  <c r="N267" i="550"/>
  <c r="K267" i="550" a="1"/>
  <c r="K267" i="550" s="1"/>
  <c r="M267" i="550" s="1"/>
  <c r="J267" i="550" a="1"/>
  <c r="J267" i="550" s="1"/>
  <c r="H267" i="550"/>
  <c r="V266" i="550"/>
  <c r="W266" i="550" s="1"/>
  <c r="N266" i="550"/>
  <c r="K266" i="550" a="1"/>
  <c r="K266" i="550" s="1"/>
  <c r="M266" i="550" s="1"/>
  <c r="J266" i="550" a="1"/>
  <c r="J266" i="550" s="1"/>
  <c r="H266" i="550"/>
  <c r="N265" i="550"/>
  <c r="K265" i="550"/>
  <c r="M265" i="550" s="1"/>
  <c r="K265" i="550" a="1"/>
  <c r="H265" i="550"/>
  <c r="V264" i="550"/>
  <c r="W264" i="550" s="1"/>
  <c r="N264" i="550"/>
  <c r="K264" i="550" a="1"/>
  <c r="K264" i="550" s="1"/>
  <c r="M264" i="550" s="1"/>
  <c r="J264" i="550" a="1"/>
  <c r="J264" i="550" s="1"/>
  <c r="H264" i="550"/>
  <c r="W263" i="550"/>
  <c r="V263" i="550"/>
  <c r="N263" i="550"/>
  <c r="K263" i="550" a="1"/>
  <c r="K263" i="550" s="1"/>
  <c r="M263" i="550" s="1"/>
  <c r="J263" i="550" a="1"/>
  <c r="J263" i="550" s="1"/>
  <c r="H263" i="550"/>
  <c r="V262" i="550"/>
  <c r="W262" i="550" s="1"/>
  <c r="N262" i="550"/>
  <c r="M262" i="550"/>
  <c r="K262" i="550" a="1"/>
  <c r="K262" i="550" s="1"/>
  <c r="J262" i="550" a="1"/>
  <c r="J262" i="550" s="1"/>
  <c r="H262" i="550"/>
  <c r="W261" i="550"/>
  <c r="V261" i="550"/>
  <c r="N261" i="550"/>
  <c r="K261" i="550" a="1"/>
  <c r="K261" i="550" s="1"/>
  <c r="M261" i="550" s="1"/>
  <c r="J261" i="550" a="1"/>
  <c r="J261" i="550" s="1"/>
  <c r="H261" i="550"/>
  <c r="V260" i="550"/>
  <c r="W260" i="550" s="1"/>
  <c r="N260" i="550"/>
  <c r="K260" i="550" a="1"/>
  <c r="K260" i="550" s="1"/>
  <c r="M260" i="550" s="1"/>
  <c r="J260" i="550" a="1"/>
  <c r="J260" i="550" s="1"/>
  <c r="H260" i="550"/>
  <c r="V259" i="550"/>
  <c r="W259" i="550" s="1"/>
  <c r="N259" i="550"/>
  <c r="K259" i="550"/>
  <c r="M259" i="550" s="1"/>
  <c r="K259" i="550" a="1"/>
  <c r="J259" i="550"/>
  <c r="J259" i="550" a="1"/>
  <c r="H259" i="550"/>
  <c r="V258" i="550"/>
  <c r="N258" i="550"/>
  <c r="K258" i="550" a="1"/>
  <c r="K258" i="550" s="1"/>
  <c r="J258" i="550" a="1"/>
  <c r="J258" i="550" s="1"/>
  <c r="H258" i="550"/>
  <c r="AA257" i="550"/>
  <c r="Z257" i="550"/>
  <c r="Y257" i="550"/>
  <c r="X257" i="550"/>
  <c r="U257" i="550"/>
  <c r="T257" i="550"/>
  <c r="S257" i="550"/>
  <c r="R257" i="550"/>
  <c r="Q257" i="550"/>
  <c r="P257" i="550"/>
  <c r="O257" i="550"/>
  <c r="R338" i="550" s="1"/>
  <c r="I257" i="550"/>
  <c r="G257" i="550"/>
  <c r="H256" i="550"/>
  <c r="H255" i="550"/>
  <c r="H254" i="550"/>
  <c r="H253" i="550"/>
  <c r="H252" i="550"/>
  <c r="H251" i="550"/>
  <c r="K250" i="550" a="1"/>
  <c r="K250" i="550" s="1"/>
  <c r="M250" i="550" s="1"/>
  <c r="H250" i="550"/>
  <c r="K249" i="550"/>
  <c r="M249" i="550" s="1"/>
  <c r="K249" i="550" a="1"/>
  <c r="H249" i="550"/>
  <c r="K248" i="550" a="1"/>
  <c r="K248" i="550" s="1"/>
  <c r="M248" i="550" s="1"/>
  <c r="H248" i="550"/>
  <c r="K247" i="550"/>
  <c r="M247" i="550" s="1"/>
  <c r="K247" i="550" a="1"/>
  <c r="H247" i="550"/>
  <c r="V246" i="550"/>
  <c r="W246" i="550" s="1"/>
  <c r="N246" i="550"/>
  <c r="K246" i="550" a="1"/>
  <c r="K246" i="550" s="1"/>
  <c r="M246" i="550" s="1"/>
  <c r="J246" i="550" a="1"/>
  <c r="J246" i="550" s="1"/>
  <c r="H246" i="550"/>
  <c r="V245" i="550"/>
  <c r="W245" i="550" s="1"/>
  <c r="N245" i="550"/>
  <c r="K245" i="550"/>
  <c r="M245" i="550" s="1"/>
  <c r="K245" i="550" a="1"/>
  <c r="J245" i="550"/>
  <c r="J245" i="550" a="1"/>
  <c r="H245" i="550"/>
  <c r="V244" i="550"/>
  <c r="W244" i="550" s="1"/>
  <c r="N244" i="550"/>
  <c r="K244" i="550" a="1"/>
  <c r="K244" i="550" s="1"/>
  <c r="M244" i="550" s="1"/>
  <c r="J244" i="550" a="1"/>
  <c r="J244" i="550" s="1"/>
  <c r="H244" i="550"/>
  <c r="W243" i="550"/>
  <c r="V243" i="550"/>
  <c r="N243" i="550"/>
  <c r="K243" i="550" a="1"/>
  <c r="K243" i="550" s="1"/>
  <c r="M243" i="550" s="1"/>
  <c r="J243" i="550" a="1"/>
  <c r="J243" i="550" s="1"/>
  <c r="H243" i="550"/>
  <c r="M242" i="550"/>
  <c r="H242" i="550"/>
  <c r="V241" i="550"/>
  <c r="W241" i="550" s="1"/>
  <c r="N241" i="550"/>
  <c r="K241" i="550" a="1"/>
  <c r="K241" i="550" s="1"/>
  <c r="M241" i="550" s="1"/>
  <c r="J241" i="550" a="1"/>
  <c r="J241" i="550" s="1"/>
  <c r="H241" i="550"/>
  <c r="V240" i="550"/>
  <c r="W240" i="550" s="1"/>
  <c r="N240" i="550"/>
  <c r="K240" i="550"/>
  <c r="M240" i="550" s="1"/>
  <c r="K240" i="550" a="1"/>
  <c r="J240" i="550"/>
  <c r="J240" i="550" a="1"/>
  <c r="H240" i="550"/>
  <c r="K239" i="550" a="1"/>
  <c r="K239" i="550" s="1"/>
  <c r="M239" i="550" s="1"/>
  <c r="H239" i="550"/>
  <c r="H238" i="550"/>
  <c r="V237" i="550"/>
  <c r="W237" i="550" s="1"/>
  <c r="N237" i="550"/>
  <c r="K237" i="550" a="1"/>
  <c r="K237" i="550" s="1"/>
  <c r="M237" i="550" s="1"/>
  <c r="J237" i="550" a="1"/>
  <c r="J237" i="550" s="1"/>
  <c r="H237" i="550"/>
  <c r="W236" i="550"/>
  <c r="V236" i="550"/>
  <c r="N236" i="550"/>
  <c r="K236" i="550"/>
  <c r="M236" i="550" s="1"/>
  <c r="K236" i="550" a="1"/>
  <c r="J236" i="550" a="1"/>
  <c r="J236" i="550" s="1"/>
  <c r="H236" i="550"/>
  <c r="V235" i="550"/>
  <c r="W235" i="550" s="1"/>
  <c r="N235" i="550"/>
  <c r="K235" i="550" a="1"/>
  <c r="K235" i="550" s="1"/>
  <c r="M235" i="550" s="1"/>
  <c r="J235" i="550" a="1"/>
  <c r="J235" i="550" s="1"/>
  <c r="H235" i="550"/>
  <c r="W234" i="550"/>
  <c r="V234" i="550"/>
  <c r="N234" i="550"/>
  <c r="K234" i="550" a="1"/>
  <c r="K234" i="550" s="1"/>
  <c r="M234" i="550" s="1"/>
  <c r="J234" i="550" a="1"/>
  <c r="J234" i="550" s="1"/>
  <c r="H234" i="550"/>
  <c r="V233" i="550"/>
  <c r="W233" i="550" s="1"/>
  <c r="N233" i="550"/>
  <c r="K233" i="550" a="1"/>
  <c r="K233" i="550" s="1"/>
  <c r="M233" i="550" s="1"/>
  <c r="J233" i="550" a="1"/>
  <c r="J233" i="550" s="1"/>
  <c r="H233" i="550"/>
  <c r="V232" i="550"/>
  <c r="W232" i="550" s="1"/>
  <c r="N232" i="550"/>
  <c r="K232" i="550"/>
  <c r="M232" i="550" s="1"/>
  <c r="K232" i="550" a="1"/>
  <c r="J232" i="550"/>
  <c r="J232" i="550" a="1"/>
  <c r="H232" i="550"/>
  <c r="V231" i="550"/>
  <c r="W231" i="550" s="1"/>
  <c r="N231" i="550"/>
  <c r="K231" i="550" a="1"/>
  <c r="K231" i="550" s="1"/>
  <c r="M231" i="550" s="1"/>
  <c r="J231" i="550" a="1"/>
  <c r="J231" i="550" s="1"/>
  <c r="H231" i="550"/>
  <c r="W230" i="550"/>
  <c r="V230" i="550"/>
  <c r="N230" i="550"/>
  <c r="K230" i="550" a="1"/>
  <c r="K230" i="550" s="1"/>
  <c r="M230" i="550" s="1"/>
  <c r="J230" i="550" a="1"/>
  <c r="J230" i="550" s="1"/>
  <c r="H230" i="550"/>
  <c r="V229" i="550"/>
  <c r="W229" i="550" s="1"/>
  <c r="N229" i="550"/>
  <c r="K229" i="550" a="1"/>
  <c r="K229" i="550" s="1"/>
  <c r="M229" i="550" s="1"/>
  <c r="J229" i="550" a="1"/>
  <c r="J229" i="550" s="1"/>
  <c r="H229" i="550"/>
  <c r="V228" i="550"/>
  <c r="W228" i="550" s="1"/>
  <c r="N228" i="550"/>
  <c r="K228" i="550"/>
  <c r="M228" i="550" s="1"/>
  <c r="K228" i="550" a="1"/>
  <c r="J228" i="550"/>
  <c r="J228" i="550" a="1"/>
  <c r="H228" i="550"/>
  <c r="N227" i="550"/>
  <c r="K227" i="550" a="1"/>
  <c r="K227" i="550" s="1"/>
  <c r="M227" i="550" s="1"/>
  <c r="H227" i="550"/>
  <c r="N226" i="550"/>
  <c r="K226" i="550" a="1"/>
  <c r="K226" i="550" s="1"/>
  <c r="M226" i="550" s="1"/>
  <c r="H226" i="550"/>
  <c r="N225" i="550"/>
  <c r="K225" i="550" a="1"/>
  <c r="K225" i="550" s="1"/>
  <c r="M225" i="550" s="1"/>
  <c r="H225" i="550"/>
  <c r="N224" i="550"/>
  <c r="K224" i="550"/>
  <c r="M224" i="550" s="1"/>
  <c r="K224" i="550" a="1"/>
  <c r="H224" i="550"/>
  <c r="N223" i="550"/>
  <c r="K223" i="550" a="1"/>
  <c r="K223" i="550" s="1"/>
  <c r="M223" i="550" s="1"/>
  <c r="H223" i="550"/>
  <c r="N222" i="550"/>
  <c r="K222" i="550" a="1"/>
  <c r="K222" i="550" s="1"/>
  <c r="M222" i="550" s="1"/>
  <c r="H222" i="550"/>
  <c r="N221" i="550"/>
  <c r="K221" i="550" a="1"/>
  <c r="K221" i="550" s="1"/>
  <c r="M221" i="550" s="1"/>
  <c r="H221" i="550"/>
  <c r="N220" i="550"/>
  <c r="K220" i="550"/>
  <c r="M220" i="550" s="1"/>
  <c r="K220" i="550" a="1"/>
  <c r="H220" i="550"/>
  <c r="V219" i="550"/>
  <c r="W219" i="550" s="1"/>
  <c r="N219" i="550"/>
  <c r="K219" i="550" a="1"/>
  <c r="K219" i="550" s="1"/>
  <c r="M219" i="550" s="1"/>
  <c r="J219" i="550" a="1"/>
  <c r="J219" i="550" s="1"/>
  <c r="H219" i="550"/>
  <c r="W218" i="550"/>
  <c r="V218" i="550"/>
  <c r="N218" i="550"/>
  <c r="K218" i="550" a="1"/>
  <c r="K218" i="550" s="1"/>
  <c r="M218" i="550" s="1"/>
  <c r="J218" i="550" a="1"/>
  <c r="J218" i="550" s="1"/>
  <c r="H218" i="550"/>
  <c r="V217" i="550"/>
  <c r="W217" i="550" s="1"/>
  <c r="N217" i="550"/>
  <c r="K217" i="550" a="1"/>
  <c r="K217" i="550" s="1"/>
  <c r="M217" i="550" s="1"/>
  <c r="J217" i="550" a="1"/>
  <c r="J217" i="550" s="1"/>
  <c r="H217" i="550"/>
  <c r="V216" i="550"/>
  <c r="W216" i="550" s="1"/>
  <c r="N216" i="550"/>
  <c r="K216" i="550"/>
  <c r="M216" i="550" s="1"/>
  <c r="K216" i="550" a="1"/>
  <c r="J216" i="550"/>
  <c r="J216" i="550" a="1"/>
  <c r="H216" i="550"/>
  <c r="V215" i="550"/>
  <c r="W215" i="550" s="1"/>
  <c r="N215" i="550"/>
  <c r="K215" i="550" a="1"/>
  <c r="K215" i="550" s="1"/>
  <c r="M215" i="550" s="1"/>
  <c r="J215" i="550" a="1"/>
  <c r="J215" i="550" s="1"/>
  <c r="H215" i="550"/>
  <c r="W214" i="550"/>
  <c r="V214" i="550"/>
  <c r="N214" i="550"/>
  <c r="K214" i="550" a="1"/>
  <c r="K214" i="550" s="1"/>
  <c r="M214" i="550" s="1"/>
  <c r="J214" i="550" a="1"/>
  <c r="J214" i="550" s="1"/>
  <c r="H214" i="550"/>
  <c r="V213" i="550"/>
  <c r="W213" i="550" s="1"/>
  <c r="N213" i="550"/>
  <c r="K213" i="550" a="1"/>
  <c r="K213" i="550" s="1"/>
  <c r="M213" i="550" s="1"/>
  <c r="J213" i="550" a="1"/>
  <c r="J213" i="550" s="1"/>
  <c r="H213" i="550"/>
  <c r="V212" i="550"/>
  <c r="W212" i="550" s="1"/>
  <c r="N212" i="550"/>
  <c r="K212" i="550" a="1"/>
  <c r="K212" i="550" s="1"/>
  <c r="M212" i="550" s="1"/>
  <c r="J212" i="550" a="1"/>
  <c r="J212" i="550" s="1"/>
  <c r="H212" i="550"/>
  <c r="V211" i="550"/>
  <c r="W211" i="550" s="1"/>
  <c r="N211" i="550"/>
  <c r="K211" i="550" a="1"/>
  <c r="K211" i="550" s="1"/>
  <c r="M211" i="550" s="1"/>
  <c r="J211" i="550" a="1"/>
  <c r="J211" i="550" s="1"/>
  <c r="H211" i="550"/>
  <c r="V210" i="550"/>
  <c r="W210" i="550" s="1"/>
  <c r="N210" i="550"/>
  <c r="K210" i="550"/>
  <c r="M210" i="550" s="1"/>
  <c r="K210" i="550" a="1"/>
  <c r="J210" i="550"/>
  <c r="J210" i="550" a="1"/>
  <c r="H210" i="550"/>
  <c r="V209" i="550"/>
  <c r="W209" i="550" s="1"/>
  <c r="N209" i="550"/>
  <c r="K209" i="550" a="1"/>
  <c r="K209" i="550" s="1"/>
  <c r="M209" i="550" s="1"/>
  <c r="J209" i="550" a="1"/>
  <c r="J209" i="550" s="1"/>
  <c r="H209" i="550"/>
  <c r="W208" i="550"/>
  <c r="V208" i="550"/>
  <c r="N208" i="550"/>
  <c r="K208" i="550" a="1"/>
  <c r="K208" i="550" s="1"/>
  <c r="M208" i="550" s="1"/>
  <c r="J208" i="550" a="1"/>
  <c r="J208" i="550" s="1"/>
  <c r="H208" i="550"/>
  <c r="H207" i="550"/>
  <c r="H206" i="550"/>
  <c r="H205" i="550"/>
  <c r="V204" i="550"/>
  <c r="W204" i="550" s="1"/>
  <c r="N204" i="550"/>
  <c r="K204" i="550"/>
  <c r="M204" i="550" s="1"/>
  <c r="K204" i="550" a="1"/>
  <c r="J204" i="550"/>
  <c r="J204" i="550" a="1"/>
  <c r="H204" i="550"/>
  <c r="V203" i="550"/>
  <c r="W203" i="550" s="1"/>
  <c r="N203" i="550"/>
  <c r="K203" i="550" a="1"/>
  <c r="K203" i="550" s="1"/>
  <c r="M203" i="550" s="1"/>
  <c r="J203" i="550" a="1"/>
  <c r="J203" i="550" s="1"/>
  <c r="H203" i="550"/>
  <c r="V202" i="550"/>
  <c r="W202" i="550" s="1"/>
  <c r="N202" i="550"/>
  <c r="K202" i="550" a="1"/>
  <c r="K202" i="550" s="1"/>
  <c r="M202" i="550" s="1"/>
  <c r="J202" i="550" a="1"/>
  <c r="J202" i="550" s="1"/>
  <c r="H202" i="550"/>
  <c r="H201" i="550"/>
  <c r="V200" i="550"/>
  <c r="V257" i="550" s="1"/>
  <c r="W257" i="550" s="1"/>
  <c r="N200" i="550"/>
  <c r="N257" i="550" s="1"/>
  <c r="K200" i="550" a="1"/>
  <c r="K200" i="550" s="1"/>
  <c r="J200" i="550" a="1"/>
  <c r="J200" i="550" s="1"/>
  <c r="H200" i="550"/>
  <c r="H257" i="550" s="1"/>
  <c r="AA199" i="550"/>
  <c r="AA335" i="550" s="1"/>
  <c r="Z199" i="550"/>
  <c r="Z335" i="550" s="1"/>
  <c r="Y199" i="550"/>
  <c r="Y335" i="550" s="1"/>
  <c r="X199" i="550"/>
  <c r="X335" i="550" s="1"/>
  <c r="U199" i="550"/>
  <c r="U335" i="550" s="1"/>
  <c r="T199" i="550"/>
  <c r="T335" i="550" s="1"/>
  <c r="S199" i="550"/>
  <c r="S335" i="550" s="1"/>
  <c r="R199" i="550"/>
  <c r="R335" i="550" s="1"/>
  <c r="Q199" i="550"/>
  <c r="Q335" i="550" s="1"/>
  <c r="P199" i="550"/>
  <c r="O199" i="550"/>
  <c r="I199" i="550"/>
  <c r="I335" i="550" s="1"/>
  <c r="B343" i="550" s="1"/>
  <c r="G199" i="550"/>
  <c r="G335" i="550" s="1"/>
  <c r="V198" i="550"/>
  <c r="W198" i="550" s="1"/>
  <c r="N198" i="550"/>
  <c r="K198" i="550" a="1"/>
  <c r="K198" i="550" s="1"/>
  <c r="M198" i="550" s="1"/>
  <c r="J198" i="550" a="1"/>
  <c r="J198" i="550" s="1"/>
  <c r="H198" i="550"/>
  <c r="V197" i="550"/>
  <c r="W197" i="550" s="1"/>
  <c r="N197" i="550"/>
  <c r="K197" i="550" a="1"/>
  <c r="K197" i="550" s="1"/>
  <c r="M197" i="550" s="1"/>
  <c r="J197" i="550" a="1"/>
  <c r="J197" i="550" s="1"/>
  <c r="H197" i="550"/>
  <c r="K196" i="550" a="1"/>
  <c r="K196" i="550" s="1"/>
  <c r="M196" i="550" s="1"/>
  <c r="H196" i="550"/>
  <c r="K195" i="550" a="1"/>
  <c r="K195" i="550" s="1"/>
  <c r="M195" i="550" s="1"/>
  <c r="H195" i="550"/>
  <c r="K194" i="550" a="1"/>
  <c r="K194" i="550" s="1"/>
  <c r="M194" i="550" s="1"/>
  <c r="H194" i="550"/>
  <c r="K193" i="550"/>
  <c r="M193" i="550" s="1"/>
  <c r="K193" i="550" a="1"/>
  <c r="H193" i="550"/>
  <c r="V192" i="550"/>
  <c r="W192" i="550" s="1"/>
  <c r="N192" i="550"/>
  <c r="K192" i="550" a="1"/>
  <c r="K192" i="550" s="1"/>
  <c r="M192" i="550" s="1"/>
  <c r="J192" i="550" a="1"/>
  <c r="J192" i="550" s="1"/>
  <c r="H192" i="550"/>
  <c r="V191" i="550"/>
  <c r="W191" i="550" s="1"/>
  <c r="N191" i="550"/>
  <c r="K191" i="550" a="1"/>
  <c r="K191" i="550" s="1"/>
  <c r="M191" i="550" s="1"/>
  <c r="J191" i="550" a="1"/>
  <c r="J191" i="550" s="1"/>
  <c r="H191" i="550"/>
  <c r="V190" i="550"/>
  <c r="W190" i="550" s="1"/>
  <c r="N190" i="550"/>
  <c r="K190" i="550" a="1"/>
  <c r="K190" i="550" s="1"/>
  <c r="M190" i="550" s="1"/>
  <c r="J190" i="550" a="1"/>
  <c r="J190" i="550" s="1"/>
  <c r="H190" i="550"/>
  <c r="N189" i="550"/>
  <c r="K189" i="550" a="1"/>
  <c r="K189" i="550" s="1"/>
  <c r="M189" i="550" s="1"/>
  <c r="J189" i="550" a="1"/>
  <c r="J189" i="550" s="1"/>
  <c r="H189" i="550"/>
  <c r="N188" i="550"/>
  <c r="K188" i="550" a="1"/>
  <c r="K188" i="550" s="1"/>
  <c r="M188" i="550" s="1"/>
  <c r="J188" i="550" a="1"/>
  <c r="J188" i="550" s="1"/>
  <c r="H188" i="550"/>
  <c r="V187" i="550"/>
  <c r="W187" i="550" s="1"/>
  <c r="N187" i="550"/>
  <c r="K187" i="550" a="1"/>
  <c r="K187" i="550" s="1"/>
  <c r="M187" i="550" s="1"/>
  <c r="J187" i="550" a="1"/>
  <c r="J187" i="550" s="1"/>
  <c r="H187" i="550"/>
  <c r="V186" i="550"/>
  <c r="W186" i="550" s="1"/>
  <c r="N186" i="550"/>
  <c r="K186" i="550" a="1"/>
  <c r="K186" i="550" s="1"/>
  <c r="M186" i="550" s="1"/>
  <c r="J186" i="550" a="1"/>
  <c r="J186" i="550" s="1"/>
  <c r="H186" i="550"/>
  <c r="N185" i="550"/>
  <c r="K185" i="550" a="1"/>
  <c r="K185" i="550" s="1"/>
  <c r="M185" i="550" s="1"/>
  <c r="H185" i="550"/>
  <c r="N184" i="550"/>
  <c r="K184" i="550" a="1"/>
  <c r="K184" i="550" s="1"/>
  <c r="M184" i="550" s="1"/>
  <c r="H184" i="550"/>
  <c r="V183" i="550"/>
  <c r="W183" i="550" s="1"/>
  <c r="N183" i="550"/>
  <c r="K183" i="550" a="1"/>
  <c r="K183" i="550" s="1"/>
  <c r="M183" i="550" s="1"/>
  <c r="J183" i="550" a="1"/>
  <c r="J183" i="550" s="1"/>
  <c r="H183" i="550"/>
  <c r="V182" i="550"/>
  <c r="W182" i="550" s="1"/>
  <c r="N182" i="550"/>
  <c r="K182" i="550" a="1"/>
  <c r="K182" i="550" s="1"/>
  <c r="M182" i="550" s="1"/>
  <c r="J182" i="550" a="1"/>
  <c r="J182" i="550" s="1"/>
  <c r="H182" i="550"/>
  <c r="V181" i="550"/>
  <c r="W181" i="550" s="1"/>
  <c r="N181" i="550"/>
  <c r="K181" i="550"/>
  <c r="M181" i="550" s="1"/>
  <c r="K181" i="550" a="1"/>
  <c r="J181" i="550"/>
  <c r="J181" i="550" a="1"/>
  <c r="H181" i="550"/>
  <c r="V180" i="550"/>
  <c r="W180" i="550" s="1"/>
  <c r="N180" i="550"/>
  <c r="K180" i="550" a="1"/>
  <c r="K180" i="550" s="1"/>
  <c r="M180" i="550" s="1"/>
  <c r="J180" i="550" a="1"/>
  <c r="J180" i="550" s="1"/>
  <c r="H180" i="550"/>
  <c r="W179" i="550"/>
  <c r="V179" i="550"/>
  <c r="N179" i="550"/>
  <c r="K179" i="550" a="1"/>
  <c r="K179" i="550" s="1"/>
  <c r="M179" i="550" s="1"/>
  <c r="J179" i="550" a="1"/>
  <c r="J179" i="550" s="1"/>
  <c r="H179" i="550"/>
  <c r="V178" i="550"/>
  <c r="V199" i="550" s="1"/>
  <c r="N178" i="550"/>
  <c r="N199" i="550" s="1"/>
  <c r="K178" i="550" a="1"/>
  <c r="K178" i="550" s="1"/>
  <c r="J178" i="550" a="1"/>
  <c r="J178" i="550" s="1"/>
  <c r="H178" i="550"/>
  <c r="X171" i="550"/>
  <c r="Q529" i="550" s="1"/>
  <c r="X170" i="550"/>
  <c r="Q528" i="550" s="1"/>
  <c r="G170" i="550"/>
  <c r="C170" i="550"/>
  <c r="X169" i="550"/>
  <c r="Q527" i="550" s="1"/>
  <c r="I169" i="550"/>
  <c r="E169" i="550"/>
  <c r="K169" i="550" s="1"/>
  <c r="M169" i="550" s="1"/>
  <c r="I168" i="550"/>
  <c r="E168" i="550"/>
  <c r="K168" i="550" s="1"/>
  <c r="M168" i="550" s="1"/>
  <c r="I167" i="550"/>
  <c r="E167" i="550"/>
  <c r="K167" i="550" s="1"/>
  <c r="M167" i="550" s="1"/>
  <c r="X166" i="550"/>
  <c r="Q524" i="550" s="1"/>
  <c r="I166" i="550"/>
  <c r="I170" i="550" s="1"/>
  <c r="E166" i="550"/>
  <c r="E170" i="550" s="1"/>
  <c r="AA163" i="550"/>
  <c r="Z163" i="550"/>
  <c r="Y163" i="550"/>
  <c r="X163" i="550"/>
  <c r="U163" i="550"/>
  <c r="T163" i="550"/>
  <c r="S163" i="550"/>
  <c r="R163" i="550"/>
  <c r="Q163" i="550"/>
  <c r="P163" i="550"/>
  <c r="O163" i="550"/>
  <c r="R171" i="550" s="1"/>
  <c r="I163" i="550"/>
  <c r="G163" i="550"/>
  <c r="C529" i="550" s="1"/>
  <c r="H162" i="550"/>
  <c r="H161" i="550"/>
  <c r="H160" i="550"/>
  <c r="V159" i="550"/>
  <c r="W159" i="550" s="1"/>
  <c r="N159" i="550"/>
  <c r="K159" i="550"/>
  <c r="K159" i="550" a="1"/>
  <c r="J159" i="550" a="1"/>
  <c r="J159" i="550" s="1"/>
  <c r="H159" i="550"/>
  <c r="D159" i="550"/>
  <c r="V158" i="550"/>
  <c r="W158" i="550" s="1"/>
  <c r="N158" i="550"/>
  <c r="K158" i="550" a="1"/>
  <c r="K158" i="550" s="1"/>
  <c r="M158" i="550" s="1"/>
  <c r="J158" i="550" a="1"/>
  <c r="J158" i="550" s="1"/>
  <c r="H158" i="550"/>
  <c r="H157" i="550"/>
  <c r="H156" i="550"/>
  <c r="V155" i="550"/>
  <c r="W155" i="550" s="1"/>
  <c r="N155" i="550"/>
  <c r="K155" i="550" a="1"/>
  <c r="K155" i="550" s="1"/>
  <c r="M155" i="550" s="1"/>
  <c r="J155" i="550" a="1"/>
  <c r="J155" i="550" s="1"/>
  <c r="H155" i="550"/>
  <c r="V154" i="550"/>
  <c r="W154" i="550" s="1"/>
  <c r="N154" i="550"/>
  <c r="K154" i="550"/>
  <c r="M154" i="550" s="1"/>
  <c r="K154" i="550" a="1"/>
  <c r="J154" i="550"/>
  <c r="J154" i="550" a="1"/>
  <c r="H154" i="550"/>
  <c r="H153" i="550"/>
  <c r="W152" i="550"/>
  <c r="V152" i="550"/>
  <c r="N152" i="550"/>
  <c r="K152" i="550" a="1"/>
  <c r="K152" i="550" s="1"/>
  <c r="M152" i="550" s="1"/>
  <c r="J152" i="550" a="1"/>
  <c r="J152" i="550" s="1"/>
  <c r="H152" i="550"/>
  <c r="V151" i="550"/>
  <c r="W151" i="550" s="1"/>
  <c r="N151" i="550"/>
  <c r="K151" i="550" a="1"/>
  <c r="K151" i="550" s="1"/>
  <c r="M151" i="550" s="1"/>
  <c r="J151" i="550" a="1"/>
  <c r="J151" i="550" s="1"/>
  <c r="H151" i="550"/>
  <c r="W150" i="550"/>
  <c r="V150" i="550"/>
  <c r="N150" i="550"/>
  <c r="K150" i="550"/>
  <c r="M150" i="550" s="1"/>
  <c r="K150" i="550" a="1"/>
  <c r="H150" i="550"/>
  <c r="V149" i="550"/>
  <c r="W149" i="550" s="1"/>
  <c r="N149" i="550"/>
  <c r="N163" i="550" s="1"/>
  <c r="K149" i="550" a="1"/>
  <c r="K149" i="550" s="1"/>
  <c r="J149" i="550" a="1"/>
  <c r="J149" i="550" s="1"/>
  <c r="H149" i="550"/>
  <c r="AA148" i="550"/>
  <c r="Z148" i="550"/>
  <c r="Y148" i="550"/>
  <c r="X148" i="550"/>
  <c r="U148" i="550"/>
  <c r="T148" i="550"/>
  <c r="S148" i="550"/>
  <c r="Q148" i="550"/>
  <c r="P148" i="550"/>
  <c r="O148" i="550"/>
  <c r="R170" i="550" s="1"/>
  <c r="I148" i="550"/>
  <c r="G148" i="550"/>
  <c r="C528" i="550" s="1"/>
  <c r="V147" i="550"/>
  <c r="W147" i="550" s="1"/>
  <c r="N147" i="550"/>
  <c r="K147" i="550" a="1"/>
  <c r="K147" i="550" s="1"/>
  <c r="M147" i="550" s="1"/>
  <c r="J147" i="550" a="1"/>
  <c r="J147" i="550" s="1"/>
  <c r="H147" i="550"/>
  <c r="K146" i="550" a="1"/>
  <c r="K146" i="550" s="1"/>
  <c r="H146" i="550"/>
  <c r="K145" i="550" a="1"/>
  <c r="K145" i="550" s="1"/>
  <c r="H145" i="550"/>
  <c r="K144" i="550" a="1"/>
  <c r="K144" i="550" s="1"/>
  <c r="H144" i="550"/>
  <c r="K143" i="550" a="1"/>
  <c r="K143" i="550" s="1"/>
  <c r="H143" i="550"/>
  <c r="W142" i="550"/>
  <c r="V142" i="550"/>
  <c r="N142" i="550"/>
  <c r="K142" i="550" a="1"/>
  <c r="K142" i="550" s="1"/>
  <c r="M142" i="550" s="1"/>
  <c r="J142" i="550" a="1"/>
  <c r="J142" i="550" s="1"/>
  <c r="H142" i="550"/>
  <c r="V141" i="550"/>
  <c r="W141" i="550" s="1"/>
  <c r="N141" i="550"/>
  <c r="K141" i="550" a="1"/>
  <c r="K141" i="550" s="1"/>
  <c r="M141" i="550" s="1"/>
  <c r="J141" i="550" a="1"/>
  <c r="J141" i="550" s="1"/>
  <c r="H141" i="550"/>
  <c r="V140" i="550"/>
  <c r="W140" i="550" s="1"/>
  <c r="N140" i="550"/>
  <c r="K140" i="550" a="1"/>
  <c r="K140" i="550" s="1"/>
  <c r="M140" i="550" s="1"/>
  <c r="J140" i="550" a="1"/>
  <c r="J140" i="550" s="1"/>
  <c r="H140" i="550"/>
  <c r="V139" i="550"/>
  <c r="W139" i="550" s="1"/>
  <c r="N139" i="550"/>
  <c r="K139" i="550"/>
  <c r="M139" i="550" s="1"/>
  <c r="K139" i="550" a="1"/>
  <c r="J139" i="550"/>
  <c r="J139" i="550" a="1"/>
  <c r="H139" i="550"/>
  <c r="V138" i="550"/>
  <c r="V148" i="550" s="1"/>
  <c r="W148" i="550" s="1"/>
  <c r="N138" i="550"/>
  <c r="N148" i="550" s="1"/>
  <c r="K138" i="550" a="1"/>
  <c r="K138" i="550" s="1"/>
  <c r="J138" i="550" a="1"/>
  <c r="J138" i="550" s="1"/>
  <c r="H138" i="550"/>
  <c r="H148" i="550" s="1"/>
  <c r="AA137" i="550"/>
  <c r="Z137" i="550"/>
  <c r="Y137" i="550"/>
  <c r="X137" i="550"/>
  <c r="U137" i="550"/>
  <c r="T137" i="550"/>
  <c r="S137" i="550"/>
  <c r="Q137" i="550"/>
  <c r="P137" i="550"/>
  <c r="O137" i="550"/>
  <c r="R169" i="550" s="1"/>
  <c r="I137" i="550"/>
  <c r="G137" i="550"/>
  <c r="C527" i="550" s="1"/>
  <c r="V136" i="550"/>
  <c r="W136" i="550" s="1"/>
  <c r="N136" i="550"/>
  <c r="K136" i="550" a="1"/>
  <c r="K136" i="550" s="1"/>
  <c r="M136" i="550" s="1"/>
  <c r="J136" i="550" a="1"/>
  <c r="J136" i="550" s="1"/>
  <c r="H136" i="550"/>
  <c r="V135" i="550"/>
  <c r="W135" i="550" s="1"/>
  <c r="N135" i="550"/>
  <c r="K135" i="550" a="1"/>
  <c r="K135" i="550" s="1"/>
  <c r="M135" i="550" s="1"/>
  <c r="J135" i="550" a="1"/>
  <c r="J135" i="550" s="1"/>
  <c r="H135" i="550"/>
  <c r="V134" i="550"/>
  <c r="W134" i="550" s="1"/>
  <c r="N134" i="550"/>
  <c r="K134" i="550" a="1"/>
  <c r="K134" i="550" s="1"/>
  <c r="M134" i="550" s="1"/>
  <c r="J134" i="550" a="1"/>
  <c r="J134" i="550" s="1"/>
  <c r="H134" i="550"/>
  <c r="V133" i="550"/>
  <c r="W133" i="550" s="1"/>
  <c r="N133" i="550"/>
  <c r="K133" i="550" a="1"/>
  <c r="K133" i="550" s="1"/>
  <c r="M133" i="550" s="1"/>
  <c r="J133" i="550" a="1"/>
  <c r="J133" i="550" s="1"/>
  <c r="H133" i="550"/>
  <c r="W132" i="550"/>
  <c r="V132" i="550"/>
  <c r="N132" i="550"/>
  <c r="K132" i="550" a="1"/>
  <c r="K132" i="550" s="1"/>
  <c r="M132" i="550" s="1"/>
  <c r="J132" i="550" a="1"/>
  <c r="J132" i="550" s="1"/>
  <c r="H132" i="550"/>
  <c r="V131" i="550"/>
  <c r="W131" i="550" s="1"/>
  <c r="N131" i="550"/>
  <c r="K131" i="550" a="1"/>
  <c r="K131" i="550" s="1"/>
  <c r="M131" i="550" s="1"/>
  <c r="J131" i="550" a="1"/>
  <c r="J131" i="550" s="1"/>
  <c r="H131" i="550"/>
  <c r="W130" i="550"/>
  <c r="V130" i="550"/>
  <c r="N130" i="550"/>
  <c r="K130" i="550" a="1"/>
  <c r="K130" i="550" s="1"/>
  <c r="M130" i="550" s="1"/>
  <c r="J130" i="550" a="1"/>
  <c r="J130" i="550" s="1"/>
  <c r="H130" i="550"/>
  <c r="V129" i="550"/>
  <c r="W129" i="550" s="1"/>
  <c r="N129" i="550"/>
  <c r="K129" i="550"/>
  <c r="M129" i="550" s="1"/>
  <c r="K129" i="550" a="1"/>
  <c r="J129" i="550" a="1"/>
  <c r="J129" i="550" s="1"/>
  <c r="H129" i="550"/>
  <c r="W128" i="550"/>
  <c r="V128" i="550"/>
  <c r="N128" i="550"/>
  <c r="K128" i="550" a="1"/>
  <c r="K128" i="550" s="1"/>
  <c r="M128" i="550" s="1"/>
  <c r="J128" i="550" a="1"/>
  <c r="J128" i="550" s="1"/>
  <c r="H128" i="550"/>
  <c r="V127" i="550"/>
  <c r="W127" i="550" s="1"/>
  <c r="N127" i="550"/>
  <c r="K127" i="550" a="1"/>
  <c r="K127" i="550" s="1"/>
  <c r="M127" i="550" s="1"/>
  <c r="J127" i="550" a="1"/>
  <c r="J127" i="550" s="1"/>
  <c r="H127" i="550"/>
  <c r="W126" i="550"/>
  <c r="V126" i="550"/>
  <c r="N126" i="550"/>
  <c r="K126" i="550" a="1"/>
  <c r="K126" i="550" s="1"/>
  <c r="M126" i="550" s="1"/>
  <c r="J126" i="550" a="1"/>
  <c r="J126" i="550" s="1"/>
  <c r="H126" i="550"/>
  <c r="V125" i="550"/>
  <c r="W125" i="550" s="1"/>
  <c r="N125" i="550"/>
  <c r="K125" i="550"/>
  <c r="M125" i="550" s="1"/>
  <c r="K125" i="550" a="1"/>
  <c r="J125" i="550" a="1"/>
  <c r="J125" i="550" s="1"/>
  <c r="H125" i="550"/>
  <c r="W124" i="550"/>
  <c r="V124" i="550"/>
  <c r="N124" i="550"/>
  <c r="K124" i="550" a="1"/>
  <c r="K124" i="550" s="1"/>
  <c r="M124" i="550" s="1"/>
  <c r="J124" i="550" a="1"/>
  <c r="J124" i="550" s="1"/>
  <c r="H124" i="550"/>
  <c r="V123" i="550"/>
  <c r="W123" i="550" s="1"/>
  <c r="N123" i="550"/>
  <c r="K123" i="550" a="1"/>
  <c r="K123" i="550" s="1"/>
  <c r="M123" i="550" s="1"/>
  <c r="J123" i="550" a="1"/>
  <c r="J123" i="550" s="1"/>
  <c r="H123" i="550"/>
  <c r="W122" i="550"/>
  <c r="V122" i="550"/>
  <c r="V137" i="550" s="1"/>
  <c r="W137" i="550" s="1"/>
  <c r="N122" i="550"/>
  <c r="N137" i="550" s="1"/>
  <c r="K122" i="550" a="1"/>
  <c r="K122" i="550" s="1"/>
  <c r="M122" i="550" s="1"/>
  <c r="J122" i="550" a="1"/>
  <c r="J122" i="550" s="1"/>
  <c r="H122" i="550"/>
  <c r="H137" i="550" s="1"/>
  <c r="AA121" i="550"/>
  <c r="Z121" i="550"/>
  <c r="Y121" i="550"/>
  <c r="X121" i="550"/>
  <c r="U121" i="550"/>
  <c r="T121" i="550"/>
  <c r="S121" i="550"/>
  <c r="R121" i="550"/>
  <c r="Q121" i="550"/>
  <c r="P121" i="550"/>
  <c r="O121" i="550"/>
  <c r="R168" i="550" s="1"/>
  <c r="I121" i="550"/>
  <c r="G121" i="550"/>
  <c r="C526" i="550" s="1"/>
  <c r="V120" i="550"/>
  <c r="W120" i="550" s="1"/>
  <c r="N120" i="550"/>
  <c r="K120" i="550" a="1"/>
  <c r="K120" i="550" s="1"/>
  <c r="M120" i="550" s="1"/>
  <c r="J120" i="550" a="1"/>
  <c r="J120" i="550" s="1"/>
  <c r="H120" i="550"/>
  <c r="V119" i="550"/>
  <c r="W119" i="550" s="1"/>
  <c r="N119" i="550"/>
  <c r="K119" i="550"/>
  <c r="M119" i="550" s="1"/>
  <c r="K119" i="550" a="1"/>
  <c r="J119" i="550"/>
  <c r="J119" i="550" a="1"/>
  <c r="H119" i="550"/>
  <c r="V118" i="550"/>
  <c r="W118" i="550" s="1"/>
  <c r="N118" i="550"/>
  <c r="K118" i="550" a="1"/>
  <c r="K118" i="550" s="1"/>
  <c r="M118" i="550" s="1"/>
  <c r="J118" i="550" a="1"/>
  <c r="J118" i="550" s="1"/>
  <c r="H118" i="550"/>
  <c r="K117" i="550" a="1"/>
  <c r="K117" i="550" s="1"/>
  <c r="H117" i="550"/>
  <c r="K116" i="550" a="1"/>
  <c r="K116" i="550" s="1"/>
  <c r="H116" i="550"/>
  <c r="K115" i="550"/>
  <c r="K115" i="550" a="1"/>
  <c r="H115" i="550"/>
  <c r="V114" i="550"/>
  <c r="W114" i="550" s="1"/>
  <c r="N114" i="550"/>
  <c r="K114" i="550" a="1"/>
  <c r="K114" i="550" s="1"/>
  <c r="M114" i="550" s="1"/>
  <c r="J114" i="550" a="1"/>
  <c r="J114" i="550" s="1"/>
  <c r="H114" i="550"/>
  <c r="W113" i="550"/>
  <c r="V113" i="550"/>
  <c r="N113" i="550"/>
  <c r="K113" i="550" a="1"/>
  <c r="K113" i="550" s="1"/>
  <c r="M113" i="550" s="1"/>
  <c r="J113" i="550" a="1"/>
  <c r="J113" i="550" s="1"/>
  <c r="H113" i="550"/>
  <c r="N112" i="550"/>
  <c r="K112" i="550" a="1"/>
  <c r="K112" i="550" s="1"/>
  <c r="M112" i="550" s="1"/>
  <c r="H112" i="550"/>
  <c r="N111" i="550"/>
  <c r="K111" i="550"/>
  <c r="M111" i="550" s="1"/>
  <c r="K111" i="550" a="1"/>
  <c r="H111" i="550"/>
  <c r="N110" i="550"/>
  <c r="K110" i="550" a="1"/>
  <c r="K110" i="550" s="1"/>
  <c r="M110" i="550" s="1"/>
  <c r="H110" i="550"/>
  <c r="N109" i="550"/>
  <c r="K109" i="550" a="1"/>
  <c r="K109" i="550" s="1"/>
  <c r="M109" i="550" s="1"/>
  <c r="H109" i="550"/>
  <c r="N108" i="550"/>
  <c r="K108" i="550" a="1"/>
  <c r="K108" i="550" s="1"/>
  <c r="M108" i="550" s="1"/>
  <c r="H108" i="550"/>
  <c r="N107" i="550"/>
  <c r="K107" i="550" a="1"/>
  <c r="K107" i="550" s="1"/>
  <c r="M107" i="550" s="1"/>
  <c r="H107" i="550"/>
  <c r="V106" i="550"/>
  <c r="W106" i="550" s="1"/>
  <c r="N106" i="550"/>
  <c r="K106" i="550" a="1"/>
  <c r="K106" i="550" s="1"/>
  <c r="M106" i="550" s="1"/>
  <c r="J106" i="550" a="1"/>
  <c r="J106" i="550" s="1"/>
  <c r="H106" i="550"/>
  <c r="V105" i="550"/>
  <c r="W105" i="550" s="1"/>
  <c r="N105" i="550"/>
  <c r="K105" i="550"/>
  <c r="M105" i="550" s="1"/>
  <c r="K105" i="550" a="1"/>
  <c r="J105" i="550"/>
  <c r="J105" i="550" a="1"/>
  <c r="H105" i="550"/>
  <c r="V104" i="550"/>
  <c r="W104" i="550" s="1"/>
  <c r="N104" i="550"/>
  <c r="K104" i="550" a="1"/>
  <c r="K104" i="550" s="1"/>
  <c r="M104" i="550" s="1"/>
  <c r="J104" i="550" a="1"/>
  <c r="J104" i="550" s="1"/>
  <c r="H104" i="550"/>
  <c r="V103" i="550"/>
  <c r="W103" i="550" s="1"/>
  <c r="N103" i="550"/>
  <c r="K103" i="550" a="1"/>
  <c r="K103" i="550" s="1"/>
  <c r="M103" i="550" s="1"/>
  <c r="J103" i="550" a="1"/>
  <c r="J103" i="550" s="1"/>
  <c r="H103" i="550"/>
  <c r="V102" i="550"/>
  <c r="W102" i="550" s="1"/>
  <c r="N102" i="550"/>
  <c r="K102" i="550" a="1"/>
  <c r="K102" i="550" s="1"/>
  <c r="M102" i="550" s="1"/>
  <c r="J102" i="550" a="1"/>
  <c r="J102" i="550" s="1"/>
  <c r="H102" i="550"/>
  <c r="V101" i="550"/>
  <c r="W101" i="550" s="1"/>
  <c r="N101" i="550"/>
  <c r="K101" i="550"/>
  <c r="M101" i="550" s="1"/>
  <c r="K101" i="550" a="1"/>
  <c r="J101" i="550"/>
  <c r="J101" i="550" a="1"/>
  <c r="H101" i="550"/>
  <c r="V100" i="550"/>
  <c r="W100" i="550" s="1"/>
  <c r="N100" i="550"/>
  <c r="K100" i="550" a="1"/>
  <c r="K100" i="550" s="1"/>
  <c r="M100" i="550" s="1"/>
  <c r="J100" i="550" a="1"/>
  <c r="J100" i="550" s="1"/>
  <c r="H100" i="550"/>
  <c r="W99" i="550"/>
  <c r="V99" i="550"/>
  <c r="N99" i="550"/>
  <c r="K99" i="550" a="1"/>
  <c r="K99" i="550" s="1"/>
  <c r="M99" i="550" s="1"/>
  <c r="J99" i="550" a="1"/>
  <c r="J99" i="550" s="1"/>
  <c r="H99" i="550"/>
  <c r="V98" i="550"/>
  <c r="W98" i="550" s="1"/>
  <c r="N98" i="550"/>
  <c r="K98" i="550" a="1"/>
  <c r="K98" i="550" s="1"/>
  <c r="M98" i="550" s="1"/>
  <c r="J98" i="550" a="1"/>
  <c r="J98" i="550" s="1"/>
  <c r="H98" i="550"/>
  <c r="V97" i="550"/>
  <c r="W97" i="550" s="1"/>
  <c r="N97" i="550"/>
  <c r="K97" i="550"/>
  <c r="M97" i="550" s="1"/>
  <c r="K97" i="550" a="1"/>
  <c r="J97" i="550"/>
  <c r="J97" i="550" a="1"/>
  <c r="H97" i="550"/>
  <c r="V96" i="550"/>
  <c r="W96" i="550" s="1"/>
  <c r="N96" i="550"/>
  <c r="K96" i="550" a="1"/>
  <c r="K96" i="550" s="1"/>
  <c r="M96" i="550" s="1"/>
  <c r="J96" i="550" a="1"/>
  <c r="J96" i="550" s="1"/>
  <c r="H96" i="550"/>
  <c r="W95" i="550"/>
  <c r="V95" i="550"/>
  <c r="N95" i="550"/>
  <c r="K95" i="550" a="1"/>
  <c r="K95" i="550" s="1"/>
  <c r="M95" i="550" s="1"/>
  <c r="J95" i="550" a="1"/>
  <c r="J95" i="550" s="1"/>
  <c r="H95" i="550"/>
  <c r="K94" i="550"/>
  <c r="M94" i="550" s="1"/>
  <c r="K94" i="550" a="1"/>
  <c r="H94" i="550"/>
  <c r="V93" i="550"/>
  <c r="W93" i="550" s="1"/>
  <c r="N93" i="550"/>
  <c r="K93" i="550" a="1"/>
  <c r="K93" i="550" s="1"/>
  <c r="M93" i="550" s="1"/>
  <c r="J93" i="550" a="1"/>
  <c r="J93" i="550" s="1"/>
  <c r="H93" i="550"/>
  <c r="W92" i="550"/>
  <c r="V92" i="550"/>
  <c r="N92" i="550"/>
  <c r="K92" i="550" a="1"/>
  <c r="K92" i="550" s="1"/>
  <c r="M92" i="550" s="1"/>
  <c r="J92" i="550" a="1"/>
  <c r="J92" i="550" s="1"/>
  <c r="H92" i="550"/>
  <c r="V91" i="550"/>
  <c r="W91" i="550" s="1"/>
  <c r="N91" i="550"/>
  <c r="K91" i="550" a="1"/>
  <c r="K91" i="550" s="1"/>
  <c r="M91" i="550" s="1"/>
  <c r="J91" i="550" a="1"/>
  <c r="J91" i="550" s="1"/>
  <c r="H91" i="550"/>
  <c r="V90" i="550"/>
  <c r="W90" i="550" s="1"/>
  <c r="N90" i="550"/>
  <c r="K90" i="550"/>
  <c r="M90" i="550" s="1"/>
  <c r="K90" i="550" a="1"/>
  <c r="J90" i="550"/>
  <c r="J90" i="550" a="1"/>
  <c r="H90" i="550"/>
  <c r="V89" i="550"/>
  <c r="W89" i="550" s="1"/>
  <c r="N89" i="550"/>
  <c r="K89" i="550" a="1"/>
  <c r="K89" i="550" s="1"/>
  <c r="M89" i="550" s="1"/>
  <c r="J89" i="550" a="1"/>
  <c r="J89" i="550" s="1"/>
  <c r="H89" i="550"/>
  <c r="W88" i="550"/>
  <c r="V88" i="550"/>
  <c r="N88" i="550"/>
  <c r="K88" i="550" a="1"/>
  <c r="K88" i="550" s="1"/>
  <c r="M88" i="550" s="1"/>
  <c r="J88" i="550" a="1"/>
  <c r="J88" i="550" s="1"/>
  <c r="H88" i="550"/>
  <c r="V87" i="550"/>
  <c r="V121" i="550" s="1"/>
  <c r="W121" i="550" s="1"/>
  <c r="N87" i="550"/>
  <c r="K87" i="550" a="1"/>
  <c r="K87" i="550" s="1"/>
  <c r="J87" i="550" a="1"/>
  <c r="J87" i="550" s="1"/>
  <c r="H87" i="550"/>
  <c r="H121" i="550" s="1"/>
  <c r="AA86" i="550"/>
  <c r="Z86" i="550"/>
  <c r="Y86" i="550"/>
  <c r="X86" i="550"/>
  <c r="U86" i="550"/>
  <c r="T86" i="550"/>
  <c r="S86" i="550"/>
  <c r="R86" i="550"/>
  <c r="Q86" i="550"/>
  <c r="P86" i="550"/>
  <c r="O86" i="550"/>
  <c r="R167" i="550" s="1"/>
  <c r="I86" i="550"/>
  <c r="G86" i="550"/>
  <c r="C525" i="550" s="1"/>
  <c r="K85" i="550" a="1"/>
  <c r="K85" i="550" s="1"/>
  <c r="H85" i="550"/>
  <c r="K84" i="550"/>
  <c r="K84" i="550" a="1"/>
  <c r="H84" i="550"/>
  <c r="K83" i="550" a="1"/>
  <c r="K83" i="550" s="1"/>
  <c r="H83" i="550"/>
  <c r="K82" i="550" a="1"/>
  <c r="K82" i="550" s="1"/>
  <c r="H82" i="550"/>
  <c r="K81" i="550" a="1"/>
  <c r="K81" i="550" s="1"/>
  <c r="H81" i="550"/>
  <c r="K80" i="550" a="1"/>
  <c r="K80" i="550" s="1"/>
  <c r="H80" i="550"/>
  <c r="K79" i="550" a="1"/>
  <c r="K79" i="550" s="1"/>
  <c r="M79" i="550" s="1"/>
  <c r="H79" i="550"/>
  <c r="K78" i="550" a="1"/>
  <c r="K78" i="550" s="1"/>
  <c r="M78" i="550" s="1"/>
  <c r="H78" i="550"/>
  <c r="K77" i="550" a="1"/>
  <c r="K77" i="550" s="1"/>
  <c r="M77" i="550" s="1"/>
  <c r="H77" i="550"/>
  <c r="K76" i="550" a="1"/>
  <c r="K76" i="550" s="1"/>
  <c r="M76" i="550" s="1"/>
  <c r="H76" i="550"/>
  <c r="W75" i="550"/>
  <c r="V75" i="550"/>
  <c r="N75" i="550"/>
  <c r="K75" i="550" a="1"/>
  <c r="K75" i="550" s="1"/>
  <c r="M75" i="550" s="1"/>
  <c r="J75" i="550" a="1"/>
  <c r="J75" i="550" s="1"/>
  <c r="H75" i="550"/>
  <c r="V74" i="550"/>
  <c r="W74" i="550" s="1"/>
  <c r="N74" i="550"/>
  <c r="K74" i="550" a="1"/>
  <c r="K74" i="550" s="1"/>
  <c r="M74" i="550" s="1"/>
  <c r="J74" i="550" a="1"/>
  <c r="J74" i="550" s="1"/>
  <c r="H74" i="550"/>
  <c r="V73" i="550"/>
  <c r="W73" i="550" s="1"/>
  <c r="N73" i="550"/>
  <c r="K73" i="550"/>
  <c r="M73" i="550" s="1"/>
  <c r="K73" i="550" a="1"/>
  <c r="J73" i="550"/>
  <c r="J73" i="550" a="1"/>
  <c r="H73" i="550"/>
  <c r="V72" i="550"/>
  <c r="W72" i="550" s="1"/>
  <c r="N72" i="550"/>
  <c r="K72" i="550" a="1"/>
  <c r="K72" i="550" s="1"/>
  <c r="M72" i="550" s="1"/>
  <c r="J72" i="550" a="1"/>
  <c r="J72" i="550" s="1"/>
  <c r="H72" i="550"/>
  <c r="H71" i="550"/>
  <c r="V70" i="550"/>
  <c r="W70" i="550" s="1"/>
  <c r="N70" i="550"/>
  <c r="K70" i="550" a="1"/>
  <c r="K70" i="550" s="1"/>
  <c r="M70" i="550" s="1"/>
  <c r="J70" i="550" a="1"/>
  <c r="J70" i="550" s="1"/>
  <c r="H70" i="550"/>
  <c r="W69" i="550"/>
  <c r="V69" i="550"/>
  <c r="N69" i="550"/>
  <c r="K69" i="550" a="1"/>
  <c r="K69" i="550" s="1"/>
  <c r="M69" i="550" s="1"/>
  <c r="J69" i="550" a="1"/>
  <c r="J69" i="550" s="1"/>
  <c r="H69" i="550"/>
  <c r="K68" i="550" a="1"/>
  <c r="K68" i="550" s="1"/>
  <c r="H68" i="550"/>
  <c r="K67" i="550"/>
  <c r="K67" i="550" a="1"/>
  <c r="H67" i="550"/>
  <c r="V66" i="550"/>
  <c r="W66" i="550" s="1"/>
  <c r="N66" i="550"/>
  <c r="K66" i="550" a="1"/>
  <c r="K66" i="550" s="1"/>
  <c r="M66" i="550" s="1"/>
  <c r="J66" i="550" a="1"/>
  <c r="J66" i="550" s="1"/>
  <c r="H66" i="550"/>
  <c r="W65" i="550"/>
  <c r="V65" i="550"/>
  <c r="N65" i="550"/>
  <c r="K65" i="550" a="1"/>
  <c r="K65" i="550" s="1"/>
  <c r="M65" i="550" s="1"/>
  <c r="J65" i="550" a="1"/>
  <c r="J65" i="550" s="1"/>
  <c r="H65" i="550"/>
  <c r="V64" i="550"/>
  <c r="W64" i="550" s="1"/>
  <c r="N64" i="550"/>
  <c r="K64" i="550" a="1"/>
  <c r="K64" i="550" s="1"/>
  <c r="M64" i="550" s="1"/>
  <c r="J64" i="550" a="1"/>
  <c r="J64" i="550" s="1"/>
  <c r="H64" i="550"/>
  <c r="V63" i="550"/>
  <c r="W63" i="550" s="1"/>
  <c r="N63" i="550"/>
  <c r="K63" i="550" a="1"/>
  <c r="K63" i="550" s="1"/>
  <c r="M63" i="550" s="1"/>
  <c r="J63" i="550" a="1"/>
  <c r="J63" i="550" s="1"/>
  <c r="H63" i="550"/>
  <c r="V62" i="550"/>
  <c r="W62" i="550" s="1"/>
  <c r="N62" i="550"/>
  <c r="K62" i="550" a="1"/>
  <c r="K62" i="550" s="1"/>
  <c r="M62" i="550" s="1"/>
  <c r="J62" i="550" a="1"/>
  <c r="J62" i="550" s="1"/>
  <c r="H62" i="550"/>
  <c r="V61" i="550"/>
  <c r="W61" i="550" s="1"/>
  <c r="N61" i="550"/>
  <c r="K61" i="550"/>
  <c r="M61" i="550" s="1"/>
  <c r="K61" i="550" a="1"/>
  <c r="J61" i="550"/>
  <c r="J61" i="550" a="1"/>
  <c r="H61" i="550"/>
  <c r="V60" i="550"/>
  <c r="W60" i="550" s="1"/>
  <c r="N60" i="550"/>
  <c r="K60" i="550" a="1"/>
  <c r="K60" i="550" s="1"/>
  <c r="M60" i="550" s="1"/>
  <c r="J60" i="550" a="1"/>
  <c r="J60" i="550" s="1"/>
  <c r="H60" i="550"/>
  <c r="W59" i="550"/>
  <c r="V59" i="550"/>
  <c r="N59" i="550"/>
  <c r="K59" i="550" a="1"/>
  <c r="K59" i="550" s="1"/>
  <c r="M59" i="550" s="1"/>
  <c r="J59" i="550" a="1"/>
  <c r="J59" i="550" s="1"/>
  <c r="H59" i="550"/>
  <c r="V58" i="550"/>
  <c r="W58" i="550" s="1"/>
  <c r="N58" i="550"/>
  <c r="K58" i="550" a="1"/>
  <c r="K58" i="550" s="1"/>
  <c r="M58" i="550" s="1"/>
  <c r="J58" i="550" a="1"/>
  <c r="J58" i="550" s="1"/>
  <c r="H58" i="550"/>
  <c r="V57" i="550"/>
  <c r="W57" i="550" s="1"/>
  <c r="N57" i="550"/>
  <c r="K57" i="550"/>
  <c r="M57" i="550" s="1"/>
  <c r="K57" i="550" a="1"/>
  <c r="J57" i="550"/>
  <c r="J57" i="550" a="1"/>
  <c r="H57" i="550"/>
  <c r="K56" i="550" a="1"/>
  <c r="K56" i="550" s="1"/>
  <c r="M56" i="550" s="1"/>
  <c r="H56" i="550"/>
  <c r="K55" i="550"/>
  <c r="M55" i="550" s="1"/>
  <c r="K55" i="550" a="1"/>
  <c r="H55" i="550"/>
  <c r="K54" i="550" a="1"/>
  <c r="K54" i="550" s="1"/>
  <c r="M54" i="550" s="1"/>
  <c r="H54" i="550"/>
  <c r="K53" i="550"/>
  <c r="M53" i="550" s="1"/>
  <c r="K53" i="550" a="1"/>
  <c r="H53" i="550"/>
  <c r="N52" i="550"/>
  <c r="K52" i="550" a="1"/>
  <c r="K52" i="550" s="1"/>
  <c r="M52" i="550" s="1"/>
  <c r="H52" i="550"/>
  <c r="N51" i="550"/>
  <c r="K51" i="550" a="1"/>
  <c r="K51" i="550" s="1"/>
  <c r="M51" i="550" s="1"/>
  <c r="H51" i="550"/>
  <c r="N50" i="550"/>
  <c r="K50" i="550" a="1"/>
  <c r="K50" i="550" s="1"/>
  <c r="M50" i="550" s="1"/>
  <c r="H50" i="550"/>
  <c r="N49" i="550"/>
  <c r="K49" i="550" a="1"/>
  <c r="K49" i="550" s="1"/>
  <c r="M49" i="550" s="1"/>
  <c r="H49" i="550"/>
  <c r="V48" i="550"/>
  <c r="W48" i="550" s="1"/>
  <c r="N48" i="550"/>
  <c r="K48" i="550" a="1"/>
  <c r="K48" i="550" s="1"/>
  <c r="M48" i="550" s="1"/>
  <c r="J48" i="550" a="1"/>
  <c r="J48" i="550" s="1"/>
  <c r="H48" i="550"/>
  <c r="V47" i="550"/>
  <c r="W47" i="550" s="1"/>
  <c r="N47" i="550"/>
  <c r="K47" i="550" a="1"/>
  <c r="K47" i="550" s="1"/>
  <c r="M47" i="550" s="1"/>
  <c r="J47" i="550" a="1"/>
  <c r="J47" i="550" s="1"/>
  <c r="H47" i="550"/>
  <c r="V46" i="550"/>
  <c r="W46" i="550" s="1"/>
  <c r="N46" i="550"/>
  <c r="K46" i="550" a="1"/>
  <c r="K46" i="550" s="1"/>
  <c r="M46" i="550" s="1"/>
  <c r="J46" i="550" a="1"/>
  <c r="J46" i="550" s="1"/>
  <c r="H46" i="550"/>
  <c r="V45" i="550"/>
  <c r="W45" i="550" s="1"/>
  <c r="N45" i="550"/>
  <c r="K45" i="550"/>
  <c r="M45" i="550" s="1"/>
  <c r="K45" i="550" a="1"/>
  <c r="J45" i="550"/>
  <c r="J45" i="550" a="1"/>
  <c r="H45" i="550"/>
  <c r="V44" i="550"/>
  <c r="W44" i="550" s="1"/>
  <c r="N44" i="550"/>
  <c r="K44" i="550" a="1"/>
  <c r="K44" i="550" s="1"/>
  <c r="M44" i="550" s="1"/>
  <c r="J44" i="550" a="1"/>
  <c r="J44" i="550" s="1"/>
  <c r="H44" i="550"/>
  <c r="V43" i="550"/>
  <c r="W43" i="550" s="1"/>
  <c r="N43" i="550"/>
  <c r="K43" i="550" a="1"/>
  <c r="K43" i="550" s="1"/>
  <c r="M43" i="550" s="1"/>
  <c r="J43" i="550" a="1"/>
  <c r="J43" i="550" s="1"/>
  <c r="H43" i="550"/>
  <c r="V42" i="550"/>
  <c r="W42" i="550" s="1"/>
  <c r="N42" i="550"/>
  <c r="K42" i="550" a="1"/>
  <c r="K42" i="550" s="1"/>
  <c r="M42" i="550" s="1"/>
  <c r="J42" i="550" a="1"/>
  <c r="J42" i="550" s="1"/>
  <c r="H42" i="550"/>
  <c r="V41" i="550"/>
  <c r="W41" i="550" s="1"/>
  <c r="N41" i="550"/>
  <c r="K41" i="550" a="1"/>
  <c r="K41" i="550" s="1"/>
  <c r="M41" i="550" s="1"/>
  <c r="J41" i="550" a="1"/>
  <c r="J41" i="550" s="1"/>
  <c r="H41" i="550"/>
  <c r="V40" i="550"/>
  <c r="W40" i="550" s="1"/>
  <c r="N40" i="550"/>
  <c r="K40" i="550" a="1"/>
  <c r="K40" i="550" s="1"/>
  <c r="M40" i="550" s="1"/>
  <c r="J40" i="550" a="1"/>
  <c r="J40" i="550" s="1"/>
  <c r="H40" i="550"/>
  <c r="V39" i="550"/>
  <c r="W39" i="550" s="1"/>
  <c r="N39" i="550"/>
  <c r="K39" i="550"/>
  <c r="M39" i="550" s="1"/>
  <c r="K39" i="550" a="1"/>
  <c r="J39" i="550"/>
  <c r="J39" i="550" a="1"/>
  <c r="H39" i="550"/>
  <c r="V38" i="550"/>
  <c r="W38" i="550" s="1"/>
  <c r="N38" i="550"/>
  <c r="K38" i="550" a="1"/>
  <c r="K38" i="550" s="1"/>
  <c r="M38" i="550" s="1"/>
  <c r="J38" i="550" a="1"/>
  <c r="J38" i="550" s="1"/>
  <c r="H38" i="550"/>
  <c r="V37" i="550"/>
  <c r="W37" i="550" s="1"/>
  <c r="N37" i="550"/>
  <c r="K37" i="550" a="1"/>
  <c r="K37" i="550" s="1"/>
  <c r="M37" i="550" s="1"/>
  <c r="J37" i="550" a="1"/>
  <c r="J37" i="550" s="1"/>
  <c r="H37" i="550"/>
  <c r="H36" i="550"/>
  <c r="H35" i="550"/>
  <c r="H34" i="550"/>
  <c r="W33" i="550"/>
  <c r="V33" i="550"/>
  <c r="N33" i="550"/>
  <c r="K33" i="550" a="1"/>
  <c r="K33" i="550" s="1"/>
  <c r="M33" i="550" s="1"/>
  <c r="J33" i="550" a="1"/>
  <c r="J33" i="550" s="1"/>
  <c r="H33" i="550"/>
  <c r="V32" i="550"/>
  <c r="W32" i="550" s="1"/>
  <c r="N32" i="550"/>
  <c r="K32" i="550" a="1"/>
  <c r="K32" i="550" s="1"/>
  <c r="M32" i="550" s="1"/>
  <c r="J32" i="550" a="1"/>
  <c r="J32" i="550" s="1"/>
  <c r="H32" i="550"/>
  <c r="V31" i="550"/>
  <c r="W31" i="550" s="1"/>
  <c r="N31" i="550"/>
  <c r="K31" i="550"/>
  <c r="M31" i="550" s="1"/>
  <c r="K31" i="550" a="1"/>
  <c r="J31" i="550" a="1"/>
  <c r="J31" i="550" s="1"/>
  <c r="H31" i="550"/>
  <c r="K30" i="550" a="1"/>
  <c r="K30" i="550" s="1"/>
  <c r="H30" i="550"/>
  <c r="W29" i="550"/>
  <c r="V29" i="550"/>
  <c r="V86" i="550" s="1"/>
  <c r="W86" i="550" s="1"/>
  <c r="N29" i="550"/>
  <c r="N86" i="550" s="1"/>
  <c r="K29" i="550" a="1"/>
  <c r="K29" i="550" s="1"/>
  <c r="M29" i="550" s="1"/>
  <c r="J29" i="550" a="1"/>
  <c r="J29" i="550" s="1"/>
  <c r="H29" i="550"/>
  <c r="H86" i="550" s="1"/>
  <c r="AA28" i="550"/>
  <c r="AA164" i="550" s="1"/>
  <c r="Z28" i="550"/>
  <c r="Z164" i="550" s="1"/>
  <c r="Y28" i="550"/>
  <c r="Y164" i="550" s="1"/>
  <c r="X28" i="550"/>
  <c r="X164" i="550" s="1"/>
  <c r="U28" i="550"/>
  <c r="U164" i="550" s="1"/>
  <c r="T28" i="550"/>
  <c r="T164" i="550" s="1"/>
  <c r="S28" i="550"/>
  <c r="S164" i="550" s="1"/>
  <c r="R28" i="550"/>
  <c r="R164" i="550" s="1"/>
  <c r="Q28" i="550"/>
  <c r="Q164" i="550" s="1"/>
  <c r="P28" i="550"/>
  <c r="X167" i="550" s="1"/>
  <c r="O28" i="550"/>
  <c r="O164" i="550" s="1"/>
  <c r="I28" i="550"/>
  <c r="I164" i="550" s="1"/>
  <c r="B172" i="550" s="1"/>
  <c r="G28" i="550"/>
  <c r="C524" i="550" s="1"/>
  <c r="V27" i="550"/>
  <c r="W27" i="550" s="1"/>
  <c r="N27" i="550"/>
  <c r="K27" i="550" a="1"/>
  <c r="K27" i="550" s="1"/>
  <c r="M27" i="550" s="1"/>
  <c r="J27" i="550" a="1"/>
  <c r="J27" i="550" s="1"/>
  <c r="H27" i="550"/>
  <c r="V26" i="550"/>
  <c r="W26" i="550" s="1"/>
  <c r="N26" i="550"/>
  <c r="K26" i="550" a="1"/>
  <c r="K26" i="550" s="1"/>
  <c r="M26" i="550" s="1"/>
  <c r="J26" i="550" a="1"/>
  <c r="J26" i="550" s="1"/>
  <c r="H26" i="550"/>
  <c r="K25" i="550" a="1"/>
  <c r="K25" i="550" s="1"/>
  <c r="M25" i="550" s="1"/>
  <c r="J25" i="550" a="1"/>
  <c r="J25" i="550" s="1"/>
  <c r="H25" i="550"/>
  <c r="K24" i="550" a="1"/>
  <c r="K24" i="550" s="1"/>
  <c r="M24" i="550" s="1"/>
  <c r="J24" i="550" a="1"/>
  <c r="J24" i="550" s="1"/>
  <c r="H24" i="550"/>
  <c r="K23" i="550" a="1"/>
  <c r="K23" i="550" s="1"/>
  <c r="M23" i="550" s="1"/>
  <c r="J23" i="550" a="1"/>
  <c r="J23" i="550" s="1"/>
  <c r="H23" i="550"/>
  <c r="K22" i="550" a="1"/>
  <c r="K22" i="550" s="1"/>
  <c r="M22" i="550" s="1"/>
  <c r="J22" i="550" a="1"/>
  <c r="J22" i="550" s="1"/>
  <c r="H22" i="550"/>
  <c r="W21" i="550"/>
  <c r="V21" i="550"/>
  <c r="N21" i="550"/>
  <c r="K21" i="550" a="1"/>
  <c r="K21" i="550" s="1"/>
  <c r="M21" i="550" s="1"/>
  <c r="J21" i="550" a="1"/>
  <c r="J21" i="550" s="1"/>
  <c r="H21" i="550"/>
  <c r="V20" i="550"/>
  <c r="W20" i="550" s="1"/>
  <c r="N20" i="550"/>
  <c r="K20" i="550" a="1"/>
  <c r="K20" i="550" s="1"/>
  <c r="M20" i="550" s="1"/>
  <c r="J20" i="550" a="1"/>
  <c r="J20" i="550" s="1"/>
  <c r="H20" i="550"/>
  <c r="V19" i="550"/>
  <c r="W19" i="550" s="1"/>
  <c r="N19" i="550"/>
  <c r="K19" i="550"/>
  <c r="M19" i="550" s="1"/>
  <c r="K19" i="550" a="1"/>
  <c r="J19" i="550"/>
  <c r="J19" i="550" a="1"/>
  <c r="H19" i="550"/>
  <c r="N18" i="550"/>
  <c r="K18" i="550" a="1"/>
  <c r="K18" i="550" s="1"/>
  <c r="M18" i="550" s="1"/>
  <c r="J18" i="550" a="1"/>
  <c r="J18" i="550" s="1"/>
  <c r="H18" i="550"/>
  <c r="N17" i="550"/>
  <c r="K17" i="550"/>
  <c r="M17" i="550" s="1"/>
  <c r="K17" i="550" a="1"/>
  <c r="J17" i="550"/>
  <c r="J17" i="550" a="1"/>
  <c r="H17" i="550"/>
  <c r="V16" i="550"/>
  <c r="W16" i="550" s="1"/>
  <c r="N16" i="550"/>
  <c r="K16" i="550" a="1"/>
  <c r="K16" i="550" s="1"/>
  <c r="M16" i="550" s="1"/>
  <c r="J16" i="550" a="1"/>
  <c r="J16" i="550" s="1"/>
  <c r="H16" i="550"/>
  <c r="V15" i="550"/>
  <c r="W15" i="550" s="1"/>
  <c r="N15" i="550"/>
  <c r="K15" i="550" a="1"/>
  <c r="K15" i="550" s="1"/>
  <c r="M15" i="550" s="1"/>
  <c r="J15" i="550" a="1"/>
  <c r="J15" i="550" s="1"/>
  <c r="H15" i="550"/>
  <c r="N14" i="550"/>
  <c r="K14" i="550" a="1"/>
  <c r="K14" i="550" s="1"/>
  <c r="M14" i="550" s="1"/>
  <c r="H14" i="550"/>
  <c r="N13" i="550"/>
  <c r="K13" i="550" a="1"/>
  <c r="K13" i="550" s="1"/>
  <c r="M13" i="550" s="1"/>
  <c r="H13" i="550"/>
  <c r="V12" i="550"/>
  <c r="W12" i="550" s="1"/>
  <c r="N12" i="550"/>
  <c r="K12" i="550" a="1"/>
  <c r="K12" i="550" s="1"/>
  <c r="M12" i="550" s="1"/>
  <c r="J12" i="550" a="1"/>
  <c r="J12" i="550" s="1"/>
  <c r="H12" i="550"/>
  <c r="V11" i="550"/>
  <c r="W11" i="550" s="1"/>
  <c r="N11" i="550"/>
  <c r="K11" i="550"/>
  <c r="M11" i="550" s="1"/>
  <c r="K11" i="550" a="1"/>
  <c r="J11" i="550"/>
  <c r="J11" i="550" a="1"/>
  <c r="H11" i="550"/>
  <c r="V10" i="550"/>
  <c r="W10" i="550" s="1"/>
  <c r="N10" i="550"/>
  <c r="K10" i="550" a="1"/>
  <c r="K10" i="550" s="1"/>
  <c r="M10" i="550" s="1"/>
  <c r="J10" i="550" a="1"/>
  <c r="J10" i="550" s="1"/>
  <c r="H10" i="550"/>
  <c r="V9" i="550"/>
  <c r="W9" i="550" s="1"/>
  <c r="N9" i="550"/>
  <c r="K9" i="550" a="1"/>
  <c r="K9" i="550" s="1"/>
  <c r="M9" i="550" s="1"/>
  <c r="J9" i="550" a="1"/>
  <c r="J9" i="550" s="1"/>
  <c r="H9" i="550"/>
  <c r="V8" i="550"/>
  <c r="W8" i="550" s="1"/>
  <c r="N8" i="550"/>
  <c r="K8" i="550" a="1"/>
  <c r="K8" i="550" s="1"/>
  <c r="M8" i="550" s="1"/>
  <c r="J8" i="550" a="1"/>
  <c r="J8" i="550" s="1"/>
  <c r="H8" i="550"/>
  <c r="V7" i="550"/>
  <c r="V28" i="550" s="1"/>
  <c r="N7" i="550"/>
  <c r="N28" i="550" s="1"/>
  <c r="K7" i="550"/>
  <c r="M7" i="550" s="1"/>
  <c r="K7" i="550" a="1"/>
  <c r="J7" i="550"/>
  <c r="J7" i="550" a="1"/>
  <c r="H7" i="550"/>
  <c r="H28" i="550" s="1"/>
  <c r="J319" i="550" l="1" a="1"/>
  <c r="J319" i="550" s="1"/>
  <c r="J257" i="550" a="1"/>
  <c r="J257" i="550" s="1"/>
  <c r="J308" i="550" a="1"/>
  <c r="J308" i="550" s="1"/>
  <c r="J292" i="550" a="1"/>
  <c r="J292" i="550" s="1"/>
  <c r="H463" i="550"/>
  <c r="H199" i="550"/>
  <c r="R342" i="550"/>
  <c r="R341" i="550"/>
  <c r="M308" i="550"/>
  <c r="H308" i="550"/>
  <c r="V308" i="550"/>
  <c r="W308" i="550" s="1"/>
  <c r="H292" i="550"/>
  <c r="H335" i="550" s="1"/>
  <c r="E342" i="550" s="1"/>
  <c r="V292" i="550"/>
  <c r="W292" i="550" s="1"/>
  <c r="W319" i="550"/>
  <c r="K506" i="550"/>
  <c r="K479" i="550"/>
  <c r="J479" i="550" a="1"/>
  <c r="J479" i="550" s="1"/>
  <c r="R512" i="550"/>
  <c r="N463" i="550"/>
  <c r="M463" i="550"/>
  <c r="W349" i="550"/>
  <c r="H428" i="550"/>
  <c r="H507" i="550" s="1"/>
  <c r="E514" i="550" s="1"/>
  <c r="V428" i="550"/>
  <c r="W428" i="550" s="1"/>
  <c r="H164" i="550"/>
  <c r="E171" i="550" s="1"/>
  <c r="H163" i="550"/>
  <c r="N121" i="550"/>
  <c r="N164" i="550" s="1"/>
  <c r="B173" i="550" s="1"/>
  <c r="E173" i="550" s="1"/>
  <c r="M28" i="550"/>
  <c r="W7" i="550"/>
  <c r="J163" i="550" a="1"/>
  <c r="J163" i="550" s="1"/>
  <c r="M86" i="550"/>
  <c r="J148" i="550" a="1"/>
  <c r="J148" i="550" s="1"/>
  <c r="J137" i="550" a="1"/>
  <c r="J137" i="550" s="1"/>
  <c r="C520" i="550"/>
  <c r="Q525" i="550"/>
  <c r="K525" i="550"/>
  <c r="K526" i="550"/>
  <c r="K528" i="550"/>
  <c r="K163" i="550"/>
  <c r="M149" i="550"/>
  <c r="M163" i="550" s="1"/>
  <c r="K529" i="550"/>
  <c r="K257" i="550"/>
  <c r="M200" i="550"/>
  <c r="M257" i="550" s="1"/>
  <c r="W28" i="550"/>
  <c r="M87" i="550"/>
  <c r="M121" i="550" s="1"/>
  <c r="K121" i="550"/>
  <c r="M137" i="550"/>
  <c r="K527" i="550"/>
  <c r="K148" i="550"/>
  <c r="M138" i="550"/>
  <c r="M148" i="550" s="1"/>
  <c r="K199" i="550"/>
  <c r="M178" i="550"/>
  <c r="M199" i="550" s="1"/>
  <c r="K292" i="550"/>
  <c r="M258" i="550"/>
  <c r="M292" i="550" s="1"/>
  <c r="J28" i="550" a="1"/>
  <c r="J28" i="550" s="1"/>
  <c r="K28" i="550"/>
  <c r="J86" i="550" a="1"/>
  <c r="J86" i="550" s="1"/>
  <c r="K86" i="550"/>
  <c r="W87" i="550"/>
  <c r="J121" i="550" a="1"/>
  <c r="J121" i="550" s="1"/>
  <c r="K137" i="550"/>
  <c r="V163" i="550"/>
  <c r="W163" i="550" s="1"/>
  <c r="G164" i="550"/>
  <c r="P164" i="550"/>
  <c r="X168" i="550" s="1"/>
  <c r="X173" i="550" s="1"/>
  <c r="K166" i="550"/>
  <c r="R166" i="550"/>
  <c r="J335" i="550" a="1"/>
  <c r="J335" i="550" s="1"/>
  <c r="M342" i="550" s="1"/>
  <c r="B342" i="550"/>
  <c r="O335" i="550"/>
  <c r="R337" i="550"/>
  <c r="K319" i="550"/>
  <c r="M309" i="550"/>
  <c r="M319" i="550" s="1"/>
  <c r="K334" i="550"/>
  <c r="M320" i="550"/>
  <c r="M334" i="550" s="1"/>
  <c r="C530" i="550"/>
  <c r="E524" i="550" s="1"/>
  <c r="W138" i="550"/>
  <c r="W178" i="550"/>
  <c r="W199" i="550" s="1"/>
  <c r="W335" i="550" s="1"/>
  <c r="J199" i="550" a="1"/>
  <c r="J199" i="550" s="1"/>
  <c r="X338" i="550"/>
  <c r="P335" i="550"/>
  <c r="X339" i="550" s="1"/>
  <c r="W200" i="550"/>
  <c r="N292" i="550"/>
  <c r="N335" i="550" s="1"/>
  <c r="B344" i="550" s="1"/>
  <c r="W258" i="550"/>
  <c r="K308" i="550"/>
  <c r="V334" i="550"/>
  <c r="V335" i="550" s="1"/>
  <c r="I344" i="550" s="1"/>
  <c r="M344" i="550" s="1" a="1"/>
  <c r="M344" i="550" s="1"/>
  <c r="K337" i="550"/>
  <c r="K370" i="550"/>
  <c r="W370" i="550"/>
  <c r="W309" i="550"/>
  <c r="M349" i="550"/>
  <c r="M370" i="550" s="1"/>
  <c r="K428" i="550"/>
  <c r="M371" i="550"/>
  <c r="M428" i="550" s="1"/>
  <c r="J370" i="550" a="1"/>
  <c r="J370" i="550" s="1"/>
  <c r="W371" i="550"/>
  <c r="R510" i="550"/>
  <c r="V463" i="550"/>
  <c r="W463" i="550" s="1"/>
  <c r="J463" i="550" a="1"/>
  <c r="J463" i="550" s="1"/>
  <c r="N479" i="550"/>
  <c r="N507" i="550" s="1"/>
  <c r="B516" i="550" s="1"/>
  <c r="E516" i="550" s="1"/>
  <c r="B514" i="550"/>
  <c r="J507" i="550" a="1"/>
  <c r="J507" i="550" s="1"/>
  <c r="M514" i="550" s="1"/>
  <c r="R509" i="550"/>
  <c r="X509" i="550"/>
  <c r="O507" i="550"/>
  <c r="X510" i="550" s="1"/>
  <c r="K463" i="550"/>
  <c r="M479" i="550"/>
  <c r="W464" i="550"/>
  <c r="V479" i="550"/>
  <c r="W479" i="550" s="1"/>
  <c r="V490" i="550"/>
  <c r="W490" i="550" s="1"/>
  <c r="W506" i="550"/>
  <c r="V506" i="550"/>
  <c r="R534" i="550"/>
  <c r="S534" i="550" a="1"/>
  <c r="S534" i="550" s="1"/>
  <c r="M480" i="550"/>
  <c r="M490" i="550" s="1"/>
  <c r="M491" i="550"/>
  <c r="M506" i="550" s="1"/>
  <c r="R514" i="550"/>
  <c r="K513" i="550"/>
  <c r="M509" i="550"/>
  <c r="J536" i="550"/>
  <c r="Q533" i="550"/>
  <c r="R535" i="550"/>
  <c r="S535" i="550" a="1"/>
  <c r="S535" i="550" s="1"/>
  <c r="E513" i="550"/>
  <c r="T533" i="550" a="1"/>
  <c r="T533" i="550" s="1"/>
  <c r="T534" i="550" a="1"/>
  <c r="T534" i="550" s="1"/>
  <c r="T535" i="550" a="1"/>
  <c r="T535" i="550" s="1"/>
  <c r="C536" i="550"/>
  <c r="T536" i="550" s="1" a="1"/>
  <c r="T536" i="550" s="1"/>
  <c r="G201" i="544"/>
  <c r="E539" i="544"/>
  <c r="G164" i="544"/>
  <c r="X344" i="550" l="1"/>
  <c r="G519" i="550"/>
  <c r="Z170" i="550"/>
  <c r="Z169" i="550"/>
  <c r="Z171" i="550"/>
  <c r="E529" i="550"/>
  <c r="E526" i="550"/>
  <c r="E528" i="550"/>
  <c r="E527" i="550"/>
  <c r="E525" i="550"/>
  <c r="M164" i="550"/>
  <c r="E344" i="550"/>
  <c r="C521" i="550"/>
  <c r="G521" i="550" s="1"/>
  <c r="R533" i="550"/>
  <c r="R536" i="550" s="1"/>
  <c r="Q536" i="550"/>
  <c r="S536" i="550" s="1" a="1"/>
  <c r="S536" i="550" s="1"/>
  <c r="S533" i="550" a="1"/>
  <c r="S533" i="550" s="1"/>
  <c r="R516" i="550"/>
  <c r="T510" i="550" s="1"/>
  <c r="V507" i="550"/>
  <c r="M337" i="550"/>
  <c r="K341" i="550"/>
  <c r="M341" i="550" s="1"/>
  <c r="Z343" i="550"/>
  <c r="Z337" i="550" a="1"/>
  <c r="Z337" i="550" s="1"/>
  <c r="Z338" i="550"/>
  <c r="Z342" i="550"/>
  <c r="R344" i="550"/>
  <c r="T337" i="550" s="1" a="1"/>
  <c r="T337" i="550" s="1"/>
  <c r="Z172" i="550"/>
  <c r="Z166" i="550" a="1"/>
  <c r="Z166" i="550" s="1"/>
  <c r="K524" i="550"/>
  <c r="R173" i="550"/>
  <c r="T166" i="550" s="1" a="1"/>
  <c r="T166" i="550" s="1"/>
  <c r="Q526" i="550"/>
  <c r="Z168" i="550"/>
  <c r="K164" i="550"/>
  <c r="E172" i="550" s="1"/>
  <c r="K335" i="550"/>
  <c r="V164" i="550"/>
  <c r="I173" i="550" s="1"/>
  <c r="M513" i="550"/>
  <c r="X516" i="550"/>
  <c r="Z509" i="550" s="1" a="1"/>
  <c r="Z509" i="550" s="1"/>
  <c r="M507" i="550"/>
  <c r="K507" i="550"/>
  <c r="Z341" i="550"/>
  <c r="Z339" i="550"/>
  <c r="Z340" i="550"/>
  <c r="M166" i="550"/>
  <c r="K170" i="550"/>
  <c r="M170" i="550" s="1"/>
  <c r="J164" i="550" a="1"/>
  <c r="J164" i="550" s="1"/>
  <c r="M171" i="550" s="1"/>
  <c r="B171" i="550"/>
  <c r="C519" i="550" s="1"/>
  <c r="L164" i="550"/>
  <c r="I171" i="550" s="1"/>
  <c r="M335" i="550"/>
  <c r="W164" i="550"/>
  <c r="Z167" i="550"/>
  <c r="G456" i="547"/>
  <c r="E530" i="550" l="1"/>
  <c r="E515" i="550"/>
  <c r="I515" i="550" s="1"/>
  <c r="M515" i="550" s="1"/>
  <c r="L507" i="550"/>
  <c r="I514" i="550" s="1"/>
  <c r="M173" i="550" a="1"/>
  <c r="M173" i="550" s="1"/>
  <c r="E343" i="550"/>
  <c r="I343" i="550" s="1"/>
  <c r="M343" i="550" s="1"/>
  <c r="L335" i="550"/>
  <c r="I342" i="550" s="1"/>
  <c r="I516" i="550"/>
  <c r="M516" i="550" s="1" a="1"/>
  <c r="M516" i="550" s="1"/>
  <c r="W507" i="550"/>
  <c r="T515" i="550"/>
  <c r="T512" i="550"/>
  <c r="T511" i="550"/>
  <c r="T513" i="550"/>
  <c r="T514" i="550"/>
  <c r="O519" i="550" a="1"/>
  <c r="O519" i="550" s="1"/>
  <c r="Z515" i="550"/>
  <c r="Z514" i="550"/>
  <c r="Z511" i="550"/>
  <c r="Z512" i="550"/>
  <c r="Z513" i="550"/>
  <c r="G520" i="550"/>
  <c r="K520" i="550" s="1"/>
  <c r="O520" i="550" s="1"/>
  <c r="I172" i="550"/>
  <c r="M172" i="550" s="1"/>
  <c r="S526" i="550"/>
  <c r="Q530" i="550"/>
  <c r="K530" i="550"/>
  <c r="T172" i="550"/>
  <c r="T167" i="550"/>
  <c r="T168" i="550"/>
  <c r="T170" i="550"/>
  <c r="T171" i="550"/>
  <c r="T169" i="550"/>
  <c r="T343" i="550"/>
  <c r="T338" i="550"/>
  <c r="T341" i="550"/>
  <c r="T339" i="550"/>
  <c r="T340" i="550"/>
  <c r="T342" i="550"/>
  <c r="T509" i="550" a="1"/>
  <c r="T509" i="550" s="1"/>
  <c r="Z510" i="550"/>
  <c r="G150" i="549"/>
  <c r="M527" i="550" l="1"/>
  <c r="M529" i="550"/>
  <c r="M526" i="550"/>
  <c r="M528" i="550"/>
  <c r="M525" i="550"/>
  <c r="S527" i="550"/>
  <c r="S529" i="550"/>
  <c r="S524" i="550" a="1"/>
  <c r="S524" i="550" s="1"/>
  <c r="S528" i="550"/>
  <c r="S525" i="550"/>
  <c r="K519" i="550"/>
  <c r="M524" i="550" a="1"/>
  <c r="M524" i="550" s="1"/>
  <c r="K521" i="550"/>
  <c r="O521" i="550" s="1" a="1"/>
  <c r="O521" i="550" s="1"/>
  <c r="J283" i="549" a="1"/>
  <c r="J283" i="549" s="1"/>
  <c r="M316" i="549"/>
  <c r="M315" i="549"/>
  <c r="M314" i="549"/>
  <c r="J316" i="549" a="1"/>
  <c r="J316" i="549" s="1"/>
  <c r="J315" i="549" a="1"/>
  <c r="J315" i="549" s="1"/>
  <c r="J314" i="549" a="1"/>
  <c r="J314" i="549" s="1"/>
  <c r="K316" i="549" a="1"/>
  <c r="K316" i="549" s="1"/>
  <c r="K315" i="549" a="1"/>
  <c r="K315" i="549" s="1"/>
  <c r="K314" i="549" a="1"/>
  <c r="K314" i="549" s="1"/>
  <c r="I316" i="549"/>
  <c r="I181" i="549"/>
  <c r="I240" i="549"/>
  <c r="I284" i="549"/>
  <c r="I213" i="549"/>
  <c r="I215" i="549"/>
  <c r="I204" i="549"/>
  <c r="I202" i="549"/>
  <c r="I289" i="549"/>
  <c r="I293" i="549"/>
  <c r="I183" i="549"/>
  <c r="I295" i="549"/>
  <c r="S530" i="550" l="1"/>
  <c r="G122" i="549"/>
  <c r="G18" i="549"/>
  <c r="G293" i="549" l="1"/>
  <c r="G44" i="549"/>
  <c r="G316" i="549"/>
  <c r="G202" i="549"/>
  <c r="G31" i="549"/>
  <c r="G284" i="549"/>
  <c r="G118" i="549"/>
  <c r="G204" i="549"/>
  <c r="G136" i="548"/>
  <c r="G15" i="549" l="1"/>
  <c r="G314" i="549"/>
  <c r="G322" i="549"/>
  <c r="G289" i="549"/>
  <c r="G295" i="549"/>
  <c r="G240" i="549"/>
  <c r="G215" i="549"/>
  <c r="G213" i="549"/>
  <c r="G181" i="549"/>
  <c r="I44" i="549" l="1"/>
  <c r="I118" i="549"/>
  <c r="I18" i="549"/>
  <c r="I15" i="549"/>
  <c r="I19" i="549"/>
  <c r="I69" i="549"/>
  <c r="I145" i="549"/>
  <c r="I31" i="549"/>
  <c r="I122" i="549"/>
  <c r="I12" i="549"/>
  <c r="I431" i="549" l="1"/>
  <c r="I430" i="549"/>
  <c r="D534" i="548"/>
  <c r="D535" i="548"/>
  <c r="D533" i="548"/>
  <c r="G431" i="549"/>
  <c r="G430" i="549"/>
  <c r="G145" i="549"/>
  <c r="G69" i="549"/>
  <c r="G19" i="549"/>
  <c r="G12" i="549"/>
  <c r="P536" i="549"/>
  <c r="O536" i="549"/>
  <c r="N536" i="549"/>
  <c r="M536" i="549"/>
  <c r="L536" i="549"/>
  <c r="K536" i="549"/>
  <c r="I536" i="549"/>
  <c r="H536" i="549"/>
  <c r="G536" i="549"/>
  <c r="F536" i="549"/>
  <c r="E536" i="549"/>
  <c r="G517" i="549"/>
  <c r="N517" i="549" s="1"/>
  <c r="X515" i="549"/>
  <c r="X514" i="549"/>
  <c r="X513" i="549"/>
  <c r="G513" i="549"/>
  <c r="C513" i="549"/>
  <c r="X512" i="549"/>
  <c r="I512" i="549"/>
  <c r="E512" i="549"/>
  <c r="K512" i="549" s="1"/>
  <c r="M512" i="549" s="1"/>
  <c r="X511" i="549"/>
  <c r="I511" i="549"/>
  <c r="E511" i="549"/>
  <c r="K511" i="549" s="1"/>
  <c r="M511" i="549" s="1"/>
  <c r="I510" i="549"/>
  <c r="E510" i="549"/>
  <c r="K510" i="549" s="1"/>
  <c r="M510" i="549" s="1"/>
  <c r="I509" i="549"/>
  <c r="I513" i="549" s="1"/>
  <c r="E509" i="549"/>
  <c r="E513" i="549" s="1"/>
  <c r="AA506" i="549"/>
  <c r="Z506" i="549"/>
  <c r="Y506" i="549"/>
  <c r="X506" i="549"/>
  <c r="U506" i="549"/>
  <c r="T506" i="549"/>
  <c r="S506" i="549"/>
  <c r="R506" i="549"/>
  <c r="Q506" i="549"/>
  <c r="P506" i="549"/>
  <c r="O506" i="549"/>
  <c r="I506" i="549"/>
  <c r="G506" i="549"/>
  <c r="J506" i="549" s="1" a="1"/>
  <c r="J506" i="549" s="1"/>
  <c r="H505" i="549"/>
  <c r="H504" i="549"/>
  <c r="H503" i="549"/>
  <c r="D502" i="549"/>
  <c r="H502" i="549" s="1"/>
  <c r="V501" i="549"/>
  <c r="W501" i="549" s="1"/>
  <c r="N501" i="549"/>
  <c r="K501" i="549" a="1"/>
  <c r="K501" i="549" s="1"/>
  <c r="M501" i="549" s="1"/>
  <c r="J501" i="549" a="1"/>
  <c r="J501" i="549" s="1"/>
  <c r="H501" i="549"/>
  <c r="H500" i="549"/>
  <c r="H499" i="549"/>
  <c r="V498" i="549"/>
  <c r="W498" i="549" s="1"/>
  <c r="N498" i="549"/>
  <c r="K498" i="549" a="1"/>
  <c r="K498" i="549" s="1"/>
  <c r="M498" i="549" s="1"/>
  <c r="J498" i="549" a="1"/>
  <c r="J498" i="549" s="1"/>
  <c r="H498" i="549"/>
  <c r="V497" i="549"/>
  <c r="W497" i="549" s="1"/>
  <c r="N497" i="549"/>
  <c r="K497" i="549"/>
  <c r="M497" i="549" s="1"/>
  <c r="K497" i="549" a="1"/>
  <c r="J497" i="549"/>
  <c r="J497" i="549" a="1"/>
  <c r="H497" i="549"/>
  <c r="H496" i="549"/>
  <c r="H495" i="549"/>
  <c r="V494" i="549"/>
  <c r="W494" i="549" s="1"/>
  <c r="N494" i="549"/>
  <c r="K494" i="549" a="1"/>
  <c r="K494" i="549" s="1"/>
  <c r="M494" i="549" s="1"/>
  <c r="J494" i="549" a="1"/>
  <c r="J494" i="549" s="1"/>
  <c r="H494" i="549"/>
  <c r="W493" i="549"/>
  <c r="V493" i="549"/>
  <c r="N493" i="549"/>
  <c r="K493" i="549" a="1"/>
  <c r="K493" i="549" s="1"/>
  <c r="M493" i="549" s="1"/>
  <c r="J493" i="549" a="1"/>
  <c r="J493" i="549" s="1"/>
  <c r="H493" i="549"/>
  <c r="V492" i="549"/>
  <c r="W492" i="549" s="1"/>
  <c r="N492" i="549"/>
  <c r="K492" i="549" a="1"/>
  <c r="K492" i="549" s="1"/>
  <c r="M492" i="549" s="1"/>
  <c r="J492" i="549" a="1"/>
  <c r="J492" i="549" s="1"/>
  <c r="H492" i="549"/>
  <c r="V491" i="549"/>
  <c r="W491" i="549" s="1"/>
  <c r="N491" i="549"/>
  <c r="N506" i="549" s="1"/>
  <c r="K491" i="549"/>
  <c r="K491" i="549" a="1"/>
  <c r="J491" i="549"/>
  <c r="J491" i="549" a="1"/>
  <c r="H491" i="549"/>
  <c r="H506" i="549" s="1"/>
  <c r="AA490" i="549"/>
  <c r="Z490" i="549"/>
  <c r="Y490" i="549"/>
  <c r="X490" i="549"/>
  <c r="U490" i="549"/>
  <c r="T490" i="549"/>
  <c r="S490" i="549"/>
  <c r="Q490" i="549"/>
  <c r="P490" i="549"/>
  <c r="O490" i="549"/>
  <c r="R513" i="549" s="1"/>
  <c r="I490" i="549"/>
  <c r="G490" i="549"/>
  <c r="J490" i="549" s="1" a="1"/>
  <c r="J490" i="549" s="1"/>
  <c r="V489" i="549"/>
  <c r="W489" i="549" s="1"/>
  <c r="N489" i="549"/>
  <c r="K489" i="549" a="1"/>
  <c r="K489" i="549" s="1"/>
  <c r="M489" i="549" s="1"/>
  <c r="J489" i="549" a="1"/>
  <c r="J489" i="549" s="1"/>
  <c r="H489" i="549"/>
  <c r="H488" i="549"/>
  <c r="H487" i="549"/>
  <c r="H486" i="549"/>
  <c r="H485" i="549"/>
  <c r="W484" i="549"/>
  <c r="V484" i="549"/>
  <c r="N484" i="549"/>
  <c r="K484" i="549" a="1"/>
  <c r="K484" i="549" s="1"/>
  <c r="M484" i="549" s="1"/>
  <c r="J484" i="549" a="1"/>
  <c r="J484" i="549" s="1"/>
  <c r="H484" i="549"/>
  <c r="V483" i="549"/>
  <c r="W483" i="549" s="1"/>
  <c r="N483" i="549"/>
  <c r="K483" i="549" a="1"/>
  <c r="K483" i="549" s="1"/>
  <c r="M483" i="549" s="1"/>
  <c r="J483" i="549" a="1"/>
  <c r="J483" i="549" s="1"/>
  <c r="H483" i="549"/>
  <c r="V482" i="549"/>
  <c r="W482" i="549" s="1"/>
  <c r="N482" i="549"/>
  <c r="K482" i="549"/>
  <c r="M482" i="549" s="1"/>
  <c r="K482" i="549" a="1"/>
  <c r="J482" i="549"/>
  <c r="J482" i="549" a="1"/>
  <c r="H482" i="549"/>
  <c r="V481" i="549"/>
  <c r="W481" i="549" s="1"/>
  <c r="N481" i="549"/>
  <c r="K481" i="549" a="1"/>
  <c r="K481" i="549" s="1"/>
  <c r="M481" i="549" s="1"/>
  <c r="J481" i="549" a="1"/>
  <c r="J481" i="549" s="1"/>
  <c r="H481" i="549"/>
  <c r="W480" i="549"/>
  <c r="V480" i="549"/>
  <c r="N480" i="549"/>
  <c r="N490" i="549" s="1"/>
  <c r="K480" i="549" a="1"/>
  <c r="K480" i="549" s="1"/>
  <c r="K490" i="549" s="1"/>
  <c r="J480" i="549" a="1"/>
  <c r="J480" i="549" s="1"/>
  <c r="H480" i="549"/>
  <c r="H490" i="549" s="1"/>
  <c r="AA479" i="549"/>
  <c r="Z479" i="549"/>
  <c r="Y479" i="549"/>
  <c r="X479" i="549"/>
  <c r="U479" i="549"/>
  <c r="T479" i="549"/>
  <c r="S479" i="549"/>
  <c r="Q479" i="549"/>
  <c r="P479" i="549"/>
  <c r="O479" i="549"/>
  <c r="I479" i="549"/>
  <c r="G479" i="549"/>
  <c r="V478" i="549"/>
  <c r="W478" i="549" s="1"/>
  <c r="N478" i="549"/>
  <c r="K478" i="549" a="1"/>
  <c r="K478" i="549" s="1"/>
  <c r="M478" i="549" s="1"/>
  <c r="J478" i="549" a="1"/>
  <c r="J478" i="549" s="1"/>
  <c r="H478" i="549"/>
  <c r="V477" i="549"/>
  <c r="W477" i="549" s="1"/>
  <c r="N477" i="549"/>
  <c r="K477" i="549" a="1"/>
  <c r="K477" i="549" s="1"/>
  <c r="M477" i="549" s="1"/>
  <c r="J477" i="549" a="1"/>
  <c r="J477" i="549" s="1"/>
  <c r="H477" i="549"/>
  <c r="V476" i="549"/>
  <c r="W476" i="549" s="1"/>
  <c r="N476" i="549"/>
  <c r="M476" i="549"/>
  <c r="K476" i="549" a="1"/>
  <c r="K476" i="549" s="1"/>
  <c r="J476" i="549" a="1"/>
  <c r="J476" i="549" s="1"/>
  <c r="H476" i="549"/>
  <c r="W475" i="549"/>
  <c r="V475" i="549"/>
  <c r="N475" i="549"/>
  <c r="K475" i="549" a="1"/>
  <c r="K475" i="549" s="1"/>
  <c r="M475" i="549" s="1"/>
  <c r="J475" i="549" a="1"/>
  <c r="J475" i="549" s="1"/>
  <c r="H475" i="549"/>
  <c r="V474" i="549"/>
  <c r="W474" i="549" s="1"/>
  <c r="N474" i="549"/>
  <c r="M474" i="549"/>
  <c r="K474" i="549" a="1"/>
  <c r="K474" i="549" s="1"/>
  <c r="J474" i="549" a="1"/>
  <c r="J474" i="549" s="1"/>
  <c r="H474" i="549"/>
  <c r="W473" i="549"/>
  <c r="V473" i="549"/>
  <c r="N473" i="549"/>
  <c r="K473" i="549" a="1"/>
  <c r="K473" i="549" s="1"/>
  <c r="M473" i="549" s="1"/>
  <c r="J473" i="549" a="1"/>
  <c r="J473" i="549" s="1"/>
  <c r="H473" i="549"/>
  <c r="V472" i="549"/>
  <c r="W472" i="549" s="1"/>
  <c r="N472" i="549"/>
  <c r="M472" i="549"/>
  <c r="K472" i="549" a="1"/>
  <c r="K472" i="549" s="1"/>
  <c r="J472" i="549" a="1"/>
  <c r="J472" i="549" s="1"/>
  <c r="H472" i="549"/>
  <c r="W471" i="549"/>
  <c r="V471" i="549"/>
  <c r="N471" i="549"/>
  <c r="K471" i="549" a="1"/>
  <c r="K471" i="549" s="1"/>
  <c r="M471" i="549" s="1"/>
  <c r="J471" i="549" a="1"/>
  <c r="J471" i="549" s="1"/>
  <c r="H471" i="549"/>
  <c r="V470" i="549"/>
  <c r="W470" i="549" s="1"/>
  <c r="N470" i="549"/>
  <c r="M470" i="549"/>
  <c r="K470" i="549" a="1"/>
  <c r="K470" i="549" s="1"/>
  <c r="J470" i="549" a="1"/>
  <c r="J470" i="549" s="1"/>
  <c r="H470" i="549"/>
  <c r="W469" i="549"/>
  <c r="V469" i="549"/>
  <c r="N469" i="549"/>
  <c r="K469" i="549" a="1"/>
  <c r="K469" i="549" s="1"/>
  <c r="M469" i="549" s="1"/>
  <c r="J469" i="549" a="1"/>
  <c r="J469" i="549" s="1"/>
  <c r="H469" i="549"/>
  <c r="V468" i="549"/>
  <c r="W468" i="549" s="1"/>
  <c r="N468" i="549"/>
  <c r="M468" i="549"/>
  <c r="K468" i="549" a="1"/>
  <c r="K468" i="549" s="1"/>
  <c r="J468" i="549" a="1"/>
  <c r="J468" i="549" s="1"/>
  <c r="H468" i="549"/>
  <c r="W467" i="549"/>
  <c r="V467" i="549"/>
  <c r="N467" i="549"/>
  <c r="K467" i="549" a="1"/>
  <c r="K467" i="549" s="1"/>
  <c r="M467" i="549" s="1"/>
  <c r="J467" i="549" a="1"/>
  <c r="J467" i="549" s="1"/>
  <c r="H467" i="549"/>
  <c r="V466" i="549"/>
  <c r="W466" i="549" s="1"/>
  <c r="N466" i="549"/>
  <c r="M466" i="549"/>
  <c r="K466" i="549" a="1"/>
  <c r="K466" i="549" s="1"/>
  <c r="J466" i="549" a="1"/>
  <c r="J466" i="549" s="1"/>
  <c r="H466" i="549"/>
  <c r="W465" i="549"/>
  <c r="V465" i="549"/>
  <c r="N465" i="549"/>
  <c r="K465" i="549" a="1"/>
  <c r="K465" i="549" s="1"/>
  <c r="M465" i="549" s="1"/>
  <c r="J465" i="549" a="1"/>
  <c r="J465" i="549" s="1"/>
  <c r="H465" i="549"/>
  <c r="V464" i="549"/>
  <c r="N464" i="549"/>
  <c r="M464" i="549"/>
  <c r="K464" i="549" a="1"/>
  <c r="K464" i="549" s="1"/>
  <c r="J464" i="549" a="1"/>
  <c r="J464" i="549" s="1"/>
  <c r="H464" i="549"/>
  <c r="H479" i="549" s="1"/>
  <c r="AA463" i="549"/>
  <c r="Z463" i="549"/>
  <c r="Y463" i="549"/>
  <c r="X463" i="549"/>
  <c r="U463" i="549"/>
  <c r="T463" i="549"/>
  <c r="S463" i="549"/>
  <c r="R463" i="549"/>
  <c r="Q463" i="549"/>
  <c r="P463" i="549"/>
  <c r="O463" i="549"/>
  <c r="R511" i="549" s="1"/>
  <c r="I463" i="549"/>
  <c r="G463" i="549"/>
  <c r="V462" i="549"/>
  <c r="W462" i="549" s="1"/>
  <c r="N462" i="549"/>
  <c r="K462" i="549" a="1"/>
  <c r="K462" i="549" s="1"/>
  <c r="M462" i="549" s="1"/>
  <c r="J462" i="549" a="1"/>
  <c r="J462" i="549" s="1"/>
  <c r="H462" i="549"/>
  <c r="V461" i="549"/>
  <c r="W461" i="549" s="1"/>
  <c r="N461" i="549"/>
  <c r="K461" i="549" a="1"/>
  <c r="K461" i="549" s="1"/>
  <c r="M461" i="549" s="1"/>
  <c r="J461" i="549" a="1"/>
  <c r="J461" i="549" s="1"/>
  <c r="H461" i="549"/>
  <c r="V460" i="549"/>
  <c r="W460" i="549" s="1"/>
  <c r="N460" i="549"/>
  <c r="K460" i="549" a="1"/>
  <c r="K460" i="549" s="1"/>
  <c r="M460" i="549" s="1"/>
  <c r="J460" i="549" a="1"/>
  <c r="J460" i="549" s="1"/>
  <c r="H460" i="549"/>
  <c r="K459" i="549" a="1"/>
  <c r="K459" i="549" s="1"/>
  <c r="M459" i="549" s="1"/>
  <c r="H459" i="549"/>
  <c r="K458" i="549" a="1"/>
  <c r="K458" i="549" s="1"/>
  <c r="M458" i="549" s="1"/>
  <c r="H458" i="549"/>
  <c r="K457" i="549" a="1"/>
  <c r="K457" i="549" s="1"/>
  <c r="M457" i="549" s="1"/>
  <c r="H457" i="549"/>
  <c r="W456" i="549"/>
  <c r="V456" i="549"/>
  <c r="N456" i="549"/>
  <c r="K456" i="549" a="1"/>
  <c r="K456" i="549" s="1"/>
  <c r="M456" i="549" s="1"/>
  <c r="J456" i="549" a="1"/>
  <c r="J456" i="549" s="1"/>
  <c r="H456" i="549"/>
  <c r="V455" i="549"/>
  <c r="W455" i="549" s="1"/>
  <c r="N455" i="549"/>
  <c r="K455" i="549" a="1"/>
  <c r="K455" i="549" s="1"/>
  <c r="M455" i="549" s="1"/>
  <c r="J455" i="549" a="1"/>
  <c r="J455" i="549" s="1"/>
  <c r="H455" i="549"/>
  <c r="N454" i="549"/>
  <c r="K454" i="549"/>
  <c r="M454" i="549" s="1"/>
  <c r="K454" i="549" a="1"/>
  <c r="H454" i="549"/>
  <c r="N453" i="549"/>
  <c r="K453" i="549" a="1"/>
  <c r="K453" i="549" s="1"/>
  <c r="M453" i="549" s="1"/>
  <c r="H453" i="549"/>
  <c r="N452" i="549"/>
  <c r="K452" i="549" a="1"/>
  <c r="K452" i="549" s="1"/>
  <c r="M452" i="549" s="1"/>
  <c r="H452" i="549"/>
  <c r="N451" i="549"/>
  <c r="K451" i="549" a="1"/>
  <c r="K451" i="549" s="1"/>
  <c r="M451" i="549" s="1"/>
  <c r="H451" i="549"/>
  <c r="N450" i="549"/>
  <c r="K450" i="549" a="1"/>
  <c r="K450" i="549" s="1"/>
  <c r="M450" i="549" s="1"/>
  <c r="H450" i="549"/>
  <c r="N449" i="549"/>
  <c r="K449" i="549" a="1"/>
  <c r="K449" i="549" s="1"/>
  <c r="M449" i="549" s="1"/>
  <c r="H449" i="549"/>
  <c r="V448" i="549"/>
  <c r="W448" i="549" s="1"/>
  <c r="N448" i="549"/>
  <c r="K448" i="549" a="1"/>
  <c r="K448" i="549" s="1"/>
  <c r="M448" i="549" s="1"/>
  <c r="J448" i="549" a="1"/>
  <c r="J448" i="549" s="1"/>
  <c r="H448" i="549"/>
  <c r="V447" i="549"/>
  <c r="W447" i="549" s="1"/>
  <c r="N447" i="549"/>
  <c r="K447" i="549" a="1"/>
  <c r="K447" i="549" s="1"/>
  <c r="M447" i="549" s="1"/>
  <c r="J447" i="549" a="1"/>
  <c r="J447" i="549" s="1"/>
  <c r="H447" i="549"/>
  <c r="V446" i="549"/>
  <c r="W446" i="549" s="1"/>
  <c r="N446" i="549"/>
  <c r="K446" i="549" a="1"/>
  <c r="K446" i="549" s="1"/>
  <c r="M446" i="549" s="1"/>
  <c r="J446" i="549" a="1"/>
  <c r="J446" i="549" s="1"/>
  <c r="H446" i="549"/>
  <c r="V445" i="549"/>
  <c r="W445" i="549" s="1"/>
  <c r="N445" i="549"/>
  <c r="K445" i="549" a="1"/>
  <c r="K445" i="549" s="1"/>
  <c r="M445" i="549" s="1"/>
  <c r="J445" i="549" a="1"/>
  <c r="J445" i="549" s="1"/>
  <c r="H445" i="549"/>
  <c r="V444" i="549"/>
  <c r="W444" i="549" s="1"/>
  <c r="N444" i="549"/>
  <c r="K444" i="549" a="1"/>
  <c r="K444" i="549" s="1"/>
  <c r="M444" i="549" s="1"/>
  <c r="J444" i="549" a="1"/>
  <c r="J444" i="549" s="1"/>
  <c r="H444" i="549"/>
  <c r="V443" i="549"/>
  <c r="W443" i="549" s="1"/>
  <c r="N443" i="549"/>
  <c r="K443" i="549" a="1"/>
  <c r="K443" i="549" s="1"/>
  <c r="M443" i="549" s="1"/>
  <c r="J443" i="549" a="1"/>
  <c r="J443" i="549" s="1"/>
  <c r="H443" i="549"/>
  <c r="V442" i="549"/>
  <c r="W442" i="549" s="1"/>
  <c r="N442" i="549"/>
  <c r="K442" i="549"/>
  <c r="M442" i="549" s="1"/>
  <c r="K442" i="549" a="1"/>
  <c r="J442" i="549"/>
  <c r="J442" i="549" a="1"/>
  <c r="H442" i="549"/>
  <c r="V441" i="549"/>
  <c r="W441" i="549" s="1"/>
  <c r="N441" i="549"/>
  <c r="K441" i="549" a="1"/>
  <c r="K441" i="549" s="1"/>
  <c r="M441" i="549" s="1"/>
  <c r="J441" i="549" a="1"/>
  <c r="J441" i="549" s="1"/>
  <c r="H441" i="549"/>
  <c r="W440" i="549"/>
  <c r="V440" i="549"/>
  <c r="N440" i="549"/>
  <c r="K440" i="549" a="1"/>
  <c r="K440" i="549" s="1"/>
  <c r="M440" i="549" s="1"/>
  <c r="J440" i="549" a="1"/>
  <c r="J440" i="549" s="1"/>
  <c r="H440" i="549"/>
  <c r="V439" i="549"/>
  <c r="W439" i="549" s="1"/>
  <c r="N439" i="549"/>
  <c r="K439" i="549" a="1"/>
  <c r="K439" i="549" s="1"/>
  <c r="M439" i="549" s="1"/>
  <c r="J439" i="549" a="1"/>
  <c r="J439" i="549" s="1"/>
  <c r="H439" i="549"/>
  <c r="V438" i="549"/>
  <c r="W438" i="549" s="1"/>
  <c r="N438" i="549"/>
  <c r="K438" i="549" a="1"/>
  <c r="K438" i="549" s="1"/>
  <c r="M438" i="549" s="1"/>
  <c r="J438" i="549" a="1"/>
  <c r="J438" i="549" s="1"/>
  <c r="H438" i="549"/>
  <c r="V437" i="549"/>
  <c r="W437" i="549" s="1"/>
  <c r="N437" i="549"/>
  <c r="K437" i="549" a="1"/>
  <c r="K437" i="549" s="1"/>
  <c r="M437" i="549" s="1"/>
  <c r="J437" i="549" a="1"/>
  <c r="J437" i="549" s="1"/>
  <c r="H437" i="549"/>
  <c r="N436" i="549"/>
  <c r="K436" i="549" a="1"/>
  <c r="K436" i="549" s="1"/>
  <c r="M436" i="549" s="1"/>
  <c r="H436" i="549"/>
  <c r="V435" i="549"/>
  <c r="W435" i="549" s="1"/>
  <c r="N435" i="549"/>
  <c r="K435" i="549" a="1"/>
  <c r="K435" i="549" s="1"/>
  <c r="M435" i="549" s="1"/>
  <c r="J435" i="549" a="1"/>
  <c r="J435" i="549" s="1"/>
  <c r="H435" i="549"/>
  <c r="V434" i="549"/>
  <c r="W434" i="549" s="1"/>
  <c r="N434" i="549"/>
  <c r="K434" i="549" a="1"/>
  <c r="K434" i="549" s="1"/>
  <c r="M434" i="549" s="1"/>
  <c r="J434" i="549" a="1"/>
  <c r="J434" i="549" s="1"/>
  <c r="H434" i="549"/>
  <c r="V433" i="549"/>
  <c r="W433" i="549" s="1"/>
  <c r="N433" i="549"/>
  <c r="K433" i="549" a="1"/>
  <c r="K433" i="549" s="1"/>
  <c r="M433" i="549" s="1"/>
  <c r="J433" i="549" a="1"/>
  <c r="J433" i="549" s="1"/>
  <c r="H433" i="549"/>
  <c r="V432" i="549"/>
  <c r="W432" i="549" s="1"/>
  <c r="N432" i="549"/>
  <c r="K432" i="549" a="1"/>
  <c r="K432" i="549" s="1"/>
  <c r="M432" i="549" s="1"/>
  <c r="J432" i="549" a="1"/>
  <c r="J432" i="549" s="1"/>
  <c r="H432" i="549"/>
  <c r="V431" i="549"/>
  <c r="W431" i="549" s="1"/>
  <c r="N431" i="549"/>
  <c r="K431" i="549" a="1"/>
  <c r="K431" i="549" s="1"/>
  <c r="M431" i="549" s="1"/>
  <c r="J431" i="549" a="1"/>
  <c r="J431" i="549" s="1"/>
  <c r="H431" i="549"/>
  <c r="W430" i="549"/>
  <c r="V430" i="549"/>
  <c r="N430" i="549"/>
  <c r="K430" i="549" a="1"/>
  <c r="K430" i="549" s="1"/>
  <c r="M430" i="549" s="1"/>
  <c r="J430" i="549" a="1"/>
  <c r="J430" i="549" s="1"/>
  <c r="H430" i="549"/>
  <c r="V429" i="549"/>
  <c r="N429" i="549"/>
  <c r="K429" i="549" a="1"/>
  <c r="K429" i="549" s="1"/>
  <c r="J429" i="549" a="1"/>
  <c r="J429" i="549" s="1"/>
  <c r="H429" i="549"/>
  <c r="AA428" i="549"/>
  <c r="Z428" i="549"/>
  <c r="Y428" i="549"/>
  <c r="X428" i="549"/>
  <c r="U428" i="549"/>
  <c r="T428" i="549"/>
  <c r="S428" i="549"/>
  <c r="R428" i="549"/>
  <c r="Q428" i="549"/>
  <c r="P428" i="549"/>
  <c r="O428" i="549"/>
  <c r="R510" i="549" s="1"/>
  <c r="I428" i="549"/>
  <c r="G428" i="549"/>
  <c r="J428" i="549" s="1" a="1"/>
  <c r="J428" i="549" s="1"/>
  <c r="K427" i="549" a="1"/>
  <c r="K427" i="549" s="1"/>
  <c r="M427" i="549" s="1"/>
  <c r="H427" i="549"/>
  <c r="K426" i="549"/>
  <c r="M426" i="549" s="1"/>
  <c r="K426" i="549" a="1"/>
  <c r="H426" i="549"/>
  <c r="K425" i="549" a="1"/>
  <c r="K425" i="549" s="1"/>
  <c r="M425" i="549" s="1"/>
  <c r="H425" i="549"/>
  <c r="K424" i="549"/>
  <c r="M424" i="549" s="1"/>
  <c r="K424" i="549" a="1"/>
  <c r="H424" i="549"/>
  <c r="K423" i="549" a="1"/>
  <c r="K423" i="549" s="1"/>
  <c r="M423" i="549" s="1"/>
  <c r="H423" i="549"/>
  <c r="K422" i="549"/>
  <c r="M422" i="549" s="1"/>
  <c r="K422" i="549" a="1"/>
  <c r="H422" i="549"/>
  <c r="K421" i="549" a="1"/>
  <c r="K421" i="549" s="1"/>
  <c r="M421" i="549" s="1"/>
  <c r="H421" i="549"/>
  <c r="K420" i="549"/>
  <c r="M420" i="549" s="1"/>
  <c r="K420" i="549" a="1"/>
  <c r="H420" i="549"/>
  <c r="K419" i="549" a="1"/>
  <c r="K419" i="549" s="1"/>
  <c r="M419" i="549" s="1"/>
  <c r="H419" i="549"/>
  <c r="K418" i="549"/>
  <c r="M418" i="549" s="1"/>
  <c r="K418" i="549" a="1"/>
  <c r="H418" i="549"/>
  <c r="V417" i="549"/>
  <c r="W417" i="549" s="1"/>
  <c r="N417" i="549"/>
  <c r="K417" i="549" a="1"/>
  <c r="K417" i="549" s="1"/>
  <c r="M417" i="549" s="1"/>
  <c r="J417" i="549" a="1"/>
  <c r="J417" i="549" s="1"/>
  <c r="H417" i="549"/>
  <c r="V416" i="549"/>
  <c r="W416" i="549" s="1"/>
  <c r="N416" i="549"/>
  <c r="K416" i="549"/>
  <c r="M416" i="549" s="1"/>
  <c r="K416" i="549" a="1"/>
  <c r="J416" i="549"/>
  <c r="J416" i="549" a="1"/>
  <c r="H416" i="549"/>
  <c r="V415" i="549"/>
  <c r="W415" i="549" s="1"/>
  <c r="N415" i="549"/>
  <c r="K415" i="549" a="1"/>
  <c r="K415" i="549" s="1"/>
  <c r="M415" i="549" s="1"/>
  <c r="J415" i="549" a="1"/>
  <c r="J415" i="549" s="1"/>
  <c r="H415" i="549"/>
  <c r="W414" i="549"/>
  <c r="V414" i="549"/>
  <c r="N414" i="549"/>
  <c r="K414" i="549" a="1"/>
  <c r="K414" i="549" s="1"/>
  <c r="M414" i="549" s="1"/>
  <c r="J414" i="549" a="1"/>
  <c r="J414" i="549" s="1"/>
  <c r="H414" i="549"/>
  <c r="H413" i="549"/>
  <c r="V412" i="549"/>
  <c r="W412" i="549" s="1"/>
  <c r="N412" i="549"/>
  <c r="K412" i="549"/>
  <c r="M412" i="549" s="1"/>
  <c r="K412" i="549" a="1"/>
  <c r="J412" i="549"/>
  <c r="J412" i="549" a="1"/>
  <c r="H412" i="549"/>
  <c r="V411" i="549"/>
  <c r="W411" i="549" s="1"/>
  <c r="N411" i="549"/>
  <c r="K411" i="549" a="1"/>
  <c r="K411" i="549" s="1"/>
  <c r="M411" i="549" s="1"/>
  <c r="J411" i="549" a="1"/>
  <c r="J411" i="549" s="1"/>
  <c r="H411" i="549"/>
  <c r="H410" i="549"/>
  <c r="K409" i="549" a="1"/>
  <c r="K409" i="549" s="1"/>
  <c r="H409" i="549"/>
  <c r="V408" i="549"/>
  <c r="W408" i="549" s="1"/>
  <c r="N408" i="549"/>
  <c r="K408" i="549"/>
  <c r="M408" i="549" s="1"/>
  <c r="K408" i="549" a="1"/>
  <c r="J408" i="549"/>
  <c r="J408" i="549" a="1"/>
  <c r="H408" i="549"/>
  <c r="V407" i="549"/>
  <c r="W407" i="549" s="1"/>
  <c r="N407" i="549"/>
  <c r="K407" i="549" a="1"/>
  <c r="K407" i="549" s="1"/>
  <c r="M407" i="549" s="1"/>
  <c r="J407" i="549" a="1"/>
  <c r="J407" i="549" s="1"/>
  <c r="H407" i="549"/>
  <c r="W406" i="549"/>
  <c r="V406" i="549"/>
  <c r="N406" i="549"/>
  <c r="K406" i="549" a="1"/>
  <c r="K406" i="549" s="1"/>
  <c r="M406" i="549" s="1"/>
  <c r="J406" i="549" a="1"/>
  <c r="J406" i="549" s="1"/>
  <c r="H406" i="549"/>
  <c r="V405" i="549"/>
  <c r="W405" i="549" s="1"/>
  <c r="N405" i="549"/>
  <c r="K405" i="549" a="1"/>
  <c r="K405" i="549" s="1"/>
  <c r="M405" i="549" s="1"/>
  <c r="J405" i="549" a="1"/>
  <c r="J405" i="549" s="1"/>
  <c r="H405" i="549"/>
  <c r="V404" i="549"/>
  <c r="W404" i="549" s="1"/>
  <c r="N404" i="549"/>
  <c r="K404" i="549"/>
  <c r="M404" i="549" s="1"/>
  <c r="K404" i="549" a="1"/>
  <c r="J404" i="549"/>
  <c r="J404" i="549" a="1"/>
  <c r="H404" i="549"/>
  <c r="V403" i="549"/>
  <c r="W403" i="549" s="1"/>
  <c r="N403" i="549"/>
  <c r="K403" i="549" a="1"/>
  <c r="K403" i="549" s="1"/>
  <c r="M403" i="549" s="1"/>
  <c r="J403" i="549" a="1"/>
  <c r="J403" i="549" s="1"/>
  <c r="H403" i="549"/>
  <c r="W402" i="549"/>
  <c r="V402" i="549"/>
  <c r="N402" i="549"/>
  <c r="K402" i="549" a="1"/>
  <c r="K402" i="549" s="1"/>
  <c r="M402" i="549" s="1"/>
  <c r="J402" i="549" a="1"/>
  <c r="J402" i="549" s="1"/>
  <c r="H402" i="549"/>
  <c r="V401" i="549"/>
  <c r="W401" i="549" s="1"/>
  <c r="N401" i="549"/>
  <c r="K401" i="549" a="1"/>
  <c r="K401" i="549" s="1"/>
  <c r="M401" i="549" s="1"/>
  <c r="J401" i="549" a="1"/>
  <c r="J401" i="549" s="1"/>
  <c r="H401" i="549"/>
  <c r="V400" i="549"/>
  <c r="W400" i="549" s="1"/>
  <c r="N400" i="549"/>
  <c r="K400" i="549"/>
  <c r="M400" i="549" s="1"/>
  <c r="K400" i="549" a="1"/>
  <c r="J400" i="549"/>
  <c r="J400" i="549" a="1"/>
  <c r="H400" i="549"/>
  <c r="V399" i="549"/>
  <c r="W399" i="549" s="1"/>
  <c r="N399" i="549"/>
  <c r="K399" i="549" a="1"/>
  <c r="K399" i="549" s="1"/>
  <c r="M399" i="549" s="1"/>
  <c r="J399" i="549" a="1"/>
  <c r="J399" i="549" s="1"/>
  <c r="H399" i="549"/>
  <c r="K398" i="549" a="1"/>
  <c r="K398" i="549" s="1"/>
  <c r="M398" i="549" s="1"/>
  <c r="H398" i="549"/>
  <c r="K397" i="549" a="1"/>
  <c r="K397" i="549" s="1"/>
  <c r="M397" i="549" s="1"/>
  <c r="H397" i="549"/>
  <c r="K396" i="549" a="1"/>
  <c r="K396" i="549" s="1"/>
  <c r="M396" i="549" s="1"/>
  <c r="H396" i="549"/>
  <c r="K395" i="549" a="1"/>
  <c r="K395" i="549" s="1"/>
  <c r="M395" i="549" s="1"/>
  <c r="H395" i="549"/>
  <c r="N394" i="549"/>
  <c r="K394" i="549" a="1"/>
  <c r="K394" i="549" s="1"/>
  <c r="M394" i="549" s="1"/>
  <c r="H394" i="549"/>
  <c r="N393" i="549"/>
  <c r="K393" i="549" a="1"/>
  <c r="K393" i="549" s="1"/>
  <c r="M393" i="549" s="1"/>
  <c r="H393" i="549"/>
  <c r="N392" i="549"/>
  <c r="K392" i="549"/>
  <c r="M392" i="549" s="1"/>
  <c r="K392" i="549" a="1"/>
  <c r="H392" i="549"/>
  <c r="N391" i="549"/>
  <c r="K391" i="549" a="1"/>
  <c r="K391" i="549" s="1"/>
  <c r="M391" i="549" s="1"/>
  <c r="H391" i="549"/>
  <c r="W390" i="549"/>
  <c r="V390" i="549"/>
  <c r="N390" i="549"/>
  <c r="K390" i="549" a="1"/>
  <c r="K390" i="549" s="1"/>
  <c r="M390" i="549" s="1"/>
  <c r="J390" i="549" a="1"/>
  <c r="J390" i="549" s="1"/>
  <c r="H390" i="549"/>
  <c r="V389" i="549"/>
  <c r="W389" i="549" s="1"/>
  <c r="N389" i="549"/>
  <c r="K389" i="549" a="1"/>
  <c r="K389" i="549" s="1"/>
  <c r="M389" i="549" s="1"/>
  <c r="J389" i="549" a="1"/>
  <c r="J389" i="549" s="1"/>
  <c r="H389" i="549"/>
  <c r="V388" i="549"/>
  <c r="W388" i="549" s="1"/>
  <c r="N388" i="549"/>
  <c r="K388" i="549"/>
  <c r="M388" i="549" s="1"/>
  <c r="K388" i="549" a="1"/>
  <c r="J388" i="549"/>
  <c r="J388" i="549" a="1"/>
  <c r="H388" i="549"/>
  <c r="V387" i="549"/>
  <c r="W387" i="549" s="1"/>
  <c r="N387" i="549"/>
  <c r="K387" i="549" a="1"/>
  <c r="K387" i="549" s="1"/>
  <c r="M387" i="549" s="1"/>
  <c r="J387" i="549" a="1"/>
  <c r="J387" i="549" s="1"/>
  <c r="H387" i="549"/>
  <c r="W386" i="549"/>
  <c r="V386" i="549"/>
  <c r="N386" i="549"/>
  <c r="K386" i="549" a="1"/>
  <c r="K386" i="549" s="1"/>
  <c r="M386" i="549" s="1"/>
  <c r="J386" i="549" a="1"/>
  <c r="J386" i="549" s="1"/>
  <c r="H386" i="549"/>
  <c r="V385" i="549"/>
  <c r="W385" i="549" s="1"/>
  <c r="N385" i="549"/>
  <c r="K385" i="549" a="1"/>
  <c r="K385" i="549" s="1"/>
  <c r="M385" i="549" s="1"/>
  <c r="J385" i="549" a="1"/>
  <c r="J385" i="549" s="1"/>
  <c r="H385" i="549"/>
  <c r="V384" i="549"/>
  <c r="W384" i="549" s="1"/>
  <c r="N384" i="549"/>
  <c r="K384" i="549"/>
  <c r="M384" i="549" s="1"/>
  <c r="K384" i="549" a="1"/>
  <c r="J384" i="549"/>
  <c r="J384" i="549" a="1"/>
  <c r="H384" i="549"/>
  <c r="V383" i="549"/>
  <c r="W383" i="549" s="1"/>
  <c r="N383" i="549"/>
  <c r="K383" i="549" a="1"/>
  <c r="K383" i="549" s="1"/>
  <c r="M383" i="549" s="1"/>
  <c r="J383" i="549" a="1"/>
  <c r="J383" i="549" s="1"/>
  <c r="H383" i="549"/>
  <c r="W382" i="549"/>
  <c r="V382" i="549"/>
  <c r="N382" i="549"/>
  <c r="K382" i="549" a="1"/>
  <c r="K382" i="549" s="1"/>
  <c r="M382" i="549" s="1"/>
  <c r="J382" i="549" a="1"/>
  <c r="J382" i="549" s="1"/>
  <c r="H382" i="549"/>
  <c r="V381" i="549"/>
  <c r="W381" i="549" s="1"/>
  <c r="N381" i="549"/>
  <c r="K381" i="549" a="1"/>
  <c r="K381" i="549" s="1"/>
  <c r="M381" i="549" s="1"/>
  <c r="J381" i="549" a="1"/>
  <c r="J381" i="549" s="1"/>
  <c r="H381" i="549"/>
  <c r="V380" i="549"/>
  <c r="W380" i="549" s="1"/>
  <c r="N380" i="549"/>
  <c r="K380" i="549"/>
  <c r="M380" i="549" s="1"/>
  <c r="K380" i="549" a="1"/>
  <c r="J380" i="549"/>
  <c r="J380" i="549" a="1"/>
  <c r="H380" i="549"/>
  <c r="V379" i="549"/>
  <c r="W379" i="549" s="1"/>
  <c r="N379" i="549"/>
  <c r="K379" i="549" a="1"/>
  <c r="K379" i="549" s="1"/>
  <c r="M379" i="549" s="1"/>
  <c r="J379" i="549" a="1"/>
  <c r="J379" i="549" s="1"/>
  <c r="H379" i="549"/>
  <c r="K378" i="549" a="1"/>
  <c r="K378" i="549" s="1"/>
  <c r="M378" i="549" s="1"/>
  <c r="H378" i="549"/>
  <c r="K377" i="549" a="1"/>
  <c r="K377" i="549" s="1"/>
  <c r="M377" i="549" s="1"/>
  <c r="H377" i="549"/>
  <c r="K376" i="549" a="1"/>
  <c r="K376" i="549" s="1"/>
  <c r="M376" i="549" s="1"/>
  <c r="H376" i="549"/>
  <c r="W375" i="549"/>
  <c r="V375" i="549"/>
  <c r="N375" i="549"/>
  <c r="K375" i="549" a="1"/>
  <c r="K375" i="549" s="1"/>
  <c r="M375" i="549" s="1"/>
  <c r="J375" i="549" a="1"/>
  <c r="J375" i="549" s="1"/>
  <c r="H375" i="549"/>
  <c r="V374" i="549"/>
  <c r="W374" i="549" s="1"/>
  <c r="N374" i="549"/>
  <c r="K374" i="549" a="1"/>
  <c r="K374" i="549" s="1"/>
  <c r="M374" i="549" s="1"/>
  <c r="J374" i="549" a="1"/>
  <c r="J374" i="549" s="1"/>
  <c r="H374" i="549"/>
  <c r="V373" i="549"/>
  <c r="W373" i="549" s="1"/>
  <c r="N373" i="549"/>
  <c r="K373" i="549"/>
  <c r="M373" i="549" s="1"/>
  <c r="K373" i="549" a="1"/>
  <c r="J373" i="549"/>
  <c r="J373" i="549" a="1"/>
  <c r="H373" i="549"/>
  <c r="K372" i="549" a="1"/>
  <c r="K372" i="549" s="1"/>
  <c r="H372" i="549"/>
  <c r="V371" i="549"/>
  <c r="V428" i="549" s="1"/>
  <c r="W428" i="549" s="1"/>
  <c r="N371" i="549"/>
  <c r="K371" i="549"/>
  <c r="K371" i="549" a="1"/>
  <c r="J371" i="549"/>
  <c r="J371" i="549" a="1"/>
  <c r="H371" i="549"/>
  <c r="H428" i="549" s="1"/>
  <c r="AA370" i="549"/>
  <c r="AA507" i="549" s="1"/>
  <c r="Z370" i="549"/>
  <c r="Z507" i="549" s="1"/>
  <c r="Y370" i="549"/>
  <c r="Y507" i="549" s="1"/>
  <c r="X370" i="549"/>
  <c r="X507" i="549" s="1"/>
  <c r="U370" i="549"/>
  <c r="U507" i="549" s="1"/>
  <c r="T370" i="549"/>
  <c r="T507" i="549" s="1"/>
  <c r="S370" i="549"/>
  <c r="S507" i="549" s="1"/>
  <c r="R370" i="549"/>
  <c r="R507" i="549" s="1"/>
  <c r="Q370" i="549"/>
  <c r="Q507" i="549" s="1"/>
  <c r="P370" i="549"/>
  <c r="P507" i="549" s="1"/>
  <c r="O370" i="549"/>
  <c r="I370" i="549"/>
  <c r="I507" i="549" s="1"/>
  <c r="B515" i="549" s="1"/>
  <c r="G370" i="549"/>
  <c r="G507" i="549" s="1"/>
  <c r="V369" i="549"/>
  <c r="W369" i="549" s="1"/>
  <c r="N369" i="549"/>
  <c r="K369" i="549"/>
  <c r="M369" i="549" s="1"/>
  <c r="K369" i="549" a="1"/>
  <c r="J369" i="549"/>
  <c r="J369" i="549" a="1"/>
  <c r="H369" i="549"/>
  <c r="V368" i="549"/>
  <c r="W368" i="549" s="1"/>
  <c r="N368" i="549"/>
  <c r="K368" i="549" a="1"/>
  <c r="K368" i="549" s="1"/>
  <c r="M368" i="549" s="1"/>
  <c r="J368" i="549" a="1"/>
  <c r="J368" i="549" s="1"/>
  <c r="H368" i="549"/>
  <c r="K367" i="549" a="1"/>
  <c r="K367" i="549" s="1"/>
  <c r="M367" i="549" s="1"/>
  <c r="H367" i="549"/>
  <c r="K366" i="549" a="1"/>
  <c r="K366" i="549" s="1"/>
  <c r="M366" i="549" s="1"/>
  <c r="H366" i="549"/>
  <c r="M365" i="549"/>
  <c r="K365" i="549" a="1"/>
  <c r="K365" i="549" s="1"/>
  <c r="H365" i="549"/>
  <c r="K364" i="549" a="1"/>
  <c r="K364" i="549" s="1"/>
  <c r="M364" i="549" s="1"/>
  <c r="H364" i="549"/>
  <c r="V363" i="549"/>
  <c r="W363" i="549" s="1"/>
  <c r="N363" i="549"/>
  <c r="K363" i="549" a="1"/>
  <c r="K363" i="549" s="1"/>
  <c r="M363" i="549" s="1"/>
  <c r="J363" i="549" a="1"/>
  <c r="J363" i="549" s="1"/>
  <c r="H363" i="549"/>
  <c r="V362" i="549"/>
  <c r="W362" i="549" s="1"/>
  <c r="N362" i="549"/>
  <c r="M362" i="549"/>
  <c r="K362" i="549" a="1"/>
  <c r="K362" i="549" s="1"/>
  <c r="J362" i="549"/>
  <c r="J362" i="549" a="1"/>
  <c r="H362" i="549"/>
  <c r="V361" i="549"/>
  <c r="W361" i="549" s="1"/>
  <c r="N361" i="549"/>
  <c r="K361" i="549" a="1"/>
  <c r="K361" i="549" s="1"/>
  <c r="M361" i="549" s="1"/>
  <c r="J361" i="549" a="1"/>
  <c r="J361" i="549" s="1"/>
  <c r="H361" i="549"/>
  <c r="H360" i="549"/>
  <c r="H359" i="549"/>
  <c r="V358" i="549"/>
  <c r="W358" i="549" s="1"/>
  <c r="N358" i="549"/>
  <c r="K358" i="549" a="1"/>
  <c r="K358" i="549" s="1"/>
  <c r="M358" i="549" s="1"/>
  <c r="J358" i="549" a="1"/>
  <c r="J358" i="549" s="1"/>
  <c r="H358" i="549"/>
  <c r="V357" i="549"/>
  <c r="W357" i="549" s="1"/>
  <c r="N357" i="549"/>
  <c r="K357" i="549" a="1"/>
  <c r="K357" i="549" s="1"/>
  <c r="M357" i="549" s="1"/>
  <c r="J357" i="549" a="1"/>
  <c r="J357" i="549" s="1"/>
  <c r="H357" i="549"/>
  <c r="K356" i="549" a="1"/>
  <c r="K356" i="549" s="1"/>
  <c r="M356" i="549" s="1"/>
  <c r="H356" i="549"/>
  <c r="K355" i="549" a="1"/>
  <c r="K355" i="549" s="1"/>
  <c r="M355" i="549" s="1"/>
  <c r="H355" i="549"/>
  <c r="W354" i="549"/>
  <c r="V354" i="549"/>
  <c r="N354" i="549"/>
  <c r="K354" i="549" a="1"/>
  <c r="K354" i="549" s="1"/>
  <c r="M354" i="549" s="1"/>
  <c r="J354" i="549" a="1"/>
  <c r="J354" i="549" s="1"/>
  <c r="H354" i="549"/>
  <c r="V353" i="549"/>
  <c r="W353" i="549" s="1"/>
  <c r="N353" i="549"/>
  <c r="K353" i="549" a="1"/>
  <c r="K353" i="549" s="1"/>
  <c r="M353" i="549" s="1"/>
  <c r="J353" i="549" a="1"/>
  <c r="J353" i="549" s="1"/>
  <c r="H353" i="549"/>
  <c r="V352" i="549"/>
  <c r="W352" i="549" s="1"/>
  <c r="N352" i="549"/>
  <c r="K352" i="549"/>
  <c r="M352" i="549" s="1"/>
  <c r="K352" i="549" a="1"/>
  <c r="J352" i="549"/>
  <c r="J352" i="549" a="1"/>
  <c r="H352" i="549"/>
  <c r="V351" i="549"/>
  <c r="W351" i="549" s="1"/>
  <c r="N351" i="549"/>
  <c r="K351" i="549" a="1"/>
  <c r="K351" i="549" s="1"/>
  <c r="M351" i="549" s="1"/>
  <c r="J351" i="549" a="1"/>
  <c r="J351" i="549" s="1"/>
  <c r="H351" i="549"/>
  <c r="W350" i="549"/>
  <c r="V350" i="549"/>
  <c r="N350" i="549"/>
  <c r="K350" i="549" a="1"/>
  <c r="K350" i="549" s="1"/>
  <c r="M350" i="549" s="1"/>
  <c r="J350" i="549" a="1"/>
  <c r="J350" i="549" s="1"/>
  <c r="H350" i="549"/>
  <c r="V349" i="549"/>
  <c r="V370" i="549" s="1"/>
  <c r="N349" i="549"/>
  <c r="K349" i="549" a="1"/>
  <c r="K349" i="549" s="1"/>
  <c r="J349" i="549" a="1"/>
  <c r="J349" i="549" s="1"/>
  <c r="H349" i="549"/>
  <c r="X343" i="549"/>
  <c r="X342" i="549"/>
  <c r="X341" i="549"/>
  <c r="G341" i="549"/>
  <c r="C341" i="549"/>
  <c r="X340" i="549"/>
  <c r="I340" i="549"/>
  <c r="E340" i="549"/>
  <c r="K340" i="549" s="1"/>
  <c r="M340" i="549" s="1"/>
  <c r="I339" i="549"/>
  <c r="E339" i="549"/>
  <c r="K339" i="549" s="1"/>
  <c r="M339" i="549" s="1"/>
  <c r="I338" i="549"/>
  <c r="E338" i="549"/>
  <c r="K338" i="549" s="1"/>
  <c r="M338" i="549" s="1"/>
  <c r="X337" i="549"/>
  <c r="I337" i="549"/>
  <c r="I341" i="549" s="1"/>
  <c r="E337" i="549"/>
  <c r="K337" i="549" s="1"/>
  <c r="AA334" i="549"/>
  <c r="Z334" i="549"/>
  <c r="Y334" i="549"/>
  <c r="X334" i="549"/>
  <c r="U334" i="549"/>
  <c r="T334" i="549"/>
  <c r="S334" i="549"/>
  <c r="R334" i="549"/>
  <c r="Q334" i="549"/>
  <c r="P334" i="549"/>
  <c r="O334" i="549"/>
  <c r="I334" i="549"/>
  <c r="G334" i="549"/>
  <c r="J334" i="549" s="1" a="1"/>
  <c r="J334" i="549" s="1"/>
  <c r="K333" i="549" a="1"/>
  <c r="K333" i="549" s="1"/>
  <c r="H333" i="549"/>
  <c r="K332" i="549"/>
  <c r="K332" i="549" a="1"/>
  <c r="H332" i="549"/>
  <c r="K331" i="549" a="1"/>
  <c r="K331" i="549" s="1"/>
  <c r="H331" i="549"/>
  <c r="V330" i="549"/>
  <c r="W330" i="549" s="1"/>
  <c r="N330" i="549"/>
  <c r="K330" i="549" a="1"/>
  <c r="K330" i="549" s="1"/>
  <c r="D330" i="549"/>
  <c r="H330" i="549" s="1"/>
  <c r="H329" i="549"/>
  <c r="K328" i="549" a="1"/>
  <c r="K328" i="549" s="1"/>
  <c r="H328" i="549"/>
  <c r="H327" i="549"/>
  <c r="V326" i="549"/>
  <c r="W326" i="549" s="1"/>
  <c r="N326" i="549"/>
  <c r="K326" i="549"/>
  <c r="M326" i="549" s="1"/>
  <c r="K326" i="549" a="1"/>
  <c r="J326" i="549"/>
  <c r="J326" i="549" a="1"/>
  <c r="H326" i="549"/>
  <c r="V325" i="549"/>
  <c r="W325" i="549" s="1"/>
  <c r="N325" i="549"/>
  <c r="K325" i="549" a="1"/>
  <c r="K325" i="549" s="1"/>
  <c r="M325" i="549" s="1"/>
  <c r="J325" i="549" a="1"/>
  <c r="J325" i="549" s="1"/>
  <c r="H325" i="549"/>
  <c r="H324" i="549"/>
  <c r="V323" i="549"/>
  <c r="W323" i="549" s="1"/>
  <c r="N323" i="549"/>
  <c r="K323" i="549" a="1"/>
  <c r="K323" i="549" s="1"/>
  <c r="M323" i="549" s="1"/>
  <c r="J323" i="549" a="1"/>
  <c r="J323" i="549" s="1"/>
  <c r="H323" i="549"/>
  <c r="W322" i="549"/>
  <c r="V322" i="549"/>
  <c r="N322" i="549"/>
  <c r="K322" i="549" a="1"/>
  <c r="K322" i="549" s="1"/>
  <c r="M322" i="549" s="1"/>
  <c r="J322" i="549" a="1"/>
  <c r="J322" i="549" s="1"/>
  <c r="H322" i="549"/>
  <c r="V321" i="549"/>
  <c r="W321" i="549" s="1"/>
  <c r="N321" i="549"/>
  <c r="K321" i="549" a="1"/>
  <c r="K321" i="549" s="1"/>
  <c r="M321" i="549" s="1"/>
  <c r="J321" i="549" a="1"/>
  <c r="J321" i="549" s="1"/>
  <c r="H321" i="549"/>
  <c r="V320" i="549"/>
  <c r="V334" i="549" s="1"/>
  <c r="N320" i="549"/>
  <c r="N334" i="549" s="1"/>
  <c r="K320" i="549" a="1"/>
  <c r="K320" i="549" s="1"/>
  <c r="J320" i="549" a="1"/>
  <c r="J320" i="549" s="1"/>
  <c r="H320" i="549"/>
  <c r="AA319" i="549"/>
  <c r="Z319" i="549"/>
  <c r="Y319" i="549"/>
  <c r="X319" i="549"/>
  <c r="U319" i="549"/>
  <c r="T319" i="549"/>
  <c r="S319" i="549"/>
  <c r="Q319" i="549"/>
  <c r="P319" i="549"/>
  <c r="O319" i="549"/>
  <c r="R341" i="549" s="1"/>
  <c r="I319" i="549"/>
  <c r="G319" i="549"/>
  <c r="V318" i="549"/>
  <c r="W318" i="549" s="1"/>
  <c r="N318" i="549"/>
  <c r="K318" i="549" a="1"/>
  <c r="K318" i="549" s="1"/>
  <c r="M318" i="549" s="1"/>
  <c r="J318" i="549" a="1"/>
  <c r="J318" i="549" s="1"/>
  <c r="H318" i="549"/>
  <c r="H317" i="549"/>
  <c r="H316" i="549"/>
  <c r="H315" i="549"/>
  <c r="H314" i="549"/>
  <c r="W313" i="549"/>
  <c r="V313" i="549"/>
  <c r="N313" i="549"/>
  <c r="K313" i="549" a="1"/>
  <c r="K313" i="549" s="1"/>
  <c r="M313" i="549" s="1"/>
  <c r="J313" i="549" a="1"/>
  <c r="J313" i="549" s="1"/>
  <c r="H313" i="549"/>
  <c r="V312" i="549"/>
  <c r="W312" i="549" s="1"/>
  <c r="N312" i="549"/>
  <c r="K312" i="549" a="1"/>
  <c r="K312" i="549" s="1"/>
  <c r="M312" i="549" s="1"/>
  <c r="J312" i="549" a="1"/>
  <c r="J312" i="549" s="1"/>
  <c r="H312" i="549"/>
  <c r="V311" i="549"/>
  <c r="W311" i="549" s="1"/>
  <c r="N311" i="549"/>
  <c r="K311" i="549"/>
  <c r="M311" i="549" s="1"/>
  <c r="K311" i="549" a="1"/>
  <c r="J311" i="549"/>
  <c r="J311" i="549" a="1"/>
  <c r="H311" i="549"/>
  <c r="V310" i="549"/>
  <c r="W310" i="549" s="1"/>
  <c r="N310" i="549"/>
  <c r="K310" i="549" a="1"/>
  <c r="K310" i="549" s="1"/>
  <c r="M310" i="549" s="1"/>
  <c r="J310" i="549" a="1"/>
  <c r="J310" i="549" s="1"/>
  <c r="H310" i="549"/>
  <c r="W309" i="549"/>
  <c r="V309" i="549"/>
  <c r="V319" i="549" s="1"/>
  <c r="W319" i="549" s="1"/>
  <c r="N309" i="549"/>
  <c r="N319" i="549" s="1"/>
  <c r="K309" i="549" a="1"/>
  <c r="K309" i="549" s="1"/>
  <c r="K319" i="549" s="1"/>
  <c r="J309" i="549" a="1"/>
  <c r="J309" i="549" s="1"/>
  <c r="H309" i="549"/>
  <c r="H319" i="549" s="1"/>
  <c r="AA308" i="549"/>
  <c r="Z308" i="549"/>
  <c r="Y308" i="549"/>
  <c r="X308" i="549"/>
  <c r="U308" i="549"/>
  <c r="T308" i="549"/>
  <c r="S308" i="549"/>
  <c r="Q308" i="549"/>
  <c r="P308" i="549"/>
  <c r="O308" i="549"/>
  <c r="R340" i="549" s="1"/>
  <c r="I308" i="549"/>
  <c r="G308" i="549"/>
  <c r="V307" i="549"/>
  <c r="W307" i="549" s="1"/>
  <c r="N307" i="549"/>
  <c r="K307" i="549" a="1"/>
  <c r="K307" i="549" s="1"/>
  <c r="M307" i="549" s="1"/>
  <c r="J307" i="549" a="1"/>
  <c r="J307" i="549" s="1"/>
  <c r="H307" i="549"/>
  <c r="W306" i="549"/>
  <c r="V306" i="549"/>
  <c r="N306" i="549"/>
  <c r="K306" i="549" a="1"/>
  <c r="K306" i="549" s="1"/>
  <c r="M306" i="549" s="1"/>
  <c r="J306" i="549" a="1"/>
  <c r="J306" i="549" s="1"/>
  <c r="H306" i="549"/>
  <c r="V305" i="549"/>
  <c r="W305" i="549" s="1"/>
  <c r="N305" i="549"/>
  <c r="K305" i="549" a="1"/>
  <c r="K305" i="549" s="1"/>
  <c r="M305" i="549" s="1"/>
  <c r="J305" i="549" a="1"/>
  <c r="J305" i="549" s="1"/>
  <c r="H305" i="549"/>
  <c r="V304" i="549"/>
  <c r="W304" i="549" s="1"/>
  <c r="N304" i="549"/>
  <c r="K304" i="549"/>
  <c r="M304" i="549" s="1"/>
  <c r="K304" i="549" a="1"/>
  <c r="J304" i="549"/>
  <c r="J304" i="549" a="1"/>
  <c r="H304" i="549"/>
  <c r="V303" i="549"/>
  <c r="W303" i="549" s="1"/>
  <c r="N303" i="549"/>
  <c r="K303" i="549" a="1"/>
  <c r="K303" i="549" s="1"/>
  <c r="M303" i="549" s="1"/>
  <c r="J303" i="549" a="1"/>
  <c r="J303" i="549" s="1"/>
  <c r="H303" i="549"/>
  <c r="W302" i="549"/>
  <c r="V302" i="549"/>
  <c r="N302" i="549"/>
  <c r="K302" i="549" a="1"/>
  <c r="K302" i="549" s="1"/>
  <c r="M302" i="549" s="1"/>
  <c r="J302" i="549" a="1"/>
  <c r="J302" i="549" s="1"/>
  <c r="H302" i="549"/>
  <c r="V301" i="549"/>
  <c r="W301" i="549" s="1"/>
  <c r="N301" i="549"/>
  <c r="K301" i="549" a="1"/>
  <c r="K301" i="549" s="1"/>
  <c r="M301" i="549" s="1"/>
  <c r="J301" i="549" a="1"/>
  <c r="J301" i="549" s="1"/>
  <c r="H301" i="549"/>
  <c r="V300" i="549"/>
  <c r="W300" i="549" s="1"/>
  <c r="N300" i="549"/>
  <c r="K300" i="549"/>
  <c r="M300" i="549" s="1"/>
  <c r="K300" i="549" a="1"/>
  <c r="J300" i="549"/>
  <c r="J300" i="549" a="1"/>
  <c r="H300" i="549"/>
  <c r="V299" i="549"/>
  <c r="W299" i="549" s="1"/>
  <c r="N299" i="549"/>
  <c r="K299" i="549" a="1"/>
  <c r="K299" i="549" s="1"/>
  <c r="M299" i="549" s="1"/>
  <c r="J299" i="549" a="1"/>
  <c r="J299" i="549" s="1"/>
  <c r="H299" i="549"/>
  <c r="W298" i="549"/>
  <c r="V298" i="549"/>
  <c r="N298" i="549"/>
  <c r="K298" i="549" a="1"/>
  <c r="K298" i="549" s="1"/>
  <c r="M298" i="549" s="1"/>
  <c r="J298" i="549" a="1"/>
  <c r="J298" i="549" s="1"/>
  <c r="H298" i="549"/>
  <c r="V297" i="549"/>
  <c r="W297" i="549" s="1"/>
  <c r="N297" i="549"/>
  <c r="K297" i="549" a="1"/>
  <c r="K297" i="549" s="1"/>
  <c r="M297" i="549" s="1"/>
  <c r="J297" i="549" a="1"/>
  <c r="J297" i="549" s="1"/>
  <c r="H297" i="549"/>
  <c r="V296" i="549"/>
  <c r="W296" i="549" s="1"/>
  <c r="N296" i="549"/>
  <c r="K296" i="549"/>
  <c r="M296" i="549" s="1"/>
  <c r="K296" i="549" a="1"/>
  <c r="J296" i="549"/>
  <c r="J296" i="549" a="1"/>
  <c r="H296" i="549"/>
  <c r="V295" i="549"/>
  <c r="W295" i="549" s="1"/>
  <c r="N295" i="549"/>
  <c r="K295" i="549" a="1"/>
  <c r="K295" i="549" s="1"/>
  <c r="M295" i="549" s="1"/>
  <c r="J295" i="549" a="1"/>
  <c r="J295" i="549" s="1"/>
  <c r="H295" i="549"/>
  <c r="W294" i="549"/>
  <c r="V294" i="549"/>
  <c r="N294" i="549"/>
  <c r="K294" i="549" a="1"/>
  <c r="K294" i="549" s="1"/>
  <c r="M294" i="549" s="1"/>
  <c r="J294" i="549" a="1"/>
  <c r="J294" i="549" s="1"/>
  <c r="H294" i="549"/>
  <c r="V293" i="549"/>
  <c r="W293" i="549" s="1"/>
  <c r="N293" i="549"/>
  <c r="K293" i="549" a="1"/>
  <c r="K293" i="549" s="1"/>
  <c r="J293" i="549" a="1"/>
  <c r="J293" i="549" s="1"/>
  <c r="H293" i="549"/>
  <c r="H308" i="549" s="1"/>
  <c r="AA292" i="549"/>
  <c r="Z292" i="549"/>
  <c r="Y292" i="549"/>
  <c r="X292" i="549"/>
  <c r="U292" i="549"/>
  <c r="T292" i="549"/>
  <c r="S292" i="549"/>
  <c r="R292" i="549"/>
  <c r="Q292" i="549"/>
  <c r="P292" i="549"/>
  <c r="O292" i="549"/>
  <c r="R339" i="549" s="1"/>
  <c r="I292" i="549"/>
  <c r="G292" i="549"/>
  <c r="V291" i="549"/>
  <c r="W291" i="549" s="1"/>
  <c r="N291" i="549"/>
  <c r="K291" i="549" a="1"/>
  <c r="K291" i="549" s="1"/>
  <c r="M291" i="549" s="1"/>
  <c r="J291" i="549" a="1"/>
  <c r="J291" i="549" s="1"/>
  <c r="H291" i="549"/>
  <c r="V290" i="549"/>
  <c r="W290" i="549" s="1"/>
  <c r="N290" i="549"/>
  <c r="K290" i="549" a="1"/>
  <c r="K290" i="549" s="1"/>
  <c r="M290" i="549" s="1"/>
  <c r="J290" i="549" a="1"/>
  <c r="J290" i="549" s="1"/>
  <c r="H290" i="549"/>
  <c r="V289" i="549"/>
  <c r="W289" i="549" s="1"/>
  <c r="N289" i="549"/>
  <c r="K289" i="549" a="1"/>
  <c r="K289" i="549" s="1"/>
  <c r="M289" i="549" s="1"/>
  <c r="J289" i="549" a="1"/>
  <c r="J289" i="549" s="1"/>
  <c r="H289" i="549"/>
  <c r="H288" i="549"/>
  <c r="H287" i="549"/>
  <c r="H286" i="549"/>
  <c r="V285" i="549"/>
  <c r="W285" i="549" s="1"/>
  <c r="N285" i="549"/>
  <c r="K285" i="549" a="1"/>
  <c r="K285" i="549" s="1"/>
  <c r="M285" i="549" s="1"/>
  <c r="J285" i="549" a="1"/>
  <c r="J285" i="549" s="1"/>
  <c r="H285" i="549"/>
  <c r="V284" i="549"/>
  <c r="W284" i="549" s="1"/>
  <c r="N284" i="549"/>
  <c r="K284" i="549"/>
  <c r="M284" i="549" s="1"/>
  <c r="K284" i="549" a="1"/>
  <c r="J284" i="549" a="1"/>
  <c r="J284" i="549" s="1"/>
  <c r="H284" i="549"/>
  <c r="N283" i="549"/>
  <c r="K283" i="549" a="1"/>
  <c r="K283" i="549" s="1"/>
  <c r="M283" i="549" s="1"/>
  <c r="H283" i="549"/>
  <c r="N282" i="549"/>
  <c r="K282" i="549" a="1"/>
  <c r="K282" i="549" s="1"/>
  <c r="M282" i="549" s="1"/>
  <c r="H282" i="549"/>
  <c r="N281" i="549"/>
  <c r="K281" i="549" a="1"/>
  <c r="K281" i="549" s="1"/>
  <c r="M281" i="549" s="1"/>
  <c r="H281" i="549"/>
  <c r="N280" i="549"/>
  <c r="K280" i="549"/>
  <c r="M280" i="549" s="1"/>
  <c r="K280" i="549" a="1"/>
  <c r="H280" i="549"/>
  <c r="N279" i="549"/>
  <c r="K279" i="549" a="1"/>
  <c r="K279" i="549" s="1"/>
  <c r="M279" i="549" s="1"/>
  <c r="H279" i="549"/>
  <c r="N278" i="549"/>
  <c r="K278" i="549" a="1"/>
  <c r="K278" i="549" s="1"/>
  <c r="M278" i="549" s="1"/>
  <c r="H278" i="549"/>
  <c r="V277" i="549"/>
  <c r="W277" i="549" s="1"/>
  <c r="N277" i="549"/>
  <c r="K277" i="549" a="1"/>
  <c r="K277" i="549" s="1"/>
  <c r="M277" i="549" s="1"/>
  <c r="J277" i="549" a="1"/>
  <c r="J277" i="549" s="1"/>
  <c r="H277" i="549"/>
  <c r="V276" i="549"/>
  <c r="W276" i="549" s="1"/>
  <c r="N276" i="549"/>
  <c r="K276" i="549"/>
  <c r="M276" i="549" s="1"/>
  <c r="K276" i="549" a="1"/>
  <c r="J276" i="549"/>
  <c r="J276" i="549" a="1"/>
  <c r="H276" i="549"/>
  <c r="V275" i="549"/>
  <c r="W275" i="549" s="1"/>
  <c r="N275" i="549"/>
  <c r="K275" i="549" a="1"/>
  <c r="K275" i="549" s="1"/>
  <c r="M275" i="549" s="1"/>
  <c r="J275" i="549" a="1"/>
  <c r="J275" i="549" s="1"/>
  <c r="H275" i="549"/>
  <c r="W274" i="549"/>
  <c r="V274" i="549"/>
  <c r="N274" i="549"/>
  <c r="K274" i="549" a="1"/>
  <c r="K274" i="549" s="1"/>
  <c r="M274" i="549" s="1"/>
  <c r="J274" i="549" a="1"/>
  <c r="J274" i="549" s="1"/>
  <c r="H274" i="549"/>
  <c r="V273" i="549"/>
  <c r="W273" i="549" s="1"/>
  <c r="N273" i="549"/>
  <c r="K273" i="549" a="1"/>
  <c r="K273" i="549" s="1"/>
  <c r="M273" i="549" s="1"/>
  <c r="J273" i="549" a="1"/>
  <c r="J273" i="549" s="1"/>
  <c r="H273" i="549"/>
  <c r="V272" i="549"/>
  <c r="W272" i="549" s="1"/>
  <c r="N272" i="549"/>
  <c r="K272" i="549"/>
  <c r="M272" i="549" s="1"/>
  <c r="K272" i="549" a="1"/>
  <c r="J272" i="549"/>
  <c r="J272" i="549" a="1"/>
  <c r="H272" i="549"/>
  <c r="V271" i="549"/>
  <c r="W271" i="549" s="1"/>
  <c r="N271" i="549"/>
  <c r="K271" i="549" a="1"/>
  <c r="K271" i="549" s="1"/>
  <c r="M271" i="549" s="1"/>
  <c r="J271" i="549" a="1"/>
  <c r="J271" i="549" s="1"/>
  <c r="H271" i="549"/>
  <c r="V270" i="549"/>
  <c r="W270" i="549" s="1"/>
  <c r="N270" i="549"/>
  <c r="K270" i="549" a="1"/>
  <c r="K270" i="549" s="1"/>
  <c r="M270" i="549" s="1"/>
  <c r="J270" i="549" a="1"/>
  <c r="J270" i="549" s="1"/>
  <c r="H270" i="549"/>
  <c r="V269" i="549"/>
  <c r="W269" i="549" s="1"/>
  <c r="N269" i="549"/>
  <c r="K269" i="549"/>
  <c r="M269" i="549" s="1"/>
  <c r="K269" i="549" a="1"/>
  <c r="J269" i="549"/>
  <c r="J269" i="549" a="1"/>
  <c r="H269" i="549"/>
  <c r="V268" i="549"/>
  <c r="W268" i="549" s="1"/>
  <c r="N268" i="549"/>
  <c r="K268" i="549" a="1"/>
  <c r="K268" i="549" s="1"/>
  <c r="M268" i="549" s="1"/>
  <c r="J268" i="549" a="1"/>
  <c r="J268" i="549" s="1"/>
  <c r="H268" i="549"/>
  <c r="W267" i="549"/>
  <c r="V267" i="549"/>
  <c r="N267" i="549"/>
  <c r="K267" i="549" a="1"/>
  <c r="K267" i="549" s="1"/>
  <c r="M267" i="549" s="1"/>
  <c r="J267" i="549" a="1"/>
  <c r="J267" i="549" s="1"/>
  <c r="H267" i="549"/>
  <c r="V266" i="549"/>
  <c r="W266" i="549" s="1"/>
  <c r="N266" i="549"/>
  <c r="K266" i="549" a="1"/>
  <c r="K266" i="549" s="1"/>
  <c r="M266" i="549" s="1"/>
  <c r="J266" i="549" a="1"/>
  <c r="J266" i="549" s="1"/>
  <c r="H266" i="549"/>
  <c r="N265" i="549"/>
  <c r="K265" i="549"/>
  <c r="M265" i="549" s="1"/>
  <c r="K265" i="549" a="1"/>
  <c r="H265" i="549"/>
  <c r="V264" i="549"/>
  <c r="W264" i="549" s="1"/>
  <c r="N264" i="549"/>
  <c r="K264" i="549" a="1"/>
  <c r="K264" i="549" s="1"/>
  <c r="M264" i="549" s="1"/>
  <c r="J264" i="549" a="1"/>
  <c r="J264" i="549" s="1"/>
  <c r="H264" i="549"/>
  <c r="W263" i="549"/>
  <c r="V263" i="549"/>
  <c r="N263" i="549"/>
  <c r="K263" i="549" a="1"/>
  <c r="K263" i="549" s="1"/>
  <c r="M263" i="549" s="1"/>
  <c r="J263" i="549" a="1"/>
  <c r="J263" i="549" s="1"/>
  <c r="H263" i="549"/>
  <c r="V262" i="549"/>
  <c r="W262" i="549" s="1"/>
  <c r="N262" i="549"/>
  <c r="K262" i="549" a="1"/>
  <c r="K262" i="549" s="1"/>
  <c r="M262" i="549" s="1"/>
  <c r="J262" i="549" a="1"/>
  <c r="J262" i="549" s="1"/>
  <c r="H262" i="549"/>
  <c r="V261" i="549"/>
  <c r="W261" i="549" s="1"/>
  <c r="N261" i="549"/>
  <c r="K261" i="549"/>
  <c r="M261" i="549" s="1"/>
  <c r="K261" i="549" a="1"/>
  <c r="J261" i="549"/>
  <c r="J261" i="549" a="1"/>
  <c r="H261" i="549"/>
  <c r="V260" i="549"/>
  <c r="W260" i="549" s="1"/>
  <c r="N260" i="549"/>
  <c r="K260" i="549" a="1"/>
  <c r="K260" i="549" s="1"/>
  <c r="M260" i="549" s="1"/>
  <c r="J260" i="549" a="1"/>
  <c r="J260" i="549" s="1"/>
  <c r="H260" i="549"/>
  <c r="W259" i="549"/>
  <c r="V259" i="549"/>
  <c r="N259" i="549"/>
  <c r="K259" i="549" a="1"/>
  <c r="K259" i="549" s="1"/>
  <c r="M259" i="549" s="1"/>
  <c r="J259" i="549" a="1"/>
  <c r="J259" i="549" s="1"/>
  <c r="H259" i="549"/>
  <c r="V258" i="549"/>
  <c r="V292" i="549" s="1"/>
  <c r="W292" i="549" s="1"/>
  <c r="N258" i="549"/>
  <c r="K258" i="549" a="1"/>
  <c r="K258" i="549" s="1"/>
  <c r="J258" i="549" a="1"/>
  <c r="J258" i="549" s="1"/>
  <c r="H258" i="549"/>
  <c r="AA257" i="549"/>
  <c r="Z257" i="549"/>
  <c r="Y257" i="549"/>
  <c r="X257" i="549"/>
  <c r="U257" i="549"/>
  <c r="T257" i="549"/>
  <c r="S257" i="549"/>
  <c r="R257" i="549"/>
  <c r="Q257" i="549"/>
  <c r="P257" i="549"/>
  <c r="O257" i="549"/>
  <c r="R338" i="549" s="1"/>
  <c r="I257" i="549"/>
  <c r="G257" i="549"/>
  <c r="H256" i="549"/>
  <c r="H255" i="549"/>
  <c r="H254" i="549"/>
  <c r="H253" i="549"/>
  <c r="H252" i="549"/>
  <c r="H251" i="549"/>
  <c r="K250" i="549" a="1"/>
  <c r="K250" i="549" s="1"/>
  <c r="M250" i="549" s="1"/>
  <c r="H250" i="549"/>
  <c r="K249" i="549"/>
  <c r="M249" i="549" s="1"/>
  <c r="K249" i="549" a="1"/>
  <c r="H249" i="549"/>
  <c r="K248" i="549" a="1"/>
  <c r="K248" i="549" s="1"/>
  <c r="M248" i="549" s="1"/>
  <c r="H248" i="549"/>
  <c r="K247" i="549"/>
  <c r="M247" i="549" s="1"/>
  <c r="K247" i="549" a="1"/>
  <c r="H247" i="549"/>
  <c r="V246" i="549"/>
  <c r="W246" i="549" s="1"/>
  <c r="N246" i="549"/>
  <c r="K246" i="549" a="1"/>
  <c r="K246" i="549" s="1"/>
  <c r="M246" i="549" s="1"/>
  <c r="J246" i="549" a="1"/>
  <c r="J246" i="549" s="1"/>
  <c r="H246" i="549"/>
  <c r="V245" i="549"/>
  <c r="W245" i="549" s="1"/>
  <c r="N245" i="549"/>
  <c r="K245" i="549"/>
  <c r="M245" i="549" s="1"/>
  <c r="K245" i="549" a="1"/>
  <c r="J245" i="549"/>
  <c r="J245" i="549" a="1"/>
  <c r="H245" i="549"/>
  <c r="V244" i="549"/>
  <c r="W244" i="549" s="1"/>
  <c r="N244" i="549"/>
  <c r="K244" i="549" a="1"/>
  <c r="K244" i="549" s="1"/>
  <c r="M244" i="549" s="1"/>
  <c r="J244" i="549" a="1"/>
  <c r="J244" i="549" s="1"/>
  <c r="H244" i="549"/>
  <c r="W243" i="549"/>
  <c r="V243" i="549"/>
  <c r="N243" i="549"/>
  <c r="K243" i="549" a="1"/>
  <c r="K243" i="549" s="1"/>
  <c r="M243" i="549" s="1"/>
  <c r="J243" i="549" a="1"/>
  <c r="J243" i="549" s="1"/>
  <c r="H243" i="549"/>
  <c r="M242" i="549"/>
  <c r="H242" i="549"/>
  <c r="V241" i="549"/>
  <c r="W241" i="549" s="1"/>
  <c r="N241" i="549"/>
  <c r="K241" i="549" a="1"/>
  <c r="K241" i="549" s="1"/>
  <c r="M241" i="549" s="1"/>
  <c r="J241" i="549" a="1"/>
  <c r="J241" i="549" s="1"/>
  <c r="H241" i="549"/>
  <c r="W240" i="549"/>
  <c r="V240" i="549"/>
  <c r="N240" i="549"/>
  <c r="K240" i="549" a="1"/>
  <c r="K240" i="549" s="1"/>
  <c r="M240" i="549" s="1"/>
  <c r="J240" i="549" a="1"/>
  <c r="J240" i="549" s="1"/>
  <c r="H240" i="549"/>
  <c r="K239" i="549"/>
  <c r="M239" i="549" s="1"/>
  <c r="K239" i="549" a="1"/>
  <c r="H239" i="549"/>
  <c r="H238" i="549"/>
  <c r="W237" i="549"/>
  <c r="V237" i="549"/>
  <c r="N237" i="549"/>
  <c r="K237" i="549" a="1"/>
  <c r="K237" i="549" s="1"/>
  <c r="M237" i="549" s="1"/>
  <c r="J237" i="549" a="1"/>
  <c r="J237" i="549" s="1"/>
  <c r="H237" i="549"/>
  <c r="V236" i="549"/>
  <c r="W236" i="549" s="1"/>
  <c r="N236" i="549"/>
  <c r="K236" i="549" a="1"/>
  <c r="K236" i="549" s="1"/>
  <c r="M236" i="549" s="1"/>
  <c r="J236" i="549" a="1"/>
  <c r="J236" i="549" s="1"/>
  <c r="H236" i="549"/>
  <c r="V235" i="549"/>
  <c r="W235" i="549" s="1"/>
  <c r="N235" i="549"/>
  <c r="K235" i="549"/>
  <c r="M235" i="549" s="1"/>
  <c r="K235" i="549" a="1"/>
  <c r="J235" i="549"/>
  <c r="J235" i="549" a="1"/>
  <c r="H235" i="549"/>
  <c r="V234" i="549"/>
  <c r="W234" i="549" s="1"/>
  <c r="N234" i="549"/>
  <c r="K234" i="549" a="1"/>
  <c r="K234" i="549" s="1"/>
  <c r="M234" i="549" s="1"/>
  <c r="J234" i="549" a="1"/>
  <c r="J234" i="549" s="1"/>
  <c r="H234" i="549"/>
  <c r="W233" i="549"/>
  <c r="V233" i="549"/>
  <c r="N233" i="549"/>
  <c r="K233" i="549" a="1"/>
  <c r="K233" i="549" s="1"/>
  <c r="M233" i="549" s="1"/>
  <c r="J233" i="549" a="1"/>
  <c r="J233" i="549" s="1"/>
  <c r="H233" i="549"/>
  <c r="V232" i="549"/>
  <c r="W232" i="549" s="1"/>
  <c r="N232" i="549"/>
  <c r="K232" i="549" a="1"/>
  <c r="K232" i="549" s="1"/>
  <c r="M232" i="549" s="1"/>
  <c r="J232" i="549" a="1"/>
  <c r="J232" i="549" s="1"/>
  <c r="H232" i="549"/>
  <c r="V231" i="549"/>
  <c r="W231" i="549" s="1"/>
  <c r="N231" i="549"/>
  <c r="K231" i="549"/>
  <c r="M231" i="549" s="1"/>
  <c r="K231" i="549" a="1"/>
  <c r="J231" i="549"/>
  <c r="J231" i="549" a="1"/>
  <c r="H231" i="549"/>
  <c r="V230" i="549"/>
  <c r="W230" i="549" s="1"/>
  <c r="N230" i="549"/>
  <c r="K230" i="549" a="1"/>
  <c r="K230" i="549" s="1"/>
  <c r="M230" i="549" s="1"/>
  <c r="J230" i="549" a="1"/>
  <c r="J230" i="549" s="1"/>
  <c r="H230" i="549"/>
  <c r="W229" i="549"/>
  <c r="V229" i="549"/>
  <c r="N229" i="549"/>
  <c r="K229" i="549" a="1"/>
  <c r="K229" i="549" s="1"/>
  <c r="M229" i="549" s="1"/>
  <c r="J229" i="549" a="1"/>
  <c r="J229" i="549" s="1"/>
  <c r="H229" i="549"/>
  <c r="V228" i="549"/>
  <c r="W228" i="549" s="1"/>
  <c r="N228" i="549"/>
  <c r="K228" i="549" a="1"/>
  <c r="K228" i="549" s="1"/>
  <c r="M228" i="549" s="1"/>
  <c r="J228" i="549" a="1"/>
  <c r="J228" i="549" s="1"/>
  <c r="H228" i="549"/>
  <c r="N227" i="549"/>
  <c r="K227" i="549"/>
  <c r="M227" i="549" s="1"/>
  <c r="K227" i="549" a="1"/>
  <c r="H227" i="549"/>
  <c r="N226" i="549"/>
  <c r="K226" i="549" a="1"/>
  <c r="K226" i="549" s="1"/>
  <c r="M226" i="549" s="1"/>
  <c r="H226" i="549"/>
  <c r="N225" i="549"/>
  <c r="K225" i="549" a="1"/>
  <c r="K225" i="549" s="1"/>
  <c r="M225" i="549" s="1"/>
  <c r="H225" i="549"/>
  <c r="N224" i="549"/>
  <c r="K224" i="549" a="1"/>
  <c r="K224" i="549" s="1"/>
  <c r="M224" i="549" s="1"/>
  <c r="H224" i="549"/>
  <c r="N223" i="549"/>
  <c r="K223" i="549"/>
  <c r="M223" i="549" s="1"/>
  <c r="K223" i="549" a="1"/>
  <c r="H223" i="549"/>
  <c r="N222" i="549"/>
  <c r="K222" i="549" a="1"/>
  <c r="K222" i="549" s="1"/>
  <c r="M222" i="549" s="1"/>
  <c r="H222" i="549"/>
  <c r="N221" i="549"/>
  <c r="K221" i="549" a="1"/>
  <c r="K221" i="549" s="1"/>
  <c r="M221" i="549" s="1"/>
  <c r="H221" i="549"/>
  <c r="N220" i="549"/>
  <c r="K220" i="549" a="1"/>
  <c r="K220" i="549" s="1"/>
  <c r="M220" i="549" s="1"/>
  <c r="H220" i="549"/>
  <c r="V219" i="549"/>
  <c r="W219" i="549" s="1"/>
  <c r="N219" i="549"/>
  <c r="K219" i="549"/>
  <c r="M219" i="549" s="1"/>
  <c r="K219" i="549" a="1"/>
  <c r="J219" i="549"/>
  <c r="J219" i="549" a="1"/>
  <c r="H219" i="549"/>
  <c r="V218" i="549"/>
  <c r="W218" i="549" s="1"/>
  <c r="N218" i="549"/>
  <c r="K218" i="549" a="1"/>
  <c r="K218" i="549" s="1"/>
  <c r="M218" i="549" s="1"/>
  <c r="J218" i="549" a="1"/>
  <c r="J218" i="549" s="1"/>
  <c r="H218" i="549"/>
  <c r="W217" i="549"/>
  <c r="V217" i="549"/>
  <c r="N217" i="549"/>
  <c r="K217" i="549" a="1"/>
  <c r="K217" i="549" s="1"/>
  <c r="M217" i="549" s="1"/>
  <c r="J217" i="549" a="1"/>
  <c r="J217" i="549" s="1"/>
  <c r="H217" i="549"/>
  <c r="V216" i="549"/>
  <c r="W216" i="549" s="1"/>
  <c r="N216" i="549"/>
  <c r="K216" i="549" a="1"/>
  <c r="K216" i="549" s="1"/>
  <c r="M216" i="549" s="1"/>
  <c r="J216" i="549" a="1"/>
  <c r="J216" i="549" s="1"/>
  <c r="H216" i="549"/>
  <c r="W215" i="549"/>
  <c r="V215" i="549"/>
  <c r="N215" i="549"/>
  <c r="K215" i="549"/>
  <c r="M215" i="549" s="1"/>
  <c r="K215" i="549" a="1"/>
  <c r="J215" i="549" a="1"/>
  <c r="J215" i="549" s="1"/>
  <c r="H215" i="549"/>
  <c r="V214" i="549"/>
  <c r="W214" i="549" s="1"/>
  <c r="N214" i="549"/>
  <c r="K214" i="549" a="1"/>
  <c r="K214" i="549" s="1"/>
  <c r="M214" i="549" s="1"/>
  <c r="J214" i="549" a="1"/>
  <c r="J214" i="549" s="1"/>
  <c r="H214" i="549"/>
  <c r="W213" i="549"/>
  <c r="V213" i="549"/>
  <c r="N213" i="549"/>
  <c r="K213" i="549" a="1"/>
  <c r="K213" i="549" s="1"/>
  <c r="M213" i="549" s="1"/>
  <c r="J213" i="549" a="1"/>
  <c r="J213" i="549" s="1"/>
  <c r="H213" i="549"/>
  <c r="V212" i="549"/>
  <c r="W212" i="549" s="1"/>
  <c r="N212" i="549"/>
  <c r="K212" i="549" a="1"/>
  <c r="K212" i="549" s="1"/>
  <c r="M212" i="549" s="1"/>
  <c r="J212" i="549" a="1"/>
  <c r="J212" i="549" s="1"/>
  <c r="H212" i="549"/>
  <c r="V211" i="549"/>
  <c r="W211" i="549" s="1"/>
  <c r="N211" i="549"/>
  <c r="K211" i="549"/>
  <c r="M211" i="549" s="1"/>
  <c r="K211" i="549" a="1"/>
  <c r="J211" i="549"/>
  <c r="J211" i="549" a="1"/>
  <c r="H211" i="549"/>
  <c r="V210" i="549"/>
  <c r="W210" i="549" s="1"/>
  <c r="N210" i="549"/>
  <c r="K210" i="549" a="1"/>
  <c r="K210" i="549" s="1"/>
  <c r="M210" i="549" s="1"/>
  <c r="J210" i="549" a="1"/>
  <c r="J210" i="549" s="1"/>
  <c r="H210" i="549"/>
  <c r="V209" i="549"/>
  <c r="W209" i="549" s="1"/>
  <c r="N209" i="549"/>
  <c r="K209" i="549" a="1"/>
  <c r="K209" i="549" s="1"/>
  <c r="M209" i="549" s="1"/>
  <c r="J209" i="549" a="1"/>
  <c r="J209" i="549" s="1"/>
  <c r="H209" i="549"/>
  <c r="V208" i="549"/>
  <c r="W208" i="549" s="1"/>
  <c r="N208" i="549"/>
  <c r="K208" i="549" a="1"/>
  <c r="K208" i="549" s="1"/>
  <c r="M208" i="549" s="1"/>
  <c r="J208" i="549" a="1"/>
  <c r="J208" i="549" s="1"/>
  <c r="H208" i="549"/>
  <c r="H207" i="549"/>
  <c r="H206" i="549"/>
  <c r="H205" i="549"/>
  <c r="V204" i="549"/>
  <c r="W204" i="549" s="1"/>
  <c r="N204" i="549"/>
  <c r="K204" i="549" a="1"/>
  <c r="K204" i="549" s="1"/>
  <c r="M204" i="549" s="1"/>
  <c r="J204" i="549" a="1"/>
  <c r="J204" i="549" s="1"/>
  <c r="H204" i="549"/>
  <c r="V203" i="549"/>
  <c r="W203" i="549" s="1"/>
  <c r="N203" i="549"/>
  <c r="K203" i="549"/>
  <c r="M203" i="549" s="1"/>
  <c r="K203" i="549" a="1"/>
  <c r="J203" i="549" a="1"/>
  <c r="J203" i="549" s="1"/>
  <c r="H203" i="549"/>
  <c r="V202" i="549"/>
  <c r="W202" i="549" s="1"/>
  <c r="N202" i="549"/>
  <c r="K202" i="549" a="1"/>
  <c r="K202" i="549" s="1"/>
  <c r="M202" i="549" s="1"/>
  <c r="J202" i="549" a="1"/>
  <c r="J202" i="549" s="1"/>
  <c r="H202" i="549"/>
  <c r="H201" i="549"/>
  <c r="V200" i="549"/>
  <c r="V257" i="549" s="1"/>
  <c r="W257" i="549" s="1"/>
  <c r="N200" i="549"/>
  <c r="N257" i="549" s="1"/>
  <c r="K200" i="549" a="1"/>
  <c r="K200" i="549" s="1"/>
  <c r="J200" i="549" a="1"/>
  <c r="J200" i="549" s="1"/>
  <c r="H200" i="549"/>
  <c r="AA199" i="549"/>
  <c r="AA335" i="549" s="1"/>
  <c r="Z199" i="549"/>
  <c r="Z335" i="549" s="1"/>
  <c r="Y199" i="549"/>
  <c r="Y335" i="549" s="1"/>
  <c r="X199" i="549"/>
  <c r="X335" i="549" s="1"/>
  <c r="U199" i="549"/>
  <c r="U335" i="549" s="1"/>
  <c r="T199" i="549"/>
  <c r="T335" i="549" s="1"/>
  <c r="S199" i="549"/>
  <c r="S335" i="549" s="1"/>
  <c r="R199" i="549"/>
  <c r="R335" i="549" s="1"/>
  <c r="Q199" i="549"/>
  <c r="Q335" i="549" s="1"/>
  <c r="P199" i="549"/>
  <c r="O199" i="549"/>
  <c r="I199" i="549"/>
  <c r="I335" i="549" s="1"/>
  <c r="B343" i="549" s="1"/>
  <c r="G199" i="549"/>
  <c r="G335" i="549" s="1"/>
  <c r="V198" i="549"/>
  <c r="W198" i="549" s="1"/>
  <c r="N198" i="549"/>
  <c r="K198" i="549" a="1"/>
  <c r="K198" i="549" s="1"/>
  <c r="M198" i="549" s="1"/>
  <c r="J198" i="549" a="1"/>
  <c r="J198" i="549" s="1"/>
  <c r="H198" i="549"/>
  <c r="V197" i="549"/>
  <c r="W197" i="549" s="1"/>
  <c r="N197" i="549"/>
  <c r="K197" i="549" a="1"/>
  <c r="K197" i="549" s="1"/>
  <c r="M197" i="549" s="1"/>
  <c r="J197" i="549" a="1"/>
  <c r="J197" i="549" s="1"/>
  <c r="H197" i="549"/>
  <c r="K196" i="549" a="1"/>
  <c r="K196" i="549" s="1"/>
  <c r="M196" i="549" s="1"/>
  <c r="H196" i="549"/>
  <c r="K195" i="549" a="1"/>
  <c r="K195" i="549" s="1"/>
  <c r="M195" i="549" s="1"/>
  <c r="H195" i="549"/>
  <c r="K194" i="549"/>
  <c r="M194" i="549" s="1"/>
  <c r="K194" i="549" a="1"/>
  <c r="H194" i="549"/>
  <c r="K193" i="549" a="1"/>
  <c r="K193" i="549" s="1"/>
  <c r="M193" i="549" s="1"/>
  <c r="H193" i="549"/>
  <c r="V192" i="549"/>
  <c r="W192" i="549" s="1"/>
  <c r="N192" i="549"/>
  <c r="K192" i="549" a="1"/>
  <c r="K192" i="549" s="1"/>
  <c r="M192" i="549" s="1"/>
  <c r="J192" i="549" a="1"/>
  <c r="J192" i="549" s="1"/>
  <c r="H192" i="549"/>
  <c r="V191" i="549"/>
  <c r="W191" i="549" s="1"/>
  <c r="N191" i="549"/>
  <c r="K191" i="549"/>
  <c r="M191" i="549" s="1"/>
  <c r="K191" i="549" a="1"/>
  <c r="J191" i="549"/>
  <c r="J191" i="549" a="1"/>
  <c r="H191" i="549"/>
  <c r="V190" i="549"/>
  <c r="W190" i="549" s="1"/>
  <c r="N190" i="549"/>
  <c r="K190" i="549" a="1"/>
  <c r="K190" i="549" s="1"/>
  <c r="M190" i="549" s="1"/>
  <c r="J190" i="549" a="1"/>
  <c r="J190" i="549" s="1"/>
  <c r="H190" i="549"/>
  <c r="N189" i="549"/>
  <c r="K189" i="549"/>
  <c r="M189" i="549" s="1"/>
  <c r="K189" i="549" a="1"/>
  <c r="J189" i="549" a="1"/>
  <c r="J189" i="549" s="1"/>
  <c r="H189" i="549"/>
  <c r="N188" i="549"/>
  <c r="K188" i="549" a="1"/>
  <c r="K188" i="549" s="1"/>
  <c r="M188" i="549" s="1"/>
  <c r="J188" i="549" a="1"/>
  <c r="J188" i="549" s="1"/>
  <c r="H188" i="549"/>
  <c r="V187" i="549"/>
  <c r="W187" i="549" s="1"/>
  <c r="N187" i="549"/>
  <c r="K187" i="549" a="1"/>
  <c r="K187" i="549" s="1"/>
  <c r="M187" i="549" s="1"/>
  <c r="J187" i="549" a="1"/>
  <c r="J187" i="549" s="1"/>
  <c r="H187" i="549"/>
  <c r="V186" i="549"/>
  <c r="W186" i="549" s="1"/>
  <c r="N186" i="549"/>
  <c r="K186" i="549" a="1"/>
  <c r="K186" i="549" s="1"/>
  <c r="M186" i="549" s="1"/>
  <c r="J186" i="549" a="1"/>
  <c r="J186" i="549" s="1"/>
  <c r="H186" i="549"/>
  <c r="N185" i="549"/>
  <c r="K185" i="549"/>
  <c r="M185" i="549" s="1"/>
  <c r="K185" i="549" a="1"/>
  <c r="H185" i="549"/>
  <c r="N184" i="549"/>
  <c r="K184" i="549" a="1"/>
  <c r="K184" i="549" s="1"/>
  <c r="M184" i="549" s="1"/>
  <c r="H184" i="549"/>
  <c r="W183" i="549"/>
  <c r="V183" i="549"/>
  <c r="N183" i="549"/>
  <c r="K183" i="549" a="1"/>
  <c r="K183" i="549" s="1"/>
  <c r="M183" i="549" s="1"/>
  <c r="J183" i="549" a="1"/>
  <c r="J183" i="549" s="1"/>
  <c r="H183" i="549"/>
  <c r="V182" i="549"/>
  <c r="W182" i="549" s="1"/>
  <c r="N182" i="549"/>
  <c r="K182" i="549" a="1"/>
  <c r="K182" i="549" s="1"/>
  <c r="M182" i="549" s="1"/>
  <c r="J182" i="549" a="1"/>
  <c r="J182" i="549" s="1"/>
  <c r="H182" i="549"/>
  <c r="W181" i="549"/>
  <c r="V181" i="549"/>
  <c r="N181" i="549"/>
  <c r="K181" i="549" a="1"/>
  <c r="K181" i="549" s="1"/>
  <c r="M181" i="549" s="1"/>
  <c r="J181" i="549" a="1"/>
  <c r="J181" i="549" s="1"/>
  <c r="H181" i="549"/>
  <c r="V180" i="549"/>
  <c r="W180" i="549" s="1"/>
  <c r="N180" i="549"/>
  <c r="K180" i="549" a="1"/>
  <c r="K180" i="549" s="1"/>
  <c r="M180" i="549" s="1"/>
  <c r="J180" i="549" a="1"/>
  <c r="J180" i="549" s="1"/>
  <c r="H180" i="549"/>
  <c r="V179" i="549"/>
  <c r="W179" i="549" s="1"/>
  <c r="N179" i="549"/>
  <c r="K179" i="549" a="1"/>
  <c r="K179" i="549" s="1"/>
  <c r="M179" i="549" s="1"/>
  <c r="J179" i="549" a="1"/>
  <c r="J179" i="549" s="1"/>
  <c r="H179" i="549"/>
  <c r="V178" i="549"/>
  <c r="V199" i="549" s="1"/>
  <c r="N178" i="549"/>
  <c r="N199" i="549" s="1"/>
  <c r="K178" i="549" a="1"/>
  <c r="K178" i="549" s="1"/>
  <c r="J178" i="549" a="1"/>
  <c r="J178" i="549" s="1"/>
  <c r="H178" i="549"/>
  <c r="H199" i="549" s="1"/>
  <c r="X171" i="549"/>
  <c r="Q529" i="549" s="1"/>
  <c r="X170" i="549"/>
  <c r="Q528" i="549" s="1"/>
  <c r="G170" i="549"/>
  <c r="C170" i="549"/>
  <c r="X169" i="549"/>
  <c r="Q527" i="549" s="1"/>
  <c r="I169" i="549"/>
  <c r="E169" i="549"/>
  <c r="K169" i="549" s="1"/>
  <c r="M169" i="549" s="1"/>
  <c r="I168" i="549"/>
  <c r="E168" i="549"/>
  <c r="K168" i="549" s="1"/>
  <c r="M168" i="549" s="1"/>
  <c r="I167" i="549"/>
  <c r="E167" i="549"/>
  <c r="K167" i="549" s="1"/>
  <c r="M167" i="549" s="1"/>
  <c r="X166" i="549"/>
  <c r="Q524" i="549" s="1"/>
  <c r="I166" i="549"/>
  <c r="I170" i="549" s="1"/>
  <c r="E166" i="549"/>
  <c r="K166" i="549" s="1"/>
  <c r="AA163" i="549"/>
  <c r="Z163" i="549"/>
  <c r="Y163" i="549"/>
  <c r="X163" i="549"/>
  <c r="U163" i="549"/>
  <c r="T163" i="549"/>
  <c r="S163" i="549"/>
  <c r="R163" i="549"/>
  <c r="Q163" i="549"/>
  <c r="P163" i="549"/>
  <c r="O163" i="549"/>
  <c r="R171" i="549" s="1"/>
  <c r="I163" i="549"/>
  <c r="G163" i="549"/>
  <c r="C529" i="549" s="1"/>
  <c r="H162" i="549"/>
  <c r="H161" i="549"/>
  <c r="H160" i="549"/>
  <c r="V159" i="549"/>
  <c r="W159" i="549" s="1"/>
  <c r="N159" i="549"/>
  <c r="K159" i="549"/>
  <c r="K159" i="549" a="1"/>
  <c r="J159" i="549"/>
  <c r="J159" i="549" a="1"/>
  <c r="H159" i="549"/>
  <c r="D159" i="549"/>
  <c r="W158" i="549"/>
  <c r="V158" i="549"/>
  <c r="N158" i="549"/>
  <c r="K158" i="549"/>
  <c r="M158" i="549" s="1"/>
  <c r="K158" i="549" a="1"/>
  <c r="J158" i="549"/>
  <c r="J158" i="549" a="1"/>
  <c r="H158" i="549"/>
  <c r="H157" i="549"/>
  <c r="H156" i="549"/>
  <c r="V155" i="549"/>
  <c r="W155" i="549" s="1"/>
  <c r="N155" i="549"/>
  <c r="K155" i="549" a="1"/>
  <c r="K155" i="549" s="1"/>
  <c r="M155" i="549" s="1"/>
  <c r="J155" i="549" a="1"/>
  <c r="J155" i="549" s="1"/>
  <c r="H155" i="549"/>
  <c r="W154" i="549"/>
  <c r="V154" i="549"/>
  <c r="N154" i="549"/>
  <c r="K154" i="549"/>
  <c r="M154" i="549" s="1"/>
  <c r="K154" i="549" a="1"/>
  <c r="J154" i="549"/>
  <c r="J154" i="549" a="1"/>
  <c r="H154" i="549"/>
  <c r="H153" i="549"/>
  <c r="W152" i="549"/>
  <c r="V152" i="549"/>
  <c r="N152" i="549"/>
  <c r="K152" i="549"/>
  <c r="M152" i="549" s="1"/>
  <c r="K152" i="549" a="1"/>
  <c r="J152" i="549"/>
  <c r="J152" i="549" a="1"/>
  <c r="H152" i="549"/>
  <c r="V151" i="549"/>
  <c r="W151" i="549" s="1"/>
  <c r="N151" i="549"/>
  <c r="K151" i="549" a="1"/>
  <c r="K151" i="549" s="1"/>
  <c r="M151" i="549" s="1"/>
  <c r="J151" i="549" a="1"/>
  <c r="J151" i="549" s="1"/>
  <c r="H151" i="549"/>
  <c r="W150" i="549"/>
  <c r="V150" i="549"/>
  <c r="N150" i="549"/>
  <c r="K150" i="549" a="1"/>
  <c r="K150" i="549" s="1"/>
  <c r="M150" i="549" s="1"/>
  <c r="J150" i="549" a="1"/>
  <c r="J150" i="549" s="1"/>
  <c r="H150" i="549"/>
  <c r="V149" i="549"/>
  <c r="V163" i="549" s="1"/>
  <c r="W163" i="549" s="1"/>
  <c r="N149" i="549"/>
  <c r="N163" i="549" s="1"/>
  <c r="K149" i="549" a="1"/>
  <c r="K149" i="549" s="1"/>
  <c r="J149" i="549" a="1"/>
  <c r="J149" i="549" s="1"/>
  <c r="H149" i="549"/>
  <c r="AA148" i="549"/>
  <c r="Z148" i="549"/>
  <c r="Y148" i="549"/>
  <c r="X148" i="549"/>
  <c r="U148" i="549"/>
  <c r="T148" i="549"/>
  <c r="S148" i="549"/>
  <c r="Q148" i="549"/>
  <c r="P148" i="549"/>
  <c r="O148" i="549"/>
  <c r="R170" i="549" s="1"/>
  <c r="I148" i="549"/>
  <c r="G148" i="549"/>
  <c r="C528" i="549" s="1"/>
  <c r="V147" i="549"/>
  <c r="W147" i="549" s="1"/>
  <c r="N147" i="549"/>
  <c r="K147" i="549" a="1"/>
  <c r="K147" i="549" s="1"/>
  <c r="M147" i="549" s="1"/>
  <c r="J147" i="549" a="1"/>
  <c r="J147" i="549" s="1"/>
  <c r="H147" i="549"/>
  <c r="K146" i="549" a="1"/>
  <c r="K146" i="549" s="1"/>
  <c r="H146" i="549"/>
  <c r="K145" i="549" a="1"/>
  <c r="K145" i="549" s="1"/>
  <c r="H145" i="549"/>
  <c r="K144" i="549" a="1"/>
  <c r="K144" i="549" s="1"/>
  <c r="H144" i="549"/>
  <c r="K143" i="549"/>
  <c r="K143" i="549" a="1"/>
  <c r="H143" i="549"/>
  <c r="V142" i="549"/>
  <c r="W142" i="549" s="1"/>
  <c r="N142" i="549"/>
  <c r="K142" i="549" a="1"/>
  <c r="K142" i="549" s="1"/>
  <c r="M142" i="549" s="1"/>
  <c r="J142" i="549" a="1"/>
  <c r="J142" i="549" s="1"/>
  <c r="H142" i="549"/>
  <c r="V141" i="549"/>
  <c r="W141" i="549" s="1"/>
  <c r="N141" i="549"/>
  <c r="K141" i="549" a="1"/>
  <c r="K141" i="549" s="1"/>
  <c r="M141" i="549" s="1"/>
  <c r="J141" i="549" a="1"/>
  <c r="J141" i="549" s="1"/>
  <c r="H141" i="549"/>
  <c r="V140" i="549"/>
  <c r="W140" i="549" s="1"/>
  <c r="N140" i="549"/>
  <c r="K140" i="549" a="1"/>
  <c r="K140" i="549" s="1"/>
  <c r="M140" i="549" s="1"/>
  <c r="J140" i="549" a="1"/>
  <c r="J140" i="549" s="1"/>
  <c r="H140" i="549"/>
  <c r="V139" i="549"/>
  <c r="W139" i="549" s="1"/>
  <c r="N139" i="549"/>
  <c r="K139" i="549"/>
  <c r="M139" i="549" s="1"/>
  <c r="K139" i="549" a="1"/>
  <c r="J139" i="549"/>
  <c r="J139" i="549" a="1"/>
  <c r="H139" i="549"/>
  <c r="V138" i="549"/>
  <c r="V148" i="549" s="1"/>
  <c r="W148" i="549" s="1"/>
  <c r="N138" i="549"/>
  <c r="N148" i="549" s="1"/>
  <c r="K138" i="549" a="1"/>
  <c r="K138" i="549" s="1"/>
  <c r="J138" i="549" a="1"/>
  <c r="J138" i="549" s="1"/>
  <c r="H138" i="549"/>
  <c r="H148" i="549" s="1"/>
  <c r="AA137" i="549"/>
  <c r="Z137" i="549"/>
  <c r="Y137" i="549"/>
  <c r="X137" i="549"/>
  <c r="U137" i="549"/>
  <c r="T137" i="549"/>
  <c r="S137" i="549"/>
  <c r="Q137" i="549"/>
  <c r="P137" i="549"/>
  <c r="O137" i="549"/>
  <c r="R169" i="549" s="1"/>
  <c r="I137" i="549"/>
  <c r="G137" i="549"/>
  <c r="C527" i="549" s="1"/>
  <c r="V136" i="549"/>
  <c r="W136" i="549" s="1"/>
  <c r="N136" i="549"/>
  <c r="K136" i="549" a="1"/>
  <c r="K136" i="549" s="1"/>
  <c r="M136" i="549" s="1"/>
  <c r="J136" i="549" a="1"/>
  <c r="J136" i="549" s="1"/>
  <c r="H136" i="549"/>
  <c r="V135" i="549"/>
  <c r="W135" i="549" s="1"/>
  <c r="N135" i="549"/>
  <c r="K135" i="549" a="1"/>
  <c r="K135" i="549" s="1"/>
  <c r="M135" i="549" s="1"/>
  <c r="J135" i="549" a="1"/>
  <c r="J135" i="549" s="1"/>
  <c r="H135" i="549"/>
  <c r="V134" i="549"/>
  <c r="W134" i="549" s="1"/>
  <c r="N134" i="549"/>
  <c r="K134" i="549" a="1"/>
  <c r="K134" i="549" s="1"/>
  <c r="M134" i="549" s="1"/>
  <c r="J134" i="549" a="1"/>
  <c r="J134" i="549" s="1"/>
  <c r="H134" i="549"/>
  <c r="V133" i="549"/>
  <c r="W133" i="549" s="1"/>
  <c r="N133" i="549"/>
  <c r="K133" i="549"/>
  <c r="M133" i="549" s="1"/>
  <c r="K133" i="549" a="1"/>
  <c r="J133" i="549"/>
  <c r="J133" i="549" a="1"/>
  <c r="H133" i="549"/>
  <c r="V132" i="549"/>
  <c r="W132" i="549" s="1"/>
  <c r="N132" i="549"/>
  <c r="K132" i="549" a="1"/>
  <c r="K132" i="549" s="1"/>
  <c r="M132" i="549" s="1"/>
  <c r="J132" i="549" a="1"/>
  <c r="J132" i="549" s="1"/>
  <c r="H132" i="549"/>
  <c r="W131" i="549"/>
  <c r="V131" i="549"/>
  <c r="N131" i="549"/>
  <c r="K131" i="549" a="1"/>
  <c r="K131" i="549" s="1"/>
  <c r="M131" i="549" s="1"/>
  <c r="J131" i="549" a="1"/>
  <c r="J131" i="549" s="1"/>
  <c r="H131" i="549"/>
  <c r="V130" i="549"/>
  <c r="W130" i="549" s="1"/>
  <c r="N130" i="549"/>
  <c r="K130" i="549" a="1"/>
  <c r="K130" i="549" s="1"/>
  <c r="M130" i="549" s="1"/>
  <c r="J130" i="549" a="1"/>
  <c r="J130" i="549" s="1"/>
  <c r="H130" i="549"/>
  <c r="V129" i="549"/>
  <c r="W129" i="549" s="1"/>
  <c r="N129" i="549"/>
  <c r="K129" i="549"/>
  <c r="M129" i="549" s="1"/>
  <c r="K129" i="549" a="1"/>
  <c r="J129" i="549"/>
  <c r="J129" i="549" a="1"/>
  <c r="H129" i="549"/>
  <c r="V128" i="549"/>
  <c r="W128" i="549" s="1"/>
  <c r="N128" i="549"/>
  <c r="K128" i="549" a="1"/>
  <c r="K128" i="549" s="1"/>
  <c r="M128" i="549" s="1"/>
  <c r="J128" i="549" a="1"/>
  <c r="J128" i="549" s="1"/>
  <c r="H128" i="549"/>
  <c r="W127" i="549"/>
  <c r="V127" i="549"/>
  <c r="N127" i="549"/>
  <c r="K127" i="549" a="1"/>
  <c r="K127" i="549" s="1"/>
  <c r="M127" i="549" s="1"/>
  <c r="J127" i="549" a="1"/>
  <c r="J127" i="549" s="1"/>
  <c r="H127" i="549"/>
  <c r="V126" i="549"/>
  <c r="W126" i="549" s="1"/>
  <c r="N126" i="549"/>
  <c r="K126" i="549" a="1"/>
  <c r="K126" i="549" s="1"/>
  <c r="M126" i="549" s="1"/>
  <c r="J126" i="549" a="1"/>
  <c r="J126" i="549" s="1"/>
  <c r="H126" i="549"/>
  <c r="V125" i="549"/>
  <c r="W125" i="549" s="1"/>
  <c r="N125" i="549"/>
  <c r="K125" i="549"/>
  <c r="M125" i="549" s="1"/>
  <c r="K125" i="549" a="1"/>
  <c r="J125" i="549"/>
  <c r="J125" i="549" a="1"/>
  <c r="H125" i="549"/>
  <c r="V124" i="549"/>
  <c r="W124" i="549" s="1"/>
  <c r="N124" i="549"/>
  <c r="K124" i="549" a="1"/>
  <c r="K124" i="549" s="1"/>
  <c r="M124" i="549" s="1"/>
  <c r="J124" i="549" a="1"/>
  <c r="J124" i="549" s="1"/>
  <c r="H124" i="549"/>
  <c r="W123" i="549"/>
  <c r="V123" i="549"/>
  <c r="N123" i="549"/>
  <c r="K123" i="549" a="1"/>
  <c r="K123" i="549" s="1"/>
  <c r="M123" i="549" s="1"/>
  <c r="J123" i="549" a="1"/>
  <c r="J123" i="549" s="1"/>
  <c r="H123" i="549"/>
  <c r="V122" i="549"/>
  <c r="W122" i="549" s="1"/>
  <c r="N122" i="549"/>
  <c r="K122" i="549" a="1"/>
  <c r="K122" i="549" s="1"/>
  <c r="J122" i="549" a="1"/>
  <c r="J122" i="549" s="1"/>
  <c r="H122" i="549"/>
  <c r="H137" i="549" s="1"/>
  <c r="AA121" i="549"/>
  <c r="Z121" i="549"/>
  <c r="Y121" i="549"/>
  <c r="X121" i="549"/>
  <c r="U121" i="549"/>
  <c r="T121" i="549"/>
  <c r="S121" i="549"/>
  <c r="R121" i="549"/>
  <c r="Q121" i="549"/>
  <c r="P121" i="549"/>
  <c r="O121" i="549"/>
  <c r="R168" i="549" s="1"/>
  <c r="I121" i="549"/>
  <c r="G121" i="549"/>
  <c r="C526" i="549" s="1"/>
  <c r="V120" i="549"/>
  <c r="W120" i="549" s="1"/>
  <c r="N120" i="549"/>
  <c r="K120" i="549" a="1"/>
  <c r="K120" i="549" s="1"/>
  <c r="M120" i="549" s="1"/>
  <c r="J120" i="549" a="1"/>
  <c r="J120" i="549" s="1"/>
  <c r="H120" i="549"/>
  <c r="V119" i="549"/>
  <c r="W119" i="549" s="1"/>
  <c r="N119" i="549"/>
  <c r="K119" i="549" a="1"/>
  <c r="K119" i="549" s="1"/>
  <c r="M119" i="549" s="1"/>
  <c r="J119" i="549" a="1"/>
  <c r="J119" i="549" s="1"/>
  <c r="H119" i="549"/>
  <c r="V118" i="549"/>
  <c r="W118" i="549" s="1"/>
  <c r="N118" i="549"/>
  <c r="K118" i="549" a="1"/>
  <c r="K118" i="549" s="1"/>
  <c r="M118" i="549" s="1"/>
  <c r="J118" i="549" a="1"/>
  <c r="J118" i="549" s="1"/>
  <c r="H118" i="549"/>
  <c r="K117" i="549" a="1"/>
  <c r="K117" i="549" s="1"/>
  <c r="H117" i="549"/>
  <c r="K116" i="549" a="1"/>
  <c r="K116" i="549" s="1"/>
  <c r="H116" i="549"/>
  <c r="K115" i="549"/>
  <c r="K115" i="549" a="1"/>
  <c r="H115" i="549"/>
  <c r="V114" i="549"/>
  <c r="W114" i="549" s="1"/>
  <c r="N114" i="549"/>
  <c r="K114" i="549" a="1"/>
  <c r="K114" i="549" s="1"/>
  <c r="M114" i="549" s="1"/>
  <c r="J114" i="549" a="1"/>
  <c r="J114" i="549" s="1"/>
  <c r="H114" i="549"/>
  <c r="V113" i="549"/>
  <c r="W113" i="549" s="1"/>
  <c r="N113" i="549"/>
  <c r="K113" i="549"/>
  <c r="M113" i="549" s="1"/>
  <c r="K113" i="549" a="1"/>
  <c r="J113" i="549" a="1"/>
  <c r="J113" i="549" s="1"/>
  <c r="H113" i="549"/>
  <c r="N112" i="549"/>
  <c r="K112" i="549" a="1"/>
  <c r="K112" i="549" s="1"/>
  <c r="M112" i="549" s="1"/>
  <c r="H112" i="549"/>
  <c r="N111" i="549"/>
  <c r="K111" i="549" a="1"/>
  <c r="K111" i="549" s="1"/>
  <c r="M111" i="549" s="1"/>
  <c r="H111" i="549"/>
  <c r="N110" i="549"/>
  <c r="K110" i="549" a="1"/>
  <c r="K110" i="549" s="1"/>
  <c r="M110" i="549" s="1"/>
  <c r="H110" i="549"/>
  <c r="N109" i="549"/>
  <c r="K109" i="549" a="1"/>
  <c r="K109" i="549" s="1"/>
  <c r="M109" i="549" s="1"/>
  <c r="H109" i="549"/>
  <c r="N108" i="549"/>
  <c r="K108" i="549" a="1"/>
  <c r="K108" i="549" s="1"/>
  <c r="M108" i="549" s="1"/>
  <c r="H108" i="549"/>
  <c r="N107" i="549"/>
  <c r="K107" i="549" a="1"/>
  <c r="K107" i="549" s="1"/>
  <c r="M107" i="549" s="1"/>
  <c r="H107" i="549"/>
  <c r="V106" i="549"/>
  <c r="W106" i="549" s="1"/>
  <c r="N106" i="549"/>
  <c r="K106" i="549" a="1"/>
  <c r="K106" i="549" s="1"/>
  <c r="M106" i="549" s="1"/>
  <c r="J106" i="549" a="1"/>
  <c r="J106" i="549" s="1"/>
  <c r="H106" i="549"/>
  <c r="V105" i="549"/>
  <c r="W105" i="549" s="1"/>
  <c r="N105" i="549"/>
  <c r="K105" i="549"/>
  <c r="M105" i="549" s="1"/>
  <c r="K105" i="549" a="1"/>
  <c r="J105" i="549"/>
  <c r="J105" i="549" a="1"/>
  <c r="H105" i="549"/>
  <c r="V104" i="549"/>
  <c r="W104" i="549" s="1"/>
  <c r="N104" i="549"/>
  <c r="K104" i="549" a="1"/>
  <c r="K104" i="549" s="1"/>
  <c r="M104" i="549" s="1"/>
  <c r="J104" i="549" a="1"/>
  <c r="J104" i="549" s="1"/>
  <c r="H104" i="549"/>
  <c r="V103" i="549"/>
  <c r="W103" i="549" s="1"/>
  <c r="N103" i="549"/>
  <c r="K103" i="549" a="1"/>
  <c r="K103" i="549" s="1"/>
  <c r="M103" i="549" s="1"/>
  <c r="J103" i="549" a="1"/>
  <c r="J103" i="549" s="1"/>
  <c r="H103" i="549"/>
  <c r="V102" i="549"/>
  <c r="W102" i="549" s="1"/>
  <c r="N102" i="549"/>
  <c r="K102" i="549" a="1"/>
  <c r="K102" i="549" s="1"/>
  <c r="M102" i="549" s="1"/>
  <c r="J102" i="549" a="1"/>
  <c r="J102" i="549" s="1"/>
  <c r="H102" i="549"/>
  <c r="V101" i="549"/>
  <c r="W101" i="549" s="1"/>
  <c r="N101" i="549"/>
  <c r="K101" i="549"/>
  <c r="M101" i="549" s="1"/>
  <c r="K101" i="549" a="1"/>
  <c r="J101" i="549"/>
  <c r="J101" i="549" a="1"/>
  <c r="H101" i="549"/>
  <c r="V100" i="549"/>
  <c r="W100" i="549" s="1"/>
  <c r="N100" i="549"/>
  <c r="K100" i="549" a="1"/>
  <c r="K100" i="549" s="1"/>
  <c r="M100" i="549" s="1"/>
  <c r="J100" i="549" a="1"/>
  <c r="J100" i="549" s="1"/>
  <c r="H100" i="549"/>
  <c r="W99" i="549"/>
  <c r="V99" i="549"/>
  <c r="N99" i="549"/>
  <c r="K99" i="549" a="1"/>
  <c r="K99" i="549" s="1"/>
  <c r="M99" i="549" s="1"/>
  <c r="J99" i="549" a="1"/>
  <c r="J99" i="549" s="1"/>
  <c r="H99" i="549"/>
  <c r="V98" i="549"/>
  <c r="W98" i="549" s="1"/>
  <c r="N98" i="549"/>
  <c r="K98" i="549" a="1"/>
  <c r="K98" i="549" s="1"/>
  <c r="M98" i="549" s="1"/>
  <c r="J98" i="549" a="1"/>
  <c r="J98" i="549" s="1"/>
  <c r="H98" i="549"/>
  <c r="V97" i="549"/>
  <c r="W97" i="549" s="1"/>
  <c r="N97" i="549"/>
  <c r="K97" i="549"/>
  <c r="M97" i="549" s="1"/>
  <c r="K97" i="549" a="1"/>
  <c r="J97" i="549"/>
  <c r="J97" i="549" a="1"/>
  <c r="H97" i="549"/>
  <c r="V96" i="549"/>
  <c r="W96" i="549" s="1"/>
  <c r="N96" i="549"/>
  <c r="K96" i="549" a="1"/>
  <c r="K96" i="549" s="1"/>
  <c r="M96" i="549" s="1"/>
  <c r="J96" i="549" a="1"/>
  <c r="J96" i="549" s="1"/>
  <c r="H96" i="549"/>
  <c r="W95" i="549"/>
  <c r="V95" i="549"/>
  <c r="N95" i="549"/>
  <c r="K95" i="549" a="1"/>
  <c r="K95" i="549" s="1"/>
  <c r="M95" i="549" s="1"/>
  <c r="J95" i="549" a="1"/>
  <c r="J95" i="549" s="1"/>
  <c r="H95" i="549"/>
  <c r="K94" i="549"/>
  <c r="M94" i="549" s="1"/>
  <c r="K94" i="549" a="1"/>
  <c r="H94" i="549"/>
  <c r="V93" i="549"/>
  <c r="W93" i="549" s="1"/>
  <c r="N93" i="549"/>
  <c r="K93" i="549" a="1"/>
  <c r="K93" i="549" s="1"/>
  <c r="M93" i="549" s="1"/>
  <c r="J93" i="549" a="1"/>
  <c r="J93" i="549" s="1"/>
  <c r="H93" i="549"/>
  <c r="W92" i="549"/>
  <c r="V92" i="549"/>
  <c r="N92" i="549"/>
  <c r="K92" i="549" a="1"/>
  <c r="K92" i="549" s="1"/>
  <c r="M92" i="549" s="1"/>
  <c r="J92" i="549" a="1"/>
  <c r="J92" i="549" s="1"/>
  <c r="H92" i="549"/>
  <c r="V91" i="549"/>
  <c r="W91" i="549" s="1"/>
  <c r="N91" i="549"/>
  <c r="K91" i="549" a="1"/>
  <c r="K91" i="549" s="1"/>
  <c r="M91" i="549" s="1"/>
  <c r="J91" i="549" a="1"/>
  <c r="J91" i="549" s="1"/>
  <c r="H91" i="549"/>
  <c r="V90" i="549"/>
  <c r="W90" i="549" s="1"/>
  <c r="N90" i="549"/>
  <c r="K90" i="549"/>
  <c r="M90" i="549" s="1"/>
  <c r="K90" i="549" a="1"/>
  <c r="J90" i="549"/>
  <c r="J90" i="549" a="1"/>
  <c r="H90" i="549"/>
  <c r="V89" i="549"/>
  <c r="W89" i="549" s="1"/>
  <c r="N89" i="549"/>
  <c r="K89" i="549" a="1"/>
  <c r="K89" i="549" s="1"/>
  <c r="M89" i="549" s="1"/>
  <c r="J89" i="549" a="1"/>
  <c r="J89" i="549" s="1"/>
  <c r="H89" i="549"/>
  <c r="W88" i="549"/>
  <c r="V88" i="549"/>
  <c r="N88" i="549"/>
  <c r="K88" i="549" a="1"/>
  <c r="K88" i="549" s="1"/>
  <c r="M88" i="549" s="1"/>
  <c r="J88" i="549" a="1"/>
  <c r="J88" i="549" s="1"/>
  <c r="H88" i="549"/>
  <c r="V87" i="549"/>
  <c r="V121" i="549" s="1"/>
  <c r="W121" i="549" s="1"/>
  <c r="N87" i="549"/>
  <c r="K87" i="549" a="1"/>
  <c r="K87" i="549" s="1"/>
  <c r="J87" i="549" a="1"/>
  <c r="J87" i="549" s="1"/>
  <c r="H87" i="549"/>
  <c r="H121" i="549" s="1"/>
  <c r="AA86" i="549"/>
  <c r="Z86" i="549"/>
  <c r="Y86" i="549"/>
  <c r="X86" i="549"/>
  <c r="U86" i="549"/>
  <c r="T86" i="549"/>
  <c r="S86" i="549"/>
  <c r="R86" i="549"/>
  <c r="Q86" i="549"/>
  <c r="P86" i="549"/>
  <c r="O86" i="549"/>
  <c r="R167" i="549" s="1"/>
  <c r="I86" i="549"/>
  <c r="G86" i="549"/>
  <c r="C525" i="549" s="1"/>
  <c r="K85" i="549" a="1"/>
  <c r="K85" i="549" s="1"/>
  <c r="H85" i="549"/>
  <c r="K84" i="549"/>
  <c r="K84" i="549" a="1"/>
  <c r="H84" i="549"/>
  <c r="K83" i="549" a="1"/>
  <c r="K83" i="549" s="1"/>
  <c r="H83" i="549"/>
  <c r="K82" i="549" a="1"/>
  <c r="K82" i="549" s="1"/>
  <c r="H82" i="549"/>
  <c r="K81" i="549" a="1"/>
  <c r="K81" i="549" s="1"/>
  <c r="H81" i="549"/>
  <c r="K80" i="549" a="1"/>
  <c r="K80" i="549" s="1"/>
  <c r="H80" i="549"/>
  <c r="K79" i="549" a="1"/>
  <c r="K79" i="549" s="1"/>
  <c r="M79" i="549" s="1"/>
  <c r="H79" i="549"/>
  <c r="K78" i="549" a="1"/>
  <c r="K78" i="549" s="1"/>
  <c r="M78" i="549" s="1"/>
  <c r="H78" i="549"/>
  <c r="K77" i="549" a="1"/>
  <c r="K77" i="549" s="1"/>
  <c r="M77" i="549" s="1"/>
  <c r="H77" i="549"/>
  <c r="K76" i="549" a="1"/>
  <c r="K76" i="549" s="1"/>
  <c r="M76" i="549" s="1"/>
  <c r="H76" i="549"/>
  <c r="W75" i="549"/>
  <c r="V75" i="549"/>
  <c r="N75" i="549"/>
  <c r="K75" i="549" a="1"/>
  <c r="K75" i="549" s="1"/>
  <c r="M75" i="549" s="1"/>
  <c r="J75" i="549" a="1"/>
  <c r="J75" i="549" s="1"/>
  <c r="H75" i="549"/>
  <c r="V74" i="549"/>
  <c r="W74" i="549" s="1"/>
  <c r="N74" i="549"/>
  <c r="K74" i="549"/>
  <c r="M74" i="549" s="1"/>
  <c r="K74" i="549" a="1"/>
  <c r="J74" i="549" a="1"/>
  <c r="J74" i="549" s="1"/>
  <c r="H74" i="549"/>
  <c r="W73" i="549"/>
  <c r="V73" i="549"/>
  <c r="N73" i="549"/>
  <c r="K73" i="549" a="1"/>
  <c r="K73" i="549" s="1"/>
  <c r="M73" i="549" s="1"/>
  <c r="J73" i="549" a="1"/>
  <c r="J73" i="549" s="1"/>
  <c r="H73" i="549"/>
  <c r="V72" i="549"/>
  <c r="W72" i="549" s="1"/>
  <c r="N72" i="549"/>
  <c r="K72" i="549"/>
  <c r="M72" i="549" s="1"/>
  <c r="K72" i="549" a="1"/>
  <c r="J72" i="549" a="1"/>
  <c r="J72" i="549" s="1"/>
  <c r="H72" i="549"/>
  <c r="H71" i="549"/>
  <c r="V70" i="549"/>
  <c r="W70" i="549" s="1"/>
  <c r="N70" i="549"/>
  <c r="K70" i="549" a="1"/>
  <c r="K70" i="549" s="1"/>
  <c r="M70" i="549" s="1"/>
  <c r="J70" i="549" a="1"/>
  <c r="J70" i="549" s="1"/>
  <c r="H70" i="549"/>
  <c r="W69" i="549"/>
  <c r="V69" i="549"/>
  <c r="N69" i="549"/>
  <c r="K69" i="549"/>
  <c r="M69" i="549" s="1"/>
  <c r="K69" i="549" a="1"/>
  <c r="J69" i="549" a="1"/>
  <c r="J69" i="549" s="1"/>
  <c r="H69" i="549"/>
  <c r="K68" i="549" a="1"/>
  <c r="K68" i="549" s="1"/>
  <c r="H68" i="549"/>
  <c r="K67" i="549" a="1"/>
  <c r="K67" i="549" s="1"/>
  <c r="H67" i="549"/>
  <c r="V66" i="549"/>
  <c r="W66" i="549" s="1"/>
  <c r="N66" i="549"/>
  <c r="K66" i="549" a="1"/>
  <c r="K66" i="549" s="1"/>
  <c r="M66" i="549" s="1"/>
  <c r="J66" i="549" a="1"/>
  <c r="J66" i="549" s="1"/>
  <c r="H66" i="549"/>
  <c r="V65" i="549"/>
  <c r="W65" i="549" s="1"/>
  <c r="N65" i="549"/>
  <c r="K65" i="549"/>
  <c r="M65" i="549" s="1"/>
  <c r="K65" i="549" a="1"/>
  <c r="J65" i="549" a="1"/>
  <c r="J65" i="549" s="1"/>
  <c r="H65" i="549"/>
  <c r="V64" i="549"/>
  <c r="W64" i="549" s="1"/>
  <c r="N64" i="549"/>
  <c r="K64" i="549" a="1"/>
  <c r="K64" i="549" s="1"/>
  <c r="M64" i="549" s="1"/>
  <c r="J64" i="549" a="1"/>
  <c r="J64" i="549" s="1"/>
  <c r="H64" i="549"/>
  <c r="V63" i="549"/>
  <c r="W63" i="549" s="1"/>
  <c r="N63" i="549"/>
  <c r="K63" i="549" a="1"/>
  <c r="K63" i="549" s="1"/>
  <c r="M63" i="549" s="1"/>
  <c r="J63" i="549" a="1"/>
  <c r="J63" i="549" s="1"/>
  <c r="H63" i="549"/>
  <c r="V62" i="549"/>
  <c r="W62" i="549" s="1"/>
  <c r="N62" i="549"/>
  <c r="K62" i="549" a="1"/>
  <c r="K62" i="549" s="1"/>
  <c r="M62" i="549" s="1"/>
  <c r="J62" i="549" a="1"/>
  <c r="J62" i="549" s="1"/>
  <c r="H62" i="549"/>
  <c r="V61" i="549"/>
  <c r="W61" i="549" s="1"/>
  <c r="N61" i="549"/>
  <c r="K61" i="549"/>
  <c r="M61" i="549" s="1"/>
  <c r="K61" i="549" a="1"/>
  <c r="J61" i="549"/>
  <c r="J61" i="549" a="1"/>
  <c r="H61" i="549"/>
  <c r="V60" i="549"/>
  <c r="W60" i="549" s="1"/>
  <c r="N60" i="549"/>
  <c r="K60" i="549" a="1"/>
  <c r="K60" i="549" s="1"/>
  <c r="M60" i="549" s="1"/>
  <c r="J60" i="549" a="1"/>
  <c r="J60" i="549" s="1"/>
  <c r="H60" i="549"/>
  <c r="V59" i="549"/>
  <c r="W59" i="549" s="1"/>
  <c r="N59" i="549"/>
  <c r="K59" i="549" a="1"/>
  <c r="K59" i="549" s="1"/>
  <c r="M59" i="549" s="1"/>
  <c r="J59" i="549" a="1"/>
  <c r="J59" i="549" s="1"/>
  <c r="H59" i="549"/>
  <c r="V58" i="549"/>
  <c r="W58" i="549" s="1"/>
  <c r="N58" i="549"/>
  <c r="K58" i="549" a="1"/>
  <c r="K58" i="549" s="1"/>
  <c r="M58" i="549" s="1"/>
  <c r="J58" i="549" a="1"/>
  <c r="J58" i="549" s="1"/>
  <c r="H58" i="549"/>
  <c r="V57" i="549"/>
  <c r="W57" i="549" s="1"/>
  <c r="N57" i="549"/>
  <c r="K57" i="549" a="1"/>
  <c r="K57" i="549" s="1"/>
  <c r="M57" i="549" s="1"/>
  <c r="J57" i="549" a="1"/>
  <c r="J57" i="549" s="1"/>
  <c r="H57" i="549"/>
  <c r="K56" i="549"/>
  <c r="M56" i="549" s="1"/>
  <c r="K56" i="549" a="1"/>
  <c r="H56" i="549"/>
  <c r="K55" i="549" a="1"/>
  <c r="K55" i="549" s="1"/>
  <c r="M55" i="549" s="1"/>
  <c r="H55" i="549"/>
  <c r="K54" i="549" a="1"/>
  <c r="K54" i="549" s="1"/>
  <c r="M54" i="549" s="1"/>
  <c r="H54" i="549"/>
  <c r="K53" i="549" a="1"/>
  <c r="K53" i="549" s="1"/>
  <c r="M53" i="549" s="1"/>
  <c r="H53" i="549"/>
  <c r="N52" i="549"/>
  <c r="K52" i="549" a="1"/>
  <c r="K52" i="549" s="1"/>
  <c r="M52" i="549" s="1"/>
  <c r="H52" i="549"/>
  <c r="N51" i="549"/>
  <c r="K51" i="549" a="1"/>
  <c r="K51" i="549" s="1"/>
  <c r="M51" i="549" s="1"/>
  <c r="H51" i="549"/>
  <c r="N50" i="549"/>
  <c r="K50" i="549"/>
  <c r="M50" i="549" s="1"/>
  <c r="K50" i="549" a="1"/>
  <c r="H50" i="549"/>
  <c r="N49" i="549"/>
  <c r="K49" i="549" a="1"/>
  <c r="K49" i="549" s="1"/>
  <c r="M49" i="549" s="1"/>
  <c r="H49" i="549"/>
  <c r="W48" i="549"/>
  <c r="V48" i="549"/>
  <c r="N48" i="549"/>
  <c r="K48" i="549" a="1"/>
  <c r="K48" i="549" s="1"/>
  <c r="M48" i="549" s="1"/>
  <c r="J48" i="549" a="1"/>
  <c r="J48" i="549" s="1"/>
  <c r="H48" i="549"/>
  <c r="V47" i="549"/>
  <c r="W47" i="549" s="1"/>
  <c r="N47" i="549"/>
  <c r="K47" i="549" a="1"/>
  <c r="K47" i="549" s="1"/>
  <c r="M47" i="549" s="1"/>
  <c r="J47" i="549" a="1"/>
  <c r="J47" i="549" s="1"/>
  <c r="H47" i="549"/>
  <c r="V46" i="549"/>
  <c r="W46" i="549" s="1"/>
  <c r="N46" i="549"/>
  <c r="K46" i="549"/>
  <c r="M46" i="549" s="1"/>
  <c r="K46" i="549" a="1"/>
  <c r="J46" i="549"/>
  <c r="J46" i="549" a="1"/>
  <c r="H46" i="549"/>
  <c r="V45" i="549"/>
  <c r="W45" i="549" s="1"/>
  <c r="N45" i="549"/>
  <c r="K45" i="549" a="1"/>
  <c r="K45" i="549" s="1"/>
  <c r="M45" i="549" s="1"/>
  <c r="J45" i="549" a="1"/>
  <c r="J45" i="549" s="1"/>
  <c r="H45" i="549"/>
  <c r="W44" i="549"/>
  <c r="V44" i="549"/>
  <c r="N44" i="549"/>
  <c r="K44" i="549" a="1"/>
  <c r="K44" i="549" s="1"/>
  <c r="M44" i="549" s="1"/>
  <c r="J44" i="549" a="1"/>
  <c r="J44" i="549" s="1"/>
  <c r="H44" i="549"/>
  <c r="V43" i="549"/>
  <c r="W43" i="549" s="1"/>
  <c r="N43" i="549"/>
  <c r="K43" i="549" a="1"/>
  <c r="K43" i="549" s="1"/>
  <c r="M43" i="549" s="1"/>
  <c r="J43" i="549" a="1"/>
  <c r="J43" i="549" s="1"/>
  <c r="H43" i="549"/>
  <c r="V42" i="549"/>
  <c r="W42" i="549" s="1"/>
  <c r="N42" i="549"/>
  <c r="K42" i="549" a="1"/>
  <c r="K42" i="549" s="1"/>
  <c r="M42" i="549" s="1"/>
  <c r="J42" i="549" a="1"/>
  <c r="J42" i="549" s="1"/>
  <c r="H42" i="549"/>
  <c r="V41" i="549"/>
  <c r="W41" i="549" s="1"/>
  <c r="N41" i="549"/>
  <c r="K41" i="549" a="1"/>
  <c r="K41" i="549" s="1"/>
  <c r="M41" i="549" s="1"/>
  <c r="J41" i="549" a="1"/>
  <c r="J41" i="549" s="1"/>
  <c r="H41" i="549"/>
  <c r="V40" i="549"/>
  <c r="W40" i="549" s="1"/>
  <c r="N40" i="549"/>
  <c r="K40" i="549"/>
  <c r="M40" i="549" s="1"/>
  <c r="K40" i="549" a="1"/>
  <c r="J40" i="549"/>
  <c r="J40" i="549" a="1"/>
  <c r="H40" i="549"/>
  <c r="V39" i="549"/>
  <c r="W39" i="549" s="1"/>
  <c r="N39" i="549"/>
  <c r="K39" i="549" a="1"/>
  <c r="K39" i="549" s="1"/>
  <c r="M39" i="549" s="1"/>
  <c r="J39" i="549" a="1"/>
  <c r="J39" i="549" s="1"/>
  <c r="H39" i="549"/>
  <c r="V38" i="549"/>
  <c r="W38" i="549" s="1"/>
  <c r="N38" i="549"/>
  <c r="K38" i="549"/>
  <c r="M38" i="549" s="1"/>
  <c r="K38" i="549" a="1"/>
  <c r="J38" i="549" a="1"/>
  <c r="J38" i="549" s="1"/>
  <c r="H38" i="549"/>
  <c r="V37" i="549"/>
  <c r="W37" i="549" s="1"/>
  <c r="N37" i="549"/>
  <c r="K37" i="549" a="1"/>
  <c r="K37" i="549" s="1"/>
  <c r="M37" i="549" s="1"/>
  <c r="J37" i="549" a="1"/>
  <c r="J37" i="549" s="1"/>
  <c r="H37" i="549"/>
  <c r="H36" i="549"/>
  <c r="H35" i="549"/>
  <c r="H34" i="549"/>
  <c r="V33" i="549"/>
  <c r="W33" i="549" s="1"/>
  <c r="N33" i="549"/>
  <c r="K33" i="549" a="1"/>
  <c r="K33" i="549" s="1"/>
  <c r="M33" i="549" s="1"/>
  <c r="J33" i="549" a="1"/>
  <c r="J33" i="549" s="1"/>
  <c r="H33" i="549"/>
  <c r="V32" i="549"/>
  <c r="W32" i="549" s="1"/>
  <c r="N32" i="549"/>
  <c r="K32" i="549"/>
  <c r="M32" i="549" s="1"/>
  <c r="K32" i="549" a="1"/>
  <c r="J32" i="549"/>
  <c r="J32" i="549" a="1"/>
  <c r="H32" i="549"/>
  <c r="V31" i="549"/>
  <c r="W31" i="549" s="1"/>
  <c r="N31" i="549"/>
  <c r="K31" i="549" a="1"/>
  <c r="K31" i="549" s="1"/>
  <c r="M31" i="549" s="1"/>
  <c r="J31" i="549" a="1"/>
  <c r="J31" i="549" s="1"/>
  <c r="H31" i="549"/>
  <c r="K30" i="549" a="1"/>
  <c r="K30" i="549" s="1"/>
  <c r="H30" i="549"/>
  <c r="V29" i="549"/>
  <c r="V86" i="549" s="1"/>
  <c r="W86" i="549" s="1"/>
  <c r="N29" i="549"/>
  <c r="K29" i="549" a="1"/>
  <c r="K29" i="549" s="1"/>
  <c r="J29" i="549" a="1"/>
  <c r="J29" i="549" s="1"/>
  <c r="H29" i="549"/>
  <c r="H86" i="549" s="1"/>
  <c r="AA28" i="549"/>
  <c r="AA164" i="549" s="1"/>
  <c r="Z28" i="549"/>
  <c r="Z164" i="549" s="1"/>
  <c r="Y28" i="549"/>
  <c r="Y164" i="549" s="1"/>
  <c r="X28" i="549"/>
  <c r="X164" i="549" s="1"/>
  <c r="U28" i="549"/>
  <c r="U164" i="549" s="1"/>
  <c r="T28" i="549"/>
  <c r="T164" i="549" s="1"/>
  <c r="S28" i="549"/>
  <c r="S164" i="549" s="1"/>
  <c r="R28" i="549"/>
  <c r="R164" i="549" s="1"/>
  <c r="Q28" i="549"/>
  <c r="Q164" i="549" s="1"/>
  <c r="P28" i="549"/>
  <c r="X167" i="549" s="1"/>
  <c r="O28" i="549"/>
  <c r="R166" i="549" s="1"/>
  <c r="I28" i="549"/>
  <c r="I164" i="549" s="1"/>
  <c r="B172" i="549" s="1"/>
  <c r="G28" i="549"/>
  <c r="C524" i="549" s="1"/>
  <c r="V27" i="549"/>
  <c r="W27" i="549" s="1"/>
  <c r="N27" i="549"/>
  <c r="K27" i="549" a="1"/>
  <c r="K27" i="549" s="1"/>
  <c r="M27" i="549" s="1"/>
  <c r="J27" i="549" a="1"/>
  <c r="J27" i="549" s="1"/>
  <c r="H27" i="549"/>
  <c r="V26" i="549"/>
  <c r="W26" i="549" s="1"/>
  <c r="N26" i="549"/>
  <c r="K26" i="549"/>
  <c r="M26" i="549" s="1"/>
  <c r="K26" i="549" a="1"/>
  <c r="J26" i="549" a="1"/>
  <c r="J26" i="549" s="1"/>
  <c r="H26" i="549"/>
  <c r="K25" i="549" a="1"/>
  <c r="K25" i="549" s="1"/>
  <c r="M25" i="549" s="1"/>
  <c r="J25" i="549" a="1"/>
  <c r="J25" i="549" s="1"/>
  <c r="H25" i="549"/>
  <c r="K24" i="549"/>
  <c r="M24" i="549" s="1"/>
  <c r="K24" i="549" a="1"/>
  <c r="J24" i="549"/>
  <c r="J24" i="549" a="1"/>
  <c r="H24" i="549"/>
  <c r="K23" i="549" a="1"/>
  <c r="K23" i="549" s="1"/>
  <c r="M23" i="549" s="1"/>
  <c r="J23" i="549" a="1"/>
  <c r="J23" i="549" s="1"/>
  <c r="H23" i="549"/>
  <c r="K22" i="549" a="1"/>
  <c r="K22" i="549" s="1"/>
  <c r="M22" i="549" s="1"/>
  <c r="J22" i="549" a="1"/>
  <c r="J22" i="549" s="1"/>
  <c r="H22" i="549"/>
  <c r="V21" i="549"/>
  <c r="W21" i="549" s="1"/>
  <c r="N21" i="549"/>
  <c r="K21" i="549" a="1"/>
  <c r="K21" i="549" s="1"/>
  <c r="M21" i="549" s="1"/>
  <c r="J21" i="549" a="1"/>
  <c r="J21" i="549" s="1"/>
  <c r="H21" i="549"/>
  <c r="V20" i="549"/>
  <c r="W20" i="549" s="1"/>
  <c r="N20" i="549"/>
  <c r="K20" i="549" a="1"/>
  <c r="K20" i="549" s="1"/>
  <c r="M20" i="549" s="1"/>
  <c r="J20" i="549" a="1"/>
  <c r="J20" i="549" s="1"/>
  <c r="H20" i="549"/>
  <c r="W19" i="549"/>
  <c r="V19" i="549"/>
  <c r="N19" i="549"/>
  <c r="K19" i="549" a="1"/>
  <c r="K19" i="549" s="1"/>
  <c r="M19" i="549" s="1"/>
  <c r="J19" i="549" a="1"/>
  <c r="J19" i="549" s="1"/>
  <c r="H19" i="549"/>
  <c r="N18" i="549"/>
  <c r="K18" i="549" a="1"/>
  <c r="K18" i="549" s="1"/>
  <c r="M18" i="549" s="1"/>
  <c r="J18" i="549" a="1"/>
  <c r="J18" i="549" s="1"/>
  <c r="H18" i="549"/>
  <c r="N17" i="549"/>
  <c r="K17" i="549" a="1"/>
  <c r="K17" i="549" s="1"/>
  <c r="M17" i="549" s="1"/>
  <c r="J17" i="549" a="1"/>
  <c r="J17" i="549" s="1"/>
  <c r="H17" i="549"/>
  <c r="V16" i="549"/>
  <c r="W16" i="549" s="1"/>
  <c r="N16" i="549"/>
  <c r="K16" i="549" a="1"/>
  <c r="K16" i="549" s="1"/>
  <c r="M16" i="549" s="1"/>
  <c r="J16" i="549" a="1"/>
  <c r="J16" i="549" s="1"/>
  <c r="H16" i="549"/>
  <c r="W15" i="549"/>
  <c r="V15" i="549"/>
  <c r="N15" i="549"/>
  <c r="K15" i="549" a="1"/>
  <c r="K15" i="549" s="1"/>
  <c r="M15" i="549" s="1"/>
  <c r="J15" i="549" a="1"/>
  <c r="J15" i="549" s="1"/>
  <c r="H15" i="549"/>
  <c r="N14" i="549"/>
  <c r="K14" i="549" a="1"/>
  <c r="K14" i="549" s="1"/>
  <c r="M14" i="549" s="1"/>
  <c r="H14" i="549"/>
  <c r="N13" i="549"/>
  <c r="K13" i="549" a="1"/>
  <c r="K13" i="549" s="1"/>
  <c r="M13" i="549" s="1"/>
  <c r="H13" i="549"/>
  <c r="V12" i="549"/>
  <c r="W12" i="549" s="1"/>
  <c r="N12" i="549"/>
  <c r="K12" i="549" a="1"/>
  <c r="K12" i="549" s="1"/>
  <c r="M12" i="549" s="1"/>
  <c r="J12" i="549" a="1"/>
  <c r="J12" i="549" s="1"/>
  <c r="H12" i="549"/>
  <c r="V11" i="549"/>
  <c r="W11" i="549" s="1"/>
  <c r="N11" i="549"/>
  <c r="K11" i="549" a="1"/>
  <c r="K11" i="549" s="1"/>
  <c r="M11" i="549" s="1"/>
  <c r="J11" i="549" a="1"/>
  <c r="J11" i="549" s="1"/>
  <c r="H11" i="549"/>
  <c r="V10" i="549"/>
  <c r="W10" i="549" s="1"/>
  <c r="N10" i="549"/>
  <c r="K10" i="549" a="1"/>
  <c r="K10" i="549" s="1"/>
  <c r="M10" i="549" s="1"/>
  <c r="J10" i="549" a="1"/>
  <c r="J10" i="549" s="1"/>
  <c r="H10" i="549"/>
  <c r="V9" i="549"/>
  <c r="W9" i="549" s="1"/>
  <c r="N9" i="549"/>
  <c r="K9" i="549"/>
  <c r="M9" i="549" s="1"/>
  <c r="K9" i="549" a="1"/>
  <c r="J9" i="549"/>
  <c r="J9" i="549" a="1"/>
  <c r="H9" i="549"/>
  <c r="V8" i="549"/>
  <c r="W8" i="549" s="1"/>
  <c r="N8" i="549"/>
  <c r="K8" i="549" a="1"/>
  <c r="K8" i="549" s="1"/>
  <c r="M8" i="549" s="1"/>
  <c r="J8" i="549" a="1"/>
  <c r="J8" i="549" s="1"/>
  <c r="H8" i="549"/>
  <c r="V7" i="549"/>
  <c r="W7" i="549" s="1"/>
  <c r="N7" i="549"/>
  <c r="N28" i="549" s="1"/>
  <c r="K7" i="549" a="1"/>
  <c r="K7" i="549" s="1"/>
  <c r="M7" i="549" s="1"/>
  <c r="J7" i="549" a="1"/>
  <c r="J7" i="549" s="1"/>
  <c r="H7" i="549"/>
  <c r="H28" i="549" s="1"/>
  <c r="H163" i="549" l="1"/>
  <c r="H164" i="549" s="1"/>
  <c r="E171" i="549" s="1"/>
  <c r="J319" i="549" a="1"/>
  <c r="J319" i="549" s="1"/>
  <c r="J257" i="549" a="1"/>
  <c r="J257" i="549" s="1"/>
  <c r="J292" i="549" a="1"/>
  <c r="J292" i="549" s="1"/>
  <c r="J308" i="549" a="1"/>
  <c r="J308" i="549" s="1"/>
  <c r="W320" i="549"/>
  <c r="W334" i="549" s="1"/>
  <c r="R342" i="549"/>
  <c r="N308" i="549"/>
  <c r="H257" i="549"/>
  <c r="M479" i="549"/>
  <c r="J479" i="549" a="1"/>
  <c r="J479" i="549" s="1"/>
  <c r="R512" i="549"/>
  <c r="K479" i="549"/>
  <c r="K506" i="549"/>
  <c r="V463" i="549"/>
  <c r="W463" i="549" s="1"/>
  <c r="J370" i="549" a="1"/>
  <c r="J370" i="549" s="1"/>
  <c r="N428" i="549"/>
  <c r="W371" i="549"/>
  <c r="N137" i="549"/>
  <c r="N121" i="549"/>
  <c r="N86" i="549"/>
  <c r="J163" i="549" a="1"/>
  <c r="J163" i="549" s="1"/>
  <c r="J148" i="549" a="1"/>
  <c r="J148" i="549" s="1"/>
  <c r="J137" i="549" a="1"/>
  <c r="J137" i="549" s="1"/>
  <c r="M28" i="549"/>
  <c r="V28" i="549"/>
  <c r="K524" i="549"/>
  <c r="R173" i="549"/>
  <c r="K525" i="549"/>
  <c r="T167" i="549"/>
  <c r="K526" i="549"/>
  <c r="T168" i="549"/>
  <c r="K527" i="549"/>
  <c r="T169" i="549"/>
  <c r="K148" i="549"/>
  <c r="M138" i="549"/>
  <c r="M148" i="549" s="1"/>
  <c r="K528" i="549"/>
  <c r="T170" i="549"/>
  <c r="K163" i="549"/>
  <c r="M149" i="549"/>
  <c r="M163" i="549" s="1"/>
  <c r="K529" i="549"/>
  <c r="T171" i="549"/>
  <c r="M200" i="549"/>
  <c r="M257" i="549" s="1"/>
  <c r="K257" i="549"/>
  <c r="K292" i="549"/>
  <c r="M258" i="549"/>
  <c r="M292" i="549" s="1"/>
  <c r="K28" i="549"/>
  <c r="C520" i="549"/>
  <c r="Q525" i="549"/>
  <c r="K86" i="549"/>
  <c r="M29" i="549"/>
  <c r="M86" i="549" s="1"/>
  <c r="K121" i="549"/>
  <c r="M87" i="549"/>
  <c r="M121" i="549" s="1"/>
  <c r="K137" i="549"/>
  <c r="M122" i="549"/>
  <c r="M137" i="549" s="1"/>
  <c r="K170" i="549"/>
  <c r="M166" i="549"/>
  <c r="M178" i="549"/>
  <c r="M199" i="549" s="1"/>
  <c r="K199" i="549"/>
  <c r="C530" i="549"/>
  <c r="E524" i="549" s="1"/>
  <c r="V137" i="549"/>
  <c r="W137" i="549" s="1"/>
  <c r="W138" i="549"/>
  <c r="W149" i="549"/>
  <c r="O164" i="549"/>
  <c r="E170" i="549"/>
  <c r="W178" i="549"/>
  <c r="W199" i="549" s="1"/>
  <c r="J199" i="549" a="1"/>
  <c r="J199" i="549" s="1"/>
  <c r="X338" i="549"/>
  <c r="P335" i="549"/>
  <c r="X339" i="549" s="1"/>
  <c r="W200" i="549"/>
  <c r="H292" i="549"/>
  <c r="N292" i="549"/>
  <c r="N335" i="549" s="1"/>
  <c r="B344" i="549" s="1"/>
  <c r="W258" i="549"/>
  <c r="H334" i="549"/>
  <c r="K334" i="549"/>
  <c r="K341" i="549"/>
  <c r="M337" i="549"/>
  <c r="J28" i="549" a="1"/>
  <c r="J28" i="549" s="1"/>
  <c r="W29" i="549"/>
  <c r="J86" i="549" a="1"/>
  <c r="J86" i="549" s="1"/>
  <c r="W87" i="549"/>
  <c r="J121" i="549" a="1"/>
  <c r="J121" i="549" s="1"/>
  <c r="G164" i="549"/>
  <c r="P164" i="549"/>
  <c r="X168" i="549" s="1"/>
  <c r="X173" i="549" s="1"/>
  <c r="B342" i="549"/>
  <c r="J335" i="549" a="1"/>
  <c r="J335" i="549" s="1"/>
  <c r="M342" i="549" s="1"/>
  <c r="R337" i="549"/>
  <c r="O335" i="549"/>
  <c r="K308" i="549"/>
  <c r="M293" i="549"/>
  <c r="M308" i="549" s="1"/>
  <c r="K370" i="549"/>
  <c r="M349" i="549"/>
  <c r="M370" i="549" s="1"/>
  <c r="V308" i="549"/>
  <c r="W308" i="549" s="1"/>
  <c r="E341" i="549"/>
  <c r="M309" i="549"/>
  <c r="M319" i="549" s="1"/>
  <c r="M320" i="549"/>
  <c r="M334" i="549" s="1"/>
  <c r="H370" i="549"/>
  <c r="N370" i="549"/>
  <c r="W349" i="549"/>
  <c r="W370" i="549" s="1"/>
  <c r="K428" i="549"/>
  <c r="K463" i="549"/>
  <c r="M429" i="549"/>
  <c r="M463" i="549" s="1"/>
  <c r="B514" i="549"/>
  <c r="J507" i="549" a="1"/>
  <c r="J507" i="549" s="1"/>
  <c r="M514" i="549" s="1"/>
  <c r="X509" i="549"/>
  <c r="O507" i="549"/>
  <c r="X510" i="549" s="1"/>
  <c r="R509" i="549"/>
  <c r="M371" i="549"/>
  <c r="M428" i="549" s="1"/>
  <c r="H463" i="549"/>
  <c r="N463" i="549"/>
  <c r="W429" i="549"/>
  <c r="J463" i="549" a="1"/>
  <c r="J463" i="549" s="1"/>
  <c r="N479" i="549"/>
  <c r="W464" i="549"/>
  <c r="V479" i="549"/>
  <c r="W479" i="549" s="1"/>
  <c r="V490" i="549"/>
  <c r="W490" i="549" s="1"/>
  <c r="W506" i="549"/>
  <c r="V506" i="549"/>
  <c r="K509" i="549"/>
  <c r="M480" i="549"/>
  <c r="M490" i="549" s="1"/>
  <c r="M491" i="549"/>
  <c r="M506" i="549" s="1"/>
  <c r="R514" i="549"/>
  <c r="X344" i="549" l="1"/>
  <c r="H335" i="549"/>
  <c r="E342" i="549" s="1"/>
  <c r="N164" i="549"/>
  <c r="B173" i="549" s="1"/>
  <c r="E173" i="549" s="1"/>
  <c r="E527" i="549"/>
  <c r="E529" i="549"/>
  <c r="E528" i="549"/>
  <c r="E526" i="549"/>
  <c r="E525" i="549"/>
  <c r="M164" i="549"/>
  <c r="E344" i="549"/>
  <c r="K513" i="549"/>
  <c r="M513" i="549" s="1"/>
  <c r="M509" i="549"/>
  <c r="R516" i="549"/>
  <c r="T514" i="549" s="1"/>
  <c r="X516" i="549"/>
  <c r="Z509" i="549" s="1" a="1"/>
  <c r="Z509" i="549" s="1"/>
  <c r="H507" i="549"/>
  <c r="E514" i="549" s="1"/>
  <c r="Z342" i="549"/>
  <c r="Z341" i="549"/>
  <c r="Z340" i="549"/>
  <c r="K507" i="549"/>
  <c r="Z166" i="549" a="1"/>
  <c r="Z166" i="549" s="1"/>
  <c r="Z172" i="549"/>
  <c r="Q526" i="549"/>
  <c r="Z168" i="549"/>
  <c r="Z337" i="549" a="1"/>
  <c r="Z337" i="549" s="1"/>
  <c r="M341" i="549"/>
  <c r="Z338" i="549"/>
  <c r="W335" i="549"/>
  <c r="Z170" i="549"/>
  <c r="Z169" i="549"/>
  <c r="V335" i="549"/>
  <c r="I344" i="549" s="1"/>
  <c r="M344" i="549" s="1" a="1"/>
  <c r="M344" i="549" s="1"/>
  <c r="M335" i="549"/>
  <c r="Z167" i="549"/>
  <c r="K164" i="549"/>
  <c r="E172" i="549" s="1"/>
  <c r="K530" i="549"/>
  <c r="M529" i="549" s="1"/>
  <c r="T172" i="549"/>
  <c r="V164" i="549"/>
  <c r="I173" i="549" s="1"/>
  <c r="W28" i="549"/>
  <c r="W164" i="549" s="1"/>
  <c r="N507" i="549"/>
  <c r="B516" i="549" s="1"/>
  <c r="E516" i="549" s="1"/>
  <c r="V507" i="549"/>
  <c r="M507" i="549"/>
  <c r="R344" i="549"/>
  <c r="B171" i="549"/>
  <c r="C519" i="549" s="1"/>
  <c r="J164" i="549" a="1"/>
  <c r="J164" i="549" s="1"/>
  <c r="M171" i="549" s="1"/>
  <c r="Z343" i="549"/>
  <c r="Z339" i="549"/>
  <c r="Z171" i="549"/>
  <c r="K335" i="549"/>
  <c r="M170" i="549"/>
  <c r="T166" i="549" a="1"/>
  <c r="T166" i="549" s="1"/>
  <c r="K206" i="548" a="1"/>
  <c r="K206" i="548" s="1"/>
  <c r="J206" i="548" a="1"/>
  <c r="J206" i="548" s="1"/>
  <c r="K314" i="548" a="1"/>
  <c r="K314" i="548" s="1"/>
  <c r="I241" i="548"/>
  <c r="I202" i="548"/>
  <c r="I206" i="548"/>
  <c r="I215" i="548"/>
  <c r="I213" i="548"/>
  <c r="I183" i="548"/>
  <c r="I307" i="548"/>
  <c r="I190" i="548"/>
  <c r="I187" i="548"/>
  <c r="M143" i="548"/>
  <c r="J143" i="548" a="1"/>
  <c r="J143" i="548" s="1"/>
  <c r="J35" i="548" a="1"/>
  <c r="J35" i="548" s="1"/>
  <c r="J34" i="548" a="1"/>
  <c r="J34" i="548" s="1"/>
  <c r="M35" i="548"/>
  <c r="M34" i="548"/>
  <c r="K35" i="548" a="1"/>
  <c r="K35" i="548" s="1"/>
  <c r="K34" i="548" a="1"/>
  <c r="K34" i="548" s="1"/>
  <c r="G433" i="548"/>
  <c r="G519" i="549" l="1"/>
  <c r="Z510" i="549"/>
  <c r="T509" i="549" a="1"/>
  <c r="T509" i="549" s="1"/>
  <c r="E530" i="549"/>
  <c r="E343" i="549"/>
  <c r="I343" i="549" s="1"/>
  <c r="M343" i="549" s="1"/>
  <c r="L335" i="549"/>
  <c r="I342" i="549" s="1"/>
  <c r="O519" i="549" a="1"/>
  <c r="O519" i="549" s="1"/>
  <c r="T343" i="549"/>
  <c r="T341" i="549"/>
  <c r="T338" i="549"/>
  <c r="T342" i="549"/>
  <c r="T339" i="549"/>
  <c r="T340" i="549"/>
  <c r="I516" i="549"/>
  <c r="M516" i="549" s="1" a="1"/>
  <c r="M516" i="549" s="1"/>
  <c r="W507" i="549"/>
  <c r="K521" i="549"/>
  <c r="O521" i="549" s="1" a="1"/>
  <c r="O521" i="549" s="1"/>
  <c r="M173" i="549" a="1"/>
  <c r="M173" i="549" s="1"/>
  <c r="M526" i="549"/>
  <c r="M528" i="549"/>
  <c r="I172" i="549"/>
  <c r="M172" i="549" s="1"/>
  <c r="Q530" i="549"/>
  <c r="M524" i="549" a="1"/>
  <c r="M524" i="549" s="1"/>
  <c r="L164" i="549"/>
  <c r="I171" i="549" s="1"/>
  <c r="T337" i="549" a="1"/>
  <c r="T337" i="549" s="1"/>
  <c r="M525" i="549"/>
  <c r="M527" i="549"/>
  <c r="E515" i="549"/>
  <c r="I515" i="549" s="1"/>
  <c r="M515" i="549" s="1"/>
  <c r="L507" i="549"/>
  <c r="I514" i="549" s="1"/>
  <c r="Z515" i="549"/>
  <c r="Z512" i="549"/>
  <c r="Z511" i="549"/>
  <c r="Z514" i="549"/>
  <c r="Z513" i="549"/>
  <c r="T515" i="549"/>
  <c r="T512" i="549"/>
  <c r="T511" i="549"/>
  <c r="T510" i="549"/>
  <c r="T513" i="549"/>
  <c r="C521" i="549"/>
  <c r="G521" i="549" s="1"/>
  <c r="G183" i="548"/>
  <c r="S527" i="549" l="1"/>
  <c r="S529" i="549"/>
  <c r="S524" i="549" a="1"/>
  <c r="S524" i="549" s="1"/>
  <c r="S528" i="549"/>
  <c r="S525" i="549"/>
  <c r="S526" i="549"/>
  <c r="G520" i="549"/>
  <c r="K520" i="549" l="1"/>
  <c r="O520" i="549" s="1"/>
  <c r="K519" i="549"/>
  <c r="S530" i="549"/>
  <c r="I430" i="548"/>
  <c r="I433" i="548"/>
  <c r="G322" i="548"/>
  <c r="G190" i="548"/>
  <c r="G187" i="548"/>
  <c r="G314" i="548"/>
  <c r="G241" i="548"/>
  <c r="G215" i="548"/>
  <c r="G213" i="548"/>
  <c r="G206" i="548"/>
  <c r="G202" i="548"/>
  <c r="G430" i="548"/>
  <c r="G152" i="548"/>
  <c r="G151" i="548"/>
  <c r="G143" i="548"/>
  <c r="G123" i="548"/>
  <c r="G70" i="548"/>
  <c r="G57" i="548"/>
  <c r="G59" i="548"/>
  <c r="G37" i="548"/>
  <c r="G38" i="548"/>
  <c r="G34" i="548"/>
  <c r="G35" i="548"/>
  <c r="G16" i="548"/>
  <c r="P536" i="548"/>
  <c r="O536" i="548"/>
  <c r="N536" i="548"/>
  <c r="M536" i="548"/>
  <c r="L536" i="548"/>
  <c r="K536" i="548"/>
  <c r="I536" i="548"/>
  <c r="H536" i="548"/>
  <c r="G536" i="548"/>
  <c r="F536" i="548"/>
  <c r="E536" i="548"/>
  <c r="D536" i="548"/>
  <c r="C535" i="548"/>
  <c r="C534" i="548"/>
  <c r="C533" i="548"/>
  <c r="N517" i="548"/>
  <c r="G517" i="548"/>
  <c r="X515" i="548"/>
  <c r="X514" i="548"/>
  <c r="X513" i="548"/>
  <c r="I513" i="548"/>
  <c r="G513" i="548"/>
  <c r="E513" i="548"/>
  <c r="C513" i="548"/>
  <c r="X512" i="548"/>
  <c r="I512" i="548"/>
  <c r="E512" i="548"/>
  <c r="K512" i="548" s="1"/>
  <c r="M512" i="548" s="1"/>
  <c r="X511" i="548"/>
  <c r="I511" i="548"/>
  <c r="E511" i="548"/>
  <c r="K511" i="548" s="1"/>
  <c r="M511" i="548" s="1"/>
  <c r="I510" i="548"/>
  <c r="E510" i="548"/>
  <c r="K510" i="548" s="1"/>
  <c r="M510" i="548" s="1"/>
  <c r="I509" i="548"/>
  <c r="E509" i="548"/>
  <c r="K509" i="548" s="1"/>
  <c r="K513" i="548" s="1"/>
  <c r="M513" i="548" s="1"/>
  <c r="AA506" i="548"/>
  <c r="Z506" i="548"/>
  <c r="Y506" i="548"/>
  <c r="X506" i="548"/>
  <c r="U506" i="548"/>
  <c r="T506" i="548"/>
  <c r="S506" i="548"/>
  <c r="R506" i="548"/>
  <c r="Q506" i="548"/>
  <c r="P506" i="548"/>
  <c r="R514" i="548" s="1"/>
  <c r="O506" i="548"/>
  <c r="I506" i="548"/>
  <c r="G506" i="548"/>
  <c r="J506" i="548" s="1" a="1"/>
  <c r="J506" i="548" s="1"/>
  <c r="H505" i="548"/>
  <c r="H504" i="548"/>
  <c r="H503" i="548"/>
  <c r="H502" i="548"/>
  <c r="D502" i="548"/>
  <c r="V501" i="548"/>
  <c r="W501" i="548" s="1"/>
  <c r="N501" i="548"/>
  <c r="K501" i="548" a="1"/>
  <c r="K501" i="548" s="1"/>
  <c r="M501" i="548" s="1"/>
  <c r="J501" i="548" a="1"/>
  <c r="J501" i="548" s="1"/>
  <c r="H501" i="548"/>
  <c r="H500" i="548"/>
  <c r="H499" i="548"/>
  <c r="V498" i="548"/>
  <c r="W498" i="548" s="1"/>
  <c r="N498" i="548"/>
  <c r="M498" i="548"/>
  <c r="K498" i="548" a="1"/>
  <c r="K498" i="548" s="1"/>
  <c r="J498" i="548" a="1"/>
  <c r="J498" i="548" s="1"/>
  <c r="H498" i="548"/>
  <c r="W497" i="548"/>
  <c r="V497" i="548"/>
  <c r="N497" i="548"/>
  <c r="K497" i="548" a="1"/>
  <c r="K497" i="548" s="1"/>
  <c r="M497" i="548" s="1"/>
  <c r="J497" i="548" a="1"/>
  <c r="J497" i="548" s="1"/>
  <c r="H497" i="548"/>
  <c r="H496" i="548"/>
  <c r="H495" i="548"/>
  <c r="W494" i="548"/>
  <c r="V494" i="548"/>
  <c r="N494" i="548"/>
  <c r="K494" i="548" a="1"/>
  <c r="K494" i="548" s="1"/>
  <c r="M494" i="548" s="1"/>
  <c r="J494" i="548" a="1"/>
  <c r="J494" i="548" s="1"/>
  <c r="H494" i="548"/>
  <c r="V493" i="548"/>
  <c r="W493" i="548" s="1"/>
  <c r="N493" i="548"/>
  <c r="M493" i="548"/>
  <c r="K493" i="548" a="1"/>
  <c r="K493" i="548" s="1"/>
  <c r="J493" i="548" a="1"/>
  <c r="J493" i="548" s="1"/>
  <c r="H493" i="548"/>
  <c r="W492" i="548"/>
  <c r="V492" i="548"/>
  <c r="N492" i="548"/>
  <c r="K492" i="548" a="1"/>
  <c r="K492" i="548" s="1"/>
  <c r="M492" i="548" s="1"/>
  <c r="J492" i="548" a="1"/>
  <c r="J492" i="548" s="1"/>
  <c r="H492" i="548"/>
  <c r="V491" i="548"/>
  <c r="N491" i="548"/>
  <c r="M491" i="548"/>
  <c r="K491" i="548" a="1"/>
  <c r="K491" i="548" s="1"/>
  <c r="J491" i="548" a="1"/>
  <c r="J491" i="548" s="1"/>
  <c r="H491" i="548"/>
  <c r="AA490" i="548"/>
  <c r="Z490" i="548"/>
  <c r="Y490" i="548"/>
  <c r="X490" i="548"/>
  <c r="U490" i="548"/>
  <c r="T490" i="548"/>
  <c r="S490" i="548"/>
  <c r="Q490" i="548"/>
  <c r="P490" i="548"/>
  <c r="O490" i="548"/>
  <c r="I490" i="548"/>
  <c r="G490" i="548"/>
  <c r="J490" i="548" s="1" a="1"/>
  <c r="J490" i="548" s="1"/>
  <c r="V489" i="548"/>
  <c r="W489" i="548" s="1"/>
  <c r="N489" i="548"/>
  <c r="K489" i="548"/>
  <c r="M489" i="548" s="1"/>
  <c r="K489" i="548" a="1"/>
  <c r="J489" i="548"/>
  <c r="J489" i="548" a="1"/>
  <c r="H489" i="548"/>
  <c r="H488" i="548"/>
  <c r="H487" i="548"/>
  <c r="H486" i="548"/>
  <c r="H485" i="548"/>
  <c r="V484" i="548"/>
  <c r="W484" i="548" s="1"/>
  <c r="N484" i="548"/>
  <c r="K484" i="548" a="1"/>
  <c r="K484" i="548" s="1"/>
  <c r="M484" i="548" s="1"/>
  <c r="J484" i="548" a="1"/>
  <c r="J484" i="548" s="1"/>
  <c r="H484" i="548"/>
  <c r="W483" i="548"/>
  <c r="V483" i="548"/>
  <c r="N483" i="548"/>
  <c r="K483" i="548" a="1"/>
  <c r="K483" i="548" s="1"/>
  <c r="M483" i="548" s="1"/>
  <c r="J483" i="548" a="1"/>
  <c r="J483" i="548" s="1"/>
  <c r="H483" i="548"/>
  <c r="V482" i="548"/>
  <c r="W482" i="548" s="1"/>
  <c r="N482" i="548"/>
  <c r="K482" i="548" a="1"/>
  <c r="K482" i="548" s="1"/>
  <c r="M482" i="548" s="1"/>
  <c r="J482" i="548" a="1"/>
  <c r="J482" i="548" s="1"/>
  <c r="H482" i="548"/>
  <c r="V481" i="548"/>
  <c r="W481" i="548" s="1"/>
  <c r="N481" i="548"/>
  <c r="K481" i="548"/>
  <c r="M481" i="548" s="1"/>
  <c r="K481" i="548" a="1"/>
  <c r="J481" i="548"/>
  <c r="J481" i="548" a="1"/>
  <c r="H481" i="548"/>
  <c r="H490" i="548" s="1"/>
  <c r="V480" i="548"/>
  <c r="N480" i="548"/>
  <c r="K480" i="548" a="1"/>
  <c r="K480" i="548" s="1"/>
  <c r="M480" i="548" s="1"/>
  <c r="J480" i="548" a="1"/>
  <c r="J480" i="548" s="1"/>
  <c r="H480" i="548"/>
  <c r="AA479" i="548"/>
  <c r="Z479" i="548"/>
  <c r="Y479" i="548"/>
  <c r="X479" i="548"/>
  <c r="U479" i="548"/>
  <c r="T479" i="548"/>
  <c r="S479" i="548"/>
  <c r="Q479" i="548"/>
  <c r="P479" i="548"/>
  <c r="O479" i="548"/>
  <c r="I479" i="548"/>
  <c r="G479" i="548"/>
  <c r="J479" i="548" s="1" a="1"/>
  <c r="J479" i="548" s="1"/>
  <c r="V478" i="548"/>
  <c r="W478" i="548" s="1"/>
  <c r="N478" i="548"/>
  <c r="K478" i="548"/>
  <c r="M478" i="548" s="1"/>
  <c r="K478" i="548" a="1"/>
  <c r="J478" i="548"/>
  <c r="J478" i="548" a="1"/>
  <c r="H478" i="548"/>
  <c r="V477" i="548"/>
  <c r="W477" i="548" s="1"/>
  <c r="N477" i="548"/>
  <c r="K477" i="548" a="1"/>
  <c r="K477" i="548" s="1"/>
  <c r="M477" i="548" s="1"/>
  <c r="J477" i="548" a="1"/>
  <c r="J477" i="548" s="1"/>
  <c r="H477" i="548"/>
  <c r="V476" i="548"/>
  <c r="W476" i="548" s="1"/>
  <c r="N476" i="548"/>
  <c r="K476" i="548"/>
  <c r="M476" i="548" s="1"/>
  <c r="K476" i="548" a="1"/>
  <c r="J476" i="548"/>
  <c r="J476" i="548" a="1"/>
  <c r="H476" i="548"/>
  <c r="V475" i="548"/>
  <c r="W475" i="548" s="1"/>
  <c r="N475" i="548"/>
  <c r="K475" i="548" a="1"/>
  <c r="K475" i="548" s="1"/>
  <c r="M475" i="548" s="1"/>
  <c r="J475" i="548" a="1"/>
  <c r="J475" i="548" s="1"/>
  <c r="H475" i="548"/>
  <c r="V474" i="548"/>
  <c r="W474" i="548" s="1"/>
  <c r="N474" i="548"/>
  <c r="K474" i="548"/>
  <c r="M474" i="548" s="1"/>
  <c r="K474" i="548" a="1"/>
  <c r="J474" i="548"/>
  <c r="J474" i="548" a="1"/>
  <c r="H474" i="548"/>
  <c r="V473" i="548"/>
  <c r="W473" i="548" s="1"/>
  <c r="N473" i="548"/>
  <c r="K473" i="548" a="1"/>
  <c r="K473" i="548" s="1"/>
  <c r="M473" i="548" s="1"/>
  <c r="J473" i="548" a="1"/>
  <c r="J473" i="548" s="1"/>
  <c r="H473" i="548"/>
  <c r="V472" i="548"/>
  <c r="W472" i="548" s="1"/>
  <c r="N472" i="548"/>
  <c r="K472" i="548"/>
  <c r="M472" i="548" s="1"/>
  <c r="K472" i="548" a="1"/>
  <c r="J472" i="548"/>
  <c r="J472" i="548" a="1"/>
  <c r="H472" i="548"/>
  <c r="V471" i="548"/>
  <c r="W471" i="548" s="1"/>
  <c r="N471" i="548"/>
  <c r="K471" i="548" a="1"/>
  <c r="K471" i="548" s="1"/>
  <c r="M471" i="548" s="1"/>
  <c r="J471" i="548" a="1"/>
  <c r="J471" i="548" s="1"/>
  <c r="H471" i="548"/>
  <c r="V470" i="548"/>
  <c r="W470" i="548" s="1"/>
  <c r="N470" i="548"/>
  <c r="K470" i="548"/>
  <c r="M470" i="548" s="1"/>
  <c r="K470" i="548" a="1"/>
  <c r="J470" i="548"/>
  <c r="J470" i="548" a="1"/>
  <c r="H470" i="548"/>
  <c r="V469" i="548"/>
  <c r="W469" i="548" s="1"/>
  <c r="N469" i="548"/>
  <c r="K469" i="548" a="1"/>
  <c r="K469" i="548" s="1"/>
  <c r="M469" i="548" s="1"/>
  <c r="J469" i="548" a="1"/>
  <c r="J469" i="548" s="1"/>
  <c r="H469" i="548"/>
  <c r="V468" i="548"/>
  <c r="W468" i="548" s="1"/>
  <c r="N468" i="548"/>
  <c r="K468" i="548"/>
  <c r="M468" i="548" s="1"/>
  <c r="K468" i="548" a="1"/>
  <c r="J468" i="548"/>
  <c r="J468" i="548" a="1"/>
  <c r="H468" i="548"/>
  <c r="V467" i="548"/>
  <c r="W467" i="548" s="1"/>
  <c r="N467" i="548"/>
  <c r="K467" i="548" a="1"/>
  <c r="K467" i="548" s="1"/>
  <c r="M467" i="548" s="1"/>
  <c r="J467" i="548" a="1"/>
  <c r="J467" i="548" s="1"/>
  <c r="H467" i="548"/>
  <c r="V466" i="548"/>
  <c r="W466" i="548" s="1"/>
  <c r="N466" i="548"/>
  <c r="K466" i="548"/>
  <c r="M466" i="548" s="1"/>
  <c r="K466" i="548" a="1"/>
  <c r="J466" i="548"/>
  <c r="J466" i="548" a="1"/>
  <c r="H466" i="548"/>
  <c r="V465" i="548"/>
  <c r="W465" i="548" s="1"/>
  <c r="N465" i="548"/>
  <c r="K465" i="548" a="1"/>
  <c r="K465" i="548" s="1"/>
  <c r="M465" i="548" s="1"/>
  <c r="J465" i="548" a="1"/>
  <c r="J465" i="548" s="1"/>
  <c r="H465" i="548"/>
  <c r="V464" i="548"/>
  <c r="W464" i="548" s="1"/>
  <c r="N464" i="548"/>
  <c r="K464" i="548"/>
  <c r="M464" i="548" s="1"/>
  <c r="K464" i="548" a="1"/>
  <c r="J464" i="548"/>
  <c r="J464" i="548" a="1"/>
  <c r="H464" i="548"/>
  <c r="H479" i="548" s="1"/>
  <c r="AA463" i="548"/>
  <c r="Z463" i="548"/>
  <c r="Y463" i="548"/>
  <c r="X463" i="548"/>
  <c r="U463" i="548"/>
  <c r="T463" i="548"/>
  <c r="S463" i="548"/>
  <c r="R463" i="548"/>
  <c r="Q463" i="548"/>
  <c r="P463" i="548"/>
  <c r="O463" i="548"/>
  <c r="I463" i="548"/>
  <c r="G463" i="548"/>
  <c r="V462" i="548"/>
  <c r="W462" i="548" s="1"/>
  <c r="N462" i="548"/>
  <c r="K462" i="548" a="1"/>
  <c r="K462" i="548" s="1"/>
  <c r="M462" i="548" s="1"/>
  <c r="J462" i="548" a="1"/>
  <c r="J462" i="548" s="1"/>
  <c r="H462" i="548"/>
  <c r="V461" i="548"/>
  <c r="W461" i="548" s="1"/>
  <c r="N461" i="548"/>
  <c r="M461" i="548"/>
  <c r="K461" i="548" a="1"/>
  <c r="K461" i="548" s="1"/>
  <c r="J461" i="548" a="1"/>
  <c r="J461" i="548" s="1"/>
  <c r="H461" i="548"/>
  <c r="W460" i="548"/>
  <c r="V460" i="548"/>
  <c r="N460" i="548"/>
  <c r="K460" i="548" a="1"/>
  <c r="K460" i="548" s="1"/>
  <c r="M460" i="548" s="1"/>
  <c r="J460" i="548" a="1"/>
  <c r="J460" i="548" s="1"/>
  <c r="H460" i="548"/>
  <c r="K459" i="548"/>
  <c r="M459" i="548" s="1"/>
  <c r="K459" i="548" a="1"/>
  <c r="H459" i="548"/>
  <c r="K458" i="548" a="1"/>
  <c r="K458" i="548" s="1"/>
  <c r="M458" i="548" s="1"/>
  <c r="H458" i="548"/>
  <c r="K457" i="548"/>
  <c r="M457" i="548" s="1"/>
  <c r="K457" i="548" a="1"/>
  <c r="H457" i="548"/>
  <c r="V456" i="548"/>
  <c r="W456" i="548" s="1"/>
  <c r="N456" i="548"/>
  <c r="K456" i="548" a="1"/>
  <c r="K456" i="548" s="1"/>
  <c r="M456" i="548" s="1"/>
  <c r="J456" i="548" a="1"/>
  <c r="J456" i="548" s="1"/>
  <c r="H456" i="548"/>
  <c r="W455" i="548"/>
  <c r="V455" i="548"/>
  <c r="N455" i="548"/>
  <c r="K455" i="548" a="1"/>
  <c r="K455" i="548" s="1"/>
  <c r="M455" i="548" s="1"/>
  <c r="J455" i="548" a="1"/>
  <c r="J455" i="548" s="1"/>
  <c r="H455" i="548"/>
  <c r="N454" i="548"/>
  <c r="K454" i="548" a="1"/>
  <c r="K454" i="548" s="1"/>
  <c r="M454" i="548" s="1"/>
  <c r="H454" i="548"/>
  <c r="N453" i="548"/>
  <c r="K453" i="548" a="1"/>
  <c r="K453" i="548" s="1"/>
  <c r="M453" i="548" s="1"/>
  <c r="H453" i="548"/>
  <c r="N452" i="548"/>
  <c r="K452" i="548" a="1"/>
  <c r="K452" i="548" s="1"/>
  <c r="M452" i="548" s="1"/>
  <c r="H452" i="548"/>
  <c r="N451" i="548"/>
  <c r="K451" i="548" a="1"/>
  <c r="K451" i="548" s="1"/>
  <c r="M451" i="548" s="1"/>
  <c r="H451" i="548"/>
  <c r="N450" i="548"/>
  <c r="K450" i="548" a="1"/>
  <c r="K450" i="548" s="1"/>
  <c r="M450" i="548" s="1"/>
  <c r="H450" i="548"/>
  <c r="N449" i="548"/>
  <c r="K449" i="548" a="1"/>
  <c r="K449" i="548" s="1"/>
  <c r="M449" i="548" s="1"/>
  <c r="H449" i="548"/>
  <c r="V448" i="548"/>
  <c r="W448" i="548" s="1"/>
  <c r="N448" i="548"/>
  <c r="K448" i="548" a="1"/>
  <c r="K448" i="548" s="1"/>
  <c r="M448" i="548" s="1"/>
  <c r="J448" i="548" a="1"/>
  <c r="J448" i="548" s="1"/>
  <c r="H448" i="548"/>
  <c r="V447" i="548"/>
  <c r="W447" i="548" s="1"/>
  <c r="N447" i="548"/>
  <c r="K447" i="548"/>
  <c r="M447" i="548" s="1"/>
  <c r="K447" i="548" a="1"/>
  <c r="J447" i="548"/>
  <c r="J447" i="548" a="1"/>
  <c r="H447" i="548"/>
  <c r="V446" i="548"/>
  <c r="W446" i="548" s="1"/>
  <c r="N446" i="548"/>
  <c r="K446" i="548" a="1"/>
  <c r="K446" i="548" s="1"/>
  <c r="M446" i="548" s="1"/>
  <c r="J446" i="548" a="1"/>
  <c r="J446" i="548" s="1"/>
  <c r="H446" i="548"/>
  <c r="W445" i="548"/>
  <c r="V445" i="548"/>
  <c r="N445" i="548"/>
  <c r="K445" i="548" a="1"/>
  <c r="K445" i="548" s="1"/>
  <c r="M445" i="548" s="1"/>
  <c r="J445" i="548" a="1"/>
  <c r="J445" i="548" s="1"/>
  <c r="H445" i="548"/>
  <c r="V444" i="548"/>
  <c r="W444" i="548" s="1"/>
  <c r="N444" i="548"/>
  <c r="K444" i="548" a="1"/>
  <c r="K444" i="548" s="1"/>
  <c r="M444" i="548" s="1"/>
  <c r="J444" i="548" a="1"/>
  <c r="J444" i="548" s="1"/>
  <c r="H444" i="548"/>
  <c r="V443" i="548"/>
  <c r="W443" i="548" s="1"/>
  <c r="N443" i="548"/>
  <c r="K443" i="548"/>
  <c r="M443" i="548" s="1"/>
  <c r="K443" i="548" a="1"/>
  <c r="J443" i="548"/>
  <c r="J443" i="548" a="1"/>
  <c r="H443" i="548"/>
  <c r="V442" i="548"/>
  <c r="W442" i="548" s="1"/>
  <c r="N442" i="548"/>
  <c r="K442" i="548" a="1"/>
  <c r="K442" i="548" s="1"/>
  <c r="M442" i="548" s="1"/>
  <c r="J442" i="548" a="1"/>
  <c r="J442" i="548" s="1"/>
  <c r="H442" i="548"/>
  <c r="W441" i="548"/>
  <c r="V441" i="548"/>
  <c r="N441" i="548"/>
  <c r="K441" i="548" a="1"/>
  <c r="K441" i="548" s="1"/>
  <c r="M441" i="548" s="1"/>
  <c r="J441" i="548" a="1"/>
  <c r="J441" i="548" s="1"/>
  <c r="H441" i="548"/>
  <c r="V440" i="548"/>
  <c r="W440" i="548" s="1"/>
  <c r="N440" i="548"/>
  <c r="K440" i="548" a="1"/>
  <c r="K440" i="548" s="1"/>
  <c r="M440" i="548" s="1"/>
  <c r="J440" i="548" a="1"/>
  <c r="J440" i="548" s="1"/>
  <c r="H440" i="548"/>
  <c r="V439" i="548"/>
  <c r="W439" i="548" s="1"/>
  <c r="N439" i="548"/>
  <c r="K439" i="548"/>
  <c r="M439" i="548" s="1"/>
  <c r="K439" i="548" a="1"/>
  <c r="J439" i="548"/>
  <c r="J439" i="548" a="1"/>
  <c r="H439" i="548"/>
  <c r="V438" i="548"/>
  <c r="W438" i="548" s="1"/>
  <c r="N438" i="548"/>
  <c r="K438" i="548" a="1"/>
  <c r="K438" i="548" s="1"/>
  <c r="M438" i="548" s="1"/>
  <c r="J438" i="548" a="1"/>
  <c r="J438" i="548" s="1"/>
  <c r="H438" i="548"/>
  <c r="W437" i="548"/>
  <c r="V437" i="548"/>
  <c r="N437" i="548"/>
  <c r="K437" i="548" a="1"/>
  <c r="K437" i="548" s="1"/>
  <c r="M437" i="548" s="1"/>
  <c r="J437" i="548" a="1"/>
  <c r="J437" i="548" s="1"/>
  <c r="H437" i="548"/>
  <c r="N436" i="548"/>
  <c r="K436" i="548" a="1"/>
  <c r="K436" i="548" s="1"/>
  <c r="M436" i="548" s="1"/>
  <c r="H436" i="548"/>
  <c r="W435" i="548"/>
  <c r="V435" i="548"/>
  <c r="N435" i="548"/>
  <c r="K435" i="548" a="1"/>
  <c r="K435" i="548" s="1"/>
  <c r="M435" i="548" s="1"/>
  <c r="J435" i="548" a="1"/>
  <c r="J435" i="548" s="1"/>
  <c r="H435" i="548"/>
  <c r="V434" i="548"/>
  <c r="W434" i="548" s="1"/>
  <c r="N434" i="548"/>
  <c r="K434" i="548" a="1"/>
  <c r="K434" i="548" s="1"/>
  <c r="M434" i="548" s="1"/>
  <c r="J434" i="548" a="1"/>
  <c r="J434" i="548" s="1"/>
  <c r="H434" i="548"/>
  <c r="W433" i="548"/>
  <c r="V433" i="548"/>
  <c r="N433" i="548"/>
  <c r="K433" i="548" a="1"/>
  <c r="K433" i="548" s="1"/>
  <c r="M433" i="548" s="1"/>
  <c r="J433" i="548" a="1"/>
  <c r="J433" i="548" s="1"/>
  <c r="H433" i="548"/>
  <c r="V432" i="548"/>
  <c r="W432" i="548" s="1"/>
  <c r="N432" i="548"/>
  <c r="K432" i="548" a="1"/>
  <c r="K432" i="548" s="1"/>
  <c r="M432" i="548" s="1"/>
  <c r="J432" i="548" a="1"/>
  <c r="J432" i="548" s="1"/>
  <c r="H432" i="548"/>
  <c r="W431" i="548"/>
  <c r="V431" i="548"/>
  <c r="N431" i="548"/>
  <c r="K431" i="548" a="1"/>
  <c r="K431" i="548" s="1"/>
  <c r="M431" i="548" s="1"/>
  <c r="J431" i="548" a="1"/>
  <c r="J431" i="548" s="1"/>
  <c r="H431" i="548"/>
  <c r="V430" i="548"/>
  <c r="W430" i="548" s="1"/>
  <c r="N430" i="548"/>
  <c r="K430" i="548" a="1"/>
  <c r="K430" i="548" s="1"/>
  <c r="M430" i="548" s="1"/>
  <c r="J430" i="548" a="1"/>
  <c r="J430" i="548" s="1"/>
  <c r="H430" i="548"/>
  <c r="W429" i="548"/>
  <c r="V429" i="548"/>
  <c r="N429" i="548"/>
  <c r="K429" i="548" a="1"/>
  <c r="K429" i="548" s="1"/>
  <c r="M429" i="548" s="1"/>
  <c r="J429" i="548" a="1"/>
  <c r="J429" i="548" s="1"/>
  <c r="H429" i="548"/>
  <c r="H463" i="548" s="1"/>
  <c r="AA428" i="548"/>
  <c r="Z428" i="548"/>
  <c r="Y428" i="548"/>
  <c r="X428" i="548"/>
  <c r="U428" i="548"/>
  <c r="T428" i="548"/>
  <c r="S428" i="548"/>
  <c r="R428" i="548"/>
  <c r="Q428" i="548"/>
  <c r="P428" i="548"/>
  <c r="O428" i="548"/>
  <c r="I428" i="548"/>
  <c r="G428" i="548"/>
  <c r="J428" i="548" s="1" a="1"/>
  <c r="J428" i="548" s="1"/>
  <c r="K427" i="548" a="1"/>
  <c r="K427" i="548" s="1"/>
  <c r="M427" i="548" s="1"/>
  <c r="H427" i="548"/>
  <c r="K426" i="548" a="1"/>
  <c r="K426" i="548" s="1"/>
  <c r="M426" i="548" s="1"/>
  <c r="H426" i="548"/>
  <c r="K425" i="548" a="1"/>
  <c r="K425" i="548" s="1"/>
  <c r="M425" i="548" s="1"/>
  <c r="H425" i="548"/>
  <c r="M424" i="548"/>
  <c r="K424" i="548" a="1"/>
  <c r="K424" i="548" s="1"/>
  <c r="H424" i="548"/>
  <c r="K423" i="548" a="1"/>
  <c r="K423" i="548" s="1"/>
  <c r="M423" i="548" s="1"/>
  <c r="H423" i="548"/>
  <c r="K422" i="548" a="1"/>
  <c r="K422" i="548" s="1"/>
  <c r="M422" i="548" s="1"/>
  <c r="H422" i="548"/>
  <c r="K421" i="548" a="1"/>
  <c r="K421" i="548" s="1"/>
  <c r="M421" i="548" s="1"/>
  <c r="H421" i="548"/>
  <c r="M420" i="548"/>
  <c r="K420" i="548" a="1"/>
  <c r="K420" i="548" s="1"/>
  <c r="H420" i="548"/>
  <c r="K419" i="548" a="1"/>
  <c r="K419" i="548" s="1"/>
  <c r="M419" i="548" s="1"/>
  <c r="H419" i="548"/>
  <c r="K418" i="548" a="1"/>
  <c r="K418" i="548" s="1"/>
  <c r="M418" i="548" s="1"/>
  <c r="H418" i="548"/>
  <c r="W417" i="548"/>
  <c r="V417" i="548"/>
  <c r="N417" i="548"/>
  <c r="K417" i="548" a="1"/>
  <c r="K417" i="548" s="1"/>
  <c r="M417" i="548" s="1"/>
  <c r="J417" i="548" a="1"/>
  <c r="J417" i="548" s="1"/>
  <c r="H417" i="548"/>
  <c r="V416" i="548"/>
  <c r="W416" i="548" s="1"/>
  <c r="N416" i="548"/>
  <c r="K416" i="548"/>
  <c r="M416" i="548" s="1"/>
  <c r="K416" i="548" a="1"/>
  <c r="J416" i="548"/>
  <c r="J416" i="548" a="1"/>
  <c r="H416" i="548"/>
  <c r="V415" i="548"/>
  <c r="W415" i="548" s="1"/>
  <c r="N415" i="548"/>
  <c r="K415" i="548" a="1"/>
  <c r="K415" i="548" s="1"/>
  <c r="M415" i="548" s="1"/>
  <c r="J415" i="548" a="1"/>
  <c r="J415" i="548" s="1"/>
  <c r="H415" i="548"/>
  <c r="W414" i="548"/>
  <c r="V414" i="548"/>
  <c r="N414" i="548"/>
  <c r="K414" i="548" a="1"/>
  <c r="K414" i="548" s="1"/>
  <c r="M414" i="548" s="1"/>
  <c r="J414" i="548" a="1"/>
  <c r="J414" i="548" s="1"/>
  <c r="H414" i="548"/>
  <c r="H413" i="548"/>
  <c r="V412" i="548"/>
  <c r="W412" i="548" s="1"/>
  <c r="N412" i="548"/>
  <c r="K412" i="548"/>
  <c r="M412" i="548" s="1"/>
  <c r="K412" i="548" a="1"/>
  <c r="J412" i="548"/>
  <c r="J412" i="548" a="1"/>
  <c r="H412" i="548"/>
  <c r="V411" i="548"/>
  <c r="W411" i="548" s="1"/>
  <c r="N411" i="548"/>
  <c r="K411" i="548" a="1"/>
  <c r="K411" i="548" s="1"/>
  <c r="M411" i="548" s="1"/>
  <c r="J411" i="548" a="1"/>
  <c r="J411" i="548" s="1"/>
  <c r="H411" i="548"/>
  <c r="H410" i="548"/>
  <c r="K409" i="548" a="1"/>
  <c r="K409" i="548" s="1"/>
  <c r="H409" i="548"/>
  <c r="V408" i="548"/>
  <c r="W408" i="548" s="1"/>
  <c r="N408" i="548"/>
  <c r="K408" i="548" a="1"/>
  <c r="K408" i="548" s="1"/>
  <c r="M408" i="548" s="1"/>
  <c r="J408" i="548" a="1"/>
  <c r="J408" i="548" s="1"/>
  <c r="H408" i="548"/>
  <c r="V407" i="548"/>
  <c r="W407" i="548" s="1"/>
  <c r="N407" i="548"/>
  <c r="K407" i="548" a="1"/>
  <c r="K407" i="548" s="1"/>
  <c r="M407" i="548" s="1"/>
  <c r="J407" i="548" a="1"/>
  <c r="J407" i="548" s="1"/>
  <c r="H407" i="548"/>
  <c r="V406" i="548"/>
  <c r="W406" i="548" s="1"/>
  <c r="N406" i="548"/>
  <c r="K406" i="548"/>
  <c r="M406" i="548" s="1"/>
  <c r="K406" i="548" a="1"/>
  <c r="J406" i="548"/>
  <c r="J406" i="548" a="1"/>
  <c r="H406" i="548"/>
  <c r="V405" i="548"/>
  <c r="W405" i="548" s="1"/>
  <c r="N405" i="548"/>
  <c r="K405" i="548" a="1"/>
  <c r="K405" i="548" s="1"/>
  <c r="M405" i="548" s="1"/>
  <c r="J405" i="548" a="1"/>
  <c r="J405" i="548" s="1"/>
  <c r="H405" i="548"/>
  <c r="V404" i="548"/>
  <c r="W404" i="548" s="1"/>
  <c r="N404" i="548"/>
  <c r="K404" i="548" a="1"/>
  <c r="K404" i="548" s="1"/>
  <c r="M404" i="548" s="1"/>
  <c r="J404" i="548" a="1"/>
  <c r="J404" i="548" s="1"/>
  <c r="H404" i="548"/>
  <c r="V403" i="548"/>
  <c r="W403" i="548" s="1"/>
  <c r="N403" i="548"/>
  <c r="K403" i="548" a="1"/>
  <c r="K403" i="548" s="1"/>
  <c r="M403" i="548" s="1"/>
  <c r="J403" i="548" a="1"/>
  <c r="J403" i="548" s="1"/>
  <c r="H403" i="548"/>
  <c r="V402" i="548"/>
  <c r="W402" i="548" s="1"/>
  <c r="N402" i="548"/>
  <c r="K402" i="548"/>
  <c r="M402" i="548" s="1"/>
  <c r="K402" i="548" a="1"/>
  <c r="J402" i="548"/>
  <c r="J402" i="548" a="1"/>
  <c r="H402" i="548"/>
  <c r="V401" i="548"/>
  <c r="W401" i="548" s="1"/>
  <c r="N401" i="548"/>
  <c r="K401" i="548" a="1"/>
  <c r="K401" i="548" s="1"/>
  <c r="M401" i="548" s="1"/>
  <c r="J401" i="548" a="1"/>
  <c r="J401" i="548" s="1"/>
  <c r="H401" i="548"/>
  <c r="W400" i="548"/>
  <c r="V400" i="548"/>
  <c r="N400" i="548"/>
  <c r="K400" i="548" a="1"/>
  <c r="K400" i="548" s="1"/>
  <c r="M400" i="548" s="1"/>
  <c r="J400" i="548" a="1"/>
  <c r="J400" i="548" s="1"/>
  <c r="H400" i="548"/>
  <c r="V399" i="548"/>
  <c r="W399" i="548" s="1"/>
  <c r="N399" i="548"/>
  <c r="K399" i="548" a="1"/>
  <c r="K399" i="548" s="1"/>
  <c r="M399" i="548" s="1"/>
  <c r="J399" i="548" a="1"/>
  <c r="J399" i="548" s="1"/>
  <c r="H399" i="548"/>
  <c r="K398" i="548" a="1"/>
  <c r="K398" i="548" s="1"/>
  <c r="M398" i="548" s="1"/>
  <c r="H398" i="548"/>
  <c r="K397" i="548" a="1"/>
  <c r="K397" i="548" s="1"/>
  <c r="M397" i="548" s="1"/>
  <c r="H397" i="548"/>
  <c r="K396" i="548" a="1"/>
  <c r="K396" i="548" s="1"/>
  <c r="M396" i="548" s="1"/>
  <c r="H396" i="548"/>
  <c r="K395" i="548" a="1"/>
  <c r="K395" i="548" s="1"/>
  <c r="M395" i="548" s="1"/>
  <c r="H395" i="548"/>
  <c r="N394" i="548"/>
  <c r="K394" i="548" a="1"/>
  <c r="K394" i="548" s="1"/>
  <c r="M394" i="548" s="1"/>
  <c r="H394" i="548"/>
  <c r="N393" i="548"/>
  <c r="K393" i="548" a="1"/>
  <c r="K393" i="548" s="1"/>
  <c r="M393" i="548" s="1"/>
  <c r="H393" i="548"/>
  <c r="N392" i="548"/>
  <c r="K392" i="548" a="1"/>
  <c r="K392" i="548" s="1"/>
  <c r="M392" i="548" s="1"/>
  <c r="H392" i="548"/>
  <c r="N391" i="548"/>
  <c r="K391" i="548" a="1"/>
  <c r="K391" i="548" s="1"/>
  <c r="M391" i="548" s="1"/>
  <c r="H391" i="548"/>
  <c r="W390" i="548"/>
  <c r="V390" i="548"/>
  <c r="N390" i="548"/>
  <c r="K390" i="548" a="1"/>
  <c r="K390" i="548" s="1"/>
  <c r="M390" i="548" s="1"/>
  <c r="J390" i="548" a="1"/>
  <c r="J390" i="548" s="1"/>
  <c r="H390" i="548"/>
  <c r="V389" i="548"/>
  <c r="W389" i="548" s="1"/>
  <c r="N389" i="548"/>
  <c r="K389" i="548" a="1"/>
  <c r="K389" i="548" s="1"/>
  <c r="M389" i="548" s="1"/>
  <c r="J389" i="548" a="1"/>
  <c r="J389" i="548" s="1"/>
  <c r="H389" i="548"/>
  <c r="V388" i="548"/>
  <c r="W388" i="548" s="1"/>
  <c r="N388" i="548"/>
  <c r="K388" i="548"/>
  <c r="M388" i="548" s="1"/>
  <c r="K388" i="548" a="1"/>
  <c r="J388" i="548"/>
  <c r="J388" i="548" a="1"/>
  <c r="H388" i="548"/>
  <c r="V387" i="548"/>
  <c r="W387" i="548" s="1"/>
  <c r="N387" i="548"/>
  <c r="K387" i="548" a="1"/>
  <c r="K387" i="548" s="1"/>
  <c r="M387" i="548" s="1"/>
  <c r="J387" i="548" a="1"/>
  <c r="J387" i="548" s="1"/>
  <c r="H387" i="548"/>
  <c r="W386" i="548"/>
  <c r="V386" i="548"/>
  <c r="N386" i="548"/>
  <c r="K386" i="548" a="1"/>
  <c r="K386" i="548" s="1"/>
  <c r="M386" i="548" s="1"/>
  <c r="J386" i="548" a="1"/>
  <c r="J386" i="548" s="1"/>
  <c r="H386" i="548"/>
  <c r="V385" i="548"/>
  <c r="W385" i="548" s="1"/>
  <c r="N385" i="548"/>
  <c r="K385" i="548" a="1"/>
  <c r="K385" i="548" s="1"/>
  <c r="M385" i="548" s="1"/>
  <c r="J385" i="548" a="1"/>
  <c r="J385" i="548" s="1"/>
  <c r="H385" i="548"/>
  <c r="V384" i="548"/>
  <c r="W384" i="548" s="1"/>
  <c r="N384" i="548"/>
  <c r="K384" i="548"/>
  <c r="M384" i="548" s="1"/>
  <c r="K384" i="548" a="1"/>
  <c r="J384" i="548"/>
  <c r="J384" i="548" a="1"/>
  <c r="H384" i="548"/>
  <c r="V383" i="548"/>
  <c r="W383" i="548" s="1"/>
  <c r="N383" i="548"/>
  <c r="K383" i="548" a="1"/>
  <c r="K383" i="548" s="1"/>
  <c r="M383" i="548" s="1"/>
  <c r="J383" i="548" a="1"/>
  <c r="J383" i="548" s="1"/>
  <c r="H383" i="548"/>
  <c r="W382" i="548"/>
  <c r="V382" i="548"/>
  <c r="N382" i="548"/>
  <c r="K382" i="548" a="1"/>
  <c r="K382" i="548" s="1"/>
  <c r="M382" i="548" s="1"/>
  <c r="J382" i="548" a="1"/>
  <c r="J382" i="548" s="1"/>
  <c r="H382" i="548"/>
  <c r="V381" i="548"/>
  <c r="W381" i="548" s="1"/>
  <c r="N381" i="548"/>
  <c r="K381" i="548" a="1"/>
  <c r="K381" i="548" s="1"/>
  <c r="M381" i="548" s="1"/>
  <c r="J381" i="548" a="1"/>
  <c r="J381" i="548" s="1"/>
  <c r="H381" i="548"/>
  <c r="V380" i="548"/>
  <c r="W380" i="548" s="1"/>
  <c r="N380" i="548"/>
  <c r="K380" i="548"/>
  <c r="M380" i="548" s="1"/>
  <c r="K380" i="548" a="1"/>
  <c r="J380" i="548"/>
  <c r="J380" i="548" a="1"/>
  <c r="H380" i="548"/>
  <c r="V379" i="548"/>
  <c r="W379" i="548" s="1"/>
  <c r="N379" i="548"/>
  <c r="K379" i="548" a="1"/>
  <c r="K379" i="548" s="1"/>
  <c r="M379" i="548" s="1"/>
  <c r="J379" i="548" a="1"/>
  <c r="J379" i="548" s="1"/>
  <c r="H379" i="548"/>
  <c r="K378" i="548" a="1"/>
  <c r="K378" i="548" s="1"/>
  <c r="M378" i="548" s="1"/>
  <c r="H378" i="548"/>
  <c r="K377" i="548" a="1"/>
  <c r="K377" i="548" s="1"/>
  <c r="M377" i="548" s="1"/>
  <c r="H377" i="548"/>
  <c r="K376" i="548" a="1"/>
  <c r="K376" i="548" s="1"/>
  <c r="M376" i="548" s="1"/>
  <c r="H376" i="548"/>
  <c r="W375" i="548"/>
  <c r="V375" i="548"/>
  <c r="N375" i="548"/>
  <c r="K375" i="548" a="1"/>
  <c r="K375" i="548" s="1"/>
  <c r="M375" i="548" s="1"/>
  <c r="J375" i="548" a="1"/>
  <c r="J375" i="548" s="1"/>
  <c r="H375" i="548"/>
  <c r="V374" i="548"/>
  <c r="W374" i="548" s="1"/>
  <c r="N374" i="548"/>
  <c r="K374" i="548" a="1"/>
  <c r="K374" i="548" s="1"/>
  <c r="M374" i="548" s="1"/>
  <c r="J374" i="548" a="1"/>
  <c r="J374" i="548" s="1"/>
  <c r="H374" i="548"/>
  <c r="V373" i="548"/>
  <c r="W373" i="548" s="1"/>
  <c r="N373" i="548"/>
  <c r="K373" i="548"/>
  <c r="M373" i="548" s="1"/>
  <c r="K373" i="548" a="1"/>
  <c r="J373" i="548"/>
  <c r="J373" i="548" a="1"/>
  <c r="H373" i="548"/>
  <c r="K372" i="548" a="1"/>
  <c r="K372" i="548" s="1"/>
  <c r="H372" i="548"/>
  <c r="V371" i="548"/>
  <c r="V428" i="548" s="1"/>
  <c r="W428" i="548" s="1"/>
  <c r="N371" i="548"/>
  <c r="N428" i="548" s="1"/>
  <c r="K371" i="548"/>
  <c r="M371" i="548" s="1"/>
  <c r="K371" i="548" a="1"/>
  <c r="J371" i="548"/>
  <c r="J371" i="548" a="1"/>
  <c r="H371" i="548"/>
  <c r="H428" i="548" s="1"/>
  <c r="AA370" i="548"/>
  <c r="AA507" i="548" s="1"/>
  <c r="Z370" i="548"/>
  <c r="Z507" i="548" s="1"/>
  <c r="Y370" i="548"/>
  <c r="Y507" i="548" s="1"/>
  <c r="X370" i="548"/>
  <c r="X507" i="548" s="1"/>
  <c r="U370" i="548"/>
  <c r="U507" i="548" s="1"/>
  <c r="T370" i="548"/>
  <c r="T507" i="548" s="1"/>
  <c r="S370" i="548"/>
  <c r="S507" i="548" s="1"/>
  <c r="R370" i="548"/>
  <c r="R507" i="548" s="1"/>
  <c r="Q370" i="548"/>
  <c r="Q507" i="548" s="1"/>
  <c r="P370" i="548"/>
  <c r="P507" i="548" s="1"/>
  <c r="O370" i="548"/>
  <c r="I370" i="548"/>
  <c r="I507" i="548" s="1"/>
  <c r="B515" i="548" s="1"/>
  <c r="G370" i="548"/>
  <c r="G507" i="548" s="1"/>
  <c r="V369" i="548"/>
  <c r="W369" i="548" s="1"/>
  <c r="N369" i="548"/>
  <c r="K369" i="548" a="1"/>
  <c r="K369" i="548" s="1"/>
  <c r="M369" i="548" s="1"/>
  <c r="J369" i="548" a="1"/>
  <c r="J369" i="548" s="1"/>
  <c r="H369" i="548"/>
  <c r="V368" i="548"/>
  <c r="W368" i="548" s="1"/>
  <c r="N368" i="548"/>
  <c r="K368" i="548" a="1"/>
  <c r="K368" i="548" s="1"/>
  <c r="M368" i="548" s="1"/>
  <c r="J368" i="548" a="1"/>
  <c r="J368" i="548" s="1"/>
  <c r="H368" i="548"/>
  <c r="K367" i="548" a="1"/>
  <c r="K367" i="548" s="1"/>
  <c r="M367" i="548" s="1"/>
  <c r="H367" i="548"/>
  <c r="K366" i="548" a="1"/>
  <c r="K366" i="548" s="1"/>
  <c r="M366" i="548" s="1"/>
  <c r="H366" i="548"/>
  <c r="K365" i="548" a="1"/>
  <c r="K365" i="548" s="1"/>
  <c r="M365" i="548" s="1"/>
  <c r="H365" i="548"/>
  <c r="K364" i="548" a="1"/>
  <c r="K364" i="548" s="1"/>
  <c r="M364" i="548" s="1"/>
  <c r="H364" i="548"/>
  <c r="W363" i="548"/>
  <c r="V363" i="548"/>
  <c r="N363" i="548"/>
  <c r="K363" i="548" a="1"/>
  <c r="K363" i="548" s="1"/>
  <c r="M363" i="548" s="1"/>
  <c r="J363" i="548" a="1"/>
  <c r="J363" i="548" s="1"/>
  <c r="H363" i="548"/>
  <c r="V362" i="548"/>
  <c r="W362" i="548" s="1"/>
  <c r="N362" i="548"/>
  <c r="K362" i="548" a="1"/>
  <c r="K362" i="548" s="1"/>
  <c r="M362" i="548" s="1"/>
  <c r="J362" i="548" a="1"/>
  <c r="J362" i="548" s="1"/>
  <c r="H362" i="548"/>
  <c r="V361" i="548"/>
  <c r="W361" i="548" s="1"/>
  <c r="N361" i="548"/>
  <c r="K361" i="548"/>
  <c r="M361" i="548" s="1"/>
  <c r="K361" i="548" a="1"/>
  <c r="J361" i="548"/>
  <c r="J361" i="548" a="1"/>
  <c r="H361" i="548"/>
  <c r="H360" i="548"/>
  <c r="H359" i="548"/>
  <c r="V358" i="548"/>
  <c r="W358" i="548" s="1"/>
  <c r="N358" i="548"/>
  <c r="K358" i="548" a="1"/>
  <c r="K358" i="548" s="1"/>
  <c r="M358" i="548" s="1"/>
  <c r="J358" i="548" a="1"/>
  <c r="J358" i="548" s="1"/>
  <c r="H358" i="548"/>
  <c r="W357" i="548"/>
  <c r="V357" i="548"/>
  <c r="N357" i="548"/>
  <c r="K357" i="548" a="1"/>
  <c r="K357" i="548" s="1"/>
  <c r="M357" i="548" s="1"/>
  <c r="J357" i="548" a="1"/>
  <c r="J357" i="548" s="1"/>
  <c r="H357" i="548"/>
  <c r="K356" i="548"/>
  <c r="M356" i="548" s="1"/>
  <c r="K356" i="548" a="1"/>
  <c r="H356" i="548"/>
  <c r="K355" i="548" a="1"/>
  <c r="K355" i="548" s="1"/>
  <c r="M355" i="548" s="1"/>
  <c r="H355" i="548"/>
  <c r="V354" i="548"/>
  <c r="W354" i="548" s="1"/>
  <c r="N354" i="548"/>
  <c r="K354" i="548" a="1"/>
  <c r="K354" i="548" s="1"/>
  <c r="M354" i="548" s="1"/>
  <c r="J354" i="548" a="1"/>
  <c r="J354" i="548" s="1"/>
  <c r="H354" i="548"/>
  <c r="V353" i="548"/>
  <c r="W353" i="548" s="1"/>
  <c r="N353" i="548"/>
  <c r="K353" i="548"/>
  <c r="M353" i="548" s="1"/>
  <c r="K353" i="548" a="1"/>
  <c r="J353" i="548"/>
  <c r="J353" i="548" a="1"/>
  <c r="H353" i="548"/>
  <c r="V352" i="548"/>
  <c r="W352" i="548" s="1"/>
  <c r="N352" i="548"/>
  <c r="K352" i="548" a="1"/>
  <c r="K352" i="548" s="1"/>
  <c r="M352" i="548" s="1"/>
  <c r="J352" i="548" a="1"/>
  <c r="J352" i="548" s="1"/>
  <c r="H352" i="548"/>
  <c r="W351" i="548"/>
  <c r="V351" i="548"/>
  <c r="N351" i="548"/>
  <c r="K351" i="548" a="1"/>
  <c r="K351" i="548" s="1"/>
  <c r="M351" i="548" s="1"/>
  <c r="J351" i="548" a="1"/>
  <c r="J351" i="548" s="1"/>
  <c r="H351" i="548"/>
  <c r="V350" i="548"/>
  <c r="W350" i="548" s="1"/>
  <c r="N350" i="548"/>
  <c r="K350" i="548" a="1"/>
  <c r="K350" i="548" s="1"/>
  <c r="M350" i="548" s="1"/>
  <c r="J350" i="548" a="1"/>
  <c r="J350" i="548" s="1"/>
  <c r="H350" i="548"/>
  <c r="V349" i="548"/>
  <c r="V370" i="548" s="1"/>
  <c r="N349" i="548"/>
  <c r="N370" i="548" s="1"/>
  <c r="K349" i="548"/>
  <c r="M349" i="548" s="1"/>
  <c r="K349" i="548" a="1"/>
  <c r="J349" i="548"/>
  <c r="J349" i="548" a="1"/>
  <c r="H349" i="548"/>
  <c r="H370" i="548" s="1"/>
  <c r="X343" i="548"/>
  <c r="X342" i="548"/>
  <c r="X341" i="548"/>
  <c r="G341" i="548"/>
  <c r="C341" i="548"/>
  <c r="X340" i="548"/>
  <c r="I340" i="548"/>
  <c r="E340" i="548"/>
  <c r="K340" i="548" s="1"/>
  <c r="M340" i="548" s="1"/>
  <c r="I339" i="548"/>
  <c r="E339" i="548"/>
  <c r="K339" i="548" s="1"/>
  <c r="M339" i="548" s="1"/>
  <c r="I338" i="548"/>
  <c r="E338" i="548"/>
  <c r="K338" i="548" s="1"/>
  <c r="M338" i="548" s="1"/>
  <c r="X337" i="548"/>
  <c r="I337" i="548"/>
  <c r="I341" i="548" s="1"/>
  <c r="E337" i="548"/>
  <c r="AA334" i="548"/>
  <c r="Z334" i="548"/>
  <c r="Y334" i="548"/>
  <c r="X334" i="548"/>
  <c r="U334" i="548"/>
  <c r="T334" i="548"/>
  <c r="S334" i="548"/>
  <c r="R334" i="548"/>
  <c r="Q334" i="548"/>
  <c r="P334" i="548"/>
  <c r="O334" i="548"/>
  <c r="R342" i="548" s="1"/>
  <c r="I334" i="548"/>
  <c r="G334" i="548"/>
  <c r="K333" i="548" a="1"/>
  <c r="K333" i="548" s="1"/>
  <c r="H333" i="548"/>
  <c r="K332" i="548"/>
  <c r="K332" i="548" a="1"/>
  <c r="H332" i="548"/>
  <c r="K331" i="548" a="1"/>
  <c r="K331" i="548" s="1"/>
  <c r="H331" i="548"/>
  <c r="V330" i="548"/>
  <c r="W330" i="548" s="1"/>
  <c r="N330" i="548"/>
  <c r="K330" i="548" a="1"/>
  <c r="K330" i="548" s="1"/>
  <c r="D330" i="548"/>
  <c r="H330" i="548" s="1"/>
  <c r="H329" i="548"/>
  <c r="K328" i="548" a="1"/>
  <c r="K328" i="548" s="1"/>
  <c r="H328" i="548"/>
  <c r="H327" i="548"/>
  <c r="V326" i="548"/>
  <c r="W326" i="548" s="1"/>
  <c r="N326" i="548"/>
  <c r="K326" i="548" a="1"/>
  <c r="K326" i="548" s="1"/>
  <c r="M326" i="548" s="1"/>
  <c r="J326" i="548" a="1"/>
  <c r="J326" i="548" s="1"/>
  <c r="H326" i="548"/>
  <c r="V325" i="548"/>
  <c r="W325" i="548" s="1"/>
  <c r="N325" i="548"/>
  <c r="K325" i="548" a="1"/>
  <c r="K325" i="548" s="1"/>
  <c r="M325" i="548" s="1"/>
  <c r="J325" i="548" a="1"/>
  <c r="J325" i="548" s="1"/>
  <c r="H325" i="548"/>
  <c r="H324" i="548"/>
  <c r="V323" i="548"/>
  <c r="W323" i="548" s="1"/>
  <c r="N323" i="548"/>
  <c r="K323" i="548" a="1"/>
  <c r="K323" i="548" s="1"/>
  <c r="M323" i="548" s="1"/>
  <c r="J323" i="548" a="1"/>
  <c r="J323" i="548" s="1"/>
  <c r="H323" i="548"/>
  <c r="W322" i="548"/>
  <c r="V322" i="548"/>
  <c r="N322" i="548"/>
  <c r="K322" i="548" a="1"/>
  <c r="K322" i="548" s="1"/>
  <c r="M322" i="548" s="1"/>
  <c r="J322" i="548" a="1"/>
  <c r="J322" i="548" s="1"/>
  <c r="H322" i="548"/>
  <c r="V321" i="548"/>
  <c r="W321" i="548" s="1"/>
  <c r="N321" i="548"/>
  <c r="K321" i="548" a="1"/>
  <c r="K321" i="548" s="1"/>
  <c r="M321" i="548" s="1"/>
  <c r="J321" i="548" a="1"/>
  <c r="J321" i="548" s="1"/>
  <c r="H321" i="548"/>
  <c r="V320" i="548"/>
  <c r="V334" i="548" s="1"/>
  <c r="N320" i="548"/>
  <c r="N334" i="548" s="1"/>
  <c r="K320" i="548" a="1"/>
  <c r="K320" i="548" s="1"/>
  <c r="J320" i="548" a="1"/>
  <c r="J320" i="548" s="1"/>
  <c r="H320" i="548"/>
  <c r="AA319" i="548"/>
  <c r="Z319" i="548"/>
  <c r="Y319" i="548"/>
  <c r="X319" i="548"/>
  <c r="U319" i="548"/>
  <c r="T319" i="548"/>
  <c r="S319" i="548"/>
  <c r="Q319" i="548"/>
  <c r="P319" i="548"/>
  <c r="O319" i="548"/>
  <c r="R341" i="548" s="1"/>
  <c r="I319" i="548"/>
  <c r="G319" i="548"/>
  <c r="V318" i="548"/>
  <c r="W318" i="548" s="1"/>
  <c r="N318" i="548"/>
  <c r="K318" i="548" a="1"/>
  <c r="K318" i="548" s="1"/>
  <c r="M318" i="548" s="1"/>
  <c r="J318" i="548" a="1"/>
  <c r="J318" i="548" s="1"/>
  <c r="H318" i="548"/>
  <c r="H317" i="548"/>
  <c r="H316" i="548"/>
  <c r="H315" i="548"/>
  <c r="H314" i="548"/>
  <c r="W313" i="548"/>
  <c r="V313" i="548"/>
  <c r="N313" i="548"/>
  <c r="K313" i="548" a="1"/>
  <c r="K313" i="548" s="1"/>
  <c r="M313" i="548" s="1"/>
  <c r="J313" i="548" a="1"/>
  <c r="J313" i="548" s="1"/>
  <c r="H313" i="548"/>
  <c r="V312" i="548"/>
  <c r="W312" i="548" s="1"/>
  <c r="N312" i="548"/>
  <c r="K312" i="548" a="1"/>
  <c r="K312" i="548" s="1"/>
  <c r="M312" i="548" s="1"/>
  <c r="J312" i="548" a="1"/>
  <c r="J312" i="548" s="1"/>
  <c r="H312" i="548"/>
  <c r="V311" i="548"/>
  <c r="W311" i="548" s="1"/>
  <c r="N311" i="548"/>
  <c r="K311" i="548"/>
  <c r="M311" i="548" s="1"/>
  <c r="K311" i="548" a="1"/>
  <c r="J311" i="548"/>
  <c r="J311" i="548" a="1"/>
  <c r="H311" i="548"/>
  <c r="V310" i="548"/>
  <c r="W310" i="548" s="1"/>
  <c r="N310" i="548"/>
  <c r="K310" i="548" a="1"/>
  <c r="K310" i="548" s="1"/>
  <c r="M310" i="548" s="1"/>
  <c r="J310" i="548" a="1"/>
  <c r="J310" i="548" s="1"/>
  <c r="H310" i="548"/>
  <c r="W309" i="548"/>
  <c r="V309" i="548"/>
  <c r="V319" i="548" s="1"/>
  <c r="W319" i="548" s="1"/>
  <c r="N309" i="548"/>
  <c r="N319" i="548" s="1"/>
  <c r="K309" i="548" a="1"/>
  <c r="K309" i="548" s="1"/>
  <c r="K319" i="548" s="1"/>
  <c r="J309" i="548" a="1"/>
  <c r="J309" i="548" s="1"/>
  <c r="H309" i="548"/>
  <c r="H319" i="548" s="1"/>
  <c r="AA308" i="548"/>
  <c r="Z308" i="548"/>
  <c r="Y308" i="548"/>
  <c r="X308" i="548"/>
  <c r="U308" i="548"/>
  <c r="T308" i="548"/>
  <c r="S308" i="548"/>
  <c r="Q308" i="548"/>
  <c r="P308" i="548"/>
  <c r="O308" i="548"/>
  <c r="R340" i="548" s="1"/>
  <c r="I308" i="548"/>
  <c r="G308" i="548"/>
  <c r="V307" i="548"/>
  <c r="W307" i="548" s="1"/>
  <c r="N307" i="548"/>
  <c r="K307" i="548" a="1"/>
  <c r="K307" i="548" s="1"/>
  <c r="M307" i="548" s="1"/>
  <c r="J307" i="548" a="1"/>
  <c r="J307" i="548" s="1"/>
  <c r="H307" i="548"/>
  <c r="W306" i="548"/>
  <c r="V306" i="548"/>
  <c r="N306" i="548"/>
  <c r="K306" i="548" a="1"/>
  <c r="K306" i="548" s="1"/>
  <c r="M306" i="548" s="1"/>
  <c r="J306" i="548" a="1"/>
  <c r="J306" i="548" s="1"/>
  <c r="H306" i="548"/>
  <c r="V305" i="548"/>
  <c r="W305" i="548" s="1"/>
  <c r="N305" i="548"/>
  <c r="K305" i="548" a="1"/>
  <c r="K305" i="548" s="1"/>
  <c r="M305" i="548" s="1"/>
  <c r="J305" i="548" a="1"/>
  <c r="J305" i="548" s="1"/>
  <c r="H305" i="548"/>
  <c r="V304" i="548"/>
  <c r="W304" i="548" s="1"/>
  <c r="N304" i="548"/>
  <c r="K304" i="548"/>
  <c r="M304" i="548" s="1"/>
  <c r="K304" i="548" a="1"/>
  <c r="J304" i="548"/>
  <c r="J304" i="548" a="1"/>
  <c r="H304" i="548"/>
  <c r="V303" i="548"/>
  <c r="W303" i="548" s="1"/>
  <c r="N303" i="548"/>
  <c r="K303" i="548" a="1"/>
  <c r="K303" i="548" s="1"/>
  <c r="M303" i="548" s="1"/>
  <c r="J303" i="548" a="1"/>
  <c r="J303" i="548" s="1"/>
  <c r="H303" i="548"/>
  <c r="W302" i="548"/>
  <c r="V302" i="548"/>
  <c r="N302" i="548"/>
  <c r="K302" i="548" a="1"/>
  <c r="K302" i="548" s="1"/>
  <c r="M302" i="548" s="1"/>
  <c r="J302" i="548" a="1"/>
  <c r="J302" i="548" s="1"/>
  <c r="H302" i="548"/>
  <c r="V301" i="548"/>
  <c r="W301" i="548" s="1"/>
  <c r="N301" i="548"/>
  <c r="K301" i="548" a="1"/>
  <c r="K301" i="548" s="1"/>
  <c r="M301" i="548" s="1"/>
  <c r="J301" i="548" a="1"/>
  <c r="J301" i="548" s="1"/>
  <c r="H301" i="548"/>
  <c r="V300" i="548"/>
  <c r="W300" i="548" s="1"/>
  <c r="N300" i="548"/>
  <c r="K300" i="548"/>
  <c r="M300" i="548" s="1"/>
  <c r="K300" i="548" a="1"/>
  <c r="J300" i="548"/>
  <c r="J300" i="548" a="1"/>
  <c r="H300" i="548"/>
  <c r="V299" i="548"/>
  <c r="W299" i="548" s="1"/>
  <c r="N299" i="548"/>
  <c r="K299" i="548" a="1"/>
  <c r="K299" i="548" s="1"/>
  <c r="M299" i="548" s="1"/>
  <c r="J299" i="548" a="1"/>
  <c r="J299" i="548" s="1"/>
  <c r="H299" i="548"/>
  <c r="W298" i="548"/>
  <c r="V298" i="548"/>
  <c r="N298" i="548"/>
  <c r="K298" i="548" a="1"/>
  <c r="K298" i="548" s="1"/>
  <c r="M298" i="548" s="1"/>
  <c r="J298" i="548" a="1"/>
  <c r="J298" i="548" s="1"/>
  <c r="H298" i="548"/>
  <c r="V297" i="548"/>
  <c r="W297" i="548" s="1"/>
  <c r="N297" i="548"/>
  <c r="K297" i="548" a="1"/>
  <c r="K297" i="548" s="1"/>
  <c r="M297" i="548" s="1"/>
  <c r="J297" i="548" a="1"/>
  <c r="J297" i="548" s="1"/>
  <c r="H297" i="548"/>
  <c r="V296" i="548"/>
  <c r="W296" i="548" s="1"/>
  <c r="N296" i="548"/>
  <c r="K296" i="548"/>
  <c r="M296" i="548" s="1"/>
  <c r="K296" i="548" a="1"/>
  <c r="J296" i="548"/>
  <c r="J296" i="548" a="1"/>
  <c r="H296" i="548"/>
  <c r="V295" i="548"/>
  <c r="W295" i="548" s="1"/>
  <c r="N295" i="548"/>
  <c r="K295" i="548" a="1"/>
  <c r="K295" i="548" s="1"/>
  <c r="M295" i="548" s="1"/>
  <c r="J295" i="548" a="1"/>
  <c r="J295" i="548" s="1"/>
  <c r="H295" i="548"/>
  <c r="W294" i="548"/>
  <c r="V294" i="548"/>
  <c r="N294" i="548"/>
  <c r="K294" i="548" a="1"/>
  <c r="K294" i="548" s="1"/>
  <c r="M294" i="548" s="1"/>
  <c r="J294" i="548" a="1"/>
  <c r="J294" i="548" s="1"/>
  <c r="H294" i="548"/>
  <c r="V293" i="548"/>
  <c r="W293" i="548" s="1"/>
  <c r="N293" i="548"/>
  <c r="K293" i="548" a="1"/>
  <c r="K293" i="548" s="1"/>
  <c r="J293" i="548" a="1"/>
  <c r="J293" i="548" s="1"/>
  <c r="H293" i="548"/>
  <c r="H308" i="548" s="1"/>
  <c r="AA292" i="548"/>
  <c r="Z292" i="548"/>
  <c r="Y292" i="548"/>
  <c r="X292" i="548"/>
  <c r="U292" i="548"/>
  <c r="T292" i="548"/>
  <c r="S292" i="548"/>
  <c r="R292" i="548"/>
  <c r="Q292" i="548"/>
  <c r="P292" i="548"/>
  <c r="O292" i="548"/>
  <c r="R339" i="548" s="1"/>
  <c r="I292" i="548"/>
  <c r="G292" i="548"/>
  <c r="V291" i="548"/>
  <c r="W291" i="548" s="1"/>
  <c r="N291" i="548"/>
  <c r="K291" i="548" a="1"/>
  <c r="K291" i="548" s="1"/>
  <c r="M291" i="548" s="1"/>
  <c r="J291" i="548" a="1"/>
  <c r="J291" i="548" s="1"/>
  <c r="H291" i="548"/>
  <c r="V290" i="548"/>
  <c r="W290" i="548" s="1"/>
  <c r="N290" i="548"/>
  <c r="K290" i="548" a="1"/>
  <c r="K290" i="548" s="1"/>
  <c r="M290" i="548" s="1"/>
  <c r="J290" i="548" a="1"/>
  <c r="J290" i="548" s="1"/>
  <c r="H290" i="548"/>
  <c r="V289" i="548"/>
  <c r="W289" i="548" s="1"/>
  <c r="N289" i="548"/>
  <c r="K289" i="548" a="1"/>
  <c r="K289" i="548" s="1"/>
  <c r="M289" i="548" s="1"/>
  <c r="J289" i="548" a="1"/>
  <c r="J289" i="548" s="1"/>
  <c r="H289" i="548"/>
  <c r="H288" i="548"/>
  <c r="H287" i="548"/>
  <c r="H286" i="548"/>
  <c r="V285" i="548"/>
  <c r="W285" i="548" s="1"/>
  <c r="N285" i="548"/>
  <c r="K285" i="548" a="1"/>
  <c r="K285" i="548" s="1"/>
  <c r="M285" i="548" s="1"/>
  <c r="J285" i="548" a="1"/>
  <c r="J285" i="548" s="1"/>
  <c r="H285" i="548"/>
  <c r="V284" i="548"/>
  <c r="W284" i="548" s="1"/>
  <c r="N284" i="548"/>
  <c r="K284" i="548"/>
  <c r="M284" i="548" s="1"/>
  <c r="K284" i="548" a="1"/>
  <c r="J284" i="548"/>
  <c r="J284" i="548" a="1"/>
  <c r="H284" i="548"/>
  <c r="N283" i="548"/>
  <c r="K283" i="548" a="1"/>
  <c r="K283" i="548" s="1"/>
  <c r="M283" i="548" s="1"/>
  <c r="H283" i="548"/>
  <c r="N282" i="548"/>
  <c r="K282" i="548" a="1"/>
  <c r="K282" i="548" s="1"/>
  <c r="M282" i="548" s="1"/>
  <c r="H282" i="548"/>
  <c r="N281" i="548"/>
  <c r="K281" i="548" a="1"/>
  <c r="K281" i="548" s="1"/>
  <c r="M281" i="548" s="1"/>
  <c r="H281" i="548"/>
  <c r="N280" i="548"/>
  <c r="K280" i="548"/>
  <c r="M280" i="548" s="1"/>
  <c r="K280" i="548" a="1"/>
  <c r="H280" i="548"/>
  <c r="N279" i="548"/>
  <c r="K279" i="548" a="1"/>
  <c r="K279" i="548" s="1"/>
  <c r="M279" i="548" s="1"/>
  <c r="H279" i="548"/>
  <c r="N278" i="548"/>
  <c r="K278" i="548" a="1"/>
  <c r="K278" i="548" s="1"/>
  <c r="M278" i="548" s="1"/>
  <c r="H278" i="548"/>
  <c r="V277" i="548"/>
  <c r="W277" i="548" s="1"/>
  <c r="N277" i="548"/>
  <c r="K277" i="548" a="1"/>
  <c r="K277" i="548" s="1"/>
  <c r="M277" i="548" s="1"/>
  <c r="J277" i="548" a="1"/>
  <c r="J277" i="548" s="1"/>
  <c r="H277" i="548"/>
  <c r="V276" i="548"/>
  <c r="W276" i="548" s="1"/>
  <c r="N276" i="548"/>
  <c r="K276" i="548"/>
  <c r="M276" i="548" s="1"/>
  <c r="K276" i="548" a="1"/>
  <c r="J276" i="548"/>
  <c r="J276" i="548" a="1"/>
  <c r="H276" i="548"/>
  <c r="V275" i="548"/>
  <c r="W275" i="548" s="1"/>
  <c r="N275" i="548"/>
  <c r="K275" i="548" a="1"/>
  <c r="K275" i="548" s="1"/>
  <c r="M275" i="548" s="1"/>
  <c r="J275" i="548" a="1"/>
  <c r="J275" i="548" s="1"/>
  <c r="H275" i="548"/>
  <c r="W274" i="548"/>
  <c r="V274" i="548"/>
  <c r="N274" i="548"/>
  <c r="K274" i="548" a="1"/>
  <c r="K274" i="548" s="1"/>
  <c r="M274" i="548" s="1"/>
  <c r="J274" i="548" a="1"/>
  <c r="J274" i="548" s="1"/>
  <c r="H274" i="548"/>
  <c r="V273" i="548"/>
  <c r="W273" i="548" s="1"/>
  <c r="N273" i="548"/>
  <c r="K273" i="548" a="1"/>
  <c r="K273" i="548" s="1"/>
  <c r="M273" i="548" s="1"/>
  <c r="J273" i="548" a="1"/>
  <c r="J273" i="548" s="1"/>
  <c r="H273" i="548"/>
  <c r="V272" i="548"/>
  <c r="W272" i="548" s="1"/>
  <c r="N272" i="548"/>
  <c r="K272" i="548"/>
  <c r="M272" i="548" s="1"/>
  <c r="K272" i="548" a="1"/>
  <c r="J272" i="548"/>
  <c r="J272" i="548" a="1"/>
  <c r="H272" i="548"/>
  <c r="V271" i="548"/>
  <c r="W271" i="548" s="1"/>
  <c r="N271" i="548"/>
  <c r="K271" i="548" a="1"/>
  <c r="K271" i="548" s="1"/>
  <c r="M271" i="548" s="1"/>
  <c r="J271" i="548" a="1"/>
  <c r="J271" i="548" s="1"/>
  <c r="H271" i="548"/>
  <c r="W270" i="548"/>
  <c r="V270" i="548"/>
  <c r="N270" i="548"/>
  <c r="K270" i="548" a="1"/>
  <c r="K270" i="548" s="1"/>
  <c r="M270" i="548" s="1"/>
  <c r="J270" i="548" a="1"/>
  <c r="J270" i="548" s="1"/>
  <c r="H270" i="548"/>
  <c r="V269" i="548"/>
  <c r="W269" i="548" s="1"/>
  <c r="N269" i="548"/>
  <c r="K269" i="548" a="1"/>
  <c r="K269" i="548" s="1"/>
  <c r="M269" i="548" s="1"/>
  <c r="J269" i="548" a="1"/>
  <c r="J269" i="548" s="1"/>
  <c r="H269" i="548"/>
  <c r="V268" i="548"/>
  <c r="W268" i="548" s="1"/>
  <c r="N268" i="548"/>
  <c r="K268" i="548"/>
  <c r="M268" i="548" s="1"/>
  <c r="K268" i="548" a="1"/>
  <c r="J268" i="548"/>
  <c r="J268" i="548" a="1"/>
  <c r="H268" i="548"/>
  <c r="V267" i="548"/>
  <c r="W267" i="548" s="1"/>
  <c r="N267" i="548"/>
  <c r="K267" i="548" a="1"/>
  <c r="K267" i="548" s="1"/>
  <c r="M267" i="548" s="1"/>
  <c r="J267" i="548" a="1"/>
  <c r="J267" i="548" s="1"/>
  <c r="H267" i="548"/>
  <c r="W266" i="548"/>
  <c r="V266" i="548"/>
  <c r="N266" i="548"/>
  <c r="K266" i="548" a="1"/>
  <c r="K266" i="548" s="1"/>
  <c r="M266" i="548" s="1"/>
  <c r="J266" i="548" a="1"/>
  <c r="J266" i="548" s="1"/>
  <c r="H266" i="548"/>
  <c r="N265" i="548"/>
  <c r="K265" i="548" a="1"/>
  <c r="K265" i="548" s="1"/>
  <c r="M265" i="548" s="1"/>
  <c r="H265" i="548"/>
  <c r="V264" i="548"/>
  <c r="W264" i="548" s="1"/>
  <c r="N264" i="548"/>
  <c r="K264" i="548"/>
  <c r="M264" i="548" s="1"/>
  <c r="K264" i="548" a="1"/>
  <c r="J264" i="548"/>
  <c r="J264" i="548" a="1"/>
  <c r="H264" i="548"/>
  <c r="V263" i="548"/>
  <c r="W263" i="548" s="1"/>
  <c r="N263" i="548"/>
  <c r="K263" i="548" a="1"/>
  <c r="K263" i="548" s="1"/>
  <c r="M263" i="548" s="1"/>
  <c r="J263" i="548" a="1"/>
  <c r="J263" i="548" s="1"/>
  <c r="H263" i="548"/>
  <c r="W262" i="548"/>
  <c r="V262" i="548"/>
  <c r="N262" i="548"/>
  <c r="K262" i="548" a="1"/>
  <c r="K262" i="548" s="1"/>
  <c r="M262" i="548" s="1"/>
  <c r="J262" i="548" a="1"/>
  <c r="J262" i="548" s="1"/>
  <c r="H262" i="548"/>
  <c r="V261" i="548"/>
  <c r="W261" i="548" s="1"/>
  <c r="N261" i="548"/>
  <c r="K261" i="548" a="1"/>
  <c r="K261" i="548" s="1"/>
  <c r="M261" i="548" s="1"/>
  <c r="J261" i="548" a="1"/>
  <c r="J261" i="548" s="1"/>
  <c r="H261" i="548"/>
  <c r="V260" i="548"/>
  <c r="W260" i="548" s="1"/>
  <c r="N260" i="548"/>
  <c r="K260" i="548"/>
  <c r="M260" i="548" s="1"/>
  <c r="K260" i="548" a="1"/>
  <c r="J260" i="548"/>
  <c r="J260" i="548" a="1"/>
  <c r="H260" i="548"/>
  <c r="V259" i="548"/>
  <c r="W259" i="548" s="1"/>
  <c r="N259" i="548"/>
  <c r="K259" i="548" a="1"/>
  <c r="K259" i="548" s="1"/>
  <c r="M259" i="548" s="1"/>
  <c r="J259" i="548" a="1"/>
  <c r="J259" i="548" s="1"/>
  <c r="H259" i="548"/>
  <c r="W258" i="548"/>
  <c r="V258" i="548"/>
  <c r="N258" i="548"/>
  <c r="N292" i="548" s="1"/>
  <c r="K258" i="548" a="1"/>
  <c r="K258" i="548" s="1"/>
  <c r="J258" i="548" a="1"/>
  <c r="J258" i="548" s="1"/>
  <c r="H258" i="548"/>
  <c r="H292" i="548" s="1"/>
  <c r="AA257" i="548"/>
  <c r="Z257" i="548"/>
  <c r="Y257" i="548"/>
  <c r="X257" i="548"/>
  <c r="U257" i="548"/>
  <c r="T257" i="548"/>
  <c r="S257" i="548"/>
  <c r="R257" i="548"/>
  <c r="Q257" i="548"/>
  <c r="P257" i="548"/>
  <c r="O257" i="548"/>
  <c r="R338" i="548" s="1"/>
  <c r="I257" i="548"/>
  <c r="G257" i="548"/>
  <c r="H256" i="548"/>
  <c r="H255" i="548"/>
  <c r="H254" i="548"/>
  <c r="H253" i="548"/>
  <c r="H252" i="548"/>
  <c r="H251" i="548"/>
  <c r="K250" i="548" a="1"/>
  <c r="K250" i="548" s="1"/>
  <c r="M250" i="548" s="1"/>
  <c r="H250" i="548"/>
  <c r="K249" i="548" a="1"/>
  <c r="K249" i="548" s="1"/>
  <c r="M249" i="548" s="1"/>
  <c r="H249" i="548"/>
  <c r="K248" i="548" a="1"/>
  <c r="K248" i="548" s="1"/>
  <c r="M248" i="548" s="1"/>
  <c r="H248" i="548"/>
  <c r="K247" i="548" a="1"/>
  <c r="K247" i="548" s="1"/>
  <c r="M247" i="548" s="1"/>
  <c r="H247" i="548"/>
  <c r="W246" i="548"/>
  <c r="V246" i="548"/>
  <c r="N246" i="548"/>
  <c r="K246" i="548" a="1"/>
  <c r="K246" i="548" s="1"/>
  <c r="M246" i="548" s="1"/>
  <c r="J246" i="548" a="1"/>
  <c r="J246" i="548" s="1"/>
  <c r="H246" i="548"/>
  <c r="V245" i="548"/>
  <c r="W245" i="548" s="1"/>
  <c r="N245" i="548"/>
  <c r="K245" i="548" a="1"/>
  <c r="K245" i="548" s="1"/>
  <c r="M245" i="548" s="1"/>
  <c r="J245" i="548" a="1"/>
  <c r="J245" i="548" s="1"/>
  <c r="H245" i="548"/>
  <c r="V244" i="548"/>
  <c r="W244" i="548" s="1"/>
  <c r="N244" i="548"/>
  <c r="K244" i="548"/>
  <c r="M244" i="548" s="1"/>
  <c r="K244" i="548" a="1"/>
  <c r="J244" i="548"/>
  <c r="J244" i="548" a="1"/>
  <c r="H244" i="548"/>
  <c r="V243" i="548"/>
  <c r="W243" i="548" s="1"/>
  <c r="N243" i="548"/>
  <c r="K243" i="548" a="1"/>
  <c r="K243" i="548" s="1"/>
  <c r="M243" i="548" s="1"/>
  <c r="J243" i="548" a="1"/>
  <c r="J243" i="548" s="1"/>
  <c r="H243" i="548"/>
  <c r="M242" i="548"/>
  <c r="H242" i="548"/>
  <c r="W241" i="548"/>
  <c r="V241" i="548"/>
  <c r="N241" i="548"/>
  <c r="K241" i="548" a="1"/>
  <c r="K241" i="548" s="1"/>
  <c r="M241" i="548" s="1"/>
  <c r="J241" i="548" a="1"/>
  <c r="J241" i="548" s="1"/>
  <c r="H241" i="548"/>
  <c r="V240" i="548"/>
  <c r="W240" i="548" s="1"/>
  <c r="N240" i="548"/>
  <c r="K240" i="548" a="1"/>
  <c r="K240" i="548" s="1"/>
  <c r="M240" i="548" s="1"/>
  <c r="J240" i="548" a="1"/>
  <c r="J240" i="548" s="1"/>
  <c r="H240" i="548"/>
  <c r="K239" i="548" a="1"/>
  <c r="K239" i="548" s="1"/>
  <c r="M239" i="548" s="1"/>
  <c r="H239" i="548"/>
  <c r="H238" i="548"/>
  <c r="V237" i="548"/>
  <c r="W237" i="548" s="1"/>
  <c r="N237" i="548"/>
  <c r="K237" i="548" a="1"/>
  <c r="K237" i="548" s="1"/>
  <c r="M237" i="548" s="1"/>
  <c r="J237" i="548" a="1"/>
  <c r="J237" i="548" s="1"/>
  <c r="H237" i="548"/>
  <c r="V236" i="548"/>
  <c r="W236" i="548" s="1"/>
  <c r="N236" i="548"/>
  <c r="K236" i="548"/>
  <c r="M236" i="548" s="1"/>
  <c r="K236" i="548" a="1"/>
  <c r="J236" i="548"/>
  <c r="J236" i="548" a="1"/>
  <c r="H236" i="548"/>
  <c r="V235" i="548"/>
  <c r="W235" i="548" s="1"/>
  <c r="N235" i="548"/>
  <c r="K235" i="548" a="1"/>
  <c r="K235" i="548" s="1"/>
  <c r="M235" i="548" s="1"/>
  <c r="J235" i="548" a="1"/>
  <c r="J235" i="548" s="1"/>
  <c r="H235" i="548"/>
  <c r="W234" i="548"/>
  <c r="V234" i="548"/>
  <c r="N234" i="548"/>
  <c r="K234" i="548" a="1"/>
  <c r="K234" i="548" s="1"/>
  <c r="M234" i="548" s="1"/>
  <c r="J234" i="548" a="1"/>
  <c r="J234" i="548" s="1"/>
  <c r="H234" i="548"/>
  <c r="V233" i="548"/>
  <c r="W233" i="548" s="1"/>
  <c r="N233" i="548"/>
  <c r="K233" i="548" a="1"/>
  <c r="K233" i="548" s="1"/>
  <c r="M233" i="548" s="1"/>
  <c r="J233" i="548" a="1"/>
  <c r="J233" i="548" s="1"/>
  <c r="H233" i="548"/>
  <c r="V232" i="548"/>
  <c r="W232" i="548" s="1"/>
  <c r="N232" i="548"/>
  <c r="K232" i="548"/>
  <c r="M232" i="548" s="1"/>
  <c r="K232" i="548" a="1"/>
  <c r="J232" i="548"/>
  <c r="J232" i="548" a="1"/>
  <c r="H232" i="548"/>
  <c r="V231" i="548"/>
  <c r="W231" i="548" s="1"/>
  <c r="N231" i="548"/>
  <c r="K231" i="548" a="1"/>
  <c r="K231" i="548" s="1"/>
  <c r="M231" i="548" s="1"/>
  <c r="J231" i="548" a="1"/>
  <c r="J231" i="548" s="1"/>
  <c r="H231" i="548"/>
  <c r="W230" i="548"/>
  <c r="V230" i="548"/>
  <c r="N230" i="548"/>
  <c r="K230" i="548" a="1"/>
  <c r="K230" i="548" s="1"/>
  <c r="M230" i="548" s="1"/>
  <c r="J230" i="548" a="1"/>
  <c r="J230" i="548" s="1"/>
  <c r="H230" i="548"/>
  <c r="V229" i="548"/>
  <c r="W229" i="548" s="1"/>
  <c r="N229" i="548"/>
  <c r="K229" i="548" a="1"/>
  <c r="K229" i="548" s="1"/>
  <c r="M229" i="548" s="1"/>
  <c r="J229" i="548" a="1"/>
  <c r="J229" i="548" s="1"/>
  <c r="H229" i="548"/>
  <c r="W228" i="548"/>
  <c r="V228" i="548"/>
  <c r="N228" i="548"/>
  <c r="K228" i="548"/>
  <c r="M228" i="548" s="1"/>
  <c r="K228" i="548" a="1"/>
  <c r="J228" i="548" a="1"/>
  <c r="J228" i="548" s="1"/>
  <c r="H228" i="548"/>
  <c r="N227" i="548"/>
  <c r="K227" i="548" a="1"/>
  <c r="K227" i="548" s="1"/>
  <c r="M227" i="548" s="1"/>
  <c r="H227" i="548"/>
  <c r="N226" i="548"/>
  <c r="K226" i="548" a="1"/>
  <c r="K226" i="548" s="1"/>
  <c r="M226" i="548" s="1"/>
  <c r="H226" i="548"/>
  <c r="N225" i="548"/>
  <c r="K225" i="548" a="1"/>
  <c r="K225" i="548" s="1"/>
  <c r="M225" i="548" s="1"/>
  <c r="H225" i="548"/>
  <c r="N224" i="548"/>
  <c r="K224" i="548"/>
  <c r="M224" i="548" s="1"/>
  <c r="K224" i="548" a="1"/>
  <c r="H224" i="548"/>
  <c r="N223" i="548"/>
  <c r="K223" i="548" a="1"/>
  <c r="K223" i="548" s="1"/>
  <c r="M223" i="548" s="1"/>
  <c r="H223" i="548"/>
  <c r="N222" i="548"/>
  <c r="K222" i="548" a="1"/>
  <c r="K222" i="548" s="1"/>
  <c r="M222" i="548" s="1"/>
  <c r="H222" i="548"/>
  <c r="N221" i="548"/>
  <c r="K221" i="548" a="1"/>
  <c r="K221" i="548" s="1"/>
  <c r="M221" i="548" s="1"/>
  <c r="H221" i="548"/>
  <c r="N220" i="548"/>
  <c r="K220" i="548"/>
  <c r="M220" i="548" s="1"/>
  <c r="K220" i="548" a="1"/>
  <c r="H220" i="548"/>
  <c r="V219" i="548"/>
  <c r="W219" i="548" s="1"/>
  <c r="N219" i="548"/>
  <c r="K219" i="548" a="1"/>
  <c r="K219" i="548" s="1"/>
  <c r="M219" i="548" s="1"/>
  <c r="J219" i="548" a="1"/>
  <c r="J219" i="548" s="1"/>
  <c r="H219" i="548"/>
  <c r="W218" i="548"/>
  <c r="V218" i="548"/>
  <c r="N218" i="548"/>
  <c r="K218" i="548" a="1"/>
  <c r="K218" i="548" s="1"/>
  <c r="M218" i="548" s="1"/>
  <c r="J218" i="548" a="1"/>
  <c r="J218" i="548" s="1"/>
  <c r="H218" i="548"/>
  <c r="V217" i="548"/>
  <c r="W217" i="548" s="1"/>
  <c r="N217" i="548"/>
  <c r="K217" i="548" a="1"/>
  <c r="K217" i="548" s="1"/>
  <c r="M217" i="548" s="1"/>
  <c r="J217" i="548" a="1"/>
  <c r="J217" i="548" s="1"/>
  <c r="H217" i="548"/>
  <c r="V216" i="548"/>
  <c r="W216" i="548" s="1"/>
  <c r="N216" i="548"/>
  <c r="K216" i="548"/>
  <c r="M216" i="548" s="1"/>
  <c r="K216" i="548" a="1"/>
  <c r="J216" i="548"/>
  <c r="J216" i="548" a="1"/>
  <c r="H216" i="548"/>
  <c r="V215" i="548"/>
  <c r="W215" i="548" s="1"/>
  <c r="N215" i="548"/>
  <c r="K215" i="548" a="1"/>
  <c r="K215" i="548" s="1"/>
  <c r="M215" i="548" s="1"/>
  <c r="J215" i="548" a="1"/>
  <c r="J215" i="548" s="1"/>
  <c r="H215" i="548"/>
  <c r="W214" i="548"/>
  <c r="V214" i="548"/>
  <c r="N214" i="548"/>
  <c r="K214" i="548" a="1"/>
  <c r="K214" i="548" s="1"/>
  <c r="M214" i="548" s="1"/>
  <c r="J214" i="548" a="1"/>
  <c r="J214" i="548" s="1"/>
  <c r="H214" i="548"/>
  <c r="V213" i="548"/>
  <c r="W213" i="548" s="1"/>
  <c r="N213" i="548"/>
  <c r="K213" i="548" a="1"/>
  <c r="K213" i="548" s="1"/>
  <c r="M213" i="548" s="1"/>
  <c r="J213" i="548" a="1"/>
  <c r="J213" i="548" s="1"/>
  <c r="H213" i="548"/>
  <c r="V212" i="548"/>
  <c r="W212" i="548" s="1"/>
  <c r="N212" i="548"/>
  <c r="K212" i="548"/>
  <c r="M212" i="548" s="1"/>
  <c r="K212" i="548" a="1"/>
  <c r="J212" i="548"/>
  <c r="J212" i="548" a="1"/>
  <c r="H212" i="548"/>
  <c r="V211" i="548"/>
  <c r="W211" i="548" s="1"/>
  <c r="N211" i="548"/>
  <c r="K211" i="548" a="1"/>
  <c r="K211" i="548" s="1"/>
  <c r="M211" i="548" s="1"/>
  <c r="J211" i="548" a="1"/>
  <c r="J211" i="548" s="1"/>
  <c r="H211" i="548"/>
  <c r="V210" i="548"/>
  <c r="W210" i="548" s="1"/>
  <c r="N210" i="548"/>
  <c r="K210" i="548" a="1"/>
  <c r="K210" i="548" s="1"/>
  <c r="M210" i="548" s="1"/>
  <c r="J210" i="548" a="1"/>
  <c r="J210" i="548" s="1"/>
  <c r="H210" i="548"/>
  <c r="V209" i="548"/>
  <c r="W209" i="548" s="1"/>
  <c r="N209" i="548"/>
  <c r="K209" i="548" a="1"/>
  <c r="K209" i="548" s="1"/>
  <c r="M209" i="548" s="1"/>
  <c r="J209" i="548" a="1"/>
  <c r="J209" i="548" s="1"/>
  <c r="H209" i="548"/>
  <c r="V208" i="548"/>
  <c r="W208" i="548" s="1"/>
  <c r="N208" i="548"/>
  <c r="K208" i="548"/>
  <c r="M208" i="548" s="1"/>
  <c r="K208" i="548" a="1"/>
  <c r="J208" i="548"/>
  <c r="J208" i="548" a="1"/>
  <c r="H208" i="548"/>
  <c r="H207" i="548"/>
  <c r="H206" i="548"/>
  <c r="H205" i="548"/>
  <c r="W204" i="548"/>
  <c r="V204" i="548"/>
  <c r="N204" i="548"/>
  <c r="K204" i="548" a="1"/>
  <c r="K204" i="548" s="1"/>
  <c r="M204" i="548" s="1"/>
  <c r="J204" i="548" a="1"/>
  <c r="J204" i="548" s="1"/>
  <c r="H204" i="548"/>
  <c r="V203" i="548"/>
  <c r="W203" i="548" s="1"/>
  <c r="N203" i="548"/>
  <c r="K203" i="548" a="1"/>
  <c r="K203" i="548" s="1"/>
  <c r="M203" i="548" s="1"/>
  <c r="J203" i="548" a="1"/>
  <c r="J203" i="548" s="1"/>
  <c r="H203" i="548"/>
  <c r="W202" i="548"/>
  <c r="V202" i="548"/>
  <c r="N202" i="548"/>
  <c r="K202" i="548"/>
  <c r="M202" i="548" s="1"/>
  <c r="K202" i="548" a="1"/>
  <c r="J202" i="548" a="1"/>
  <c r="J202" i="548" s="1"/>
  <c r="H202" i="548"/>
  <c r="H201" i="548"/>
  <c r="W200" i="548"/>
  <c r="V200" i="548"/>
  <c r="V257" i="548" s="1"/>
  <c r="W257" i="548" s="1"/>
  <c r="N200" i="548"/>
  <c r="N257" i="548" s="1"/>
  <c r="K200" i="548" a="1"/>
  <c r="K200" i="548" s="1"/>
  <c r="M200" i="548" s="1"/>
  <c r="J200" i="548" a="1"/>
  <c r="J200" i="548" s="1"/>
  <c r="H200" i="548"/>
  <c r="AA199" i="548"/>
  <c r="AA335" i="548" s="1"/>
  <c r="Z199" i="548"/>
  <c r="Z335" i="548" s="1"/>
  <c r="Y199" i="548"/>
  <c r="Y335" i="548" s="1"/>
  <c r="X199" i="548"/>
  <c r="X335" i="548" s="1"/>
  <c r="U199" i="548"/>
  <c r="U335" i="548" s="1"/>
  <c r="T199" i="548"/>
  <c r="T335" i="548" s="1"/>
  <c r="S199" i="548"/>
  <c r="S335" i="548" s="1"/>
  <c r="R199" i="548"/>
  <c r="R335" i="548" s="1"/>
  <c r="Q199" i="548"/>
  <c r="Q335" i="548" s="1"/>
  <c r="P199" i="548"/>
  <c r="X338" i="548" s="1"/>
  <c r="O199" i="548"/>
  <c r="R337" i="548" s="1"/>
  <c r="I199" i="548"/>
  <c r="I335" i="548" s="1"/>
  <c r="B343" i="548" s="1"/>
  <c r="G199" i="548"/>
  <c r="G335" i="548" s="1"/>
  <c r="V198" i="548"/>
  <c r="W198" i="548" s="1"/>
  <c r="N198" i="548"/>
  <c r="K198" i="548" a="1"/>
  <c r="K198" i="548" s="1"/>
  <c r="M198" i="548" s="1"/>
  <c r="J198" i="548" a="1"/>
  <c r="J198" i="548" s="1"/>
  <c r="H198" i="548"/>
  <c r="V197" i="548"/>
  <c r="W197" i="548" s="1"/>
  <c r="N197" i="548"/>
  <c r="K197" i="548"/>
  <c r="M197" i="548" s="1"/>
  <c r="K197" i="548" a="1"/>
  <c r="J197" i="548" a="1"/>
  <c r="J197" i="548" s="1"/>
  <c r="H197" i="548"/>
  <c r="K196" i="548" a="1"/>
  <c r="K196" i="548" s="1"/>
  <c r="M196" i="548" s="1"/>
  <c r="H196" i="548"/>
  <c r="K195" i="548" a="1"/>
  <c r="K195" i="548" s="1"/>
  <c r="M195" i="548" s="1"/>
  <c r="H195" i="548"/>
  <c r="K194" i="548" a="1"/>
  <c r="K194" i="548" s="1"/>
  <c r="M194" i="548" s="1"/>
  <c r="H194" i="548"/>
  <c r="K193" i="548" a="1"/>
  <c r="K193" i="548" s="1"/>
  <c r="M193" i="548" s="1"/>
  <c r="H193" i="548"/>
  <c r="W192" i="548"/>
  <c r="V192" i="548"/>
  <c r="N192" i="548"/>
  <c r="K192" i="548" a="1"/>
  <c r="K192" i="548" s="1"/>
  <c r="M192" i="548" s="1"/>
  <c r="J192" i="548" a="1"/>
  <c r="J192" i="548" s="1"/>
  <c r="H192" i="548"/>
  <c r="V191" i="548"/>
  <c r="W191" i="548" s="1"/>
  <c r="N191" i="548"/>
  <c r="K191" i="548" a="1"/>
  <c r="K191" i="548" s="1"/>
  <c r="M191" i="548" s="1"/>
  <c r="J191" i="548" a="1"/>
  <c r="J191" i="548" s="1"/>
  <c r="H191" i="548"/>
  <c r="W190" i="548"/>
  <c r="V190" i="548"/>
  <c r="N190" i="548"/>
  <c r="K190" i="548" a="1"/>
  <c r="K190" i="548" s="1"/>
  <c r="M190" i="548" s="1"/>
  <c r="J190" i="548" a="1"/>
  <c r="J190" i="548" s="1"/>
  <c r="H190" i="548"/>
  <c r="N189" i="548"/>
  <c r="K189" i="548" a="1"/>
  <c r="K189" i="548" s="1"/>
  <c r="M189" i="548" s="1"/>
  <c r="J189" i="548" a="1"/>
  <c r="J189" i="548" s="1"/>
  <c r="H189" i="548"/>
  <c r="N188" i="548"/>
  <c r="K188" i="548" a="1"/>
  <c r="K188" i="548" s="1"/>
  <c r="M188" i="548" s="1"/>
  <c r="J188" i="548" a="1"/>
  <c r="J188" i="548" s="1"/>
  <c r="H188" i="548"/>
  <c r="V187" i="548"/>
  <c r="W187" i="548" s="1"/>
  <c r="N187" i="548"/>
  <c r="K187" i="548" a="1"/>
  <c r="K187" i="548" s="1"/>
  <c r="M187" i="548" s="1"/>
  <c r="J187" i="548" a="1"/>
  <c r="J187" i="548" s="1"/>
  <c r="H187" i="548"/>
  <c r="V186" i="548"/>
  <c r="W186" i="548" s="1"/>
  <c r="N186" i="548"/>
  <c r="K186" i="548" a="1"/>
  <c r="K186" i="548" s="1"/>
  <c r="M186" i="548" s="1"/>
  <c r="J186" i="548" a="1"/>
  <c r="J186" i="548" s="1"/>
  <c r="H186" i="548"/>
  <c r="N185" i="548"/>
  <c r="K185" i="548" a="1"/>
  <c r="K185" i="548" s="1"/>
  <c r="M185" i="548" s="1"/>
  <c r="H185" i="548"/>
  <c r="N184" i="548"/>
  <c r="K184" i="548"/>
  <c r="M184" i="548" s="1"/>
  <c r="K184" i="548" a="1"/>
  <c r="H184" i="548"/>
  <c r="V183" i="548"/>
  <c r="W183" i="548" s="1"/>
  <c r="N183" i="548"/>
  <c r="K183" i="548" a="1"/>
  <c r="K183" i="548" s="1"/>
  <c r="M183" i="548" s="1"/>
  <c r="J183" i="548" a="1"/>
  <c r="J183" i="548" s="1"/>
  <c r="H183" i="548"/>
  <c r="V182" i="548"/>
  <c r="W182" i="548" s="1"/>
  <c r="N182" i="548"/>
  <c r="K182" i="548" a="1"/>
  <c r="K182" i="548" s="1"/>
  <c r="M182" i="548" s="1"/>
  <c r="J182" i="548" a="1"/>
  <c r="J182" i="548" s="1"/>
  <c r="H182" i="548"/>
  <c r="V181" i="548"/>
  <c r="W181" i="548" s="1"/>
  <c r="N181" i="548"/>
  <c r="K181" i="548" a="1"/>
  <c r="K181" i="548" s="1"/>
  <c r="M181" i="548" s="1"/>
  <c r="J181" i="548" a="1"/>
  <c r="J181" i="548" s="1"/>
  <c r="H181" i="548"/>
  <c r="V180" i="548"/>
  <c r="W180" i="548" s="1"/>
  <c r="N180" i="548"/>
  <c r="K180" i="548"/>
  <c r="M180" i="548" s="1"/>
  <c r="K180" i="548" a="1"/>
  <c r="J180" i="548"/>
  <c r="J180" i="548" a="1"/>
  <c r="H180" i="548"/>
  <c r="V179" i="548"/>
  <c r="W179" i="548" s="1"/>
  <c r="N179" i="548"/>
  <c r="K179" i="548" a="1"/>
  <c r="K179" i="548" s="1"/>
  <c r="M179" i="548" s="1"/>
  <c r="J179" i="548" a="1"/>
  <c r="J179" i="548" s="1"/>
  <c r="H179" i="548"/>
  <c r="V178" i="548"/>
  <c r="N178" i="548"/>
  <c r="N199" i="548" s="1"/>
  <c r="K178" i="548" a="1"/>
  <c r="K178" i="548" s="1"/>
  <c r="M178" i="548" s="1"/>
  <c r="J178" i="548" a="1"/>
  <c r="J178" i="548" s="1"/>
  <c r="H178" i="548"/>
  <c r="X171" i="548"/>
  <c r="Q529" i="548" s="1"/>
  <c r="X170" i="548"/>
  <c r="Q528" i="548" s="1"/>
  <c r="G170" i="548"/>
  <c r="C170" i="548"/>
  <c r="X169" i="548"/>
  <c r="Q527" i="548" s="1"/>
  <c r="I169" i="548"/>
  <c r="E169" i="548"/>
  <c r="K169" i="548" s="1"/>
  <c r="M169" i="548" s="1"/>
  <c r="I168" i="548"/>
  <c r="E168" i="548"/>
  <c r="K168" i="548" s="1"/>
  <c r="M168" i="548" s="1"/>
  <c r="I167" i="548"/>
  <c r="E167" i="548"/>
  <c r="K167" i="548" s="1"/>
  <c r="M167" i="548" s="1"/>
  <c r="X166" i="548"/>
  <c r="Q524" i="548" s="1"/>
  <c r="I166" i="548"/>
  <c r="I170" i="548" s="1"/>
  <c r="E166" i="548"/>
  <c r="K166" i="548" s="1"/>
  <c r="AA163" i="548"/>
  <c r="Z163" i="548"/>
  <c r="Y163" i="548"/>
  <c r="X163" i="548"/>
  <c r="U163" i="548"/>
  <c r="T163" i="548"/>
  <c r="S163" i="548"/>
  <c r="R163" i="548"/>
  <c r="Q163" i="548"/>
  <c r="P163" i="548"/>
  <c r="O163" i="548"/>
  <c r="I163" i="548"/>
  <c r="G163" i="548"/>
  <c r="C529" i="548" s="1"/>
  <c r="H162" i="548"/>
  <c r="H161" i="548"/>
  <c r="H160" i="548"/>
  <c r="V159" i="548"/>
  <c r="W159" i="548" s="1"/>
  <c r="N159" i="548"/>
  <c r="K159" i="548"/>
  <c r="K159" i="548" a="1"/>
  <c r="J159" i="548" a="1"/>
  <c r="J159" i="548" s="1"/>
  <c r="H159" i="548"/>
  <c r="D159" i="548"/>
  <c r="V158" i="548"/>
  <c r="W158" i="548" s="1"/>
  <c r="N158" i="548"/>
  <c r="K158" i="548" a="1"/>
  <c r="K158" i="548" s="1"/>
  <c r="M158" i="548" s="1"/>
  <c r="J158" i="548" a="1"/>
  <c r="J158" i="548" s="1"/>
  <c r="H158" i="548"/>
  <c r="H157" i="548"/>
  <c r="H156" i="548"/>
  <c r="V155" i="548"/>
  <c r="W155" i="548" s="1"/>
  <c r="N155" i="548"/>
  <c r="K155" i="548" a="1"/>
  <c r="K155" i="548" s="1"/>
  <c r="M155" i="548" s="1"/>
  <c r="J155" i="548" a="1"/>
  <c r="J155" i="548" s="1"/>
  <c r="H155" i="548"/>
  <c r="V154" i="548"/>
  <c r="W154" i="548" s="1"/>
  <c r="N154" i="548"/>
  <c r="K154" i="548"/>
  <c r="M154" i="548" s="1"/>
  <c r="K154" i="548" a="1"/>
  <c r="J154" i="548"/>
  <c r="J154" i="548" a="1"/>
  <c r="H154" i="548"/>
  <c r="H153" i="548"/>
  <c r="V152" i="548"/>
  <c r="W152" i="548" s="1"/>
  <c r="N152" i="548"/>
  <c r="K152" i="548" a="1"/>
  <c r="K152" i="548" s="1"/>
  <c r="M152" i="548" s="1"/>
  <c r="J152" i="548" a="1"/>
  <c r="J152" i="548" s="1"/>
  <c r="H152" i="548"/>
  <c r="W151" i="548"/>
  <c r="V151" i="548"/>
  <c r="N151" i="548"/>
  <c r="K151" i="548"/>
  <c r="M151" i="548" s="1"/>
  <c r="K151" i="548" a="1"/>
  <c r="J151" i="548" a="1"/>
  <c r="J151" i="548" s="1"/>
  <c r="H151" i="548"/>
  <c r="V150" i="548"/>
  <c r="W150" i="548" s="1"/>
  <c r="N150" i="548"/>
  <c r="K150" i="548" a="1"/>
  <c r="K150" i="548" s="1"/>
  <c r="M150" i="548" s="1"/>
  <c r="J150" i="548" a="1"/>
  <c r="J150" i="548" s="1"/>
  <c r="H150" i="548"/>
  <c r="W149" i="548"/>
  <c r="V149" i="548"/>
  <c r="V163" i="548" s="1"/>
  <c r="W163" i="548" s="1"/>
  <c r="N149" i="548"/>
  <c r="N163" i="548" s="1"/>
  <c r="K149" i="548" a="1"/>
  <c r="K149" i="548" s="1"/>
  <c r="J149" i="548" a="1"/>
  <c r="J149" i="548" s="1"/>
  <c r="H149" i="548"/>
  <c r="H163" i="548" s="1"/>
  <c r="AA148" i="548"/>
  <c r="Z148" i="548"/>
  <c r="Y148" i="548"/>
  <c r="X148" i="548"/>
  <c r="U148" i="548"/>
  <c r="T148" i="548"/>
  <c r="S148" i="548"/>
  <c r="Q148" i="548"/>
  <c r="P148" i="548"/>
  <c r="O148" i="548"/>
  <c r="R170" i="548" s="1"/>
  <c r="I148" i="548"/>
  <c r="G148" i="548"/>
  <c r="C528" i="548" s="1"/>
  <c r="V147" i="548"/>
  <c r="W147" i="548" s="1"/>
  <c r="N147" i="548"/>
  <c r="K147" i="548" a="1"/>
  <c r="K147" i="548" s="1"/>
  <c r="M147" i="548" s="1"/>
  <c r="J147" i="548" a="1"/>
  <c r="J147" i="548" s="1"/>
  <c r="H147" i="548"/>
  <c r="K146" i="548" a="1"/>
  <c r="K146" i="548" s="1"/>
  <c r="H146" i="548"/>
  <c r="K145" i="548" a="1"/>
  <c r="K145" i="548" s="1"/>
  <c r="H145" i="548"/>
  <c r="K144" i="548"/>
  <c r="K144" i="548" a="1"/>
  <c r="H144" i="548"/>
  <c r="K143" i="548" a="1"/>
  <c r="K143" i="548" s="1"/>
  <c r="H143" i="548"/>
  <c r="W142" i="548"/>
  <c r="V142" i="548"/>
  <c r="N142" i="548"/>
  <c r="K142" i="548" a="1"/>
  <c r="K142" i="548" s="1"/>
  <c r="M142" i="548" s="1"/>
  <c r="J142" i="548" a="1"/>
  <c r="J142" i="548" s="1"/>
  <c r="H142" i="548"/>
  <c r="V141" i="548"/>
  <c r="W141" i="548" s="1"/>
  <c r="N141" i="548"/>
  <c r="K141" i="548" a="1"/>
  <c r="K141" i="548" s="1"/>
  <c r="M141" i="548" s="1"/>
  <c r="J141" i="548" a="1"/>
  <c r="J141" i="548" s="1"/>
  <c r="H141" i="548"/>
  <c r="V140" i="548"/>
  <c r="W140" i="548" s="1"/>
  <c r="N140" i="548"/>
  <c r="K140" i="548"/>
  <c r="M140" i="548" s="1"/>
  <c r="K140" i="548" a="1"/>
  <c r="J140" i="548"/>
  <c r="J140" i="548" a="1"/>
  <c r="H140" i="548"/>
  <c r="V139" i="548"/>
  <c r="W139" i="548" s="1"/>
  <c r="N139" i="548"/>
  <c r="K139" i="548" a="1"/>
  <c r="K139" i="548" s="1"/>
  <c r="M139" i="548" s="1"/>
  <c r="J139" i="548" a="1"/>
  <c r="J139" i="548" s="1"/>
  <c r="H139" i="548"/>
  <c r="W138" i="548"/>
  <c r="V138" i="548"/>
  <c r="V148" i="548" s="1"/>
  <c r="W148" i="548" s="1"/>
  <c r="N138" i="548"/>
  <c r="N148" i="548" s="1"/>
  <c r="K138" i="548" a="1"/>
  <c r="K138" i="548" s="1"/>
  <c r="J138" i="548" a="1"/>
  <c r="J138" i="548" s="1"/>
  <c r="H138" i="548"/>
  <c r="H148" i="548" s="1"/>
  <c r="AA137" i="548"/>
  <c r="Z137" i="548"/>
  <c r="Y137" i="548"/>
  <c r="X137" i="548"/>
  <c r="U137" i="548"/>
  <c r="T137" i="548"/>
  <c r="S137" i="548"/>
  <c r="Q137" i="548"/>
  <c r="P137" i="548"/>
  <c r="O137" i="548"/>
  <c r="I137" i="548"/>
  <c r="G137" i="548"/>
  <c r="C527" i="548" s="1"/>
  <c r="W136" i="548"/>
  <c r="V136" i="548"/>
  <c r="N136" i="548"/>
  <c r="K136" i="548" a="1"/>
  <c r="K136" i="548" s="1"/>
  <c r="M136" i="548" s="1"/>
  <c r="J136" i="548" a="1"/>
  <c r="J136" i="548" s="1"/>
  <c r="H136" i="548"/>
  <c r="V135" i="548"/>
  <c r="W135" i="548" s="1"/>
  <c r="N135" i="548"/>
  <c r="K135" i="548" a="1"/>
  <c r="K135" i="548" s="1"/>
  <c r="M135" i="548" s="1"/>
  <c r="J135" i="548" a="1"/>
  <c r="J135" i="548" s="1"/>
  <c r="H135" i="548"/>
  <c r="V134" i="548"/>
  <c r="W134" i="548" s="1"/>
  <c r="N134" i="548"/>
  <c r="K134" i="548" a="1"/>
  <c r="K134" i="548" s="1"/>
  <c r="M134" i="548" s="1"/>
  <c r="J134" i="548" a="1"/>
  <c r="J134" i="548" s="1"/>
  <c r="H134" i="548"/>
  <c r="V133" i="548"/>
  <c r="W133" i="548" s="1"/>
  <c r="N133" i="548"/>
  <c r="K133" i="548" a="1"/>
  <c r="K133" i="548" s="1"/>
  <c r="M133" i="548" s="1"/>
  <c r="J133" i="548" a="1"/>
  <c r="J133" i="548" s="1"/>
  <c r="H133" i="548"/>
  <c r="V132" i="548"/>
  <c r="W132" i="548" s="1"/>
  <c r="N132" i="548"/>
  <c r="K132" i="548"/>
  <c r="M132" i="548" s="1"/>
  <c r="K132" i="548" a="1"/>
  <c r="J132" i="548"/>
  <c r="J132" i="548" a="1"/>
  <c r="H132" i="548"/>
  <c r="V131" i="548"/>
  <c r="W131" i="548" s="1"/>
  <c r="N131" i="548"/>
  <c r="K131" i="548" a="1"/>
  <c r="K131" i="548" s="1"/>
  <c r="M131" i="548" s="1"/>
  <c r="J131" i="548" a="1"/>
  <c r="J131" i="548" s="1"/>
  <c r="H131" i="548"/>
  <c r="W130" i="548"/>
  <c r="V130" i="548"/>
  <c r="N130" i="548"/>
  <c r="K130" i="548" a="1"/>
  <c r="K130" i="548" s="1"/>
  <c r="M130" i="548" s="1"/>
  <c r="J130" i="548" a="1"/>
  <c r="J130" i="548" s="1"/>
  <c r="H130" i="548"/>
  <c r="V129" i="548"/>
  <c r="W129" i="548" s="1"/>
  <c r="N129" i="548"/>
  <c r="K129" i="548" a="1"/>
  <c r="K129" i="548" s="1"/>
  <c r="M129" i="548" s="1"/>
  <c r="J129" i="548" a="1"/>
  <c r="J129" i="548" s="1"/>
  <c r="H129" i="548"/>
  <c r="V128" i="548"/>
  <c r="W128" i="548" s="1"/>
  <c r="N128" i="548"/>
  <c r="K128" i="548"/>
  <c r="M128" i="548" s="1"/>
  <c r="K128" i="548" a="1"/>
  <c r="J128" i="548"/>
  <c r="J128" i="548" a="1"/>
  <c r="H128" i="548"/>
  <c r="V127" i="548"/>
  <c r="W127" i="548" s="1"/>
  <c r="N127" i="548"/>
  <c r="K127" i="548" a="1"/>
  <c r="K127" i="548" s="1"/>
  <c r="M127" i="548" s="1"/>
  <c r="J127" i="548" a="1"/>
  <c r="J127" i="548" s="1"/>
  <c r="H127" i="548"/>
  <c r="W126" i="548"/>
  <c r="V126" i="548"/>
  <c r="N126" i="548"/>
  <c r="K126" i="548" a="1"/>
  <c r="K126" i="548" s="1"/>
  <c r="M126" i="548" s="1"/>
  <c r="J126" i="548" a="1"/>
  <c r="J126" i="548" s="1"/>
  <c r="H126" i="548"/>
  <c r="V125" i="548"/>
  <c r="W125" i="548" s="1"/>
  <c r="N125" i="548"/>
  <c r="K125" i="548" a="1"/>
  <c r="K125" i="548" s="1"/>
  <c r="M125" i="548" s="1"/>
  <c r="J125" i="548" a="1"/>
  <c r="J125" i="548" s="1"/>
  <c r="H125" i="548"/>
  <c r="V124" i="548"/>
  <c r="W124" i="548" s="1"/>
  <c r="N124" i="548"/>
  <c r="K124" i="548"/>
  <c r="M124" i="548" s="1"/>
  <c r="K124" i="548" a="1"/>
  <c r="J124" i="548"/>
  <c r="J124" i="548" a="1"/>
  <c r="H124" i="548"/>
  <c r="V123" i="548"/>
  <c r="W123" i="548" s="1"/>
  <c r="N123" i="548"/>
  <c r="K123" i="548" a="1"/>
  <c r="K123" i="548" s="1"/>
  <c r="M123" i="548" s="1"/>
  <c r="J123" i="548" a="1"/>
  <c r="J123" i="548" s="1"/>
  <c r="H123" i="548"/>
  <c r="V122" i="548"/>
  <c r="V137" i="548" s="1"/>
  <c r="W137" i="548" s="1"/>
  <c r="N122" i="548"/>
  <c r="N137" i="548" s="1"/>
  <c r="K122" i="548" a="1"/>
  <c r="K122" i="548" s="1"/>
  <c r="M122" i="548" s="1"/>
  <c r="J122" i="548" a="1"/>
  <c r="J122" i="548" s="1"/>
  <c r="H122" i="548"/>
  <c r="H137" i="548" s="1"/>
  <c r="AA121" i="548"/>
  <c r="Z121" i="548"/>
  <c r="Y121" i="548"/>
  <c r="X121" i="548"/>
  <c r="U121" i="548"/>
  <c r="T121" i="548"/>
  <c r="S121" i="548"/>
  <c r="R121" i="548"/>
  <c r="Q121" i="548"/>
  <c r="P121" i="548"/>
  <c r="O121" i="548"/>
  <c r="I121" i="548"/>
  <c r="G121" i="548"/>
  <c r="C526" i="548" s="1"/>
  <c r="W120" i="548"/>
  <c r="V120" i="548"/>
  <c r="N120" i="548"/>
  <c r="K120" i="548" a="1"/>
  <c r="K120" i="548" s="1"/>
  <c r="M120" i="548" s="1"/>
  <c r="J120" i="548" a="1"/>
  <c r="J120" i="548" s="1"/>
  <c r="H120" i="548"/>
  <c r="V119" i="548"/>
  <c r="W119" i="548" s="1"/>
  <c r="N119" i="548"/>
  <c r="K119" i="548" a="1"/>
  <c r="K119" i="548" s="1"/>
  <c r="M119" i="548" s="1"/>
  <c r="J119" i="548" a="1"/>
  <c r="J119" i="548" s="1"/>
  <c r="H119" i="548"/>
  <c r="V118" i="548"/>
  <c r="W118" i="548" s="1"/>
  <c r="N118" i="548"/>
  <c r="K118" i="548"/>
  <c r="M118" i="548" s="1"/>
  <c r="K118" i="548" a="1"/>
  <c r="J118" i="548"/>
  <c r="J118" i="548" a="1"/>
  <c r="H118" i="548"/>
  <c r="K117" i="548" a="1"/>
  <c r="K117" i="548" s="1"/>
  <c r="H117" i="548"/>
  <c r="K116" i="548" a="1"/>
  <c r="K116" i="548" s="1"/>
  <c r="H116" i="548"/>
  <c r="K115" i="548" a="1"/>
  <c r="K115" i="548" s="1"/>
  <c r="H115" i="548"/>
  <c r="W114" i="548"/>
  <c r="V114" i="548"/>
  <c r="N114" i="548"/>
  <c r="K114" i="548" a="1"/>
  <c r="K114" i="548" s="1"/>
  <c r="M114" i="548" s="1"/>
  <c r="J114" i="548" a="1"/>
  <c r="J114" i="548" s="1"/>
  <c r="H114" i="548"/>
  <c r="V113" i="548"/>
  <c r="W113" i="548" s="1"/>
  <c r="N113" i="548"/>
  <c r="K113" i="548" a="1"/>
  <c r="K113" i="548" s="1"/>
  <c r="M113" i="548" s="1"/>
  <c r="J113" i="548" a="1"/>
  <c r="J113" i="548" s="1"/>
  <c r="H113" i="548"/>
  <c r="N112" i="548"/>
  <c r="K112" i="548"/>
  <c r="M112" i="548" s="1"/>
  <c r="K112" i="548" a="1"/>
  <c r="H112" i="548"/>
  <c r="N111" i="548"/>
  <c r="K111" i="548" a="1"/>
  <c r="K111" i="548" s="1"/>
  <c r="M111" i="548" s="1"/>
  <c r="H111" i="548"/>
  <c r="N110" i="548"/>
  <c r="K110" i="548" a="1"/>
  <c r="K110" i="548" s="1"/>
  <c r="M110" i="548" s="1"/>
  <c r="H110" i="548"/>
  <c r="N109" i="548"/>
  <c r="K109" i="548" a="1"/>
  <c r="K109" i="548" s="1"/>
  <c r="M109" i="548" s="1"/>
  <c r="H109" i="548"/>
  <c r="N108" i="548"/>
  <c r="K108" i="548"/>
  <c r="M108" i="548" s="1"/>
  <c r="K108" i="548" a="1"/>
  <c r="H108" i="548"/>
  <c r="N107" i="548"/>
  <c r="K107" i="548" a="1"/>
  <c r="K107" i="548" s="1"/>
  <c r="M107" i="548" s="1"/>
  <c r="H107" i="548"/>
  <c r="W106" i="548"/>
  <c r="V106" i="548"/>
  <c r="N106" i="548"/>
  <c r="K106" i="548" a="1"/>
  <c r="K106" i="548" s="1"/>
  <c r="M106" i="548" s="1"/>
  <c r="J106" i="548" a="1"/>
  <c r="J106" i="548" s="1"/>
  <c r="H106" i="548"/>
  <c r="V105" i="548"/>
  <c r="W105" i="548" s="1"/>
  <c r="N105" i="548"/>
  <c r="K105" i="548" a="1"/>
  <c r="K105" i="548" s="1"/>
  <c r="M105" i="548" s="1"/>
  <c r="J105" i="548" a="1"/>
  <c r="J105" i="548" s="1"/>
  <c r="H105" i="548"/>
  <c r="V104" i="548"/>
  <c r="W104" i="548" s="1"/>
  <c r="N104" i="548"/>
  <c r="K104" i="548"/>
  <c r="M104" i="548" s="1"/>
  <c r="K104" i="548" a="1"/>
  <c r="J104" i="548"/>
  <c r="J104" i="548" a="1"/>
  <c r="H104" i="548"/>
  <c r="V103" i="548"/>
  <c r="W103" i="548" s="1"/>
  <c r="N103" i="548"/>
  <c r="K103" i="548" a="1"/>
  <c r="K103" i="548" s="1"/>
  <c r="M103" i="548" s="1"/>
  <c r="J103" i="548" a="1"/>
  <c r="J103" i="548" s="1"/>
  <c r="H103" i="548"/>
  <c r="W102" i="548"/>
  <c r="V102" i="548"/>
  <c r="N102" i="548"/>
  <c r="K102" i="548" a="1"/>
  <c r="K102" i="548" s="1"/>
  <c r="M102" i="548" s="1"/>
  <c r="J102" i="548" a="1"/>
  <c r="J102" i="548" s="1"/>
  <c r="H102" i="548"/>
  <c r="V101" i="548"/>
  <c r="W101" i="548" s="1"/>
  <c r="N101" i="548"/>
  <c r="K101" i="548" a="1"/>
  <c r="K101" i="548" s="1"/>
  <c r="M101" i="548" s="1"/>
  <c r="J101" i="548" a="1"/>
  <c r="J101" i="548" s="1"/>
  <c r="H101" i="548"/>
  <c r="V100" i="548"/>
  <c r="W100" i="548" s="1"/>
  <c r="N100" i="548"/>
  <c r="K100" i="548"/>
  <c r="M100" i="548" s="1"/>
  <c r="K100" i="548" a="1"/>
  <c r="J100" i="548"/>
  <c r="J100" i="548" a="1"/>
  <c r="H100" i="548"/>
  <c r="V99" i="548"/>
  <c r="W99" i="548" s="1"/>
  <c r="N99" i="548"/>
  <c r="K99" i="548" a="1"/>
  <c r="K99" i="548" s="1"/>
  <c r="M99" i="548" s="1"/>
  <c r="J99" i="548" a="1"/>
  <c r="J99" i="548" s="1"/>
  <c r="H99" i="548"/>
  <c r="W98" i="548"/>
  <c r="V98" i="548"/>
  <c r="N98" i="548"/>
  <c r="K98" i="548" a="1"/>
  <c r="K98" i="548" s="1"/>
  <c r="M98" i="548" s="1"/>
  <c r="J98" i="548" a="1"/>
  <c r="J98" i="548" s="1"/>
  <c r="H98" i="548"/>
  <c r="V97" i="548"/>
  <c r="W97" i="548" s="1"/>
  <c r="N97" i="548"/>
  <c r="K97" i="548" a="1"/>
  <c r="K97" i="548" s="1"/>
  <c r="M97" i="548" s="1"/>
  <c r="J97" i="548" a="1"/>
  <c r="J97" i="548" s="1"/>
  <c r="H97" i="548"/>
  <c r="V96" i="548"/>
  <c r="W96" i="548" s="1"/>
  <c r="N96" i="548"/>
  <c r="K96" i="548"/>
  <c r="M96" i="548" s="1"/>
  <c r="K96" i="548" a="1"/>
  <c r="J96" i="548"/>
  <c r="J96" i="548" a="1"/>
  <c r="H96" i="548"/>
  <c r="V95" i="548"/>
  <c r="W95" i="548" s="1"/>
  <c r="N95" i="548"/>
  <c r="K95" i="548" a="1"/>
  <c r="K95" i="548" s="1"/>
  <c r="M95" i="548" s="1"/>
  <c r="J95" i="548" a="1"/>
  <c r="J95" i="548" s="1"/>
  <c r="H95" i="548"/>
  <c r="K94" i="548" a="1"/>
  <c r="K94" i="548" s="1"/>
  <c r="M94" i="548" s="1"/>
  <c r="H94" i="548"/>
  <c r="W93" i="548"/>
  <c r="V93" i="548"/>
  <c r="N93" i="548"/>
  <c r="K93" i="548" a="1"/>
  <c r="K93" i="548" s="1"/>
  <c r="M93" i="548" s="1"/>
  <c r="J93" i="548" a="1"/>
  <c r="J93" i="548" s="1"/>
  <c r="H93" i="548"/>
  <c r="V92" i="548"/>
  <c r="W92" i="548" s="1"/>
  <c r="N92" i="548"/>
  <c r="K92" i="548" a="1"/>
  <c r="K92" i="548" s="1"/>
  <c r="M92" i="548" s="1"/>
  <c r="J92" i="548" a="1"/>
  <c r="J92" i="548" s="1"/>
  <c r="H92" i="548"/>
  <c r="V91" i="548"/>
  <c r="W91" i="548" s="1"/>
  <c r="N91" i="548"/>
  <c r="K91" i="548"/>
  <c r="M91" i="548" s="1"/>
  <c r="K91" i="548" a="1"/>
  <c r="J91" i="548"/>
  <c r="J91" i="548" a="1"/>
  <c r="H91" i="548"/>
  <c r="V90" i="548"/>
  <c r="W90" i="548" s="1"/>
  <c r="N90" i="548"/>
  <c r="K90" i="548" a="1"/>
  <c r="K90" i="548" s="1"/>
  <c r="M90" i="548" s="1"/>
  <c r="J90" i="548" a="1"/>
  <c r="J90" i="548" s="1"/>
  <c r="H90" i="548"/>
  <c r="W89" i="548"/>
  <c r="V89" i="548"/>
  <c r="N89" i="548"/>
  <c r="K89" i="548" a="1"/>
  <c r="K89" i="548" s="1"/>
  <c r="M89" i="548" s="1"/>
  <c r="J89" i="548" a="1"/>
  <c r="J89" i="548" s="1"/>
  <c r="H89" i="548"/>
  <c r="V88" i="548"/>
  <c r="W88" i="548" s="1"/>
  <c r="N88" i="548"/>
  <c r="K88" i="548" a="1"/>
  <c r="K88" i="548" s="1"/>
  <c r="M88" i="548" s="1"/>
  <c r="J88" i="548" a="1"/>
  <c r="J88" i="548" s="1"/>
  <c r="H88" i="548"/>
  <c r="V87" i="548"/>
  <c r="V121" i="548" s="1"/>
  <c r="W121" i="548" s="1"/>
  <c r="N87" i="548"/>
  <c r="K87" i="548"/>
  <c r="M87" i="548" s="1"/>
  <c r="K87" i="548" a="1"/>
  <c r="J87" i="548"/>
  <c r="J87" i="548" a="1"/>
  <c r="H87" i="548"/>
  <c r="H121" i="548" s="1"/>
  <c r="AA86" i="548"/>
  <c r="Z86" i="548"/>
  <c r="Y86" i="548"/>
  <c r="X86" i="548"/>
  <c r="U86" i="548"/>
  <c r="T86" i="548"/>
  <c r="S86" i="548"/>
  <c r="R86" i="548"/>
  <c r="Q86" i="548"/>
  <c r="P86" i="548"/>
  <c r="O86" i="548"/>
  <c r="R167" i="548" s="1"/>
  <c r="I86" i="548"/>
  <c r="G86" i="548"/>
  <c r="C525" i="548" s="1"/>
  <c r="K85" i="548" a="1"/>
  <c r="K85" i="548" s="1"/>
  <c r="H85" i="548"/>
  <c r="K84" i="548"/>
  <c r="K84" i="548" a="1"/>
  <c r="H84" i="548"/>
  <c r="K83" i="548" a="1"/>
  <c r="K83" i="548" s="1"/>
  <c r="H83" i="548"/>
  <c r="K82" i="548" a="1"/>
  <c r="K82" i="548" s="1"/>
  <c r="H82" i="548"/>
  <c r="K81" i="548" a="1"/>
  <c r="K81" i="548" s="1"/>
  <c r="H81" i="548"/>
  <c r="K80" i="548" a="1"/>
  <c r="K80" i="548" s="1"/>
  <c r="H80" i="548"/>
  <c r="K79" i="548" a="1"/>
  <c r="K79" i="548" s="1"/>
  <c r="M79" i="548" s="1"/>
  <c r="H79" i="548"/>
  <c r="K78" i="548"/>
  <c r="M78" i="548" s="1"/>
  <c r="K78" i="548" a="1"/>
  <c r="H78" i="548"/>
  <c r="K77" i="548" a="1"/>
  <c r="K77" i="548" s="1"/>
  <c r="M77" i="548" s="1"/>
  <c r="H77" i="548"/>
  <c r="K76" i="548" a="1"/>
  <c r="K76" i="548" s="1"/>
  <c r="M76" i="548" s="1"/>
  <c r="H76" i="548"/>
  <c r="W75" i="548"/>
  <c r="V75" i="548"/>
  <c r="N75" i="548"/>
  <c r="K75" i="548" a="1"/>
  <c r="K75" i="548" s="1"/>
  <c r="M75" i="548" s="1"/>
  <c r="J75" i="548" a="1"/>
  <c r="J75" i="548" s="1"/>
  <c r="H75" i="548"/>
  <c r="V74" i="548"/>
  <c r="W74" i="548" s="1"/>
  <c r="N74" i="548"/>
  <c r="K74" i="548"/>
  <c r="M74" i="548" s="1"/>
  <c r="K74" i="548" a="1"/>
  <c r="J74" i="548" a="1"/>
  <c r="J74" i="548" s="1"/>
  <c r="H74" i="548"/>
  <c r="W73" i="548"/>
  <c r="V73" i="548"/>
  <c r="N73" i="548"/>
  <c r="K73" i="548" a="1"/>
  <c r="K73" i="548" s="1"/>
  <c r="M73" i="548" s="1"/>
  <c r="J73" i="548" a="1"/>
  <c r="J73" i="548" s="1"/>
  <c r="H73" i="548"/>
  <c r="V72" i="548"/>
  <c r="W72" i="548" s="1"/>
  <c r="N72" i="548"/>
  <c r="K72" i="548"/>
  <c r="M72" i="548" s="1"/>
  <c r="K72" i="548" a="1"/>
  <c r="J72" i="548" a="1"/>
  <c r="J72" i="548" s="1"/>
  <c r="H72" i="548"/>
  <c r="H71" i="548"/>
  <c r="V70" i="548"/>
  <c r="W70" i="548" s="1"/>
  <c r="N70" i="548"/>
  <c r="K70" i="548" a="1"/>
  <c r="K70" i="548" s="1"/>
  <c r="M70" i="548" s="1"/>
  <c r="J70" i="548" a="1"/>
  <c r="J70" i="548" s="1"/>
  <c r="H70" i="548"/>
  <c r="V69" i="548"/>
  <c r="W69" i="548" s="1"/>
  <c r="N69" i="548"/>
  <c r="K69" i="548" a="1"/>
  <c r="K69" i="548" s="1"/>
  <c r="M69" i="548" s="1"/>
  <c r="J69" i="548" a="1"/>
  <c r="J69" i="548" s="1"/>
  <c r="H69" i="548"/>
  <c r="K68" i="548" a="1"/>
  <c r="K68" i="548" s="1"/>
  <c r="H68" i="548"/>
  <c r="K67" i="548"/>
  <c r="K67" i="548" a="1"/>
  <c r="H67" i="548"/>
  <c r="V66" i="548"/>
  <c r="W66" i="548" s="1"/>
  <c r="N66" i="548"/>
  <c r="K66" i="548" a="1"/>
  <c r="K66" i="548" s="1"/>
  <c r="M66" i="548" s="1"/>
  <c r="J66" i="548" a="1"/>
  <c r="J66" i="548" s="1"/>
  <c r="H66" i="548"/>
  <c r="W65" i="548"/>
  <c r="V65" i="548"/>
  <c r="N65" i="548"/>
  <c r="K65" i="548" a="1"/>
  <c r="K65" i="548" s="1"/>
  <c r="M65" i="548" s="1"/>
  <c r="J65" i="548" a="1"/>
  <c r="J65" i="548" s="1"/>
  <c r="H65" i="548"/>
  <c r="V64" i="548"/>
  <c r="W64" i="548" s="1"/>
  <c r="N64" i="548"/>
  <c r="K64" i="548" a="1"/>
  <c r="K64" i="548" s="1"/>
  <c r="M64" i="548" s="1"/>
  <c r="J64" i="548" a="1"/>
  <c r="J64" i="548" s="1"/>
  <c r="H64" i="548"/>
  <c r="V63" i="548"/>
  <c r="W63" i="548" s="1"/>
  <c r="N63" i="548"/>
  <c r="K63" i="548"/>
  <c r="M63" i="548" s="1"/>
  <c r="K63" i="548" a="1"/>
  <c r="J63" i="548"/>
  <c r="J63" i="548" a="1"/>
  <c r="H63" i="548"/>
  <c r="V62" i="548"/>
  <c r="W62" i="548" s="1"/>
  <c r="N62" i="548"/>
  <c r="K62" i="548" a="1"/>
  <c r="K62" i="548" s="1"/>
  <c r="M62" i="548" s="1"/>
  <c r="J62" i="548" a="1"/>
  <c r="J62" i="548" s="1"/>
  <c r="H62" i="548"/>
  <c r="W61" i="548"/>
  <c r="V61" i="548"/>
  <c r="N61" i="548"/>
  <c r="K61" i="548" a="1"/>
  <c r="K61" i="548" s="1"/>
  <c r="M61" i="548" s="1"/>
  <c r="J61" i="548" a="1"/>
  <c r="J61" i="548" s="1"/>
  <c r="H61" i="548"/>
  <c r="V60" i="548"/>
  <c r="W60" i="548" s="1"/>
  <c r="N60" i="548"/>
  <c r="K60" i="548" a="1"/>
  <c r="K60" i="548" s="1"/>
  <c r="M60" i="548" s="1"/>
  <c r="J60" i="548" a="1"/>
  <c r="J60" i="548" s="1"/>
  <c r="H60" i="548"/>
  <c r="W59" i="548"/>
  <c r="V59" i="548"/>
  <c r="N59" i="548"/>
  <c r="K59" i="548" a="1"/>
  <c r="K59" i="548" s="1"/>
  <c r="M59" i="548" s="1"/>
  <c r="J59" i="548" a="1"/>
  <c r="J59" i="548" s="1"/>
  <c r="H59" i="548"/>
  <c r="V58" i="548"/>
  <c r="W58" i="548" s="1"/>
  <c r="N58" i="548"/>
  <c r="K58" i="548" a="1"/>
  <c r="K58" i="548" s="1"/>
  <c r="M58" i="548" s="1"/>
  <c r="J58" i="548" a="1"/>
  <c r="J58" i="548" s="1"/>
  <c r="H58" i="548"/>
  <c r="W57" i="548"/>
  <c r="V57" i="548"/>
  <c r="N57" i="548"/>
  <c r="K57" i="548" a="1"/>
  <c r="K57" i="548" s="1"/>
  <c r="M57" i="548" s="1"/>
  <c r="J57" i="548" a="1"/>
  <c r="J57" i="548" s="1"/>
  <c r="H57" i="548"/>
  <c r="K56" i="548" a="1"/>
  <c r="K56" i="548" s="1"/>
  <c r="M56" i="548" s="1"/>
  <c r="H56" i="548"/>
  <c r="K55" i="548" a="1"/>
  <c r="K55" i="548" s="1"/>
  <c r="M55" i="548" s="1"/>
  <c r="H55" i="548"/>
  <c r="K54" i="548" a="1"/>
  <c r="K54" i="548" s="1"/>
  <c r="M54" i="548" s="1"/>
  <c r="H54" i="548"/>
  <c r="K53" i="548" a="1"/>
  <c r="K53" i="548" s="1"/>
  <c r="M53" i="548" s="1"/>
  <c r="H53" i="548"/>
  <c r="N52" i="548"/>
  <c r="K52" i="548" a="1"/>
  <c r="K52" i="548" s="1"/>
  <c r="M52" i="548" s="1"/>
  <c r="H52" i="548"/>
  <c r="N51" i="548"/>
  <c r="K51" i="548" a="1"/>
  <c r="K51" i="548" s="1"/>
  <c r="M51" i="548" s="1"/>
  <c r="H51" i="548"/>
  <c r="N50" i="548"/>
  <c r="K50" i="548"/>
  <c r="M50" i="548" s="1"/>
  <c r="K50" i="548" a="1"/>
  <c r="H50" i="548"/>
  <c r="N49" i="548"/>
  <c r="K49" i="548" a="1"/>
  <c r="K49" i="548" s="1"/>
  <c r="M49" i="548" s="1"/>
  <c r="H49" i="548"/>
  <c r="W48" i="548"/>
  <c r="V48" i="548"/>
  <c r="N48" i="548"/>
  <c r="K48" i="548" a="1"/>
  <c r="K48" i="548" s="1"/>
  <c r="M48" i="548" s="1"/>
  <c r="J48" i="548" a="1"/>
  <c r="J48" i="548" s="1"/>
  <c r="H48" i="548"/>
  <c r="V47" i="548"/>
  <c r="W47" i="548" s="1"/>
  <c r="N47" i="548"/>
  <c r="K47" i="548" a="1"/>
  <c r="K47" i="548" s="1"/>
  <c r="M47" i="548" s="1"/>
  <c r="J47" i="548" a="1"/>
  <c r="J47" i="548" s="1"/>
  <c r="H47" i="548"/>
  <c r="V46" i="548"/>
  <c r="W46" i="548" s="1"/>
  <c r="N46" i="548"/>
  <c r="K46" i="548" a="1"/>
  <c r="K46" i="548" s="1"/>
  <c r="M46" i="548" s="1"/>
  <c r="J46" i="548" a="1"/>
  <c r="J46" i="548" s="1"/>
  <c r="H46" i="548"/>
  <c r="V45" i="548"/>
  <c r="W45" i="548" s="1"/>
  <c r="N45" i="548"/>
  <c r="K45" i="548" a="1"/>
  <c r="K45" i="548" s="1"/>
  <c r="M45" i="548" s="1"/>
  <c r="J45" i="548" a="1"/>
  <c r="J45" i="548" s="1"/>
  <c r="H45" i="548"/>
  <c r="V44" i="548"/>
  <c r="W44" i="548" s="1"/>
  <c r="N44" i="548"/>
  <c r="K44" i="548"/>
  <c r="M44" i="548" s="1"/>
  <c r="K44" i="548" a="1"/>
  <c r="J44" i="548"/>
  <c r="J44" i="548" a="1"/>
  <c r="H44" i="548"/>
  <c r="V43" i="548"/>
  <c r="W43" i="548" s="1"/>
  <c r="N43" i="548"/>
  <c r="K43" i="548" a="1"/>
  <c r="K43" i="548" s="1"/>
  <c r="M43" i="548" s="1"/>
  <c r="J43" i="548" a="1"/>
  <c r="J43" i="548" s="1"/>
  <c r="H43" i="548"/>
  <c r="W42" i="548"/>
  <c r="V42" i="548"/>
  <c r="N42" i="548"/>
  <c r="K42" i="548" a="1"/>
  <c r="K42" i="548" s="1"/>
  <c r="M42" i="548" s="1"/>
  <c r="J42" i="548" a="1"/>
  <c r="J42" i="548" s="1"/>
  <c r="H42" i="548"/>
  <c r="V41" i="548"/>
  <c r="W41" i="548" s="1"/>
  <c r="N41" i="548"/>
  <c r="K41" i="548" a="1"/>
  <c r="K41" i="548" s="1"/>
  <c r="M41" i="548" s="1"/>
  <c r="J41" i="548" a="1"/>
  <c r="J41" i="548" s="1"/>
  <c r="H41" i="548"/>
  <c r="V40" i="548"/>
  <c r="W40" i="548" s="1"/>
  <c r="N40" i="548"/>
  <c r="K40" i="548"/>
  <c r="M40" i="548" s="1"/>
  <c r="K40" i="548" a="1"/>
  <c r="J40" i="548"/>
  <c r="J40" i="548" a="1"/>
  <c r="H40" i="548"/>
  <c r="V39" i="548"/>
  <c r="W39" i="548" s="1"/>
  <c r="N39" i="548"/>
  <c r="K39" i="548" a="1"/>
  <c r="K39" i="548" s="1"/>
  <c r="M39" i="548" s="1"/>
  <c r="J39" i="548" a="1"/>
  <c r="J39" i="548" s="1"/>
  <c r="H39" i="548"/>
  <c r="W38" i="548"/>
  <c r="V38" i="548"/>
  <c r="N38" i="548"/>
  <c r="K38" i="548" a="1"/>
  <c r="K38" i="548" s="1"/>
  <c r="M38" i="548" s="1"/>
  <c r="J38" i="548" a="1"/>
  <c r="J38" i="548" s="1"/>
  <c r="H38" i="548"/>
  <c r="V37" i="548"/>
  <c r="W37" i="548" s="1"/>
  <c r="N37" i="548"/>
  <c r="K37" i="548" a="1"/>
  <c r="K37" i="548" s="1"/>
  <c r="M37" i="548" s="1"/>
  <c r="J37" i="548" a="1"/>
  <c r="J37" i="548" s="1"/>
  <c r="H37" i="548"/>
  <c r="H36" i="548"/>
  <c r="H35" i="548"/>
  <c r="H34" i="548"/>
  <c r="V33" i="548"/>
  <c r="W33" i="548" s="1"/>
  <c r="N33" i="548"/>
  <c r="K33" i="548" a="1"/>
  <c r="K33" i="548" s="1"/>
  <c r="M33" i="548" s="1"/>
  <c r="J33" i="548" a="1"/>
  <c r="J33" i="548" s="1"/>
  <c r="H33" i="548"/>
  <c r="V32" i="548"/>
  <c r="W32" i="548" s="1"/>
  <c r="N32" i="548"/>
  <c r="K32" i="548"/>
  <c r="M32" i="548" s="1"/>
  <c r="K32" i="548" a="1"/>
  <c r="J32" i="548" a="1"/>
  <c r="J32" i="548" s="1"/>
  <c r="H32" i="548"/>
  <c r="V31" i="548"/>
  <c r="W31" i="548" s="1"/>
  <c r="N31" i="548"/>
  <c r="K31" i="548" a="1"/>
  <c r="K31" i="548" s="1"/>
  <c r="M31" i="548" s="1"/>
  <c r="J31" i="548" a="1"/>
  <c r="J31" i="548" s="1"/>
  <c r="H31" i="548"/>
  <c r="K30" i="548" a="1"/>
  <c r="K30" i="548" s="1"/>
  <c r="H30" i="548"/>
  <c r="V29" i="548"/>
  <c r="N29" i="548"/>
  <c r="N86" i="548" s="1"/>
  <c r="K29" i="548" a="1"/>
  <c r="K29" i="548" s="1"/>
  <c r="J29" i="548" a="1"/>
  <c r="J29" i="548" s="1"/>
  <c r="H29" i="548"/>
  <c r="AA28" i="548"/>
  <c r="AA164" i="548" s="1"/>
  <c r="Z28" i="548"/>
  <c r="Z164" i="548" s="1"/>
  <c r="Y28" i="548"/>
  <c r="Y164" i="548" s="1"/>
  <c r="X28" i="548"/>
  <c r="X164" i="548" s="1"/>
  <c r="U28" i="548"/>
  <c r="U164" i="548" s="1"/>
  <c r="T28" i="548"/>
  <c r="T164" i="548" s="1"/>
  <c r="S28" i="548"/>
  <c r="S164" i="548" s="1"/>
  <c r="R28" i="548"/>
  <c r="R164" i="548" s="1"/>
  <c r="Q28" i="548"/>
  <c r="Q164" i="548" s="1"/>
  <c r="P28" i="548"/>
  <c r="O28" i="548"/>
  <c r="I28" i="548"/>
  <c r="G28" i="548"/>
  <c r="V27" i="548"/>
  <c r="W27" i="548" s="1"/>
  <c r="N27" i="548"/>
  <c r="K27" i="548" a="1"/>
  <c r="K27" i="548" s="1"/>
  <c r="M27" i="548" s="1"/>
  <c r="J27" i="548" a="1"/>
  <c r="J27" i="548" s="1"/>
  <c r="H27" i="548"/>
  <c r="V26" i="548"/>
  <c r="W26" i="548" s="1"/>
  <c r="N26" i="548"/>
  <c r="K26" i="548" a="1"/>
  <c r="K26" i="548" s="1"/>
  <c r="M26" i="548" s="1"/>
  <c r="J26" i="548" a="1"/>
  <c r="J26" i="548" s="1"/>
  <c r="H26" i="548"/>
  <c r="K25" i="548"/>
  <c r="M25" i="548" s="1"/>
  <c r="K25" i="548" a="1"/>
  <c r="J25" i="548"/>
  <c r="J25" i="548" a="1"/>
  <c r="H25" i="548"/>
  <c r="K24" i="548" a="1"/>
  <c r="K24" i="548" s="1"/>
  <c r="M24" i="548" s="1"/>
  <c r="J24" i="548" a="1"/>
  <c r="J24" i="548" s="1"/>
  <c r="H24" i="548"/>
  <c r="K23" i="548" a="1"/>
  <c r="K23" i="548" s="1"/>
  <c r="M23" i="548" s="1"/>
  <c r="J23" i="548" a="1"/>
  <c r="J23" i="548" s="1"/>
  <c r="H23" i="548"/>
  <c r="K22" i="548" a="1"/>
  <c r="K22" i="548" s="1"/>
  <c r="M22" i="548" s="1"/>
  <c r="J22" i="548" a="1"/>
  <c r="J22" i="548" s="1"/>
  <c r="H22" i="548"/>
  <c r="W21" i="548"/>
  <c r="V21" i="548"/>
  <c r="N21" i="548"/>
  <c r="K21" i="548" a="1"/>
  <c r="K21" i="548" s="1"/>
  <c r="M21" i="548" s="1"/>
  <c r="J21" i="548" a="1"/>
  <c r="J21" i="548" s="1"/>
  <c r="H21" i="548"/>
  <c r="V20" i="548"/>
  <c r="W20" i="548" s="1"/>
  <c r="N20" i="548"/>
  <c r="K20" i="548" a="1"/>
  <c r="K20" i="548" s="1"/>
  <c r="M20" i="548" s="1"/>
  <c r="J20" i="548" a="1"/>
  <c r="J20" i="548" s="1"/>
  <c r="H20" i="548"/>
  <c r="V19" i="548"/>
  <c r="W19" i="548" s="1"/>
  <c r="N19" i="548"/>
  <c r="K19" i="548"/>
  <c r="M19" i="548" s="1"/>
  <c r="K19" i="548" a="1"/>
  <c r="J19" i="548"/>
  <c r="J19" i="548" a="1"/>
  <c r="H19" i="548"/>
  <c r="N18" i="548"/>
  <c r="K18" i="548" a="1"/>
  <c r="K18" i="548" s="1"/>
  <c r="M18" i="548" s="1"/>
  <c r="J18" i="548" a="1"/>
  <c r="J18" i="548" s="1"/>
  <c r="H18" i="548"/>
  <c r="N17" i="548"/>
  <c r="K17" i="548"/>
  <c r="M17" i="548" s="1"/>
  <c r="K17" i="548" a="1"/>
  <c r="J17" i="548"/>
  <c r="J17" i="548" a="1"/>
  <c r="H17" i="548"/>
  <c r="V16" i="548"/>
  <c r="W16" i="548" s="1"/>
  <c r="N16" i="548"/>
  <c r="K16" i="548" a="1"/>
  <c r="K16" i="548" s="1"/>
  <c r="M16" i="548" s="1"/>
  <c r="J16" i="548" a="1"/>
  <c r="J16" i="548" s="1"/>
  <c r="H16" i="548"/>
  <c r="W15" i="548"/>
  <c r="V15" i="548"/>
  <c r="N15" i="548"/>
  <c r="K15" i="548" a="1"/>
  <c r="K15" i="548" s="1"/>
  <c r="M15" i="548" s="1"/>
  <c r="J15" i="548" a="1"/>
  <c r="J15" i="548" s="1"/>
  <c r="H15" i="548"/>
  <c r="N14" i="548"/>
  <c r="K14" i="548" a="1"/>
  <c r="K14" i="548" s="1"/>
  <c r="M14" i="548" s="1"/>
  <c r="H14" i="548"/>
  <c r="N13" i="548"/>
  <c r="K13" i="548"/>
  <c r="M13" i="548" s="1"/>
  <c r="K13" i="548" a="1"/>
  <c r="H13" i="548"/>
  <c r="V12" i="548"/>
  <c r="W12" i="548" s="1"/>
  <c r="N12" i="548"/>
  <c r="K12" i="548" a="1"/>
  <c r="K12" i="548" s="1"/>
  <c r="M12" i="548" s="1"/>
  <c r="J12" i="548" a="1"/>
  <c r="J12" i="548" s="1"/>
  <c r="H12" i="548"/>
  <c r="W11" i="548"/>
  <c r="V11" i="548"/>
  <c r="N11" i="548"/>
  <c r="K11" i="548" a="1"/>
  <c r="K11" i="548" s="1"/>
  <c r="M11" i="548" s="1"/>
  <c r="J11" i="548" a="1"/>
  <c r="J11" i="548" s="1"/>
  <c r="H11" i="548"/>
  <c r="V10" i="548"/>
  <c r="W10" i="548" s="1"/>
  <c r="N10" i="548"/>
  <c r="K10" i="548" a="1"/>
  <c r="K10" i="548" s="1"/>
  <c r="M10" i="548" s="1"/>
  <c r="J10" i="548" a="1"/>
  <c r="J10" i="548" s="1"/>
  <c r="H10" i="548"/>
  <c r="V9" i="548"/>
  <c r="W9" i="548" s="1"/>
  <c r="N9" i="548"/>
  <c r="K9" i="548"/>
  <c r="M9" i="548" s="1"/>
  <c r="K9" i="548" a="1"/>
  <c r="J9" i="548"/>
  <c r="J9" i="548" a="1"/>
  <c r="H9" i="548"/>
  <c r="V8" i="548"/>
  <c r="W8" i="548" s="1"/>
  <c r="N8" i="548"/>
  <c r="K8" i="548" a="1"/>
  <c r="K8" i="548" s="1"/>
  <c r="M8" i="548" s="1"/>
  <c r="J8" i="548" a="1"/>
  <c r="J8" i="548" s="1"/>
  <c r="H8" i="548"/>
  <c r="W7" i="548"/>
  <c r="V7" i="548"/>
  <c r="V28" i="548" s="1"/>
  <c r="N7" i="548"/>
  <c r="N28" i="548" s="1"/>
  <c r="K7" i="548" a="1"/>
  <c r="K7" i="548" s="1"/>
  <c r="M7" i="548" s="1"/>
  <c r="J7" i="548" a="1"/>
  <c r="J7" i="548" s="1"/>
  <c r="H7" i="548"/>
  <c r="H28" i="548" s="1"/>
  <c r="D534" i="549" l="1"/>
  <c r="C534" i="549" s="1"/>
  <c r="D535" i="549"/>
  <c r="C535" i="549" s="1"/>
  <c r="T535" i="548" a="1"/>
  <c r="T535" i="548" s="1"/>
  <c r="J534" i="548"/>
  <c r="Q534" i="548" s="1"/>
  <c r="R534" i="548" s="1"/>
  <c r="T534" i="548" a="1"/>
  <c r="T534" i="548" s="1"/>
  <c r="J535" i="548"/>
  <c r="Q535" i="548" s="1"/>
  <c r="D533" i="549"/>
  <c r="T533" i="548" a="1"/>
  <c r="T533" i="548" s="1"/>
  <c r="C536" i="548"/>
  <c r="T536" i="548" s="1" a="1"/>
  <c r="T536" i="548" s="1"/>
  <c r="J533" i="548"/>
  <c r="J319" i="548" a="1"/>
  <c r="J319" i="548" s="1"/>
  <c r="J292" i="548" a="1"/>
  <c r="J292" i="548" s="1"/>
  <c r="J257" i="548" a="1"/>
  <c r="J257" i="548" s="1"/>
  <c r="J308" i="548" a="1"/>
  <c r="J308" i="548" s="1"/>
  <c r="I164" i="548"/>
  <c r="B172" i="548" s="1"/>
  <c r="J28" i="548" a="1"/>
  <c r="J28" i="548" s="1"/>
  <c r="W320" i="548"/>
  <c r="N308" i="548"/>
  <c r="N335" i="548"/>
  <c r="B344" i="548" s="1"/>
  <c r="E344" i="548" s="1"/>
  <c r="K292" i="548"/>
  <c r="V292" i="548"/>
  <c r="W292" i="548" s="1"/>
  <c r="H199" i="548"/>
  <c r="V199" i="548"/>
  <c r="W178" i="548"/>
  <c r="K163" i="548"/>
  <c r="R171" i="548"/>
  <c r="M137" i="548"/>
  <c r="N121" i="548"/>
  <c r="N164" i="548" s="1"/>
  <c r="B173" i="548" s="1"/>
  <c r="W87" i="548"/>
  <c r="J121" i="548" a="1"/>
  <c r="J121" i="548" s="1"/>
  <c r="M121" i="548"/>
  <c r="W122" i="548"/>
  <c r="H86" i="548"/>
  <c r="H164" i="548" s="1"/>
  <c r="E171" i="548" s="1"/>
  <c r="V86" i="548"/>
  <c r="W86" i="548" s="1"/>
  <c r="W334" i="548"/>
  <c r="W199" i="548"/>
  <c r="M257" i="548"/>
  <c r="H257" i="548"/>
  <c r="N479" i="548"/>
  <c r="M490" i="548"/>
  <c r="N490" i="548"/>
  <c r="K506" i="548"/>
  <c r="M506" i="548"/>
  <c r="N463" i="548"/>
  <c r="J463" i="548" a="1"/>
  <c r="J463" i="548" s="1"/>
  <c r="W349" i="548"/>
  <c r="W371" i="548"/>
  <c r="M370" i="548"/>
  <c r="J370" i="548" a="1"/>
  <c r="J370" i="548" s="1"/>
  <c r="M428" i="548"/>
  <c r="J163" i="548" a="1"/>
  <c r="J163" i="548" s="1"/>
  <c r="J137" i="548" a="1"/>
  <c r="J137" i="548" s="1"/>
  <c r="M28" i="548"/>
  <c r="V164" i="548"/>
  <c r="I173" i="548" s="1"/>
  <c r="W28" i="548"/>
  <c r="W164" i="548" s="1"/>
  <c r="M29" i="548"/>
  <c r="M86" i="548" s="1"/>
  <c r="K86" i="548"/>
  <c r="K148" i="548"/>
  <c r="M138" i="548"/>
  <c r="M148" i="548" s="1"/>
  <c r="K28" i="548"/>
  <c r="X167" i="548"/>
  <c r="P164" i="548"/>
  <c r="X168" i="548" s="1"/>
  <c r="W29" i="548"/>
  <c r="J86" i="548" a="1"/>
  <c r="J86" i="548" s="1"/>
  <c r="K121" i="548"/>
  <c r="K137" i="548"/>
  <c r="K528" i="548"/>
  <c r="K529" i="548"/>
  <c r="K308" i="548"/>
  <c r="M293" i="548"/>
  <c r="M308" i="548" s="1"/>
  <c r="C524" i="548"/>
  <c r="G164" i="548"/>
  <c r="C520" i="548"/>
  <c r="R166" i="548"/>
  <c r="O164" i="548"/>
  <c r="K525" i="548"/>
  <c r="R168" i="548"/>
  <c r="R169" i="548"/>
  <c r="K170" i="548"/>
  <c r="M166" i="548"/>
  <c r="M199" i="548"/>
  <c r="B342" i="548"/>
  <c r="J335" i="548" a="1"/>
  <c r="J335" i="548" s="1"/>
  <c r="M342" i="548" s="1"/>
  <c r="R344" i="548"/>
  <c r="T343" i="548" s="1"/>
  <c r="T338" i="548"/>
  <c r="T341" i="548"/>
  <c r="H334" i="548"/>
  <c r="H335" i="548" s="1"/>
  <c r="E342" i="548" s="1"/>
  <c r="K334" i="548"/>
  <c r="E170" i="548"/>
  <c r="J199" i="548" a="1"/>
  <c r="J199" i="548" s="1"/>
  <c r="K199" i="548"/>
  <c r="K257" i="548"/>
  <c r="V308" i="548"/>
  <c r="W308" i="548" s="1"/>
  <c r="W335" i="548" s="1"/>
  <c r="O335" i="548"/>
  <c r="J148" i="548" a="1"/>
  <c r="J148" i="548" s="1"/>
  <c r="M149" i="548"/>
  <c r="M163" i="548" s="1"/>
  <c r="M258" i="548"/>
  <c r="M292" i="548" s="1"/>
  <c r="M309" i="548"/>
  <c r="M319" i="548" s="1"/>
  <c r="M320" i="548"/>
  <c r="M334" i="548" s="1"/>
  <c r="P335" i="548"/>
  <c r="X339" i="548" s="1"/>
  <c r="X344" i="548" s="1"/>
  <c r="E341" i="548"/>
  <c r="K337" i="548"/>
  <c r="W370" i="548"/>
  <c r="K370" i="548"/>
  <c r="K428" i="548"/>
  <c r="M463" i="548"/>
  <c r="V463" i="548"/>
  <c r="W463" i="548" s="1"/>
  <c r="K490" i="548"/>
  <c r="V506" i="548"/>
  <c r="W491" i="548"/>
  <c r="W506" i="548" s="1"/>
  <c r="M509" i="548"/>
  <c r="B514" i="548"/>
  <c r="R509" i="548"/>
  <c r="O507" i="548"/>
  <c r="X510" i="548" s="1"/>
  <c r="K463" i="548"/>
  <c r="M479" i="548"/>
  <c r="V479" i="548"/>
  <c r="W479" i="548" s="1"/>
  <c r="K479" i="548"/>
  <c r="V490" i="548"/>
  <c r="W490" i="548" s="1"/>
  <c r="W480" i="548"/>
  <c r="J507" i="548" a="1"/>
  <c r="J507" i="548" s="1"/>
  <c r="M514" i="548" s="1"/>
  <c r="X509" i="548"/>
  <c r="R510" i="548"/>
  <c r="R511" i="548"/>
  <c r="R512" i="548"/>
  <c r="R513" i="548"/>
  <c r="H506" i="548"/>
  <c r="H507" i="548" s="1"/>
  <c r="E514" i="548" s="1"/>
  <c r="N506" i="548"/>
  <c r="N507" i="548" s="1"/>
  <c r="B516" i="548" s="1"/>
  <c r="S534" i="548" a="1"/>
  <c r="S534" i="548" s="1"/>
  <c r="M146" i="547"/>
  <c r="M145" i="547"/>
  <c r="M144" i="547"/>
  <c r="M143" i="547"/>
  <c r="J146" i="547" a="1"/>
  <c r="J146" i="547" s="1"/>
  <c r="J145" i="547" a="1"/>
  <c r="J145" i="547" s="1"/>
  <c r="J144" i="547" a="1"/>
  <c r="J144" i="547" s="1"/>
  <c r="J143" i="547" a="1"/>
  <c r="J143" i="547" s="1"/>
  <c r="I59" i="547"/>
  <c r="J112" i="547" a="1"/>
  <c r="J112" i="547" s="1"/>
  <c r="M36" i="547"/>
  <c r="M30" i="547"/>
  <c r="K36" i="547" a="1"/>
  <c r="K36" i="547" s="1"/>
  <c r="J36" i="547" a="1"/>
  <c r="J36" i="547" s="1"/>
  <c r="J30" i="547" a="1"/>
  <c r="J30" i="547" s="1"/>
  <c r="I47" i="547"/>
  <c r="I36" i="547"/>
  <c r="I135" i="547"/>
  <c r="I31" i="547"/>
  <c r="I33" i="547"/>
  <c r="I10" i="547"/>
  <c r="I143" i="547"/>
  <c r="I146" i="547"/>
  <c r="I40" i="547"/>
  <c r="I19" i="547"/>
  <c r="I15" i="547"/>
  <c r="M317" i="547"/>
  <c r="M314" i="547"/>
  <c r="J317" i="547" a="1"/>
  <c r="J317" i="547" s="1"/>
  <c r="J316" i="547" a="1"/>
  <c r="J316" i="547" s="1"/>
  <c r="J315" i="547" a="1"/>
  <c r="J315" i="547" s="1"/>
  <c r="J314" i="547" a="1"/>
  <c r="J314" i="547" s="1"/>
  <c r="K317" i="547" a="1"/>
  <c r="K317" i="547" s="1"/>
  <c r="K316" i="547" a="1"/>
  <c r="K316" i="547" s="1"/>
  <c r="K315" i="547" a="1"/>
  <c r="K315" i="547" s="1"/>
  <c r="K314" i="547" a="1"/>
  <c r="K314" i="547" s="1"/>
  <c r="M205" i="547"/>
  <c r="K205" i="547" a="1"/>
  <c r="K205" i="547" s="1"/>
  <c r="J205" i="547" a="1"/>
  <c r="J205" i="547" s="1"/>
  <c r="I187" i="547"/>
  <c r="I190" i="547"/>
  <c r="I262" i="547"/>
  <c r="I307" i="547"/>
  <c r="I306" i="547"/>
  <c r="I314" i="547"/>
  <c r="I181" i="547"/>
  <c r="I208" i="547"/>
  <c r="I211" i="547"/>
  <c r="R535" i="548" l="1"/>
  <c r="S535" i="548" a="1"/>
  <c r="S535" i="548" s="1"/>
  <c r="J535" i="549"/>
  <c r="Q535" i="549" s="1"/>
  <c r="T535" i="549" a="1"/>
  <c r="T535" i="549" s="1"/>
  <c r="J534" i="549"/>
  <c r="Q534" i="549" s="1"/>
  <c r="T534" i="549" a="1"/>
  <c r="T534" i="549" s="1"/>
  <c r="J536" i="548"/>
  <c r="Q533" i="548"/>
  <c r="D536" i="549"/>
  <c r="C533" i="549"/>
  <c r="E173" i="548"/>
  <c r="X173" i="548"/>
  <c r="Z171" i="548" s="1"/>
  <c r="K335" i="548"/>
  <c r="E343" i="548" s="1"/>
  <c r="I343" i="548" s="1"/>
  <c r="M343" i="548" s="1"/>
  <c r="M507" i="548"/>
  <c r="G519" i="548"/>
  <c r="E516" i="548"/>
  <c r="C521" i="548"/>
  <c r="G521" i="548" s="1"/>
  <c r="Z343" i="548"/>
  <c r="Z341" i="548"/>
  <c r="Z340" i="548"/>
  <c r="Z338" i="548"/>
  <c r="Z342" i="548"/>
  <c r="Z337" i="548" a="1"/>
  <c r="Z337" i="548" s="1"/>
  <c r="R516" i="548"/>
  <c r="T510" i="548" s="1"/>
  <c r="K507" i="548"/>
  <c r="V335" i="548"/>
  <c r="I344" i="548" s="1"/>
  <c r="M344" i="548" s="1" a="1"/>
  <c r="M344" i="548" s="1"/>
  <c r="M170" i="548"/>
  <c r="B171" i="548"/>
  <c r="C519" i="548" s="1"/>
  <c r="J164" i="548" a="1"/>
  <c r="J164" i="548" s="1"/>
  <c r="M171" i="548" s="1"/>
  <c r="T342" i="548"/>
  <c r="Q525" i="548"/>
  <c r="Z167" i="548"/>
  <c r="M164" i="548"/>
  <c r="T513" i="548"/>
  <c r="X516" i="548"/>
  <c r="K341" i="548"/>
  <c r="M341" i="548" s="1"/>
  <c r="M337" i="548"/>
  <c r="Z339" i="548"/>
  <c r="Z166" i="548" a="1"/>
  <c r="Z166" i="548" s="1"/>
  <c r="Z172" i="548"/>
  <c r="V507" i="548"/>
  <c r="Z170" i="548"/>
  <c r="Z169" i="548"/>
  <c r="T339" i="548"/>
  <c r="T337" i="548" a="1"/>
  <c r="T337" i="548" s="1"/>
  <c r="M335" i="548"/>
  <c r="K527" i="548"/>
  <c r="K526" i="548"/>
  <c r="K524" i="548"/>
  <c r="R173" i="548"/>
  <c r="C530" i="548"/>
  <c r="E524" i="548" s="1"/>
  <c r="T340" i="548"/>
  <c r="Q526" i="548"/>
  <c r="Z168" i="548"/>
  <c r="K164" i="548"/>
  <c r="E172" i="548" s="1"/>
  <c r="M173" i="548" a="1"/>
  <c r="M173" i="548" s="1"/>
  <c r="I456" i="547"/>
  <c r="I433" i="547"/>
  <c r="S534" i="549" l="1" a="1"/>
  <c r="S534" i="549" s="1"/>
  <c r="R534" i="549"/>
  <c r="R535" i="549"/>
  <c r="S535" i="549" a="1"/>
  <c r="S535" i="549" s="1"/>
  <c r="J533" i="549"/>
  <c r="T533" i="549" a="1"/>
  <c r="T533" i="549" s="1"/>
  <c r="C536" i="549"/>
  <c r="T536" i="549" s="1" a="1"/>
  <c r="T536" i="549" s="1"/>
  <c r="S533" i="548" a="1"/>
  <c r="S533" i="548" s="1"/>
  <c r="Q536" i="548"/>
  <c r="S536" i="548" s="1" a="1"/>
  <c r="S536" i="548" s="1"/>
  <c r="R533" i="548"/>
  <c r="R536" i="548" s="1"/>
  <c r="L335" i="548"/>
  <c r="I342" i="548" s="1"/>
  <c r="T511" i="548"/>
  <c r="T509" i="548" a="1"/>
  <c r="T509" i="548" s="1"/>
  <c r="I172" i="548"/>
  <c r="M172" i="548" s="1"/>
  <c r="K530" i="548"/>
  <c r="T172" i="548"/>
  <c r="T170" i="548"/>
  <c r="T171" i="548"/>
  <c r="T167" i="548"/>
  <c r="T168" i="548"/>
  <c r="T169" i="548"/>
  <c r="Z515" i="548"/>
  <c r="Z514" i="548"/>
  <c r="Z512" i="548"/>
  <c r="Z513" i="548"/>
  <c r="Z511" i="548"/>
  <c r="Q530" i="548"/>
  <c r="O519" i="548" a="1"/>
  <c r="O519" i="548" s="1"/>
  <c r="E525" i="548"/>
  <c r="E528" i="548"/>
  <c r="E526" i="548"/>
  <c r="E527" i="548"/>
  <c r="E529" i="548"/>
  <c r="T166" i="548" a="1"/>
  <c r="T166" i="548" s="1"/>
  <c r="M524" i="548" a="1"/>
  <c r="M524" i="548" s="1"/>
  <c r="M526" i="548"/>
  <c r="M527" i="548"/>
  <c r="W507" i="548"/>
  <c r="I516" i="548"/>
  <c r="Z510" i="548"/>
  <c r="Z509" i="548" a="1"/>
  <c r="Z509" i="548" s="1"/>
  <c r="L164" i="548"/>
  <c r="I171" i="548" s="1"/>
  <c r="E515" i="548"/>
  <c r="I515" i="548" s="1"/>
  <c r="M515" i="548" s="1"/>
  <c r="L507" i="548"/>
  <c r="I514" i="548" s="1"/>
  <c r="T515" i="548"/>
  <c r="T514" i="548"/>
  <c r="T512" i="548"/>
  <c r="J536" i="549" l="1"/>
  <c r="Q533" i="549"/>
  <c r="E530" i="548"/>
  <c r="S524" i="548" a="1"/>
  <c r="S524" i="548" s="1"/>
  <c r="S528" i="548"/>
  <c r="S527" i="548"/>
  <c r="S529" i="548"/>
  <c r="M516" i="548" a="1"/>
  <c r="M516" i="548" s="1"/>
  <c r="K521" i="548"/>
  <c r="O521" i="548" s="1" a="1"/>
  <c r="O521" i="548" s="1"/>
  <c r="S525" i="548"/>
  <c r="M525" i="548"/>
  <c r="M528" i="548"/>
  <c r="M529" i="548"/>
  <c r="S526" i="548"/>
  <c r="G520" i="548"/>
  <c r="G314" i="547"/>
  <c r="G183" i="547"/>
  <c r="R533" i="549" l="1"/>
  <c r="R536" i="549" s="1"/>
  <c r="S533" i="549" a="1"/>
  <c r="S533" i="549" s="1"/>
  <c r="Q536" i="549"/>
  <c r="S536" i="549" s="1" a="1"/>
  <c r="S536" i="549" s="1"/>
  <c r="K520" i="548"/>
  <c r="O520" i="548" s="1"/>
  <c r="K519" i="548"/>
  <c r="S530" i="548"/>
  <c r="G321" i="547"/>
  <c r="G204" i="547"/>
  <c r="G229" i="547"/>
  <c r="G230" i="547"/>
  <c r="G262" i="547"/>
  <c r="G307" i="547"/>
  <c r="G205" i="547"/>
  <c r="G187" i="547"/>
  <c r="G211" i="547"/>
  <c r="G181" i="547"/>
  <c r="G190" i="547"/>
  <c r="G306" i="547"/>
  <c r="G322" i="547"/>
  <c r="D534" i="547" l="1"/>
  <c r="D535" i="547"/>
  <c r="D533" i="547"/>
  <c r="C533" i="547" s="1"/>
  <c r="J533" i="547" s="1"/>
  <c r="G433" i="547"/>
  <c r="G152" i="547"/>
  <c r="G33" i="547"/>
  <c r="G30" i="547"/>
  <c r="G10" i="547"/>
  <c r="G19" i="547"/>
  <c r="G7" i="547"/>
  <c r="G143" i="547"/>
  <c r="G59" i="547"/>
  <c r="G151" i="547"/>
  <c r="G135" i="547"/>
  <c r="G40" i="547"/>
  <c r="G112" i="547"/>
  <c r="G31" i="547"/>
  <c r="G150" i="547"/>
  <c r="P536" i="547"/>
  <c r="O536" i="547"/>
  <c r="N536" i="547"/>
  <c r="M536" i="547"/>
  <c r="L536" i="547"/>
  <c r="K536" i="547"/>
  <c r="I536" i="547"/>
  <c r="H536" i="547"/>
  <c r="G536" i="547"/>
  <c r="F536" i="547"/>
  <c r="E536" i="547"/>
  <c r="D536" i="547"/>
  <c r="C535" i="547"/>
  <c r="J535" i="547" s="1"/>
  <c r="Q535" i="547" s="1"/>
  <c r="C534" i="547"/>
  <c r="J534" i="547" s="1"/>
  <c r="Q534" i="547" s="1"/>
  <c r="G517" i="547"/>
  <c r="N517" i="547" s="1"/>
  <c r="X515" i="547"/>
  <c r="X514" i="547"/>
  <c r="X513" i="547"/>
  <c r="G513" i="547"/>
  <c r="C513" i="547"/>
  <c r="X512" i="547"/>
  <c r="I512" i="547"/>
  <c r="E512" i="547"/>
  <c r="K512" i="547" s="1"/>
  <c r="M512" i="547" s="1"/>
  <c r="X511" i="547"/>
  <c r="I511" i="547"/>
  <c r="E511" i="547"/>
  <c r="K511" i="547" s="1"/>
  <c r="M511" i="547" s="1"/>
  <c r="I510" i="547"/>
  <c r="E510" i="547"/>
  <c r="K510" i="547" s="1"/>
  <c r="M510" i="547" s="1"/>
  <c r="I509" i="547"/>
  <c r="I513" i="547" s="1"/>
  <c r="E509" i="547"/>
  <c r="E513" i="547" s="1"/>
  <c r="AA506" i="547"/>
  <c r="Z506" i="547"/>
  <c r="Y506" i="547"/>
  <c r="X506" i="547"/>
  <c r="U506" i="547"/>
  <c r="T506" i="547"/>
  <c r="S506" i="547"/>
  <c r="R506" i="547"/>
  <c r="Q506" i="547"/>
  <c r="P506" i="547"/>
  <c r="R514" i="547" s="1"/>
  <c r="O506" i="547"/>
  <c r="I506" i="547"/>
  <c r="G506" i="547"/>
  <c r="J506" i="547" s="1" a="1"/>
  <c r="J506" i="547" s="1"/>
  <c r="H505" i="547"/>
  <c r="H504" i="547"/>
  <c r="H503" i="547"/>
  <c r="D502" i="547"/>
  <c r="H502" i="547" s="1"/>
  <c r="V501" i="547"/>
  <c r="W501" i="547" s="1"/>
  <c r="N501" i="547"/>
  <c r="K501" i="547" a="1"/>
  <c r="K501" i="547" s="1"/>
  <c r="M501" i="547" s="1"/>
  <c r="J501" i="547" a="1"/>
  <c r="J501" i="547" s="1"/>
  <c r="H501" i="547"/>
  <c r="H500" i="547"/>
  <c r="H499" i="547"/>
  <c r="V498" i="547"/>
  <c r="W498" i="547" s="1"/>
  <c r="N498" i="547"/>
  <c r="K498" i="547" a="1"/>
  <c r="K498" i="547" s="1"/>
  <c r="M498" i="547" s="1"/>
  <c r="J498" i="547" a="1"/>
  <c r="J498" i="547" s="1"/>
  <c r="H498" i="547"/>
  <c r="V497" i="547"/>
  <c r="W497" i="547" s="1"/>
  <c r="N497" i="547"/>
  <c r="K497" i="547"/>
  <c r="M497" i="547" s="1"/>
  <c r="K497" i="547" a="1"/>
  <c r="J497" i="547"/>
  <c r="J497" i="547" a="1"/>
  <c r="H497" i="547"/>
  <c r="H496" i="547"/>
  <c r="H495" i="547"/>
  <c r="V494" i="547"/>
  <c r="W494" i="547" s="1"/>
  <c r="N494" i="547"/>
  <c r="K494" i="547" a="1"/>
  <c r="K494" i="547" s="1"/>
  <c r="M494" i="547" s="1"/>
  <c r="J494" i="547" a="1"/>
  <c r="J494" i="547" s="1"/>
  <c r="H494" i="547"/>
  <c r="V493" i="547"/>
  <c r="W493" i="547" s="1"/>
  <c r="N493" i="547"/>
  <c r="K493" i="547" a="1"/>
  <c r="K493" i="547" s="1"/>
  <c r="M493" i="547" s="1"/>
  <c r="J493" i="547" a="1"/>
  <c r="J493" i="547" s="1"/>
  <c r="H493" i="547"/>
  <c r="V492" i="547"/>
  <c r="W492" i="547" s="1"/>
  <c r="N492" i="547"/>
  <c r="K492" i="547" a="1"/>
  <c r="K492" i="547" s="1"/>
  <c r="M492" i="547" s="1"/>
  <c r="J492" i="547" a="1"/>
  <c r="J492" i="547" s="1"/>
  <c r="H492" i="547"/>
  <c r="V491" i="547"/>
  <c r="W491" i="547" s="1"/>
  <c r="N491" i="547"/>
  <c r="N506" i="547" s="1"/>
  <c r="K491" i="547"/>
  <c r="K491" i="547" a="1"/>
  <c r="J491" i="547" a="1"/>
  <c r="J491" i="547" s="1"/>
  <c r="H491" i="547"/>
  <c r="H506" i="547" s="1"/>
  <c r="AA490" i="547"/>
  <c r="Z490" i="547"/>
  <c r="Y490" i="547"/>
  <c r="X490" i="547"/>
  <c r="U490" i="547"/>
  <c r="T490" i="547"/>
  <c r="S490" i="547"/>
  <c r="Q490" i="547"/>
  <c r="P490" i="547"/>
  <c r="O490" i="547"/>
  <c r="R513" i="547" s="1"/>
  <c r="I490" i="547"/>
  <c r="G490" i="547"/>
  <c r="J490" i="547" s="1" a="1"/>
  <c r="J490" i="547" s="1"/>
  <c r="V489" i="547"/>
  <c r="W489" i="547" s="1"/>
  <c r="N489" i="547"/>
  <c r="K489" i="547" a="1"/>
  <c r="K489" i="547" s="1"/>
  <c r="M489" i="547" s="1"/>
  <c r="J489" i="547" a="1"/>
  <c r="J489" i="547" s="1"/>
  <c r="H489" i="547"/>
  <c r="H488" i="547"/>
  <c r="H487" i="547"/>
  <c r="H486" i="547"/>
  <c r="H485" i="547"/>
  <c r="W484" i="547"/>
  <c r="V484" i="547"/>
  <c r="N484" i="547"/>
  <c r="K484" i="547" a="1"/>
  <c r="K484" i="547" s="1"/>
  <c r="M484" i="547" s="1"/>
  <c r="J484" i="547" a="1"/>
  <c r="J484" i="547" s="1"/>
  <c r="H484" i="547"/>
  <c r="V483" i="547"/>
  <c r="W483" i="547" s="1"/>
  <c r="N483" i="547"/>
  <c r="K483" i="547" a="1"/>
  <c r="K483" i="547" s="1"/>
  <c r="M483" i="547" s="1"/>
  <c r="J483" i="547" a="1"/>
  <c r="J483" i="547" s="1"/>
  <c r="H483" i="547"/>
  <c r="V482" i="547"/>
  <c r="W482" i="547" s="1"/>
  <c r="N482" i="547"/>
  <c r="K482" i="547"/>
  <c r="M482" i="547" s="1"/>
  <c r="K482" i="547" a="1"/>
  <c r="J482" i="547"/>
  <c r="J482" i="547" a="1"/>
  <c r="H482" i="547"/>
  <c r="V481" i="547"/>
  <c r="W481" i="547" s="1"/>
  <c r="N481" i="547"/>
  <c r="K481" i="547" a="1"/>
  <c r="K481" i="547" s="1"/>
  <c r="M481" i="547" s="1"/>
  <c r="J481" i="547" a="1"/>
  <c r="J481" i="547" s="1"/>
  <c r="H481" i="547"/>
  <c r="W480" i="547"/>
  <c r="V480" i="547"/>
  <c r="N480" i="547"/>
  <c r="N490" i="547" s="1"/>
  <c r="K480" i="547" a="1"/>
  <c r="K480" i="547" s="1"/>
  <c r="K490" i="547" s="1"/>
  <c r="J480" i="547" a="1"/>
  <c r="J480" i="547" s="1"/>
  <c r="H480" i="547"/>
  <c r="AA479" i="547"/>
  <c r="Z479" i="547"/>
  <c r="Y479" i="547"/>
  <c r="X479" i="547"/>
  <c r="U479" i="547"/>
  <c r="T479" i="547"/>
  <c r="S479" i="547"/>
  <c r="Q479" i="547"/>
  <c r="P479" i="547"/>
  <c r="O479" i="547"/>
  <c r="I479" i="547"/>
  <c r="G479" i="547"/>
  <c r="V478" i="547"/>
  <c r="W478" i="547" s="1"/>
  <c r="N478" i="547"/>
  <c r="K478" i="547" a="1"/>
  <c r="K478" i="547" s="1"/>
  <c r="M478" i="547" s="1"/>
  <c r="J478" i="547" a="1"/>
  <c r="J478" i="547" s="1"/>
  <c r="H478" i="547"/>
  <c r="V477" i="547"/>
  <c r="W477" i="547" s="1"/>
  <c r="N477" i="547"/>
  <c r="K477" i="547"/>
  <c r="M477" i="547" s="1"/>
  <c r="K477" i="547" a="1"/>
  <c r="J477" i="547"/>
  <c r="J477" i="547" a="1"/>
  <c r="H477" i="547"/>
  <c r="V476" i="547"/>
  <c r="W476" i="547" s="1"/>
  <c r="N476" i="547"/>
  <c r="K476" i="547" a="1"/>
  <c r="K476" i="547" s="1"/>
  <c r="M476" i="547" s="1"/>
  <c r="J476" i="547" a="1"/>
  <c r="J476" i="547" s="1"/>
  <c r="H476" i="547"/>
  <c r="V475" i="547"/>
  <c r="W475" i="547" s="1"/>
  <c r="N475" i="547"/>
  <c r="K475" i="547"/>
  <c r="M475" i="547" s="1"/>
  <c r="K475" i="547" a="1"/>
  <c r="J475" i="547"/>
  <c r="J475" i="547" a="1"/>
  <c r="H475" i="547"/>
  <c r="V474" i="547"/>
  <c r="W474" i="547" s="1"/>
  <c r="N474" i="547"/>
  <c r="K474" i="547" a="1"/>
  <c r="K474" i="547" s="1"/>
  <c r="M474" i="547" s="1"/>
  <c r="J474" i="547" a="1"/>
  <c r="J474" i="547" s="1"/>
  <c r="H474" i="547"/>
  <c r="W473" i="547"/>
  <c r="V473" i="547"/>
  <c r="N473" i="547"/>
  <c r="K473" i="547" a="1"/>
  <c r="K473" i="547" s="1"/>
  <c r="M473" i="547" s="1"/>
  <c r="J473" i="547" a="1"/>
  <c r="J473" i="547" s="1"/>
  <c r="H473" i="547"/>
  <c r="V472" i="547"/>
  <c r="W472" i="547" s="1"/>
  <c r="N472" i="547"/>
  <c r="K472" i="547" a="1"/>
  <c r="K472" i="547" s="1"/>
  <c r="M472" i="547" s="1"/>
  <c r="J472" i="547" a="1"/>
  <c r="J472" i="547" s="1"/>
  <c r="H472" i="547"/>
  <c r="V471" i="547"/>
  <c r="W471" i="547" s="1"/>
  <c r="N471" i="547"/>
  <c r="K471" i="547"/>
  <c r="M471" i="547" s="1"/>
  <c r="K471" i="547" a="1"/>
  <c r="J471" i="547"/>
  <c r="J471" i="547" a="1"/>
  <c r="H471" i="547"/>
  <c r="V470" i="547"/>
  <c r="W470" i="547" s="1"/>
  <c r="N470" i="547"/>
  <c r="K470" i="547" a="1"/>
  <c r="K470" i="547" s="1"/>
  <c r="M470" i="547" s="1"/>
  <c r="J470" i="547" a="1"/>
  <c r="J470" i="547" s="1"/>
  <c r="H470" i="547"/>
  <c r="W469" i="547"/>
  <c r="V469" i="547"/>
  <c r="N469" i="547"/>
  <c r="K469" i="547" a="1"/>
  <c r="K469" i="547" s="1"/>
  <c r="M469" i="547" s="1"/>
  <c r="J469" i="547" a="1"/>
  <c r="J469" i="547" s="1"/>
  <c r="H469" i="547"/>
  <c r="V468" i="547"/>
  <c r="W468" i="547" s="1"/>
  <c r="N468" i="547"/>
  <c r="K468" i="547" a="1"/>
  <c r="K468" i="547" s="1"/>
  <c r="M468" i="547" s="1"/>
  <c r="J468" i="547" a="1"/>
  <c r="J468" i="547" s="1"/>
  <c r="H468" i="547"/>
  <c r="V467" i="547"/>
  <c r="W467" i="547" s="1"/>
  <c r="N467" i="547"/>
  <c r="K467" i="547"/>
  <c r="M467" i="547" s="1"/>
  <c r="K467" i="547" a="1"/>
  <c r="J467" i="547"/>
  <c r="J467" i="547" a="1"/>
  <c r="H467" i="547"/>
  <c r="V466" i="547"/>
  <c r="W466" i="547" s="1"/>
  <c r="N466" i="547"/>
  <c r="K466" i="547" a="1"/>
  <c r="K466" i="547" s="1"/>
  <c r="M466" i="547" s="1"/>
  <c r="J466" i="547" a="1"/>
  <c r="J466" i="547" s="1"/>
  <c r="H466" i="547"/>
  <c r="W465" i="547"/>
  <c r="V465" i="547"/>
  <c r="N465" i="547"/>
  <c r="K465" i="547" a="1"/>
  <c r="K465" i="547" s="1"/>
  <c r="M465" i="547" s="1"/>
  <c r="J465" i="547" a="1"/>
  <c r="J465" i="547" s="1"/>
  <c r="H465" i="547"/>
  <c r="V464" i="547"/>
  <c r="N464" i="547"/>
  <c r="K464" i="547"/>
  <c r="K464" i="547" a="1"/>
  <c r="J464" i="547"/>
  <c r="J464" i="547" a="1"/>
  <c r="H464" i="547"/>
  <c r="H479" i="547" s="1"/>
  <c r="AA463" i="547"/>
  <c r="Z463" i="547"/>
  <c r="Y463" i="547"/>
  <c r="X463" i="547"/>
  <c r="U463" i="547"/>
  <c r="T463" i="547"/>
  <c r="S463" i="547"/>
  <c r="R463" i="547"/>
  <c r="Q463" i="547"/>
  <c r="P463" i="547"/>
  <c r="O463" i="547"/>
  <c r="I463" i="547"/>
  <c r="G463" i="547"/>
  <c r="V462" i="547"/>
  <c r="W462" i="547" s="1"/>
  <c r="N462" i="547"/>
  <c r="K462" i="547"/>
  <c r="M462" i="547" s="1"/>
  <c r="K462" i="547" a="1"/>
  <c r="J462" i="547"/>
  <c r="J462" i="547" a="1"/>
  <c r="H462" i="547"/>
  <c r="V461" i="547"/>
  <c r="W461" i="547" s="1"/>
  <c r="N461" i="547"/>
  <c r="K461" i="547" a="1"/>
  <c r="K461" i="547" s="1"/>
  <c r="M461" i="547" s="1"/>
  <c r="J461" i="547" a="1"/>
  <c r="J461" i="547" s="1"/>
  <c r="H461" i="547"/>
  <c r="W460" i="547"/>
  <c r="V460" i="547"/>
  <c r="N460" i="547"/>
  <c r="K460" i="547" a="1"/>
  <c r="K460" i="547" s="1"/>
  <c r="M460" i="547" s="1"/>
  <c r="J460" i="547" a="1"/>
  <c r="J460" i="547" s="1"/>
  <c r="H460" i="547"/>
  <c r="K459" i="547"/>
  <c r="M459" i="547" s="1"/>
  <c r="K459" i="547" a="1"/>
  <c r="H459" i="547"/>
  <c r="K458" i="547" a="1"/>
  <c r="K458" i="547" s="1"/>
  <c r="M458" i="547" s="1"/>
  <c r="H458" i="547"/>
  <c r="K457" i="547" a="1"/>
  <c r="K457" i="547" s="1"/>
  <c r="M457" i="547" s="1"/>
  <c r="H457" i="547"/>
  <c r="W456" i="547"/>
  <c r="V456" i="547"/>
  <c r="N456" i="547"/>
  <c r="K456" i="547" a="1"/>
  <c r="K456" i="547" s="1"/>
  <c r="M456" i="547" s="1"/>
  <c r="J456" i="547" a="1"/>
  <c r="J456" i="547" s="1"/>
  <c r="H456" i="547"/>
  <c r="V455" i="547"/>
  <c r="W455" i="547" s="1"/>
  <c r="N455" i="547"/>
  <c r="K455" i="547"/>
  <c r="M455" i="547" s="1"/>
  <c r="K455" i="547" a="1"/>
  <c r="J455" i="547" a="1"/>
  <c r="J455" i="547" s="1"/>
  <c r="H455" i="547"/>
  <c r="N454" i="547"/>
  <c r="K454" i="547" a="1"/>
  <c r="K454" i="547" s="1"/>
  <c r="M454" i="547" s="1"/>
  <c r="H454" i="547"/>
  <c r="N453" i="547"/>
  <c r="K453" i="547" a="1"/>
  <c r="K453" i="547" s="1"/>
  <c r="M453" i="547" s="1"/>
  <c r="H453" i="547"/>
  <c r="N452" i="547"/>
  <c r="K452" i="547" a="1"/>
  <c r="K452" i="547" s="1"/>
  <c r="M452" i="547" s="1"/>
  <c r="H452" i="547"/>
  <c r="N451" i="547"/>
  <c r="K451" i="547" a="1"/>
  <c r="K451" i="547" s="1"/>
  <c r="M451" i="547" s="1"/>
  <c r="H451" i="547"/>
  <c r="N450" i="547"/>
  <c r="K450" i="547" a="1"/>
  <c r="K450" i="547" s="1"/>
  <c r="M450" i="547" s="1"/>
  <c r="H450" i="547"/>
  <c r="N449" i="547"/>
  <c r="K449" i="547" a="1"/>
  <c r="K449" i="547" s="1"/>
  <c r="M449" i="547" s="1"/>
  <c r="H449" i="547"/>
  <c r="W448" i="547"/>
  <c r="V448" i="547"/>
  <c r="N448" i="547"/>
  <c r="K448" i="547" a="1"/>
  <c r="K448" i="547" s="1"/>
  <c r="M448" i="547" s="1"/>
  <c r="J448" i="547" a="1"/>
  <c r="J448" i="547" s="1"/>
  <c r="H448" i="547"/>
  <c r="V447" i="547"/>
  <c r="W447" i="547" s="1"/>
  <c r="N447" i="547"/>
  <c r="K447" i="547"/>
  <c r="M447" i="547" s="1"/>
  <c r="K447" i="547" a="1"/>
  <c r="J447" i="547" a="1"/>
  <c r="J447" i="547" s="1"/>
  <c r="H447" i="547"/>
  <c r="W446" i="547"/>
  <c r="V446" i="547"/>
  <c r="N446" i="547"/>
  <c r="K446" i="547" a="1"/>
  <c r="K446" i="547" s="1"/>
  <c r="M446" i="547" s="1"/>
  <c r="J446" i="547" a="1"/>
  <c r="J446" i="547" s="1"/>
  <c r="H446" i="547"/>
  <c r="V445" i="547"/>
  <c r="W445" i="547" s="1"/>
  <c r="N445" i="547"/>
  <c r="K445" i="547"/>
  <c r="M445" i="547" s="1"/>
  <c r="K445" i="547" a="1"/>
  <c r="J445" i="547" a="1"/>
  <c r="J445" i="547" s="1"/>
  <c r="H445" i="547"/>
  <c r="W444" i="547"/>
  <c r="V444" i="547"/>
  <c r="N444" i="547"/>
  <c r="K444" i="547" a="1"/>
  <c r="K444" i="547" s="1"/>
  <c r="M444" i="547" s="1"/>
  <c r="J444" i="547" a="1"/>
  <c r="J444" i="547" s="1"/>
  <c r="H444" i="547"/>
  <c r="V443" i="547"/>
  <c r="W443" i="547" s="1"/>
  <c r="N443" i="547"/>
  <c r="K443" i="547"/>
  <c r="M443" i="547" s="1"/>
  <c r="K443" i="547" a="1"/>
  <c r="J443" i="547" a="1"/>
  <c r="J443" i="547" s="1"/>
  <c r="H443" i="547"/>
  <c r="W442" i="547"/>
  <c r="V442" i="547"/>
  <c r="N442" i="547"/>
  <c r="K442" i="547" a="1"/>
  <c r="K442" i="547" s="1"/>
  <c r="M442" i="547" s="1"/>
  <c r="J442" i="547" a="1"/>
  <c r="J442" i="547" s="1"/>
  <c r="H442" i="547"/>
  <c r="V441" i="547"/>
  <c r="W441" i="547" s="1"/>
  <c r="N441" i="547"/>
  <c r="K441" i="547"/>
  <c r="M441" i="547" s="1"/>
  <c r="K441" i="547" a="1"/>
  <c r="J441" i="547" a="1"/>
  <c r="J441" i="547" s="1"/>
  <c r="H441" i="547"/>
  <c r="W440" i="547"/>
  <c r="V440" i="547"/>
  <c r="N440" i="547"/>
  <c r="K440" i="547" a="1"/>
  <c r="K440" i="547" s="1"/>
  <c r="M440" i="547" s="1"/>
  <c r="J440" i="547" a="1"/>
  <c r="J440" i="547" s="1"/>
  <c r="H440" i="547"/>
  <c r="V439" i="547"/>
  <c r="W439" i="547" s="1"/>
  <c r="N439" i="547"/>
  <c r="K439" i="547"/>
  <c r="M439" i="547" s="1"/>
  <c r="K439" i="547" a="1"/>
  <c r="J439" i="547" a="1"/>
  <c r="J439" i="547" s="1"/>
  <c r="H439" i="547"/>
  <c r="W438" i="547"/>
  <c r="V438" i="547"/>
  <c r="N438" i="547"/>
  <c r="K438" i="547" a="1"/>
  <c r="K438" i="547" s="1"/>
  <c r="M438" i="547" s="1"/>
  <c r="J438" i="547" a="1"/>
  <c r="J438" i="547" s="1"/>
  <c r="H438" i="547"/>
  <c r="W437" i="547"/>
  <c r="V437" i="547"/>
  <c r="N437" i="547"/>
  <c r="K437" i="547" a="1"/>
  <c r="K437" i="547" s="1"/>
  <c r="M437" i="547" s="1"/>
  <c r="J437" i="547" a="1"/>
  <c r="J437" i="547" s="1"/>
  <c r="H437" i="547"/>
  <c r="N436" i="547"/>
  <c r="K436" i="547" a="1"/>
  <c r="K436" i="547" s="1"/>
  <c r="M436" i="547" s="1"/>
  <c r="H436" i="547"/>
  <c r="V435" i="547"/>
  <c r="W435" i="547" s="1"/>
  <c r="N435" i="547"/>
  <c r="K435" i="547"/>
  <c r="M435" i="547" s="1"/>
  <c r="K435" i="547" a="1"/>
  <c r="J435" i="547" a="1"/>
  <c r="J435" i="547" s="1"/>
  <c r="H435" i="547"/>
  <c r="W434" i="547"/>
  <c r="V434" i="547"/>
  <c r="N434" i="547"/>
  <c r="K434" i="547" a="1"/>
  <c r="K434" i="547" s="1"/>
  <c r="M434" i="547" s="1"/>
  <c r="J434" i="547" a="1"/>
  <c r="J434" i="547" s="1"/>
  <c r="H434" i="547"/>
  <c r="W433" i="547"/>
  <c r="V433" i="547"/>
  <c r="N433" i="547"/>
  <c r="K433" i="547" a="1"/>
  <c r="K433" i="547" s="1"/>
  <c r="M433" i="547" s="1"/>
  <c r="J433" i="547" a="1"/>
  <c r="J433" i="547" s="1"/>
  <c r="H433" i="547"/>
  <c r="V432" i="547"/>
  <c r="W432" i="547" s="1"/>
  <c r="N432" i="547"/>
  <c r="K432" i="547" a="1"/>
  <c r="K432" i="547" s="1"/>
  <c r="M432" i="547" s="1"/>
  <c r="J432" i="547" a="1"/>
  <c r="J432" i="547" s="1"/>
  <c r="H432" i="547"/>
  <c r="V431" i="547"/>
  <c r="W431" i="547" s="1"/>
  <c r="N431" i="547"/>
  <c r="K431" i="547"/>
  <c r="M431" i="547" s="1"/>
  <c r="K431" i="547" a="1"/>
  <c r="J431" i="547"/>
  <c r="J431" i="547" a="1"/>
  <c r="H431" i="547"/>
  <c r="V430" i="547"/>
  <c r="W430" i="547" s="1"/>
  <c r="N430" i="547"/>
  <c r="K430" i="547" a="1"/>
  <c r="K430" i="547" s="1"/>
  <c r="M430" i="547" s="1"/>
  <c r="J430" i="547" a="1"/>
  <c r="J430" i="547" s="1"/>
  <c r="H430" i="547"/>
  <c r="V429" i="547"/>
  <c r="V463" i="547" s="1"/>
  <c r="W463" i="547" s="1"/>
  <c r="N429" i="547"/>
  <c r="K429" i="547"/>
  <c r="K429" i="547" a="1"/>
  <c r="J429" i="547"/>
  <c r="J429" i="547" a="1"/>
  <c r="H429" i="547"/>
  <c r="H463" i="547" s="1"/>
  <c r="AA428" i="547"/>
  <c r="Z428" i="547"/>
  <c r="Y428" i="547"/>
  <c r="X428" i="547"/>
  <c r="U428" i="547"/>
  <c r="T428" i="547"/>
  <c r="S428" i="547"/>
  <c r="R428" i="547"/>
  <c r="Q428" i="547"/>
  <c r="P428" i="547"/>
  <c r="O428" i="547"/>
  <c r="R510" i="547" s="1"/>
  <c r="I428" i="547"/>
  <c r="G428" i="547"/>
  <c r="J428" i="547" s="1" a="1"/>
  <c r="J428" i="547" s="1"/>
  <c r="K427" i="547" a="1"/>
  <c r="K427" i="547" s="1"/>
  <c r="M427" i="547" s="1"/>
  <c r="H427" i="547"/>
  <c r="K426" i="547" a="1"/>
  <c r="K426" i="547" s="1"/>
  <c r="M426" i="547" s="1"/>
  <c r="H426" i="547"/>
  <c r="K425" i="547" a="1"/>
  <c r="K425" i="547" s="1"/>
  <c r="M425" i="547" s="1"/>
  <c r="H425" i="547"/>
  <c r="K424" i="547" a="1"/>
  <c r="K424" i="547" s="1"/>
  <c r="M424" i="547" s="1"/>
  <c r="H424" i="547"/>
  <c r="K423" i="547" a="1"/>
  <c r="K423" i="547" s="1"/>
  <c r="M423" i="547" s="1"/>
  <c r="H423" i="547"/>
  <c r="K422" i="547" a="1"/>
  <c r="K422" i="547" s="1"/>
  <c r="M422" i="547" s="1"/>
  <c r="H422" i="547"/>
  <c r="K421" i="547" a="1"/>
  <c r="K421" i="547" s="1"/>
  <c r="M421" i="547" s="1"/>
  <c r="H421" i="547"/>
  <c r="K420" i="547" a="1"/>
  <c r="K420" i="547" s="1"/>
  <c r="M420" i="547" s="1"/>
  <c r="H420" i="547"/>
  <c r="K419" i="547" a="1"/>
  <c r="K419" i="547" s="1"/>
  <c r="M419" i="547" s="1"/>
  <c r="H419" i="547"/>
  <c r="K418" i="547" a="1"/>
  <c r="K418" i="547" s="1"/>
  <c r="M418" i="547" s="1"/>
  <c r="H418" i="547"/>
  <c r="W417" i="547"/>
  <c r="V417" i="547"/>
  <c r="N417" i="547"/>
  <c r="K417" i="547" a="1"/>
  <c r="K417" i="547" s="1"/>
  <c r="M417" i="547" s="1"/>
  <c r="J417" i="547" a="1"/>
  <c r="J417" i="547" s="1"/>
  <c r="H417" i="547"/>
  <c r="V416" i="547"/>
  <c r="W416" i="547" s="1"/>
  <c r="N416" i="547"/>
  <c r="K416" i="547" a="1"/>
  <c r="K416" i="547" s="1"/>
  <c r="M416" i="547" s="1"/>
  <c r="J416" i="547" a="1"/>
  <c r="J416" i="547" s="1"/>
  <c r="H416" i="547"/>
  <c r="V415" i="547"/>
  <c r="W415" i="547" s="1"/>
  <c r="N415" i="547"/>
  <c r="K415" i="547"/>
  <c r="M415" i="547" s="1"/>
  <c r="K415" i="547" a="1"/>
  <c r="J415" i="547"/>
  <c r="J415" i="547" a="1"/>
  <c r="H415" i="547"/>
  <c r="V414" i="547"/>
  <c r="W414" i="547" s="1"/>
  <c r="N414" i="547"/>
  <c r="K414" i="547" a="1"/>
  <c r="K414" i="547" s="1"/>
  <c r="M414" i="547" s="1"/>
  <c r="J414" i="547" a="1"/>
  <c r="J414" i="547" s="1"/>
  <c r="H414" i="547"/>
  <c r="H413" i="547"/>
  <c r="V412" i="547"/>
  <c r="W412" i="547" s="1"/>
  <c r="N412" i="547"/>
  <c r="K412" i="547" a="1"/>
  <c r="K412" i="547" s="1"/>
  <c r="M412" i="547" s="1"/>
  <c r="J412" i="547" a="1"/>
  <c r="J412" i="547" s="1"/>
  <c r="H412" i="547"/>
  <c r="W411" i="547"/>
  <c r="V411" i="547"/>
  <c r="N411" i="547"/>
  <c r="K411" i="547" a="1"/>
  <c r="K411" i="547" s="1"/>
  <c r="M411" i="547" s="1"/>
  <c r="J411" i="547" a="1"/>
  <c r="J411" i="547" s="1"/>
  <c r="H411" i="547"/>
  <c r="H410" i="547"/>
  <c r="K409" i="547" a="1"/>
  <c r="K409" i="547" s="1"/>
  <c r="H409" i="547"/>
  <c r="V408" i="547"/>
  <c r="W408" i="547" s="1"/>
  <c r="N408" i="547"/>
  <c r="K408" i="547" a="1"/>
  <c r="K408" i="547" s="1"/>
  <c r="M408" i="547" s="1"/>
  <c r="J408" i="547" a="1"/>
  <c r="J408" i="547" s="1"/>
  <c r="H408" i="547"/>
  <c r="V407" i="547"/>
  <c r="W407" i="547" s="1"/>
  <c r="N407" i="547"/>
  <c r="K407" i="547"/>
  <c r="M407" i="547" s="1"/>
  <c r="K407" i="547" a="1"/>
  <c r="J407" i="547"/>
  <c r="J407" i="547" a="1"/>
  <c r="H407" i="547"/>
  <c r="V406" i="547"/>
  <c r="W406" i="547" s="1"/>
  <c r="N406" i="547"/>
  <c r="K406" i="547" a="1"/>
  <c r="K406" i="547" s="1"/>
  <c r="M406" i="547" s="1"/>
  <c r="J406" i="547" a="1"/>
  <c r="J406" i="547" s="1"/>
  <c r="H406" i="547"/>
  <c r="W405" i="547"/>
  <c r="V405" i="547"/>
  <c r="N405" i="547"/>
  <c r="K405" i="547" a="1"/>
  <c r="K405" i="547" s="1"/>
  <c r="M405" i="547" s="1"/>
  <c r="J405" i="547" a="1"/>
  <c r="J405" i="547" s="1"/>
  <c r="H405" i="547"/>
  <c r="V404" i="547"/>
  <c r="W404" i="547" s="1"/>
  <c r="N404" i="547"/>
  <c r="K404" i="547" a="1"/>
  <c r="K404" i="547" s="1"/>
  <c r="M404" i="547" s="1"/>
  <c r="J404" i="547" a="1"/>
  <c r="J404" i="547" s="1"/>
  <c r="H404" i="547"/>
  <c r="V403" i="547"/>
  <c r="W403" i="547" s="1"/>
  <c r="N403" i="547"/>
  <c r="K403" i="547"/>
  <c r="M403" i="547" s="1"/>
  <c r="K403" i="547" a="1"/>
  <c r="J403" i="547"/>
  <c r="J403" i="547" a="1"/>
  <c r="H403" i="547"/>
  <c r="V402" i="547"/>
  <c r="W402" i="547" s="1"/>
  <c r="N402" i="547"/>
  <c r="K402" i="547" a="1"/>
  <c r="K402" i="547" s="1"/>
  <c r="M402" i="547" s="1"/>
  <c r="J402" i="547" a="1"/>
  <c r="J402" i="547" s="1"/>
  <c r="H402" i="547"/>
  <c r="W401" i="547"/>
  <c r="V401" i="547"/>
  <c r="N401" i="547"/>
  <c r="K401" i="547" a="1"/>
  <c r="K401" i="547" s="1"/>
  <c r="M401" i="547" s="1"/>
  <c r="J401" i="547" a="1"/>
  <c r="J401" i="547" s="1"/>
  <c r="H401" i="547"/>
  <c r="V400" i="547"/>
  <c r="W400" i="547" s="1"/>
  <c r="N400" i="547"/>
  <c r="K400" i="547" a="1"/>
  <c r="K400" i="547" s="1"/>
  <c r="M400" i="547" s="1"/>
  <c r="J400" i="547" a="1"/>
  <c r="J400" i="547" s="1"/>
  <c r="H400" i="547"/>
  <c r="V399" i="547"/>
  <c r="W399" i="547" s="1"/>
  <c r="N399" i="547"/>
  <c r="K399" i="547"/>
  <c r="M399" i="547" s="1"/>
  <c r="K399" i="547" a="1"/>
  <c r="J399" i="547"/>
  <c r="J399" i="547" a="1"/>
  <c r="H399" i="547"/>
  <c r="K398" i="547" a="1"/>
  <c r="K398" i="547" s="1"/>
  <c r="M398" i="547" s="1"/>
  <c r="H398" i="547"/>
  <c r="K397" i="547"/>
  <c r="M397" i="547" s="1"/>
  <c r="K397" i="547" a="1"/>
  <c r="H397" i="547"/>
  <c r="K396" i="547" a="1"/>
  <c r="K396" i="547" s="1"/>
  <c r="M396" i="547" s="1"/>
  <c r="H396" i="547"/>
  <c r="K395" i="547"/>
  <c r="M395" i="547" s="1"/>
  <c r="K395" i="547" a="1"/>
  <c r="H395" i="547"/>
  <c r="N394" i="547"/>
  <c r="K394" i="547" a="1"/>
  <c r="K394" i="547" s="1"/>
  <c r="M394" i="547" s="1"/>
  <c r="H394" i="547"/>
  <c r="N393" i="547"/>
  <c r="K393" i="547" a="1"/>
  <c r="K393" i="547" s="1"/>
  <c r="M393" i="547" s="1"/>
  <c r="H393" i="547"/>
  <c r="N392" i="547"/>
  <c r="K392" i="547" a="1"/>
  <c r="K392" i="547" s="1"/>
  <c r="M392" i="547" s="1"/>
  <c r="H392" i="547"/>
  <c r="N391" i="547"/>
  <c r="K391" i="547" a="1"/>
  <c r="K391" i="547" s="1"/>
  <c r="M391" i="547" s="1"/>
  <c r="H391" i="547"/>
  <c r="V390" i="547"/>
  <c r="W390" i="547" s="1"/>
  <c r="N390" i="547"/>
  <c r="K390" i="547" a="1"/>
  <c r="K390" i="547" s="1"/>
  <c r="M390" i="547" s="1"/>
  <c r="J390" i="547" a="1"/>
  <c r="J390" i="547" s="1"/>
  <c r="H390" i="547"/>
  <c r="V389" i="547"/>
  <c r="W389" i="547" s="1"/>
  <c r="N389" i="547"/>
  <c r="K389" i="547"/>
  <c r="M389" i="547" s="1"/>
  <c r="K389" i="547" a="1"/>
  <c r="J389" i="547"/>
  <c r="J389" i="547" a="1"/>
  <c r="H389" i="547"/>
  <c r="V388" i="547"/>
  <c r="W388" i="547" s="1"/>
  <c r="N388" i="547"/>
  <c r="K388" i="547" a="1"/>
  <c r="K388" i="547" s="1"/>
  <c r="M388" i="547" s="1"/>
  <c r="J388" i="547" a="1"/>
  <c r="J388" i="547" s="1"/>
  <c r="H388" i="547"/>
  <c r="W387" i="547"/>
  <c r="V387" i="547"/>
  <c r="N387" i="547"/>
  <c r="K387" i="547" a="1"/>
  <c r="K387" i="547" s="1"/>
  <c r="M387" i="547" s="1"/>
  <c r="J387" i="547" a="1"/>
  <c r="J387" i="547" s="1"/>
  <c r="H387" i="547"/>
  <c r="V386" i="547"/>
  <c r="W386" i="547" s="1"/>
  <c r="N386" i="547"/>
  <c r="K386" i="547" a="1"/>
  <c r="K386" i="547" s="1"/>
  <c r="M386" i="547" s="1"/>
  <c r="J386" i="547" a="1"/>
  <c r="J386" i="547" s="1"/>
  <c r="H386" i="547"/>
  <c r="V385" i="547"/>
  <c r="W385" i="547" s="1"/>
  <c r="N385" i="547"/>
  <c r="K385" i="547"/>
  <c r="M385" i="547" s="1"/>
  <c r="K385" i="547" a="1"/>
  <c r="J385" i="547"/>
  <c r="J385" i="547" a="1"/>
  <c r="H385" i="547"/>
  <c r="V384" i="547"/>
  <c r="W384" i="547" s="1"/>
  <c r="N384" i="547"/>
  <c r="K384" i="547" a="1"/>
  <c r="K384" i="547" s="1"/>
  <c r="M384" i="547" s="1"/>
  <c r="J384" i="547" a="1"/>
  <c r="J384" i="547" s="1"/>
  <c r="H384" i="547"/>
  <c r="W383" i="547"/>
  <c r="V383" i="547"/>
  <c r="N383" i="547"/>
  <c r="K383" i="547" a="1"/>
  <c r="K383" i="547" s="1"/>
  <c r="M383" i="547" s="1"/>
  <c r="J383" i="547" a="1"/>
  <c r="J383" i="547" s="1"/>
  <c r="H383" i="547"/>
  <c r="V382" i="547"/>
  <c r="W382" i="547" s="1"/>
  <c r="N382" i="547"/>
  <c r="K382" i="547" a="1"/>
  <c r="K382" i="547" s="1"/>
  <c r="M382" i="547" s="1"/>
  <c r="J382" i="547" a="1"/>
  <c r="J382" i="547" s="1"/>
  <c r="H382" i="547"/>
  <c r="V381" i="547"/>
  <c r="W381" i="547" s="1"/>
  <c r="N381" i="547"/>
  <c r="K381" i="547"/>
  <c r="M381" i="547" s="1"/>
  <c r="K381" i="547" a="1"/>
  <c r="J381" i="547"/>
  <c r="J381" i="547" a="1"/>
  <c r="H381" i="547"/>
  <c r="V380" i="547"/>
  <c r="W380" i="547" s="1"/>
  <c r="N380" i="547"/>
  <c r="K380" i="547" a="1"/>
  <c r="K380" i="547" s="1"/>
  <c r="M380" i="547" s="1"/>
  <c r="J380" i="547" a="1"/>
  <c r="J380" i="547" s="1"/>
  <c r="H380" i="547"/>
  <c r="W379" i="547"/>
  <c r="V379" i="547"/>
  <c r="N379" i="547"/>
  <c r="K379" i="547" a="1"/>
  <c r="K379" i="547" s="1"/>
  <c r="M379" i="547" s="1"/>
  <c r="J379" i="547" a="1"/>
  <c r="J379" i="547" s="1"/>
  <c r="H379" i="547"/>
  <c r="K378" i="547"/>
  <c r="M378" i="547" s="1"/>
  <c r="K378" i="547" a="1"/>
  <c r="H378" i="547"/>
  <c r="K377" i="547" a="1"/>
  <c r="K377" i="547" s="1"/>
  <c r="M377" i="547" s="1"/>
  <c r="H377" i="547"/>
  <c r="K376" i="547" a="1"/>
  <c r="K376" i="547" s="1"/>
  <c r="M376" i="547" s="1"/>
  <c r="H376" i="547"/>
  <c r="V375" i="547"/>
  <c r="W375" i="547" s="1"/>
  <c r="N375" i="547"/>
  <c r="K375" i="547"/>
  <c r="M375" i="547" s="1"/>
  <c r="K375" i="547" a="1"/>
  <c r="J375" i="547" a="1"/>
  <c r="J375" i="547" s="1"/>
  <c r="H375" i="547"/>
  <c r="W374" i="547"/>
  <c r="V374" i="547"/>
  <c r="N374" i="547"/>
  <c r="K374" i="547" a="1"/>
  <c r="K374" i="547" s="1"/>
  <c r="M374" i="547" s="1"/>
  <c r="J374" i="547" a="1"/>
  <c r="J374" i="547" s="1"/>
  <c r="H374" i="547"/>
  <c r="V373" i="547"/>
  <c r="W373" i="547" s="1"/>
  <c r="N373" i="547"/>
  <c r="K373" i="547"/>
  <c r="M373" i="547" s="1"/>
  <c r="K373" i="547" a="1"/>
  <c r="J373" i="547" a="1"/>
  <c r="J373" i="547" s="1"/>
  <c r="H373" i="547"/>
  <c r="K372" i="547" a="1"/>
  <c r="K372" i="547" s="1"/>
  <c r="H372" i="547"/>
  <c r="V371" i="547"/>
  <c r="V428" i="547" s="1"/>
  <c r="W428" i="547" s="1"/>
  <c r="N371" i="547"/>
  <c r="N428" i="547" s="1"/>
  <c r="K371" i="547" a="1"/>
  <c r="K371" i="547" s="1"/>
  <c r="J371" i="547" a="1"/>
  <c r="J371" i="547" s="1"/>
  <c r="H371" i="547"/>
  <c r="H428" i="547" s="1"/>
  <c r="AA370" i="547"/>
  <c r="AA507" i="547" s="1"/>
  <c r="Z370" i="547"/>
  <c r="Z507" i="547" s="1"/>
  <c r="Y370" i="547"/>
  <c r="Y507" i="547" s="1"/>
  <c r="X370" i="547"/>
  <c r="X507" i="547" s="1"/>
  <c r="U370" i="547"/>
  <c r="U507" i="547" s="1"/>
  <c r="T370" i="547"/>
  <c r="T507" i="547" s="1"/>
  <c r="S370" i="547"/>
  <c r="S507" i="547" s="1"/>
  <c r="R370" i="547"/>
  <c r="R507" i="547" s="1"/>
  <c r="Q370" i="547"/>
  <c r="Q507" i="547" s="1"/>
  <c r="P370" i="547"/>
  <c r="P507" i="547" s="1"/>
  <c r="O370" i="547"/>
  <c r="I370" i="547"/>
  <c r="I507" i="547" s="1"/>
  <c r="B515" i="547" s="1"/>
  <c r="G370" i="547"/>
  <c r="G507" i="547" s="1"/>
  <c r="V369" i="547"/>
  <c r="W369" i="547" s="1"/>
  <c r="N369" i="547"/>
  <c r="K369" i="547" a="1"/>
  <c r="K369" i="547" s="1"/>
  <c r="M369" i="547" s="1"/>
  <c r="J369" i="547" a="1"/>
  <c r="J369" i="547" s="1"/>
  <c r="H369" i="547"/>
  <c r="V368" i="547"/>
  <c r="W368" i="547" s="1"/>
  <c r="N368" i="547"/>
  <c r="K368" i="547"/>
  <c r="M368" i="547" s="1"/>
  <c r="K368" i="547" a="1"/>
  <c r="J368" i="547"/>
  <c r="J368" i="547" a="1"/>
  <c r="H368" i="547"/>
  <c r="K367" i="547" a="1"/>
  <c r="K367" i="547" s="1"/>
  <c r="M367" i="547" s="1"/>
  <c r="H367" i="547"/>
  <c r="K366" i="547"/>
  <c r="M366" i="547" s="1"/>
  <c r="K366" i="547" a="1"/>
  <c r="H366" i="547"/>
  <c r="K365" i="547" a="1"/>
  <c r="K365" i="547" s="1"/>
  <c r="M365" i="547" s="1"/>
  <c r="H365" i="547"/>
  <c r="K364" i="547" a="1"/>
  <c r="K364" i="547" s="1"/>
  <c r="M364" i="547" s="1"/>
  <c r="H364" i="547"/>
  <c r="W363" i="547"/>
  <c r="V363" i="547"/>
  <c r="N363" i="547"/>
  <c r="K363" i="547" a="1"/>
  <c r="K363" i="547" s="1"/>
  <c r="M363" i="547" s="1"/>
  <c r="J363" i="547" a="1"/>
  <c r="J363" i="547" s="1"/>
  <c r="H363" i="547"/>
  <c r="V362" i="547"/>
  <c r="W362" i="547" s="1"/>
  <c r="N362" i="547"/>
  <c r="K362" i="547"/>
  <c r="M362" i="547" s="1"/>
  <c r="K362" i="547" a="1"/>
  <c r="J362" i="547" a="1"/>
  <c r="J362" i="547" s="1"/>
  <c r="H362" i="547"/>
  <c r="W361" i="547"/>
  <c r="V361" i="547"/>
  <c r="N361" i="547"/>
  <c r="K361" i="547" a="1"/>
  <c r="K361" i="547" s="1"/>
  <c r="M361" i="547" s="1"/>
  <c r="J361" i="547" a="1"/>
  <c r="J361" i="547" s="1"/>
  <c r="H361" i="547"/>
  <c r="H360" i="547"/>
  <c r="H359" i="547"/>
  <c r="V358" i="547"/>
  <c r="W358" i="547" s="1"/>
  <c r="N358" i="547"/>
  <c r="K358" i="547"/>
  <c r="M358" i="547" s="1"/>
  <c r="K358" i="547" a="1"/>
  <c r="J358" i="547" a="1"/>
  <c r="J358" i="547" s="1"/>
  <c r="H358" i="547"/>
  <c r="W357" i="547"/>
  <c r="V357" i="547"/>
  <c r="N357" i="547"/>
  <c r="K357" i="547" a="1"/>
  <c r="K357" i="547" s="1"/>
  <c r="M357" i="547" s="1"/>
  <c r="J357" i="547" a="1"/>
  <c r="J357" i="547" s="1"/>
  <c r="H357" i="547"/>
  <c r="K356" i="547" a="1"/>
  <c r="K356" i="547" s="1"/>
  <c r="M356" i="547" s="1"/>
  <c r="H356" i="547"/>
  <c r="K355" i="547" a="1"/>
  <c r="K355" i="547" s="1"/>
  <c r="M355" i="547" s="1"/>
  <c r="H355" i="547"/>
  <c r="W354" i="547"/>
  <c r="V354" i="547"/>
  <c r="N354" i="547"/>
  <c r="K354" i="547" a="1"/>
  <c r="K354" i="547" s="1"/>
  <c r="M354" i="547" s="1"/>
  <c r="J354" i="547" a="1"/>
  <c r="J354" i="547" s="1"/>
  <c r="H354" i="547"/>
  <c r="V353" i="547"/>
  <c r="W353" i="547" s="1"/>
  <c r="N353" i="547"/>
  <c r="K353" i="547" a="1"/>
  <c r="K353" i="547" s="1"/>
  <c r="M353" i="547" s="1"/>
  <c r="J353" i="547" a="1"/>
  <c r="J353" i="547" s="1"/>
  <c r="H353" i="547"/>
  <c r="V352" i="547"/>
  <c r="W352" i="547" s="1"/>
  <c r="N352" i="547"/>
  <c r="K352" i="547"/>
  <c r="M352" i="547" s="1"/>
  <c r="K352" i="547" a="1"/>
  <c r="J352" i="547"/>
  <c r="J352" i="547" a="1"/>
  <c r="H352" i="547"/>
  <c r="V351" i="547"/>
  <c r="W351" i="547" s="1"/>
  <c r="N351" i="547"/>
  <c r="K351" i="547" a="1"/>
  <c r="K351" i="547" s="1"/>
  <c r="M351" i="547" s="1"/>
  <c r="J351" i="547" a="1"/>
  <c r="J351" i="547" s="1"/>
  <c r="H351" i="547"/>
  <c r="W350" i="547"/>
  <c r="V350" i="547"/>
  <c r="N350" i="547"/>
  <c r="K350" i="547" a="1"/>
  <c r="K350" i="547" s="1"/>
  <c r="M350" i="547" s="1"/>
  <c r="J350" i="547" a="1"/>
  <c r="J350" i="547" s="1"/>
  <c r="H350" i="547"/>
  <c r="V349" i="547"/>
  <c r="V370" i="547" s="1"/>
  <c r="N349" i="547"/>
  <c r="K349" i="547" a="1"/>
  <c r="K349" i="547" s="1"/>
  <c r="J349" i="547" a="1"/>
  <c r="J349" i="547" s="1"/>
  <c r="H349" i="547"/>
  <c r="H370" i="547" s="1"/>
  <c r="X343" i="547"/>
  <c r="X342" i="547"/>
  <c r="X341" i="547"/>
  <c r="G341" i="547"/>
  <c r="E341" i="547"/>
  <c r="C341" i="547"/>
  <c r="X340" i="547"/>
  <c r="I340" i="547"/>
  <c r="E340" i="547"/>
  <c r="K340" i="547" s="1"/>
  <c r="M340" i="547" s="1"/>
  <c r="I339" i="547"/>
  <c r="E339" i="547"/>
  <c r="K339" i="547" s="1"/>
  <c r="M339" i="547" s="1"/>
  <c r="I338" i="547"/>
  <c r="E338" i="547"/>
  <c r="K338" i="547" s="1"/>
  <c r="M338" i="547" s="1"/>
  <c r="X337" i="547"/>
  <c r="I337" i="547"/>
  <c r="I341" i="547" s="1"/>
  <c r="E337" i="547"/>
  <c r="K337" i="547" s="1"/>
  <c r="AA334" i="547"/>
  <c r="Z334" i="547"/>
  <c r="Y334" i="547"/>
  <c r="X334" i="547"/>
  <c r="U334" i="547"/>
  <c r="T334" i="547"/>
  <c r="S334" i="547"/>
  <c r="R334" i="547"/>
  <c r="Q334" i="547"/>
  <c r="P334" i="547"/>
  <c r="O334" i="547"/>
  <c r="R342" i="547" s="1"/>
  <c r="I334" i="547"/>
  <c r="G334" i="547"/>
  <c r="K333" i="547" a="1"/>
  <c r="K333" i="547" s="1"/>
  <c r="H333" i="547"/>
  <c r="K332" i="547"/>
  <c r="K332" i="547" a="1"/>
  <c r="H332" i="547"/>
  <c r="K331" i="547" a="1"/>
  <c r="K331" i="547" s="1"/>
  <c r="H331" i="547"/>
  <c r="V330" i="547"/>
  <c r="W330" i="547" s="1"/>
  <c r="N330" i="547"/>
  <c r="K330" i="547" a="1"/>
  <c r="K330" i="547" s="1"/>
  <c r="D330" i="547"/>
  <c r="H330" i="547" s="1"/>
  <c r="H329" i="547"/>
  <c r="K328" i="547" a="1"/>
  <c r="K328" i="547" s="1"/>
  <c r="H328" i="547"/>
  <c r="H327" i="547"/>
  <c r="V326" i="547"/>
  <c r="W326" i="547" s="1"/>
  <c r="N326" i="547"/>
  <c r="K326" i="547" a="1"/>
  <c r="K326" i="547" s="1"/>
  <c r="M326" i="547" s="1"/>
  <c r="J326" i="547" a="1"/>
  <c r="J326" i="547" s="1"/>
  <c r="H326" i="547"/>
  <c r="V325" i="547"/>
  <c r="W325" i="547" s="1"/>
  <c r="N325" i="547"/>
  <c r="K325" i="547" a="1"/>
  <c r="K325" i="547" s="1"/>
  <c r="M325" i="547" s="1"/>
  <c r="J325" i="547" a="1"/>
  <c r="J325" i="547" s="1"/>
  <c r="H325" i="547"/>
  <c r="H324" i="547"/>
  <c r="V323" i="547"/>
  <c r="W323" i="547" s="1"/>
  <c r="N323" i="547"/>
  <c r="K323" i="547" a="1"/>
  <c r="K323" i="547" s="1"/>
  <c r="M323" i="547" s="1"/>
  <c r="J323" i="547" a="1"/>
  <c r="J323" i="547" s="1"/>
  <c r="H323" i="547"/>
  <c r="W322" i="547"/>
  <c r="V322" i="547"/>
  <c r="N322" i="547"/>
  <c r="K322" i="547" a="1"/>
  <c r="K322" i="547" s="1"/>
  <c r="M322" i="547" s="1"/>
  <c r="J322" i="547" a="1"/>
  <c r="J322" i="547" s="1"/>
  <c r="H322" i="547"/>
  <c r="V321" i="547"/>
  <c r="W321" i="547" s="1"/>
  <c r="N321" i="547"/>
  <c r="K321" i="547" a="1"/>
  <c r="K321" i="547" s="1"/>
  <c r="M321" i="547" s="1"/>
  <c r="J321" i="547" a="1"/>
  <c r="J321" i="547" s="1"/>
  <c r="H321" i="547"/>
  <c r="W320" i="547"/>
  <c r="V320" i="547"/>
  <c r="V334" i="547" s="1"/>
  <c r="N320" i="547"/>
  <c r="N334" i="547" s="1"/>
  <c r="K320" i="547" a="1"/>
  <c r="K320" i="547" s="1"/>
  <c r="J320" i="547" a="1"/>
  <c r="J320" i="547" s="1"/>
  <c r="H320" i="547"/>
  <c r="AA319" i="547"/>
  <c r="Z319" i="547"/>
  <c r="Y319" i="547"/>
  <c r="X319" i="547"/>
  <c r="U319" i="547"/>
  <c r="T319" i="547"/>
  <c r="S319" i="547"/>
  <c r="Q319" i="547"/>
  <c r="P319" i="547"/>
  <c r="O319" i="547"/>
  <c r="R341" i="547" s="1"/>
  <c r="I319" i="547"/>
  <c r="G319" i="547"/>
  <c r="V318" i="547"/>
  <c r="W318" i="547" s="1"/>
  <c r="N318" i="547"/>
  <c r="K318" i="547" a="1"/>
  <c r="K318" i="547" s="1"/>
  <c r="M318" i="547" s="1"/>
  <c r="J318" i="547" a="1"/>
  <c r="J318" i="547" s="1"/>
  <c r="H318" i="547"/>
  <c r="H317" i="547"/>
  <c r="H316" i="547"/>
  <c r="H315" i="547"/>
  <c r="H314" i="547"/>
  <c r="W313" i="547"/>
  <c r="V313" i="547"/>
  <c r="N313" i="547"/>
  <c r="K313" i="547" a="1"/>
  <c r="K313" i="547" s="1"/>
  <c r="M313" i="547" s="1"/>
  <c r="J313" i="547" a="1"/>
  <c r="J313" i="547" s="1"/>
  <c r="H313" i="547"/>
  <c r="V312" i="547"/>
  <c r="W312" i="547" s="1"/>
  <c r="N312" i="547"/>
  <c r="K312" i="547" a="1"/>
  <c r="K312" i="547" s="1"/>
  <c r="M312" i="547" s="1"/>
  <c r="J312" i="547" a="1"/>
  <c r="J312" i="547" s="1"/>
  <c r="H312" i="547"/>
  <c r="V311" i="547"/>
  <c r="W311" i="547" s="1"/>
  <c r="N311" i="547"/>
  <c r="K311" i="547"/>
  <c r="M311" i="547" s="1"/>
  <c r="K311" i="547" a="1"/>
  <c r="J311" i="547"/>
  <c r="J311" i="547" a="1"/>
  <c r="H311" i="547"/>
  <c r="V310" i="547"/>
  <c r="W310" i="547" s="1"/>
  <c r="N310" i="547"/>
  <c r="K310" i="547" a="1"/>
  <c r="K310" i="547" s="1"/>
  <c r="M310" i="547" s="1"/>
  <c r="J310" i="547" a="1"/>
  <c r="J310" i="547" s="1"/>
  <c r="H310" i="547"/>
  <c r="W309" i="547"/>
  <c r="V309" i="547"/>
  <c r="V319" i="547" s="1"/>
  <c r="N309" i="547"/>
  <c r="K309" i="547" a="1"/>
  <c r="K309" i="547" s="1"/>
  <c r="K319" i="547" s="1"/>
  <c r="J309" i="547" a="1"/>
  <c r="J309" i="547" s="1"/>
  <c r="H309" i="547"/>
  <c r="AA308" i="547"/>
  <c r="Z308" i="547"/>
  <c r="Y308" i="547"/>
  <c r="X308" i="547"/>
  <c r="U308" i="547"/>
  <c r="T308" i="547"/>
  <c r="S308" i="547"/>
  <c r="Q308" i="547"/>
  <c r="P308" i="547"/>
  <c r="O308" i="547"/>
  <c r="R340" i="547" s="1"/>
  <c r="I308" i="547"/>
  <c r="G308" i="547"/>
  <c r="V307" i="547"/>
  <c r="W307" i="547" s="1"/>
  <c r="N307" i="547"/>
  <c r="K307" i="547" a="1"/>
  <c r="K307" i="547" s="1"/>
  <c r="M307" i="547" s="1"/>
  <c r="J307" i="547" a="1"/>
  <c r="J307" i="547" s="1"/>
  <c r="H307" i="547"/>
  <c r="W306" i="547"/>
  <c r="V306" i="547"/>
  <c r="N306" i="547"/>
  <c r="K306" i="547" a="1"/>
  <c r="K306" i="547" s="1"/>
  <c r="M306" i="547" s="1"/>
  <c r="J306" i="547" a="1"/>
  <c r="J306" i="547" s="1"/>
  <c r="H306" i="547"/>
  <c r="V305" i="547"/>
  <c r="W305" i="547" s="1"/>
  <c r="N305" i="547"/>
  <c r="K305" i="547" a="1"/>
  <c r="K305" i="547" s="1"/>
  <c r="M305" i="547" s="1"/>
  <c r="J305" i="547" a="1"/>
  <c r="J305" i="547" s="1"/>
  <c r="H305" i="547"/>
  <c r="V304" i="547"/>
  <c r="W304" i="547" s="1"/>
  <c r="N304" i="547"/>
  <c r="K304" i="547"/>
  <c r="M304" i="547" s="1"/>
  <c r="K304" i="547" a="1"/>
  <c r="J304" i="547"/>
  <c r="J304" i="547" a="1"/>
  <c r="H304" i="547"/>
  <c r="V303" i="547"/>
  <c r="W303" i="547" s="1"/>
  <c r="N303" i="547"/>
  <c r="K303" i="547" a="1"/>
  <c r="K303" i="547" s="1"/>
  <c r="M303" i="547" s="1"/>
  <c r="J303" i="547" a="1"/>
  <c r="J303" i="547" s="1"/>
  <c r="H303" i="547"/>
  <c r="W302" i="547"/>
  <c r="V302" i="547"/>
  <c r="N302" i="547"/>
  <c r="K302" i="547" a="1"/>
  <c r="K302" i="547" s="1"/>
  <c r="M302" i="547" s="1"/>
  <c r="J302" i="547" a="1"/>
  <c r="J302" i="547" s="1"/>
  <c r="H302" i="547"/>
  <c r="V301" i="547"/>
  <c r="W301" i="547" s="1"/>
  <c r="N301" i="547"/>
  <c r="K301" i="547" a="1"/>
  <c r="K301" i="547" s="1"/>
  <c r="M301" i="547" s="1"/>
  <c r="J301" i="547" a="1"/>
  <c r="J301" i="547" s="1"/>
  <c r="H301" i="547"/>
  <c r="V300" i="547"/>
  <c r="W300" i="547" s="1"/>
  <c r="N300" i="547"/>
  <c r="K300" i="547"/>
  <c r="M300" i="547" s="1"/>
  <c r="K300" i="547" a="1"/>
  <c r="J300" i="547"/>
  <c r="J300" i="547" a="1"/>
  <c r="H300" i="547"/>
  <c r="V299" i="547"/>
  <c r="W299" i="547" s="1"/>
  <c r="N299" i="547"/>
  <c r="K299" i="547" a="1"/>
  <c r="K299" i="547" s="1"/>
  <c r="M299" i="547" s="1"/>
  <c r="J299" i="547" a="1"/>
  <c r="J299" i="547" s="1"/>
  <c r="H299" i="547"/>
  <c r="W298" i="547"/>
  <c r="V298" i="547"/>
  <c r="N298" i="547"/>
  <c r="K298" i="547" a="1"/>
  <c r="K298" i="547" s="1"/>
  <c r="M298" i="547" s="1"/>
  <c r="J298" i="547" a="1"/>
  <c r="J298" i="547" s="1"/>
  <c r="H298" i="547"/>
  <c r="V297" i="547"/>
  <c r="W297" i="547" s="1"/>
  <c r="N297" i="547"/>
  <c r="K297" i="547" a="1"/>
  <c r="K297" i="547" s="1"/>
  <c r="M297" i="547" s="1"/>
  <c r="J297" i="547" a="1"/>
  <c r="J297" i="547" s="1"/>
  <c r="H297" i="547"/>
  <c r="V296" i="547"/>
  <c r="W296" i="547" s="1"/>
  <c r="N296" i="547"/>
  <c r="K296" i="547"/>
  <c r="M296" i="547" s="1"/>
  <c r="K296" i="547" a="1"/>
  <c r="J296" i="547"/>
  <c r="J296" i="547" a="1"/>
  <c r="H296" i="547"/>
  <c r="V295" i="547"/>
  <c r="W295" i="547" s="1"/>
  <c r="N295" i="547"/>
  <c r="K295" i="547" a="1"/>
  <c r="K295" i="547" s="1"/>
  <c r="M295" i="547" s="1"/>
  <c r="J295" i="547" a="1"/>
  <c r="J295" i="547" s="1"/>
  <c r="H295" i="547"/>
  <c r="W294" i="547"/>
  <c r="V294" i="547"/>
  <c r="N294" i="547"/>
  <c r="K294" i="547" a="1"/>
  <c r="K294" i="547" s="1"/>
  <c r="M294" i="547" s="1"/>
  <c r="J294" i="547" a="1"/>
  <c r="J294" i="547" s="1"/>
  <c r="H294" i="547"/>
  <c r="V293" i="547"/>
  <c r="W293" i="547" s="1"/>
  <c r="N293" i="547"/>
  <c r="K293" i="547" a="1"/>
  <c r="K293" i="547" s="1"/>
  <c r="J293" i="547" a="1"/>
  <c r="J293" i="547" s="1"/>
  <c r="H293" i="547"/>
  <c r="H308" i="547" s="1"/>
  <c r="AA292" i="547"/>
  <c r="Z292" i="547"/>
  <c r="Y292" i="547"/>
  <c r="X292" i="547"/>
  <c r="U292" i="547"/>
  <c r="T292" i="547"/>
  <c r="S292" i="547"/>
  <c r="R292" i="547"/>
  <c r="Q292" i="547"/>
  <c r="P292" i="547"/>
  <c r="O292" i="547"/>
  <c r="R339" i="547" s="1"/>
  <c r="I292" i="547"/>
  <c r="G292" i="547"/>
  <c r="V291" i="547"/>
  <c r="W291" i="547" s="1"/>
  <c r="N291" i="547"/>
  <c r="K291" i="547" a="1"/>
  <c r="K291" i="547" s="1"/>
  <c r="M291" i="547" s="1"/>
  <c r="J291" i="547" a="1"/>
  <c r="J291" i="547" s="1"/>
  <c r="H291" i="547"/>
  <c r="V290" i="547"/>
  <c r="W290" i="547" s="1"/>
  <c r="N290" i="547"/>
  <c r="K290" i="547" a="1"/>
  <c r="K290" i="547" s="1"/>
  <c r="M290" i="547" s="1"/>
  <c r="J290" i="547" a="1"/>
  <c r="J290" i="547" s="1"/>
  <c r="H290" i="547"/>
  <c r="V289" i="547"/>
  <c r="W289" i="547" s="1"/>
  <c r="N289" i="547"/>
  <c r="K289" i="547" a="1"/>
  <c r="K289" i="547" s="1"/>
  <c r="M289" i="547" s="1"/>
  <c r="J289" i="547" a="1"/>
  <c r="J289" i="547" s="1"/>
  <c r="H289" i="547"/>
  <c r="H288" i="547"/>
  <c r="H287" i="547"/>
  <c r="H286" i="547"/>
  <c r="V285" i="547"/>
  <c r="W285" i="547" s="1"/>
  <c r="N285" i="547"/>
  <c r="K285" i="547" a="1"/>
  <c r="K285" i="547" s="1"/>
  <c r="M285" i="547" s="1"/>
  <c r="J285" i="547" a="1"/>
  <c r="J285" i="547" s="1"/>
  <c r="H285" i="547"/>
  <c r="V284" i="547"/>
  <c r="W284" i="547" s="1"/>
  <c r="N284" i="547"/>
  <c r="K284" i="547"/>
  <c r="M284" i="547" s="1"/>
  <c r="K284" i="547" a="1"/>
  <c r="J284" i="547"/>
  <c r="J284" i="547" a="1"/>
  <c r="H284" i="547"/>
  <c r="N283" i="547"/>
  <c r="K283" i="547" a="1"/>
  <c r="K283" i="547" s="1"/>
  <c r="M283" i="547" s="1"/>
  <c r="H283" i="547"/>
  <c r="N282" i="547"/>
  <c r="K282" i="547" a="1"/>
  <c r="K282" i="547" s="1"/>
  <c r="M282" i="547" s="1"/>
  <c r="H282" i="547"/>
  <c r="N281" i="547"/>
  <c r="K281" i="547" a="1"/>
  <c r="K281" i="547" s="1"/>
  <c r="M281" i="547" s="1"/>
  <c r="H281" i="547"/>
  <c r="N280" i="547"/>
  <c r="K280" i="547" a="1"/>
  <c r="K280" i="547" s="1"/>
  <c r="M280" i="547" s="1"/>
  <c r="H280" i="547"/>
  <c r="N279" i="547"/>
  <c r="K279" i="547" a="1"/>
  <c r="K279" i="547" s="1"/>
  <c r="M279" i="547" s="1"/>
  <c r="H279" i="547"/>
  <c r="N278" i="547"/>
  <c r="K278" i="547" a="1"/>
  <c r="K278" i="547" s="1"/>
  <c r="M278" i="547" s="1"/>
  <c r="H278" i="547"/>
  <c r="V277" i="547"/>
  <c r="W277" i="547" s="1"/>
  <c r="N277" i="547"/>
  <c r="K277" i="547" a="1"/>
  <c r="K277" i="547" s="1"/>
  <c r="M277" i="547" s="1"/>
  <c r="J277" i="547" a="1"/>
  <c r="J277" i="547" s="1"/>
  <c r="H277" i="547"/>
  <c r="V276" i="547"/>
  <c r="W276" i="547" s="1"/>
  <c r="N276" i="547"/>
  <c r="K276" i="547"/>
  <c r="M276" i="547" s="1"/>
  <c r="K276" i="547" a="1"/>
  <c r="J276" i="547"/>
  <c r="J276" i="547" a="1"/>
  <c r="H276" i="547"/>
  <c r="V275" i="547"/>
  <c r="W275" i="547" s="1"/>
  <c r="N275" i="547"/>
  <c r="K275" i="547" a="1"/>
  <c r="K275" i="547" s="1"/>
  <c r="M275" i="547" s="1"/>
  <c r="J275" i="547" a="1"/>
  <c r="J275" i="547" s="1"/>
  <c r="H275" i="547"/>
  <c r="V274" i="547"/>
  <c r="W274" i="547" s="1"/>
  <c r="N274" i="547"/>
  <c r="K274" i="547" a="1"/>
  <c r="K274" i="547" s="1"/>
  <c r="M274" i="547" s="1"/>
  <c r="J274" i="547" a="1"/>
  <c r="J274" i="547" s="1"/>
  <c r="H274" i="547"/>
  <c r="V273" i="547"/>
  <c r="W273" i="547" s="1"/>
  <c r="N273" i="547"/>
  <c r="K273" i="547" a="1"/>
  <c r="K273" i="547" s="1"/>
  <c r="M273" i="547" s="1"/>
  <c r="J273" i="547" a="1"/>
  <c r="J273" i="547" s="1"/>
  <c r="H273" i="547"/>
  <c r="V272" i="547"/>
  <c r="W272" i="547" s="1"/>
  <c r="N272" i="547"/>
  <c r="K272" i="547"/>
  <c r="M272" i="547" s="1"/>
  <c r="K272" i="547" a="1"/>
  <c r="J272" i="547"/>
  <c r="J272" i="547" a="1"/>
  <c r="H272" i="547"/>
  <c r="V271" i="547"/>
  <c r="W271" i="547" s="1"/>
  <c r="N271" i="547"/>
  <c r="K271" i="547" a="1"/>
  <c r="K271" i="547" s="1"/>
  <c r="M271" i="547" s="1"/>
  <c r="J271" i="547" a="1"/>
  <c r="J271" i="547" s="1"/>
  <c r="H271" i="547"/>
  <c r="W270" i="547"/>
  <c r="V270" i="547"/>
  <c r="N270" i="547"/>
  <c r="K270" i="547" a="1"/>
  <c r="K270" i="547" s="1"/>
  <c r="M270" i="547" s="1"/>
  <c r="J270" i="547" a="1"/>
  <c r="J270" i="547" s="1"/>
  <c r="H270" i="547"/>
  <c r="V269" i="547"/>
  <c r="W269" i="547" s="1"/>
  <c r="N269" i="547"/>
  <c r="K269" i="547" a="1"/>
  <c r="K269" i="547" s="1"/>
  <c r="M269" i="547" s="1"/>
  <c r="J269" i="547" a="1"/>
  <c r="J269" i="547" s="1"/>
  <c r="H269" i="547"/>
  <c r="V268" i="547"/>
  <c r="W268" i="547" s="1"/>
  <c r="N268" i="547"/>
  <c r="K268" i="547"/>
  <c r="M268" i="547" s="1"/>
  <c r="K268" i="547" a="1"/>
  <c r="J268" i="547"/>
  <c r="J268" i="547" a="1"/>
  <c r="H268" i="547"/>
  <c r="V267" i="547"/>
  <c r="W267" i="547" s="1"/>
  <c r="N267" i="547"/>
  <c r="K267" i="547" a="1"/>
  <c r="K267" i="547" s="1"/>
  <c r="M267" i="547" s="1"/>
  <c r="J267" i="547" a="1"/>
  <c r="J267" i="547" s="1"/>
  <c r="H267" i="547"/>
  <c r="W266" i="547"/>
  <c r="V266" i="547"/>
  <c r="N266" i="547"/>
  <c r="K266" i="547" a="1"/>
  <c r="K266" i="547" s="1"/>
  <c r="M266" i="547" s="1"/>
  <c r="J266" i="547" a="1"/>
  <c r="J266" i="547" s="1"/>
  <c r="H266" i="547"/>
  <c r="N265" i="547"/>
  <c r="K265" i="547" a="1"/>
  <c r="K265" i="547" s="1"/>
  <c r="M265" i="547" s="1"/>
  <c r="H265" i="547"/>
  <c r="V264" i="547"/>
  <c r="W264" i="547" s="1"/>
  <c r="N264" i="547"/>
  <c r="K264" i="547"/>
  <c r="M264" i="547" s="1"/>
  <c r="K264" i="547" a="1"/>
  <c r="J264" i="547"/>
  <c r="J264" i="547" a="1"/>
  <c r="H264" i="547"/>
  <c r="V263" i="547"/>
  <c r="W263" i="547" s="1"/>
  <c r="N263" i="547"/>
  <c r="K263" i="547" a="1"/>
  <c r="K263" i="547" s="1"/>
  <c r="M263" i="547" s="1"/>
  <c r="J263" i="547" a="1"/>
  <c r="J263" i="547" s="1"/>
  <c r="H263" i="547"/>
  <c r="W262" i="547"/>
  <c r="V262" i="547"/>
  <c r="N262" i="547"/>
  <c r="K262" i="547" a="1"/>
  <c r="K262" i="547" s="1"/>
  <c r="M262" i="547" s="1"/>
  <c r="J262" i="547" a="1"/>
  <c r="J262" i="547" s="1"/>
  <c r="H262" i="547"/>
  <c r="V261" i="547"/>
  <c r="W261" i="547" s="1"/>
  <c r="N261" i="547"/>
  <c r="K261" i="547" a="1"/>
  <c r="K261" i="547" s="1"/>
  <c r="M261" i="547" s="1"/>
  <c r="J261" i="547" a="1"/>
  <c r="J261" i="547" s="1"/>
  <c r="H261" i="547"/>
  <c r="V260" i="547"/>
  <c r="W260" i="547" s="1"/>
  <c r="N260" i="547"/>
  <c r="K260" i="547"/>
  <c r="M260" i="547" s="1"/>
  <c r="K260" i="547" a="1"/>
  <c r="J260" i="547"/>
  <c r="J260" i="547" a="1"/>
  <c r="H260" i="547"/>
  <c r="V259" i="547"/>
  <c r="W259" i="547" s="1"/>
  <c r="N259" i="547"/>
  <c r="K259" i="547" a="1"/>
  <c r="K259" i="547" s="1"/>
  <c r="M259" i="547" s="1"/>
  <c r="J259" i="547" a="1"/>
  <c r="J259" i="547" s="1"/>
  <c r="H259" i="547"/>
  <c r="V258" i="547"/>
  <c r="V292" i="547" s="1"/>
  <c r="N258" i="547"/>
  <c r="N292" i="547" s="1"/>
  <c r="K258" i="547" a="1"/>
  <c r="K258" i="547" s="1"/>
  <c r="J258" i="547" a="1"/>
  <c r="J258" i="547" s="1"/>
  <c r="H258" i="547"/>
  <c r="H292" i="547" s="1"/>
  <c r="AA257" i="547"/>
  <c r="Z257" i="547"/>
  <c r="Y257" i="547"/>
  <c r="X257" i="547"/>
  <c r="U257" i="547"/>
  <c r="T257" i="547"/>
  <c r="S257" i="547"/>
  <c r="R257" i="547"/>
  <c r="Q257" i="547"/>
  <c r="P257" i="547"/>
  <c r="O257" i="547"/>
  <c r="R338" i="547" s="1"/>
  <c r="I257" i="547"/>
  <c r="G257" i="547"/>
  <c r="H256" i="547"/>
  <c r="H255" i="547"/>
  <c r="H254" i="547"/>
  <c r="H253" i="547"/>
  <c r="H252" i="547"/>
  <c r="H251" i="547"/>
  <c r="K250" i="547" a="1"/>
  <c r="K250" i="547" s="1"/>
  <c r="M250" i="547" s="1"/>
  <c r="H250" i="547"/>
  <c r="K249" i="547" a="1"/>
  <c r="K249" i="547" s="1"/>
  <c r="M249" i="547" s="1"/>
  <c r="H249" i="547"/>
  <c r="K248" i="547" a="1"/>
  <c r="K248" i="547" s="1"/>
  <c r="M248" i="547" s="1"/>
  <c r="H248" i="547"/>
  <c r="K247" i="547" a="1"/>
  <c r="K247" i="547" s="1"/>
  <c r="M247" i="547" s="1"/>
  <c r="H247" i="547"/>
  <c r="W246" i="547"/>
  <c r="V246" i="547"/>
  <c r="N246" i="547"/>
  <c r="K246" i="547" a="1"/>
  <c r="K246" i="547" s="1"/>
  <c r="M246" i="547" s="1"/>
  <c r="J246" i="547" a="1"/>
  <c r="J246" i="547" s="1"/>
  <c r="H246" i="547"/>
  <c r="V245" i="547"/>
  <c r="W245" i="547" s="1"/>
  <c r="N245" i="547"/>
  <c r="K245" i="547" a="1"/>
  <c r="K245" i="547" s="1"/>
  <c r="M245" i="547" s="1"/>
  <c r="J245" i="547" a="1"/>
  <c r="J245" i="547" s="1"/>
  <c r="H245" i="547"/>
  <c r="V244" i="547"/>
  <c r="W244" i="547" s="1"/>
  <c r="N244" i="547"/>
  <c r="K244" i="547"/>
  <c r="M244" i="547" s="1"/>
  <c r="K244" i="547" a="1"/>
  <c r="J244" i="547"/>
  <c r="J244" i="547" a="1"/>
  <c r="H244" i="547"/>
  <c r="V243" i="547"/>
  <c r="W243" i="547" s="1"/>
  <c r="N243" i="547"/>
  <c r="K243" i="547" a="1"/>
  <c r="K243" i="547" s="1"/>
  <c r="M243" i="547" s="1"/>
  <c r="J243" i="547" a="1"/>
  <c r="J243" i="547" s="1"/>
  <c r="H243" i="547"/>
  <c r="M242" i="547"/>
  <c r="H242" i="547"/>
  <c r="W241" i="547"/>
  <c r="V241" i="547"/>
  <c r="N241" i="547"/>
  <c r="K241" i="547" a="1"/>
  <c r="K241" i="547" s="1"/>
  <c r="M241" i="547" s="1"/>
  <c r="J241" i="547" a="1"/>
  <c r="J241" i="547" s="1"/>
  <c r="H241" i="547"/>
  <c r="V240" i="547"/>
  <c r="W240" i="547" s="1"/>
  <c r="N240" i="547"/>
  <c r="K240" i="547" a="1"/>
  <c r="K240" i="547" s="1"/>
  <c r="M240" i="547" s="1"/>
  <c r="J240" i="547" a="1"/>
  <c r="J240" i="547" s="1"/>
  <c r="H240" i="547"/>
  <c r="K239" i="547" a="1"/>
  <c r="K239" i="547" s="1"/>
  <c r="M239" i="547" s="1"/>
  <c r="H239" i="547"/>
  <c r="H238" i="547"/>
  <c r="V237" i="547"/>
  <c r="W237" i="547" s="1"/>
  <c r="N237" i="547"/>
  <c r="K237" i="547" a="1"/>
  <c r="K237" i="547" s="1"/>
  <c r="M237" i="547" s="1"/>
  <c r="J237" i="547" a="1"/>
  <c r="J237" i="547" s="1"/>
  <c r="H237" i="547"/>
  <c r="V236" i="547"/>
  <c r="W236" i="547" s="1"/>
  <c r="N236" i="547"/>
  <c r="K236" i="547"/>
  <c r="M236" i="547" s="1"/>
  <c r="K236" i="547" a="1"/>
  <c r="J236" i="547"/>
  <c r="J236" i="547" a="1"/>
  <c r="H236" i="547"/>
  <c r="V235" i="547"/>
  <c r="W235" i="547" s="1"/>
  <c r="N235" i="547"/>
  <c r="K235" i="547" a="1"/>
  <c r="K235" i="547" s="1"/>
  <c r="M235" i="547" s="1"/>
  <c r="J235" i="547" a="1"/>
  <c r="J235" i="547" s="1"/>
  <c r="H235" i="547"/>
  <c r="W234" i="547"/>
  <c r="V234" i="547"/>
  <c r="N234" i="547"/>
  <c r="K234" i="547" a="1"/>
  <c r="K234" i="547" s="1"/>
  <c r="M234" i="547" s="1"/>
  <c r="J234" i="547" a="1"/>
  <c r="J234" i="547" s="1"/>
  <c r="H234" i="547"/>
  <c r="V233" i="547"/>
  <c r="W233" i="547" s="1"/>
  <c r="N233" i="547"/>
  <c r="K233" i="547" a="1"/>
  <c r="K233" i="547" s="1"/>
  <c r="M233" i="547" s="1"/>
  <c r="J233" i="547" a="1"/>
  <c r="J233" i="547" s="1"/>
  <c r="H233" i="547"/>
  <c r="V232" i="547"/>
  <c r="W232" i="547" s="1"/>
  <c r="N232" i="547"/>
  <c r="K232" i="547"/>
  <c r="M232" i="547" s="1"/>
  <c r="K232" i="547" a="1"/>
  <c r="J232" i="547"/>
  <c r="J232" i="547" a="1"/>
  <c r="H232" i="547"/>
  <c r="V231" i="547"/>
  <c r="W231" i="547" s="1"/>
  <c r="N231" i="547"/>
  <c r="K231" i="547" a="1"/>
  <c r="K231" i="547" s="1"/>
  <c r="M231" i="547" s="1"/>
  <c r="J231" i="547" a="1"/>
  <c r="J231" i="547" s="1"/>
  <c r="H231" i="547"/>
  <c r="W230" i="547"/>
  <c r="V230" i="547"/>
  <c r="N230" i="547"/>
  <c r="K230" i="547"/>
  <c r="M230" i="547" s="1"/>
  <c r="K230" i="547" a="1"/>
  <c r="J230" i="547" a="1"/>
  <c r="J230" i="547" s="1"/>
  <c r="H230" i="547"/>
  <c r="V229" i="547"/>
  <c r="W229" i="547" s="1"/>
  <c r="N229" i="547"/>
  <c r="K229" i="547" a="1"/>
  <c r="K229" i="547" s="1"/>
  <c r="M229" i="547" s="1"/>
  <c r="J229" i="547" a="1"/>
  <c r="J229" i="547" s="1"/>
  <c r="H229" i="547"/>
  <c r="W228" i="547"/>
  <c r="V228" i="547"/>
  <c r="N228" i="547"/>
  <c r="K228" i="547" a="1"/>
  <c r="K228" i="547" s="1"/>
  <c r="M228" i="547" s="1"/>
  <c r="J228" i="547" a="1"/>
  <c r="J228" i="547" s="1"/>
  <c r="H228" i="547"/>
  <c r="N227" i="547"/>
  <c r="K227" i="547" a="1"/>
  <c r="K227" i="547" s="1"/>
  <c r="M227" i="547" s="1"/>
  <c r="H227" i="547"/>
  <c r="N226" i="547"/>
  <c r="K226" i="547"/>
  <c r="M226" i="547" s="1"/>
  <c r="K226" i="547" a="1"/>
  <c r="H226" i="547"/>
  <c r="N225" i="547"/>
  <c r="K225" i="547" a="1"/>
  <c r="K225" i="547" s="1"/>
  <c r="M225" i="547" s="1"/>
  <c r="H225" i="547"/>
  <c r="N224" i="547"/>
  <c r="K224" i="547" a="1"/>
  <c r="K224" i="547" s="1"/>
  <c r="M224" i="547" s="1"/>
  <c r="H224" i="547"/>
  <c r="N223" i="547"/>
  <c r="K223" i="547" a="1"/>
  <c r="K223" i="547" s="1"/>
  <c r="M223" i="547" s="1"/>
  <c r="H223" i="547"/>
  <c r="N222" i="547"/>
  <c r="K222" i="547"/>
  <c r="M222" i="547" s="1"/>
  <c r="K222" i="547" a="1"/>
  <c r="H222" i="547"/>
  <c r="N221" i="547"/>
  <c r="K221" i="547" a="1"/>
  <c r="K221" i="547" s="1"/>
  <c r="M221" i="547" s="1"/>
  <c r="H221" i="547"/>
  <c r="N220" i="547"/>
  <c r="K220" i="547" a="1"/>
  <c r="K220" i="547" s="1"/>
  <c r="M220" i="547" s="1"/>
  <c r="H220" i="547"/>
  <c r="V219" i="547"/>
  <c r="W219" i="547" s="1"/>
  <c r="N219" i="547"/>
  <c r="K219" i="547" a="1"/>
  <c r="K219" i="547" s="1"/>
  <c r="M219" i="547" s="1"/>
  <c r="J219" i="547" a="1"/>
  <c r="J219" i="547" s="1"/>
  <c r="H219" i="547"/>
  <c r="W218" i="547"/>
  <c r="V218" i="547"/>
  <c r="N218" i="547"/>
  <c r="K218" i="547"/>
  <c r="M218" i="547" s="1"/>
  <c r="K218" i="547" a="1"/>
  <c r="J218" i="547" a="1"/>
  <c r="J218" i="547" s="1"/>
  <c r="H218" i="547"/>
  <c r="V217" i="547"/>
  <c r="W217" i="547" s="1"/>
  <c r="N217" i="547"/>
  <c r="K217" i="547" a="1"/>
  <c r="K217" i="547" s="1"/>
  <c r="M217" i="547" s="1"/>
  <c r="J217" i="547" a="1"/>
  <c r="J217" i="547" s="1"/>
  <c r="H217" i="547"/>
  <c r="W216" i="547"/>
  <c r="V216" i="547"/>
  <c r="N216" i="547"/>
  <c r="K216" i="547" a="1"/>
  <c r="K216" i="547" s="1"/>
  <c r="M216" i="547" s="1"/>
  <c r="J216" i="547" a="1"/>
  <c r="J216" i="547" s="1"/>
  <c r="H216" i="547"/>
  <c r="V215" i="547"/>
  <c r="W215" i="547" s="1"/>
  <c r="N215" i="547"/>
  <c r="K215" i="547" a="1"/>
  <c r="K215" i="547" s="1"/>
  <c r="M215" i="547" s="1"/>
  <c r="J215" i="547" a="1"/>
  <c r="J215" i="547" s="1"/>
  <c r="H215" i="547"/>
  <c r="V214" i="547"/>
  <c r="W214" i="547" s="1"/>
  <c r="N214" i="547"/>
  <c r="K214" i="547"/>
  <c r="M214" i="547" s="1"/>
  <c r="K214" i="547" a="1"/>
  <c r="J214" i="547"/>
  <c r="J214" i="547" a="1"/>
  <c r="H214" i="547"/>
  <c r="V213" i="547"/>
  <c r="W213" i="547" s="1"/>
  <c r="N213" i="547"/>
  <c r="K213" i="547" a="1"/>
  <c r="K213" i="547" s="1"/>
  <c r="M213" i="547" s="1"/>
  <c r="J213" i="547" a="1"/>
  <c r="J213" i="547" s="1"/>
  <c r="H213" i="547"/>
  <c r="V212" i="547"/>
  <c r="W212" i="547" s="1"/>
  <c r="N212" i="547"/>
  <c r="K212" i="547" a="1"/>
  <c r="K212" i="547" s="1"/>
  <c r="M212" i="547" s="1"/>
  <c r="J212" i="547" a="1"/>
  <c r="J212" i="547" s="1"/>
  <c r="H212" i="547"/>
  <c r="V211" i="547"/>
  <c r="W211" i="547" s="1"/>
  <c r="N211" i="547"/>
  <c r="K211" i="547" a="1"/>
  <c r="K211" i="547" s="1"/>
  <c r="M211" i="547" s="1"/>
  <c r="J211" i="547" a="1"/>
  <c r="J211" i="547" s="1"/>
  <c r="H211" i="547"/>
  <c r="V210" i="547"/>
  <c r="W210" i="547" s="1"/>
  <c r="N210" i="547"/>
  <c r="K210" i="547" a="1"/>
  <c r="K210" i="547" s="1"/>
  <c r="M210" i="547" s="1"/>
  <c r="J210" i="547" a="1"/>
  <c r="J210" i="547" s="1"/>
  <c r="H210" i="547"/>
  <c r="V209" i="547"/>
  <c r="W209" i="547" s="1"/>
  <c r="N209" i="547"/>
  <c r="K209" i="547" a="1"/>
  <c r="K209" i="547" s="1"/>
  <c r="M209" i="547" s="1"/>
  <c r="J209" i="547" a="1"/>
  <c r="J209" i="547" s="1"/>
  <c r="H209" i="547"/>
  <c r="W208" i="547"/>
  <c r="V208" i="547"/>
  <c r="N208" i="547"/>
  <c r="K208" i="547" a="1"/>
  <c r="K208" i="547" s="1"/>
  <c r="M208" i="547" s="1"/>
  <c r="J208" i="547" a="1"/>
  <c r="J208" i="547" s="1"/>
  <c r="H208" i="547"/>
  <c r="H207" i="547"/>
  <c r="H206" i="547"/>
  <c r="H205" i="547"/>
  <c r="W204" i="547"/>
  <c r="V204" i="547"/>
  <c r="N204" i="547"/>
  <c r="K204" i="547"/>
  <c r="M204" i="547" s="1"/>
  <c r="K204" i="547" a="1"/>
  <c r="J204" i="547" a="1"/>
  <c r="J204" i="547" s="1"/>
  <c r="H204" i="547"/>
  <c r="V203" i="547"/>
  <c r="W203" i="547" s="1"/>
  <c r="N203" i="547"/>
  <c r="K203" i="547" a="1"/>
  <c r="K203" i="547" s="1"/>
  <c r="M203" i="547" s="1"/>
  <c r="J203" i="547" a="1"/>
  <c r="J203" i="547" s="1"/>
  <c r="H203" i="547"/>
  <c r="V202" i="547"/>
  <c r="W202" i="547" s="1"/>
  <c r="N202" i="547"/>
  <c r="K202" i="547"/>
  <c r="M202" i="547" s="1"/>
  <c r="K202" i="547" a="1"/>
  <c r="J202" i="547"/>
  <c r="J202" i="547" a="1"/>
  <c r="H202" i="547"/>
  <c r="H201" i="547"/>
  <c r="W200" i="547"/>
  <c r="V200" i="547"/>
  <c r="V257" i="547" s="1"/>
  <c r="W257" i="547" s="1"/>
  <c r="N200" i="547"/>
  <c r="N257" i="547" s="1"/>
  <c r="K200" i="547" a="1"/>
  <c r="K200" i="547" s="1"/>
  <c r="J200" i="547" a="1"/>
  <c r="J200" i="547" s="1"/>
  <c r="H200" i="547"/>
  <c r="H257" i="547" s="1"/>
  <c r="AA199" i="547"/>
  <c r="AA335" i="547" s="1"/>
  <c r="Z199" i="547"/>
  <c r="Y199" i="547"/>
  <c r="Y335" i="547" s="1"/>
  <c r="X199" i="547"/>
  <c r="U199" i="547"/>
  <c r="U335" i="547" s="1"/>
  <c r="T199" i="547"/>
  <c r="S199" i="547"/>
  <c r="S335" i="547" s="1"/>
  <c r="R199" i="547"/>
  <c r="R335" i="547" s="1"/>
  <c r="Q199" i="547"/>
  <c r="Q335" i="547" s="1"/>
  <c r="P199" i="547"/>
  <c r="O199" i="547"/>
  <c r="I199" i="547"/>
  <c r="I335" i="547" s="1"/>
  <c r="B343" i="547" s="1"/>
  <c r="G199" i="547"/>
  <c r="V198" i="547"/>
  <c r="W198" i="547" s="1"/>
  <c r="N198" i="547"/>
  <c r="K198" i="547" a="1"/>
  <c r="K198" i="547" s="1"/>
  <c r="M198" i="547" s="1"/>
  <c r="J198" i="547" a="1"/>
  <c r="J198" i="547" s="1"/>
  <c r="H198" i="547"/>
  <c r="V197" i="547"/>
  <c r="W197" i="547" s="1"/>
  <c r="N197" i="547"/>
  <c r="K197" i="547"/>
  <c r="M197" i="547" s="1"/>
  <c r="K197" i="547" a="1"/>
  <c r="J197" i="547" a="1"/>
  <c r="J197" i="547" s="1"/>
  <c r="H197" i="547"/>
  <c r="K196" i="547" a="1"/>
  <c r="K196" i="547" s="1"/>
  <c r="M196" i="547" s="1"/>
  <c r="H196" i="547"/>
  <c r="K195" i="547" a="1"/>
  <c r="K195" i="547" s="1"/>
  <c r="M195" i="547" s="1"/>
  <c r="H195" i="547"/>
  <c r="K194" i="547" a="1"/>
  <c r="K194" i="547" s="1"/>
  <c r="M194" i="547" s="1"/>
  <c r="H194" i="547"/>
  <c r="K193" i="547" a="1"/>
  <c r="K193" i="547" s="1"/>
  <c r="M193" i="547" s="1"/>
  <c r="H193" i="547"/>
  <c r="W192" i="547"/>
  <c r="V192" i="547"/>
  <c r="N192" i="547"/>
  <c r="K192" i="547" a="1"/>
  <c r="K192" i="547" s="1"/>
  <c r="M192" i="547" s="1"/>
  <c r="J192" i="547" a="1"/>
  <c r="J192" i="547" s="1"/>
  <c r="H192" i="547"/>
  <c r="V191" i="547"/>
  <c r="W191" i="547" s="1"/>
  <c r="N191" i="547"/>
  <c r="K191" i="547"/>
  <c r="M191" i="547" s="1"/>
  <c r="K191" i="547" a="1"/>
  <c r="J191" i="547" a="1"/>
  <c r="J191" i="547" s="1"/>
  <c r="H191" i="547"/>
  <c r="W190" i="547"/>
  <c r="V190" i="547"/>
  <c r="N190" i="547"/>
  <c r="K190" i="547"/>
  <c r="M190" i="547" s="1"/>
  <c r="K190" i="547" a="1"/>
  <c r="J190" i="547" a="1"/>
  <c r="J190" i="547" s="1"/>
  <c r="H190" i="547"/>
  <c r="N189" i="547"/>
  <c r="K189" i="547" a="1"/>
  <c r="K189" i="547" s="1"/>
  <c r="M189" i="547" s="1"/>
  <c r="J189" i="547" a="1"/>
  <c r="J189" i="547" s="1"/>
  <c r="H189" i="547"/>
  <c r="N188" i="547"/>
  <c r="K188" i="547" a="1"/>
  <c r="K188" i="547" s="1"/>
  <c r="M188" i="547" s="1"/>
  <c r="J188" i="547" a="1"/>
  <c r="J188" i="547" s="1"/>
  <c r="H188" i="547"/>
  <c r="V187" i="547"/>
  <c r="W187" i="547" s="1"/>
  <c r="N187" i="547"/>
  <c r="K187" i="547" a="1"/>
  <c r="K187" i="547" s="1"/>
  <c r="M187" i="547" s="1"/>
  <c r="J187" i="547" a="1"/>
  <c r="J187" i="547" s="1"/>
  <c r="H187" i="547"/>
  <c r="V186" i="547"/>
  <c r="W186" i="547" s="1"/>
  <c r="N186" i="547"/>
  <c r="K186" i="547" a="1"/>
  <c r="K186" i="547" s="1"/>
  <c r="M186" i="547" s="1"/>
  <c r="J186" i="547" a="1"/>
  <c r="J186" i="547" s="1"/>
  <c r="H186" i="547"/>
  <c r="N185" i="547"/>
  <c r="K185" i="547"/>
  <c r="M185" i="547" s="1"/>
  <c r="K185" i="547" a="1"/>
  <c r="H185" i="547"/>
  <c r="N184" i="547"/>
  <c r="K184" i="547" a="1"/>
  <c r="K184" i="547" s="1"/>
  <c r="M184" i="547" s="1"/>
  <c r="H184" i="547"/>
  <c r="W183" i="547"/>
  <c r="V183" i="547"/>
  <c r="N183" i="547"/>
  <c r="K183" i="547" a="1"/>
  <c r="K183" i="547" s="1"/>
  <c r="M183" i="547" s="1"/>
  <c r="J183" i="547" a="1"/>
  <c r="J183" i="547" s="1"/>
  <c r="H183" i="547"/>
  <c r="V182" i="547"/>
  <c r="W182" i="547" s="1"/>
  <c r="N182" i="547"/>
  <c r="K182" i="547" a="1"/>
  <c r="K182" i="547" s="1"/>
  <c r="M182" i="547" s="1"/>
  <c r="J182" i="547" a="1"/>
  <c r="J182" i="547" s="1"/>
  <c r="H182" i="547"/>
  <c r="V181" i="547"/>
  <c r="W181" i="547" s="1"/>
  <c r="N181" i="547"/>
  <c r="K181" i="547" a="1"/>
  <c r="K181" i="547" s="1"/>
  <c r="M181" i="547" s="1"/>
  <c r="J181" i="547" a="1"/>
  <c r="J181" i="547" s="1"/>
  <c r="H181" i="547"/>
  <c r="V180" i="547"/>
  <c r="W180" i="547" s="1"/>
  <c r="N180" i="547"/>
  <c r="K180" i="547" a="1"/>
  <c r="K180" i="547" s="1"/>
  <c r="M180" i="547" s="1"/>
  <c r="J180" i="547" a="1"/>
  <c r="J180" i="547" s="1"/>
  <c r="H180" i="547"/>
  <c r="V179" i="547"/>
  <c r="W179" i="547" s="1"/>
  <c r="N179" i="547"/>
  <c r="K179" i="547" a="1"/>
  <c r="K179" i="547" s="1"/>
  <c r="M179" i="547" s="1"/>
  <c r="J179" i="547" a="1"/>
  <c r="J179" i="547" s="1"/>
  <c r="H179" i="547"/>
  <c r="V178" i="547"/>
  <c r="V199" i="547" s="1"/>
  <c r="N178" i="547"/>
  <c r="N199" i="547" s="1"/>
  <c r="K178" i="547" a="1"/>
  <c r="K178" i="547" s="1"/>
  <c r="J178" i="547" a="1"/>
  <c r="J178" i="547" s="1"/>
  <c r="H178" i="547"/>
  <c r="X171" i="547"/>
  <c r="Q529" i="547" s="1"/>
  <c r="X170" i="547"/>
  <c r="Q528" i="547" s="1"/>
  <c r="G170" i="547"/>
  <c r="C170" i="547"/>
  <c r="X169" i="547"/>
  <c r="Q527" i="547" s="1"/>
  <c r="I169" i="547"/>
  <c r="E169" i="547"/>
  <c r="K169" i="547" s="1"/>
  <c r="M169" i="547" s="1"/>
  <c r="I168" i="547"/>
  <c r="E168" i="547"/>
  <c r="K168" i="547" s="1"/>
  <c r="M168" i="547" s="1"/>
  <c r="I167" i="547"/>
  <c r="E167" i="547"/>
  <c r="K167" i="547" s="1"/>
  <c r="M167" i="547" s="1"/>
  <c r="X166" i="547"/>
  <c r="Q524" i="547" s="1"/>
  <c r="I166" i="547"/>
  <c r="I170" i="547" s="1"/>
  <c r="E166" i="547"/>
  <c r="E170" i="547" s="1"/>
  <c r="AA163" i="547"/>
  <c r="Z163" i="547"/>
  <c r="Y163" i="547"/>
  <c r="X163" i="547"/>
  <c r="U163" i="547"/>
  <c r="T163" i="547"/>
  <c r="S163" i="547"/>
  <c r="R163" i="547"/>
  <c r="Q163" i="547"/>
  <c r="P163" i="547"/>
  <c r="O163" i="547"/>
  <c r="I163" i="547"/>
  <c r="G163" i="547"/>
  <c r="C529" i="547" s="1"/>
  <c r="H162" i="547"/>
  <c r="H161" i="547"/>
  <c r="H160" i="547"/>
  <c r="V159" i="547"/>
  <c r="W159" i="547" s="1"/>
  <c r="N159" i="547"/>
  <c r="K159" i="547"/>
  <c r="K159" i="547" a="1"/>
  <c r="J159" i="547" a="1"/>
  <c r="J159" i="547" s="1"/>
  <c r="H159" i="547"/>
  <c r="D159" i="547"/>
  <c r="V158" i="547"/>
  <c r="W158" i="547" s="1"/>
  <c r="N158" i="547"/>
  <c r="K158" i="547" a="1"/>
  <c r="K158" i="547" s="1"/>
  <c r="M158" i="547" s="1"/>
  <c r="J158" i="547" a="1"/>
  <c r="J158" i="547" s="1"/>
  <c r="H158" i="547"/>
  <c r="H157" i="547"/>
  <c r="H156" i="547"/>
  <c r="V155" i="547"/>
  <c r="W155" i="547" s="1"/>
  <c r="N155" i="547"/>
  <c r="K155" i="547" a="1"/>
  <c r="K155" i="547" s="1"/>
  <c r="M155" i="547" s="1"/>
  <c r="J155" i="547" a="1"/>
  <c r="J155" i="547" s="1"/>
  <c r="H155" i="547"/>
  <c r="V154" i="547"/>
  <c r="W154" i="547" s="1"/>
  <c r="N154" i="547"/>
  <c r="K154" i="547"/>
  <c r="M154" i="547" s="1"/>
  <c r="K154" i="547" a="1"/>
  <c r="J154" i="547"/>
  <c r="J154" i="547" a="1"/>
  <c r="H154" i="547"/>
  <c r="H153" i="547"/>
  <c r="W152" i="547"/>
  <c r="V152" i="547"/>
  <c r="N152" i="547"/>
  <c r="K152" i="547" a="1"/>
  <c r="K152" i="547" s="1"/>
  <c r="M152" i="547" s="1"/>
  <c r="J152" i="547" a="1"/>
  <c r="J152" i="547" s="1"/>
  <c r="H152" i="547"/>
  <c r="V151" i="547"/>
  <c r="W151" i="547" s="1"/>
  <c r="N151" i="547"/>
  <c r="K151" i="547" a="1"/>
  <c r="K151" i="547" s="1"/>
  <c r="M151" i="547" s="1"/>
  <c r="J151" i="547" a="1"/>
  <c r="J151" i="547" s="1"/>
  <c r="H151" i="547"/>
  <c r="W150" i="547"/>
  <c r="V150" i="547"/>
  <c r="N150" i="547"/>
  <c r="K150" i="547"/>
  <c r="M150" i="547" s="1"/>
  <c r="K150" i="547" a="1"/>
  <c r="J150" i="547" a="1"/>
  <c r="J150" i="547" s="1"/>
  <c r="H150" i="547"/>
  <c r="V149" i="547"/>
  <c r="W149" i="547" s="1"/>
  <c r="N149" i="547"/>
  <c r="N163" i="547" s="1"/>
  <c r="K149" i="547" a="1"/>
  <c r="K149" i="547" s="1"/>
  <c r="J149" i="547" a="1"/>
  <c r="J149" i="547" s="1"/>
  <c r="H149" i="547"/>
  <c r="AA148" i="547"/>
  <c r="Z148" i="547"/>
  <c r="Y148" i="547"/>
  <c r="X148" i="547"/>
  <c r="U148" i="547"/>
  <c r="T148" i="547"/>
  <c r="S148" i="547"/>
  <c r="Q148" i="547"/>
  <c r="P148" i="547"/>
  <c r="O148" i="547"/>
  <c r="R170" i="547" s="1"/>
  <c r="I148" i="547"/>
  <c r="G148" i="547"/>
  <c r="C528" i="547" s="1"/>
  <c r="V147" i="547"/>
  <c r="W147" i="547" s="1"/>
  <c r="N147" i="547"/>
  <c r="K147" i="547" a="1"/>
  <c r="K147" i="547" s="1"/>
  <c r="M147" i="547" s="1"/>
  <c r="J147" i="547" a="1"/>
  <c r="J147" i="547" s="1"/>
  <c r="H147" i="547"/>
  <c r="K146" i="547" a="1"/>
  <c r="K146" i="547" s="1"/>
  <c r="H146" i="547"/>
  <c r="K145" i="547" a="1"/>
  <c r="K145" i="547" s="1"/>
  <c r="H145" i="547"/>
  <c r="K144" i="547" a="1"/>
  <c r="K144" i="547" s="1"/>
  <c r="H144" i="547"/>
  <c r="K143" i="547" a="1"/>
  <c r="K143" i="547" s="1"/>
  <c r="H143" i="547"/>
  <c r="W142" i="547"/>
  <c r="V142" i="547"/>
  <c r="N142" i="547"/>
  <c r="K142" i="547" a="1"/>
  <c r="K142" i="547" s="1"/>
  <c r="M142" i="547" s="1"/>
  <c r="J142" i="547" a="1"/>
  <c r="J142" i="547" s="1"/>
  <c r="H142" i="547"/>
  <c r="V141" i="547"/>
  <c r="W141" i="547" s="1"/>
  <c r="N141" i="547"/>
  <c r="K141" i="547"/>
  <c r="M141" i="547" s="1"/>
  <c r="K141" i="547" a="1"/>
  <c r="J141" i="547" a="1"/>
  <c r="J141" i="547" s="1"/>
  <c r="H141" i="547"/>
  <c r="W140" i="547"/>
  <c r="V140" i="547"/>
  <c r="N140" i="547"/>
  <c r="K140" i="547" a="1"/>
  <c r="K140" i="547" s="1"/>
  <c r="M140" i="547" s="1"/>
  <c r="J140" i="547" a="1"/>
  <c r="J140" i="547" s="1"/>
  <c r="H140" i="547"/>
  <c r="V139" i="547"/>
  <c r="W139" i="547" s="1"/>
  <c r="N139" i="547"/>
  <c r="K139" i="547"/>
  <c r="M139" i="547" s="1"/>
  <c r="K139" i="547" a="1"/>
  <c r="J139" i="547" a="1"/>
  <c r="J139" i="547" s="1"/>
  <c r="H139" i="547"/>
  <c r="W138" i="547"/>
  <c r="V138" i="547"/>
  <c r="N138" i="547"/>
  <c r="N148" i="547" s="1"/>
  <c r="K138" i="547" a="1"/>
  <c r="K138" i="547" s="1"/>
  <c r="J138" i="547" a="1"/>
  <c r="J138" i="547" s="1"/>
  <c r="H138" i="547"/>
  <c r="H148" i="547" s="1"/>
  <c r="AA137" i="547"/>
  <c r="Z137" i="547"/>
  <c r="Y137" i="547"/>
  <c r="X137" i="547"/>
  <c r="U137" i="547"/>
  <c r="T137" i="547"/>
  <c r="S137" i="547"/>
  <c r="Q137" i="547"/>
  <c r="P137" i="547"/>
  <c r="O137" i="547"/>
  <c r="I137" i="547"/>
  <c r="G137" i="547"/>
  <c r="C527" i="547" s="1"/>
  <c r="V136" i="547"/>
  <c r="W136" i="547" s="1"/>
  <c r="N136" i="547"/>
  <c r="K136" i="547" a="1"/>
  <c r="K136" i="547" s="1"/>
  <c r="M136" i="547" s="1"/>
  <c r="J136" i="547" a="1"/>
  <c r="J136" i="547" s="1"/>
  <c r="H136" i="547"/>
  <c r="W135" i="547"/>
  <c r="V135" i="547"/>
  <c r="N135" i="547"/>
  <c r="K135" i="547" a="1"/>
  <c r="K135" i="547" s="1"/>
  <c r="M135" i="547" s="1"/>
  <c r="J135" i="547" a="1"/>
  <c r="J135" i="547" s="1"/>
  <c r="H135" i="547"/>
  <c r="V134" i="547"/>
  <c r="W134" i="547" s="1"/>
  <c r="N134" i="547"/>
  <c r="K134" i="547" a="1"/>
  <c r="K134" i="547" s="1"/>
  <c r="M134" i="547" s="1"/>
  <c r="J134" i="547" a="1"/>
  <c r="J134" i="547" s="1"/>
  <c r="H134" i="547"/>
  <c r="V133" i="547"/>
  <c r="W133" i="547" s="1"/>
  <c r="N133" i="547"/>
  <c r="K133" i="547"/>
  <c r="M133" i="547" s="1"/>
  <c r="K133" i="547" a="1"/>
  <c r="J133" i="547"/>
  <c r="J133" i="547" a="1"/>
  <c r="H133" i="547"/>
  <c r="V132" i="547"/>
  <c r="W132" i="547" s="1"/>
  <c r="N132" i="547"/>
  <c r="K132" i="547" a="1"/>
  <c r="K132" i="547" s="1"/>
  <c r="M132" i="547" s="1"/>
  <c r="J132" i="547" a="1"/>
  <c r="J132" i="547" s="1"/>
  <c r="H132" i="547"/>
  <c r="W131" i="547"/>
  <c r="V131" i="547"/>
  <c r="N131" i="547"/>
  <c r="K131" i="547" a="1"/>
  <c r="K131" i="547" s="1"/>
  <c r="M131" i="547" s="1"/>
  <c r="J131" i="547" a="1"/>
  <c r="J131" i="547" s="1"/>
  <c r="H131" i="547"/>
  <c r="V130" i="547"/>
  <c r="W130" i="547" s="1"/>
  <c r="N130" i="547"/>
  <c r="K130" i="547" a="1"/>
  <c r="K130" i="547" s="1"/>
  <c r="M130" i="547" s="1"/>
  <c r="J130" i="547" a="1"/>
  <c r="J130" i="547" s="1"/>
  <c r="H130" i="547"/>
  <c r="V129" i="547"/>
  <c r="W129" i="547" s="1"/>
  <c r="N129" i="547"/>
  <c r="K129" i="547"/>
  <c r="M129" i="547" s="1"/>
  <c r="K129" i="547" a="1"/>
  <c r="J129" i="547"/>
  <c r="J129" i="547" a="1"/>
  <c r="H129" i="547"/>
  <c r="V128" i="547"/>
  <c r="W128" i="547" s="1"/>
  <c r="N128" i="547"/>
  <c r="K128" i="547" a="1"/>
  <c r="K128" i="547" s="1"/>
  <c r="M128" i="547" s="1"/>
  <c r="J128" i="547" a="1"/>
  <c r="J128" i="547" s="1"/>
  <c r="H128" i="547"/>
  <c r="W127" i="547"/>
  <c r="V127" i="547"/>
  <c r="N127" i="547"/>
  <c r="K127" i="547" a="1"/>
  <c r="K127" i="547" s="1"/>
  <c r="M127" i="547" s="1"/>
  <c r="J127" i="547" a="1"/>
  <c r="J127" i="547" s="1"/>
  <c r="H127" i="547"/>
  <c r="V126" i="547"/>
  <c r="W126" i="547" s="1"/>
  <c r="N126" i="547"/>
  <c r="K126" i="547" a="1"/>
  <c r="K126" i="547" s="1"/>
  <c r="M126" i="547" s="1"/>
  <c r="J126" i="547" a="1"/>
  <c r="J126" i="547" s="1"/>
  <c r="H126" i="547"/>
  <c r="V125" i="547"/>
  <c r="W125" i="547" s="1"/>
  <c r="N125" i="547"/>
  <c r="K125" i="547"/>
  <c r="M125" i="547" s="1"/>
  <c r="K125" i="547" a="1"/>
  <c r="J125" i="547"/>
  <c r="J125" i="547" a="1"/>
  <c r="H125" i="547"/>
  <c r="V124" i="547"/>
  <c r="W124" i="547" s="1"/>
  <c r="N124" i="547"/>
  <c r="K124" i="547" a="1"/>
  <c r="K124" i="547" s="1"/>
  <c r="M124" i="547" s="1"/>
  <c r="J124" i="547" a="1"/>
  <c r="J124" i="547" s="1"/>
  <c r="H124" i="547"/>
  <c r="W123" i="547"/>
  <c r="V123" i="547"/>
  <c r="N123" i="547"/>
  <c r="K123" i="547" a="1"/>
  <c r="K123" i="547" s="1"/>
  <c r="M123" i="547" s="1"/>
  <c r="J123" i="547" a="1"/>
  <c r="J123" i="547" s="1"/>
  <c r="H123" i="547"/>
  <c r="V122" i="547"/>
  <c r="V137" i="547" s="1"/>
  <c r="W137" i="547" s="1"/>
  <c r="N122" i="547"/>
  <c r="K122" i="547" a="1"/>
  <c r="K122" i="547" s="1"/>
  <c r="J122" i="547" a="1"/>
  <c r="J122" i="547" s="1"/>
  <c r="H122" i="547"/>
  <c r="H137" i="547" s="1"/>
  <c r="AA121" i="547"/>
  <c r="Z121" i="547"/>
  <c r="Y121" i="547"/>
  <c r="X121" i="547"/>
  <c r="U121" i="547"/>
  <c r="T121" i="547"/>
  <c r="S121" i="547"/>
  <c r="R121" i="547"/>
  <c r="Q121" i="547"/>
  <c r="P121" i="547"/>
  <c r="O121" i="547"/>
  <c r="R168" i="547" s="1"/>
  <c r="I121" i="547"/>
  <c r="G121" i="547"/>
  <c r="V120" i="547"/>
  <c r="W120" i="547" s="1"/>
  <c r="N120" i="547"/>
  <c r="K120" i="547" a="1"/>
  <c r="K120" i="547" s="1"/>
  <c r="M120" i="547" s="1"/>
  <c r="J120" i="547" a="1"/>
  <c r="J120" i="547" s="1"/>
  <c r="H120" i="547"/>
  <c r="V119" i="547"/>
  <c r="W119" i="547" s="1"/>
  <c r="N119" i="547"/>
  <c r="K119" i="547"/>
  <c r="M119" i="547" s="1"/>
  <c r="K119" i="547" a="1"/>
  <c r="J119" i="547" a="1"/>
  <c r="J119" i="547" s="1"/>
  <c r="H119" i="547"/>
  <c r="V118" i="547"/>
  <c r="W118" i="547" s="1"/>
  <c r="N118" i="547"/>
  <c r="K118" i="547" a="1"/>
  <c r="K118" i="547" s="1"/>
  <c r="M118" i="547" s="1"/>
  <c r="J118" i="547" a="1"/>
  <c r="J118" i="547" s="1"/>
  <c r="H118" i="547"/>
  <c r="K117" i="547" a="1"/>
  <c r="K117" i="547" s="1"/>
  <c r="H117" i="547"/>
  <c r="K116" i="547" a="1"/>
  <c r="K116" i="547" s="1"/>
  <c r="H116" i="547"/>
  <c r="K115" i="547"/>
  <c r="K115" i="547" a="1"/>
  <c r="H115" i="547"/>
  <c r="V114" i="547"/>
  <c r="W114" i="547" s="1"/>
  <c r="N114" i="547"/>
  <c r="K114" i="547" a="1"/>
  <c r="K114" i="547" s="1"/>
  <c r="M114" i="547" s="1"/>
  <c r="J114" i="547" a="1"/>
  <c r="J114" i="547" s="1"/>
  <c r="H114" i="547"/>
  <c r="V113" i="547"/>
  <c r="W113" i="547" s="1"/>
  <c r="N113" i="547"/>
  <c r="K113" i="547" a="1"/>
  <c r="K113" i="547" s="1"/>
  <c r="M113" i="547" s="1"/>
  <c r="J113" i="547" a="1"/>
  <c r="J113" i="547" s="1"/>
  <c r="H113" i="547"/>
  <c r="N112" i="547"/>
  <c r="K112" i="547" a="1"/>
  <c r="K112" i="547" s="1"/>
  <c r="M112" i="547" s="1"/>
  <c r="H112" i="547"/>
  <c r="N111" i="547"/>
  <c r="K111" i="547" a="1"/>
  <c r="K111" i="547" s="1"/>
  <c r="M111" i="547" s="1"/>
  <c r="H111" i="547"/>
  <c r="N110" i="547"/>
  <c r="K110" i="547" a="1"/>
  <c r="K110" i="547" s="1"/>
  <c r="M110" i="547" s="1"/>
  <c r="H110" i="547"/>
  <c r="N109" i="547"/>
  <c r="K109" i="547" a="1"/>
  <c r="K109" i="547" s="1"/>
  <c r="M109" i="547" s="1"/>
  <c r="H109" i="547"/>
  <c r="N108" i="547"/>
  <c r="K108" i="547" a="1"/>
  <c r="K108" i="547" s="1"/>
  <c r="M108" i="547" s="1"/>
  <c r="H108" i="547"/>
  <c r="N107" i="547"/>
  <c r="K107" i="547"/>
  <c r="M107" i="547" s="1"/>
  <c r="K107" i="547" a="1"/>
  <c r="H107" i="547"/>
  <c r="V106" i="547"/>
  <c r="W106" i="547" s="1"/>
  <c r="N106" i="547"/>
  <c r="K106" i="547" a="1"/>
  <c r="K106" i="547" s="1"/>
  <c r="M106" i="547" s="1"/>
  <c r="J106" i="547" a="1"/>
  <c r="J106" i="547" s="1"/>
  <c r="H106" i="547"/>
  <c r="V105" i="547"/>
  <c r="W105" i="547" s="1"/>
  <c r="N105" i="547"/>
  <c r="K105" i="547"/>
  <c r="M105" i="547" s="1"/>
  <c r="K105" i="547" a="1"/>
  <c r="J105" i="547" a="1"/>
  <c r="J105" i="547" s="1"/>
  <c r="H105" i="547"/>
  <c r="V104" i="547"/>
  <c r="W104" i="547" s="1"/>
  <c r="N104" i="547"/>
  <c r="K104" i="547" a="1"/>
  <c r="K104" i="547" s="1"/>
  <c r="M104" i="547" s="1"/>
  <c r="J104" i="547" a="1"/>
  <c r="J104" i="547" s="1"/>
  <c r="H104" i="547"/>
  <c r="V103" i="547"/>
  <c r="W103" i="547" s="1"/>
  <c r="N103" i="547"/>
  <c r="K103" i="547" a="1"/>
  <c r="K103" i="547" s="1"/>
  <c r="M103" i="547" s="1"/>
  <c r="J103" i="547" a="1"/>
  <c r="J103" i="547" s="1"/>
  <c r="H103" i="547"/>
  <c r="V102" i="547"/>
  <c r="W102" i="547" s="1"/>
  <c r="N102" i="547"/>
  <c r="K102" i="547" a="1"/>
  <c r="K102" i="547" s="1"/>
  <c r="M102" i="547" s="1"/>
  <c r="J102" i="547" a="1"/>
  <c r="J102" i="547" s="1"/>
  <c r="H102" i="547"/>
  <c r="V101" i="547"/>
  <c r="W101" i="547" s="1"/>
  <c r="N101" i="547"/>
  <c r="K101" i="547"/>
  <c r="M101" i="547" s="1"/>
  <c r="K101" i="547" a="1"/>
  <c r="J101" i="547"/>
  <c r="J101" i="547" a="1"/>
  <c r="H101" i="547"/>
  <c r="V100" i="547"/>
  <c r="W100" i="547" s="1"/>
  <c r="N100" i="547"/>
  <c r="K100" i="547" a="1"/>
  <c r="K100" i="547" s="1"/>
  <c r="M100" i="547" s="1"/>
  <c r="J100" i="547" a="1"/>
  <c r="J100" i="547" s="1"/>
  <c r="H100" i="547"/>
  <c r="W99" i="547"/>
  <c r="V99" i="547"/>
  <c r="N99" i="547"/>
  <c r="K99" i="547" a="1"/>
  <c r="K99" i="547" s="1"/>
  <c r="M99" i="547" s="1"/>
  <c r="J99" i="547" a="1"/>
  <c r="J99" i="547" s="1"/>
  <c r="H99" i="547"/>
  <c r="V98" i="547"/>
  <c r="W98" i="547" s="1"/>
  <c r="N98" i="547"/>
  <c r="K98" i="547" a="1"/>
  <c r="K98" i="547" s="1"/>
  <c r="M98" i="547" s="1"/>
  <c r="J98" i="547" a="1"/>
  <c r="J98" i="547" s="1"/>
  <c r="H98" i="547"/>
  <c r="V97" i="547"/>
  <c r="W97" i="547" s="1"/>
  <c r="N97" i="547"/>
  <c r="K97" i="547"/>
  <c r="M97" i="547" s="1"/>
  <c r="K97" i="547" a="1"/>
  <c r="J97" i="547"/>
  <c r="J97" i="547" a="1"/>
  <c r="H97" i="547"/>
  <c r="V96" i="547"/>
  <c r="W96" i="547" s="1"/>
  <c r="N96" i="547"/>
  <c r="K96" i="547" a="1"/>
  <c r="K96" i="547" s="1"/>
  <c r="M96" i="547" s="1"/>
  <c r="J96" i="547" a="1"/>
  <c r="J96" i="547" s="1"/>
  <c r="H96" i="547"/>
  <c r="W95" i="547"/>
  <c r="V95" i="547"/>
  <c r="N95" i="547"/>
  <c r="K95" i="547" a="1"/>
  <c r="K95" i="547" s="1"/>
  <c r="M95" i="547" s="1"/>
  <c r="J95" i="547" a="1"/>
  <c r="J95" i="547" s="1"/>
  <c r="H95" i="547"/>
  <c r="K94" i="547" a="1"/>
  <c r="K94" i="547" s="1"/>
  <c r="M94" i="547" s="1"/>
  <c r="H94" i="547"/>
  <c r="W93" i="547"/>
  <c r="V93" i="547"/>
  <c r="N93" i="547"/>
  <c r="K93" i="547" a="1"/>
  <c r="K93" i="547" s="1"/>
  <c r="M93" i="547" s="1"/>
  <c r="J93" i="547" a="1"/>
  <c r="J93" i="547" s="1"/>
  <c r="H93" i="547"/>
  <c r="V92" i="547"/>
  <c r="W92" i="547" s="1"/>
  <c r="N92" i="547"/>
  <c r="K92" i="547"/>
  <c r="M92" i="547" s="1"/>
  <c r="K92" i="547" a="1"/>
  <c r="J92" i="547" a="1"/>
  <c r="J92" i="547" s="1"/>
  <c r="H92" i="547"/>
  <c r="W91" i="547"/>
  <c r="V91" i="547"/>
  <c r="N91" i="547"/>
  <c r="K91" i="547" a="1"/>
  <c r="K91" i="547" s="1"/>
  <c r="M91" i="547" s="1"/>
  <c r="J91" i="547" a="1"/>
  <c r="J91" i="547" s="1"/>
  <c r="H91" i="547"/>
  <c r="V90" i="547"/>
  <c r="W90" i="547" s="1"/>
  <c r="N90" i="547"/>
  <c r="K90" i="547" a="1"/>
  <c r="K90" i="547" s="1"/>
  <c r="M90" i="547" s="1"/>
  <c r="J90" i="547" a="1"/>
  <c r="J90" i="547" s="1"/>
  <c r="H90" i="547"/>
  <c r="V89" i="547"/>
  <c r="W89" i="547" s="1"/>
  <c r="N89" i="547"/>
  <c r="K89" i="547"/>
  <c r="M89" i="547" s="1"/>
  <c r="K89" i="547" a="1"/>
  <c r="J89" i="547" a="1"/>
  <c r="J89" i="547" s="1"/>
  <c r="H89" i="547"/>
  <c r="W88" i="547"/>
  <c r="V88" i="547"/>
  <c r="N88" i="547"/>
  <c r="K88" i="547" a="1"/>
  <c r="K88" i="547" s="1"/>
  <c r="M88" i="547" s="1"/>
  <c r="J88" i="547" a="1"/>
  <c r="J88" i="547" s="1"/>
  <c r="H88" i="547"/>
  <c r="V87" i="547"/>
  <c r="V121" i="547" s="1"/>
  <c r="W121" i="547" s="1"/>
  <c r="N87" i="547"/>
  <c r="K87" i="547"/>
  <c r="M87" i="547" s="1"/>
  <c r="K87" i="547" a="1"/>
  <c r="J87" i="547"/>
  <c r="J87" i="547" a="1"/>
  <c r="H87" i="547"/>
  <c r="H121" i="547" s="1"/>
  <c r="AA86" i="547"/>
  <c r="Z86" i="547"/>
  <c r="Y86" i="547"/>
  <c r="X86" i="547"/>
  <c r="U86" i="547"/>
  <c r="T86" i="547"/>
  <c r="S86" i="547"/>
  <c r="R86" i="547"/>
  <c r="Q86" i="547"/>
  <c r="P86" i="547"/>
  <c r="O86" i="547"/>
  <c r="R167" i="547" s="1"/>
  <c r="I86" i="547"/>
  <c r="G86" i="547"/>
  <c r="C525" i="547" s="1"/>
  <c r="K85" i="547" a="1"/>
  <c r="K85" i="547" s="1"/>
  <c r="H85" i="547"/>
  <c r="K84" i="547"/>
  <c r="K84" i="547" a="1"/>
  <c r="H84" i="547"/>
  <c r="K83" i="547" a="1"/>
  <c r="K83" i="547" s="1"/>
  <c r="H83" i="547"/>
  <c r="K82" i="547" a="1"/>
  <c r="K82" i="547" s="1"/>
  <c r="H82" i="547"/>
  <c r="K81" i="547" a="1"/>
  <c r="K81" i="547" s="1"/>
  <c r="H81" i="547"/>
  <c r="K80" i="547" a="1"/>
  <c r="K80" i="547" s="1"/>
  <c r="H80" i="547"/>
  <c r="K79" i="547" a="1"/>
  <c r="K79" i="547" s="1"/>
  <c r="M79" i="547" s="1"/>
  <c r="H79" i="547"/>
  <c r="K78" i="547" a="1"/>
  <c r="K78" i="547" s="1"/>
  <c r="M78" i="547" s="1"/>
  <c r="H78" i="547"/>
  <c r="K77" i="547" a="1"/>
  <c r="K77" i="547" s="1"/>
  <c r="M77" i="547" s="1"/>
  <c r="H77" i="547"/>
  <c r="K76" i="547" a="1"/>
  <c r="K76" i="547" s="1"/>
  <c r="M76" i="547" s="1"/>
  <c r="H76" i="547"/>
  <c r="W75" i="547"/>
  <c r="V75" i="547"/>
  <c r="N75" i="547"/>
  <c r="K75" i="547" a="1"/>
  <c r="K75" i="547" s="1"/>
  <c r="M75" i="547" s="1"/>
  <c r="J75" i="547" a="1"/>
  <c r="J75" i="547" s="1"/>
  <c r="H75" i="547"/>
  <c r="V74" i="547"/>
  <c r="W74" i="547" s="1"/>
  <c r="N74" i="547"/>
  <c r="K74" i="547" a="1"/>
  <c r="K74" i="547" s="1"/>
  <c r="M74" i="547" s="1"/>
  <c r="J74" i="547" a="1"/>
  <c r="J74" i="547" s="1"/>
  <c r="H74" i="547"/>
  <c r="V73" i="547"/>
  <c r="W73" i="547" s="1"/>
  <c r="N73" i="547"/>
  <c r="K73" i="547"/>
  <c r="M73" i="547" s="1"/>
  <c r="K73" i="547" a="1"/>
  <c r="J73" i="547"/>
  <c r="J73" i="547" a="1"/>
  <c r="H73" i="547"/>
  <c r="V72" i="547"/>
  <c r="W72" i="547" s="1"/>
  <c r="N72" i="547"/>
  <c r="K72" i="547" a="1"/>
  <c r="K72" i="547" s="1"/>
  <c r="M72" i="547" s="1"/>
  <c r="J72" i="547" a="1"/>
  <c r="J72" i="547" s="1"/>
  <c r="H72" i="547"/>
  <c r="H71" i="547"/>
  <c r="V70" i="547"/>
  <c r="W70" i="547" s="1"/>
  <c r="N70" i="547"/>
  <c r="K70" i="547" a="1"/>
  <c r="K70" i="547" s="1"/>
  <c r="M70" i="547" s="1"/>
  <c r="J70" i="547" a="1"/>
  <c r="J70" i="547" s="1"/>
  <c r="H70" i="547"/>
  <c r="W69" i="547"/>
  <c r="V69" i="547"/>
  <c r="N69" i="547"/>
  <c r="K69" i="547" a="1"/>
  <c r="K69" i="547" s="1"/>
  <c r="M69" i="547" s="1"/>
  <c r="J69" i="547" a="1"/>
  <c r="J69" i="547" s="1"/>
  <c r="H69" i="547"/>
  <c r="K68" i="547" a="1"/>
  <c r="K68" i="547" s="1"/>
  <c r="H68" i="547"/>
  <c r="K67" i="547"/>
  <c r="K67" i="547" a="1"/>
  <c r="H67" i="547"/>
  <c r="V66" i="547"/>
  <c r="W66" i="547" s="1"/>
  <c r="N66" i="547"/>
  <c r="K66" i="547" a="1"/>
  <c r="K66" i="547" s="1"/>
  <c r="M66" i="547" s="1"/>
  <c r="J66" i="547" a="1"/>
  <c r="J66" i="547" s="1"/>
  <c r="H66" i="547"/>
  <c r="W65" i="547"/>
  <c r="V65" i="547"/>
  <c r="N65" i="547"/>
  <c r="K65" i="547" a="1"/>
  <c r="K65" i="547" s="1"/>
  <c r="M65" i="547" s="1"/>
  <c r="J65" i="547" a="1"/>
  <c r="J65" i="547" s="1"/>
  <c r="H65" i="547"/>
  <c r="V64" i="547"/>
  <c r="W64" i="547" s="1"/>
  <c r="N64" i="547"/>
  <c r="K64" i="547" a="1"/>
  <c r="K64" i="547" s="1"/>
  <c r="M64" i="547" s="1"/>
  <c r="J64" i="547" a="1"/>
  <c r="J64" i="547" s="1"/>
  <c r="H64" i="547"/>
  <c r="V63" i="547"/>
  <c r="W63" i="547" s="1"/>
  <c r="N63" i="547"/>
  <c r="K63" i="547"/>
  <c r="M63" i="547" s="1"/>
  <c r="K63" i="547" a="1"/>
  <c r="J63" i="547"/>
  <c r="J63" i="547" a="1"/>
  <c r="H63" i="547"/>
  <c r="V62" i="547"/>
  <c r="W62" i="547" s="1"/>
  <c r="N62" i="547"/>
  <c r="K62" i="547" a="1"/>
  <c r="K62" i="547" s="1"/>
  <c r="M62" i="547" s="1"/>
  <c r="J62" i="547" a="1"/>
  <c r="J62" i="547" s="1"/>
  <c r="H62" i="547"/>
  <c r="W61" i="547"/>
  <c r="V61" i="547"/>
  <c r="N61" i="547"/>
  <c r="K61" i="547" a="1"/>
  <c r="K61" i="547" s="1"/>
  <c r="M61" i="547" s="1"/>
  <c r="J61" i="547" a="1"/>
  <c r="J61" i="547" s="1"/>
  <c r="H61" i="547"/>
  <c r="V60" i="547"/>
  <c r="W60" i="547" s="1"/>
  <c r="N60" i="547"/>
  <c r="K60" i="547" a="1"/>
  <c r="K60" i="547" s="1"/>
  <c r="M60" i="547" s="1"/>
  <c r="J60" i="547" a="1"/>
  <c r="J60" i="547" s="1"/>
  <c r="H60" i="547"/>
  <c r="W59" i="547"/>
  <c r="V59" i="547"/>
  <c r="N59" i="547"/>
  <c r="K59" i="547" a="1"/>
  <c r="K59" i="547" s="1"/>
  <c r="M59" i="547" s="1"/>
  <c r="J59" i="547" a="1"/>
  <c r="J59" i="547" s="1"/>
  <c r="H59" i="547"/>
  <c r="V58" i="547"/>
  <c r="W58" i="547" s="1"/>
  <c r="N58" i="547"/>
  <c r="K58" i="547" a="1"/>
  <c r="K58" i="547" s="1"/>
  <c r="M58" i="547" s="1"/>
  <c r="J58" i="547" a="1"/>
  <c r="J58" i="547" s="1"/>
  <c r="H58" i="547"/>
  <c r="V57" i="547"/>
  <c r="W57" i="547" s="1"/>
  <c r="N57" i="547"/>
  <c r="K57" i="547"/>
  <c r="M57" i="547" s="1"/>
  <c r="K57" i="547" a="1"/>
  <c r="J57" i="547" a="1"/>
  <c r="J57" i="547" s="1"/>
  <c r="H57" i="547"/>
  <c r="K56" i="547" a="1"/>
  <c r="K56" i="547" s="1"/>
  <c r="M56" i="547" s="1"/>
  <c r="H56" i="547"/>
  <c r="K55" i="547" a="1"/>
  <c r="K55" i="547" s="1"/>
  <c r="M55" i="547" s="1"/>
  <c r="H55" i="547"/>
  <c r="K54" i="547" a="1"/>
  <c r="K54" i="547" s="1"/>
  <c r="M54" i="547" s="1"/>
  <c r="H54" i="547"/>
  <c r="K53" i="547" a="1"/>
  <c r="K53" i="547" s="1"/>
  <c r="M53" i="547" s="1"/>
  <c r="H53" i="547"/>
  <c r="N52" i="547"/>
  <c r="K52" i="547" a="1"/>
  <c r="K52" i="547" s="1"/>
  <c r="M52" i="547" s="1"/>
  <c r="H52" i="547"/>
  <c r="N51" i="547"/>
  <c r="K51" i="547" a="1"/>
  <c r="K51" i="547" s="1"/>
  <c r="M51" i="547" s="1"/>
  <c r="H51" i="547"/>
  <c r="N50" i="547"/>
  <c r="K50" i="547" a="1"/>
  <c r="K50" i="547" s="1"/>
  <c r="M50" i="547" s="1"/>
  <c r="H50" i="547"/>
  <c r="N49" i="547"/>
  <c r="K49" i="547" a="1"/>
  <c r="K49" i="547" s="1"/>
  <c r="M49" i="547" s="1"/>
  <c r="H49" i="547"/>
  <c r="V48" i="547"/>
  <c r="W48" i="547" s="1"/>
  <c r="N48" i="547"/>
  <c r="K48" i="547" a="1"/>
  <c r="K48" i="547" s="1"/>
  <c r="M48" i="547" s="1"/>
  <c r="J48" i="547" a="1"/>
  <c r="J48" i="547" s="1"/>
  <c r="H48" i="547"/>
  <c r="W47" i="547"/>
  <c r="V47" i="547"/>
  <c r="N47" i="547"/>
  <c r="K47" i="547" a="1"/>
  <c r="K47" i="547" s="1"/>
  <c r="M47" i="547" s="1"/>
  <c r="J47" i="547" a="1"/>
  <c r="J47" i="547" s="1"/>
  <c r="H47" i="547"/>
  <c r="V46" i="547"/>
  <c r="W46" i="547" s="1"/>
  <c r="N46" i="547"/>
  <c r="K46" i="547" a="1"/>
  <c r="K46" i="547" s="1"/>
  <c r="M46" i="547" s="1"/>
  <c r="J46" i="547" a="1"/>
  <c r="J46" i="547" s="1"/>
  <c r="H46" i="547"/>
  <c r="V45" i="547"/>
  <c r="W45" i="547" s="1"/>
  <c r="N45" i="547"/>
  <c r="K45" i="547" a="1"/>
  <c r="K45" i="547" s="1"/>
  <c r="M45" i="547" s="1"/>
  <c r="J45" i="547" a="1"/>
  <c r="J45" i="547" s="1"/>
  <c r="H45" i="547"/>
  <c r="V44" i="547"/>
  <c r="W44" i="547" s="1"/>
  <c r="N44" i="547"/>
  <c r="K44" i="547" a="1"/>
  <c r="K44" i="547" s="1"/>
  <c r="M44" i="547" s="1"/>
  <c r="J44" i="547" a="1"/>
  <c r="J44" i="547" s="1"/>
  <c r="H44" i="547"/>
  <c r="V43" i="547"/>
  <c r="W43" i="547" s="1"/>
  <c r="N43" i="547"/>
  <c r="K43" i="547"/>
  <c r="M43" i="547" s="1"/>
  <c r="K43" i="547" a="1"/>
  <c r="J43" i="547"/>
  <c r="J43" i="547" a="1"/>
  <c r="H43" i="547"/>
  <c r="V42" i="547"/>
  <c r="W42" i="547" s="1"/>
  <c r="N42" i="547"/>
  <c r="K42" i="547" a="1"/>
  <c r="K42" i="547" s="1"/>
  <c r="M42" i="547" s="1"/>
  <c r="J42" i="547" a="1"/>
  <c r="J42" i="547" s="1"/>
  <c r="H42" i="547"/>
  <c r="V41" i="547"/>
  <c r="W41" i="547" s="1"/>
  <c r="N41" i="547"/>
  <c r="K41" i="547" a="1"/>
  <c r="K41" i="547" s="1"/>
  <c r="M41" i="547" s="1"/>
  <c r="J41" i="547" a="1"/>
  <c r="J41" i="547" s="1"/>
  <c r="H41" i="547"/>
  <c r="V40" i="547"/>
  <c r="W40" i="547" s="1"/>
  <c r="N40" i="547"/>
  <c r="K40" i="547" a="1"/>
  <c r="K40" i="547" s="1"/>
  <c r="M40" i="547" s="1"/>
  <c r="J40" i="547" a="1"/>
  <c r="J40" i="547" s="1"/>
  <c r="H40" i="547"/>
  <c r="V39" i="547"/>
  <c r="W39" i="547" s="1"/>
  <c r="N39" i="547"/>
  <c r="K39" i="547" a="1"/>
  <c r="K39" i="547" s="1"/>
  <c r="M39" i="547" s="1"/>
  <c r="J39" i="547" a="1"/>
  <c r="J39" i="547" s="1"/>
  <c r="H39" i="547"/>
  <c r="V38" i="547"/>
  <c r="W38" i="547" s="1"/>
  <c r="N38" i="547"/>
  <c r="K38" i="547" a="1"/>
  <c r="K38" i="547" s="1"/>
  <c r="M38" i="547" s="1"/>
  <c r="J38" i="547" a="1"/>
  <c r="J38" i="547" s="1"/>
  <c r="H38" i="547"/>
  <c r="V37" i="547"/>
  <c r="W37" i="547" s="1"/>
  <c r="N37" i="547"/>
  <c r="K37" i="547"/>
  <c r="M37" i="547" s="1"/>
  <c r="K37" i="547" a="1"/>
  <c r="J37" i="547"/>
  <c r="J37" i="547" a="1"/>
  <c r="H37" i="547"/>
  <c r="H36" i="547"/>
  <c r="H35" i="547"/>
  <c r="H34" i="547"/>
  <c r="W33" i="547"/>
  <c r="V33" i="547"/>
  <c r="N33" i="547"/>
  <c r="K33" i="547" a="1"/>
  <c r="K33" i="547" s="1"/>
  <c r="M33" i="547" s="1"/>
  <c r="J33" i="547" a="1"/>
  <c r="J33" i="547" s="1"/>
  <c r="H33" i="547"/>
  <c r="V32" i="547"/>
  <c r="W32" i="547" s="1"/>
  <c r="N32" i="547"/>
  <c r="K32" i="547" a="1"/>
  <c r="K32" i="547" s="1"/>
  <c r="M32" i="547" s="1"/>
  <c r="J32" i="547" a="1"/>
  <c r="J32" i="547" s="1"/>
  <c r="H32" i="547"/>
  <c r="W31" i="547"/>
  <c r="V31" i="547"/>
  <c r="N31" i="547"/>
  <c r="K31" i="547" a="1"/>
  <c r="K31" i="547" s="1"/>
  <c r="M31" i="547" s="1"/>
  <c r="J31" i="547" a="1"/>
  <c r="J31" i="547" s="1"/>
  <c r="H31" i="547"/>
  <c r="K30" i="547" a="1"/>
  <c r="K30" i="547" s="1"/>
  <c r="H30" i="547"/>
  <c r="W29" i="547"/>
  <c r="V29" i="547"/>
  <c r="V86" i="547" s="1"/>
  <c r="W86" i="547" s="1"/>
  <c r="N29" i="547"/>
  <c r="N86" i="547" s="1"/>
  <c r="K29" i="547" a="1"/>
  <c r="K29" i="547" s="1"/>
  <c r="M29" i="547" s="1"/>
  <c r="J29" i="547" a="1"/>
  <c r="J29" i="547" s="1"/>
  <c r="H29" i="547"/>
  <c r="H86" i="547" s="1"/>
  <c r="AA28" i="547"/>
  <c r="AA164" i="547" s="1"/>
  <c r="Z28" i="547"/>
  <c r="Z164" i="547" s="1"/>
  <c r="Y28" i="547"/>
  <c r="Y164" i="547" s="1"/>
  <c r="X28" i="547"/>
  <c r="X164" i="547" s="1"/>
  <c r="U28" i="547"/>
  <c r="U164" i="547" s="1"/>
  <c r="T28" i="547"/>
  <c r="T164" i="547" s="1"/>
  <c r="S28" i="547"/>
  <c r="S164" i="547" s="1"/>
  <c r="R28" i="547"/>
  <c r="R164" i="547" s="1"/>
  <c r="Q28" i="547"/>
  <c r="Q164" i="547" s="1"/>
  <c r="P28" i="547"/>
  <c r="X167" i="547" s="1"/>
  <c r="O28" i="547"/>
  <c r="O164" i="547" s="1"/>
  <c r="I28" i="547"/>
  <c r="I164" i="547" s="1"/>
  <c r="B172" i="547" s="1"/>
  <c r="G28" i="547"/>
  <c r="C524" i="547" s="1"/>
  <c r="V27" i="547"/>
  <c r="W27" i="547" s="1"/>
  <c r="N27" i="547"/>
  <c r="K27" i="547" a="1"/>
  <c r="K27" i="547" s="1"/>
  <c r="M27" i="547" s="1"/>
  <c r="J27" i="547" a="1"/>
  <c r="J27" i="547" s="1"/>
  <c r="H27" i="547"/>
  <c r="V26" i="547"/>
  <c r="W26" i="547" s="1"/>
  <c r="N26" i="547"/>
  <c r="K26" i="547" a="1"/>
  <c r="K26" i="547" s="1"/>
  <c r="M26" i="547" s="1"/>
  <c r="J26" i="547" a="1"/>
  <c r="J26" i="547" s="1"/>
  <c r="H26" i="547"/>
  <c r="K25" i="547"/>
  <c r="M25" i="547" s="1"/>
  <c r="K25" i="547" a="1"/>
  <c r="J25" i="547" a="1"/>
  <c r="J25" i="547" s="1"/>
  <c r="H25" i="547"/>
  <c r="K24" i="547" a="1"/>
  <c r="K24" i="547" s="1"/>
  <c r="M24" i="547" s="1"/>
  <c r="J24" i="547" a="1"/>
  <c r="J24" i="547" s="1"/>
  <c r="H24" i="547"/>
  <c r="K23" i="547" a="1"/>
  <c r="K23" i="547" s="1"/>
  <c r="M23" i="547" s="1"/>
  <c r="J23" i="547" a="1"/>
  <c r="J23" i="547" s="1"/>
  <c r="H23" i="547"/>
  <c r="K22" i="547" a="1"/>
  <c r="K22" i="547" s="1"/>
  <c r="M22" i="547" s="1"/>
  <c r="J22" i="547" a="1"/>
  <c r="J22" i="547" s="1"/>
  <c r="H22" i="547"/>
  <c r="V21" i="547"/>
  <c r="W21" i="547" s="1"/>
  <c r="N21" i="547"/>
  <c r="K21" i="547"/>
  <c r="M21" i="547" s="1"/>
  <c r="K21" i="547" a="1"/>
  <c r="J21" i="547"/>
  <c r="J21" i="547" a="1"/>
  <c r="H21" i="547"/>
  <c r="V20" i="547"/>
  <c r="W20" i="547" s="1"/>
  <c r="N20" i="547"/>
  <c r="K20" i="547" a="1"/>
  <c r="K20" i="547" s="1"/>
  <c r="M20" i="547" s="1"/>
  <c r="J20" i="547" a="1"/>
  <c r="J20" i="547" s="1"/>
  <c r="H20" i="547"/>
  <c r="W19" i="547"/>
  <c r="V19" i="547"/>
  <c r="N19" i="547"/>
  <c r="K19" i="547" a="1"/>
  <c r="K19" i="547" s="1"/>
  <c r="M19" i="547" s="1"/>
  <c r="J19" i="547" a="1"/>
  <c r="J19" i="547" s="1"/>
  <c r="H19" i="547"/>
  <c r="N18" i="547"/>
  <c r="K18" i="547" a="1"/>
  <c r="K18" i="547" s="1"/>
  <c r="M18" i="547" s="1"/>
  <c r="J18" i="547" a="1"/>
  <c r="J18" i="547" s="1"/>
  <c r="H18" i="547"/>
  <c r="N17" i="547"/>
  <c r="K17" i="547" a="1"/>
  <c r="K17" i="547" s="1"/>
  <c r="M17" i="547" s="1"/>
  <c r="J17" i="547" a="1"/>
  <c r="J17" i="547" s="1"/>
  <c r="H17" i="547"/>
  <c r="V16" i="547"/>
  <c r="W16" i="547" s="1"/>
  <c r="N16" i="547"/>
  <c r="K16" i="547" a="1"/>
  <c r="K16" i="547" s="1"/>
  <c r="M16" i="547" s="1"/>
  <c r="J16" i="547" a="1"/>
  <c r="J16" i="547" s="1"/>
  <c r="H16" i="547"/>
  <c r="W15" i="547"/>
  <c r="V15" i="547"/>
  <c r="N15" i="547"/>
  <c r="K15" i="547"/>
  <c r="M15" i="547" s="1"/>
  <c r="K15" i="547" a="1"/>
  <c r="J15" i="547" a="1"/>
  <c r="J15" i="547" s="1"/>
  <c r="H15" i="547"/>
  <c r="N14" i="547"/>
  <c r="K14" i="547" a="1"/>
  <c r="K14" i="547" s="1"/>
  <c r="M14" i="547" s="1"/>
  <c r="H14" i="547"/>
  <c r="N13" i="547"/>
  <c r="K13" i="547" a="1"/>
  <c r="K13" i="547" s="1"/>
  <c r="M13" i="547" s="1"/>
  <c r="H13" i="547"/>
  <c r="V12" i="547"/>
  <c r="W12" i="547" s="1"/>
  <c r="N12" i="547"/>
  <c r="K12" i="547" a="1"/>
  <c r="K12" i="547" s="1"/>
  <c r="M12" i="547" s="1"/>
  <c r="J12" i="547" a="1"/>
  <c r="J12" i="547" s="1"/>
  <c r="H12" i="547"/>
  <c r="V11" i="547"/>
  <c r="W11" i="547" s="1"/>
  <c r="N11" i="547"/>
  <c r="K11" i="547"/>
  <c r="M11" i="547" s="1"/>
  <c r="K11" i="547" a="1"/>
  <c r="J11" i="547"/>
  <c r="J11" i="547" a="1"/>
  <c r="H11" i="547"/>
  <c r="V10" i="547"/>
  <c r="W10" i="547" s="1"/>
  <c r="N10" i="547"/>
  <c r="K10" i="547" a="1"/>
  <c r="K10" i="547" s="1"/>
  <c r="M10" i="547" s="1"/>
  <c r="J10" i="547" a="1"/>
  <c r="J10" i="547" s="1"/>
  <c r="H10" i="547"/>
  <c r="V9" i="547"/>
  <c r="W9" i="547" s="1"/>
  <c r="N9" i="547"/>
  <c r="K9" i="547" a="1"/>
  <c r="K9" i="547" s="1"/>
  <c r="M9" i="547" s="1"/>
  <c r="J9" i="547" a="1"/>
  <c r="J9" i="547" s="1"/>
  <c r="H9" i="547"/>
  <c r="V8" i="547"/>
  <c r="W8" i="547" s="1"/>
  <c r="N8" i="547"/>
  <c r="K8" i="547" a="1"/>
  <c r="K8" i="547" s="1"/>
  <c r="M8" i="547" s="1"/>
  <c r="J8" i="547" a="1"/>
  <c r="J8" i="547" s="1"/>
  <c r="H8" i="547"/>
  <c r="W7" i="547"/>
  <c r="V7" i="547"/>
  <c r="V28" i="547" s="1"/>
  <c r="N7" i="547"/>
  <c r="N28" i="547" s="1"/>
  <c r="K7" i="547" a="1"/>
  <c r="K7" i="547" s="1"/>
  <c r="M7" i="547" s="1"/>
  <c r="J7" i="547" a="1"/>
  <c r="J7" i="547" s="1"/>
  <c r="H7" i="547"/>
  <c r="H28" i="547" s="1"/>
  <c r="J292" i="547" l="1" a="1"/>
  <c r="J292" i="547" s="1"/>
  <c r="J308" i="547" a="1"/>
  <c r="J308" i="547" s="1"/>
  <c r="J319" i="547" a="1"/>
  <c r="J319" i="547" s="1"/>
  <c r="J257" i="547" a="1"/>
  <c r="J257" i="547" s="1"/>
  <c r="J463" i="547" a="1"/>
  <c r="J463" i="547" s="1"/>
  <c r="T335" i="547"/>
  <c r="X335" i="547"/>
  <c r="Z335" i="547"/>
  <c r="N319" i="547"/>
  <c r="N335" i="547"/>
  <c r="B344" i="547" s="1"/>
  <c r="E344" i="547" s="1"/>
  <c r="N308" i="547"/>
  <c r="W258" i="547"/>
  <c r="H199" i="547"/>
  <c r="C526" i="547"/>
  <c r="G335" i="547"/>
  <c r="J335" i="547" s="1" a="1"/>
  <c r="J335" i="547" s="1"/>
  <c r="M342" i="547" s="1"/>
  <c r="K292" i="547"/>
  <c r="W292" i="547"/>
  <c r="W334" i="547"/>
  <c r="H319" i="547"/>
  <c r="W319" i="547"/>
  <c r="K257" i="547"/>
  <c r="N479" i="547"/>
  <c r="K479" i="547"/>
  <c r="J479" i="547" a="1"/>
  <c r="J479" i="547" s="1"/>
  <c r="R512" i="547"/>
  <c r="H490" i="547"/>
  <c r="H507" i="547" s="1"/>
  <c r="E514" i="547" s="1"/>
  <c r="N463" i="547"/>
  <c r="W429" i="547"/>
  <c r="N370" i="547"/>
  <c r="N507" i="547" s="1"/>
  <c r="B516" i="547" s="1"/>
  <c r="E516" i="547" s="1"/>
  <c r="R171" i="547"/>
  <c r="V148" i="547"/>
  <c r="R169" i="547"/>
  <c r="N137" i="547"/>
  <c r="N121" i="547"/>
  <c r="W87" i="547"/>
  <c r="N164" i="547"/>
  <c r="B173" i="547" s="1"/>
  <c r="M121" i="547"/>
  <c r="H163" i="547"/>
  <c r="H164" i="547" s="1"/>
  <c r="E171" i="547" s="1"/>
  <c r="M86" i="547"/>
  <c r="J148" i="547" a="1"/>
  <c r="J148" i="547" s="1"/>
  <c r="W148" i="547"/>
  <c r="J163" i="547" a="1"/>
  <c r="J163" i="547" s="1"/>
  <c r="M28" i="547"/>
  <c r="W28" i="547"/>
  <c r="K525" i="547"/>
  <c r="K526" i="547"/>
  <c r="K199" i="547"/>
  <c r="M178" i="547"/>
  <c r="M199" i="547" s="1"/>
  <c r="C520" i="547"/>
  <c r="Q525" i="547"/>
  <c r="M122" i="547"/>
  <c r="M137" i="547" s="1"/>
  <c r="K137" i="547"/>
  <c r="K527" i="547"/>
  <c r="K148" i="547"/>
  <c r="M138" i="547"/>
  <c r="M148" i="547" s="1"/>
  <c r="K528" i="547"/>
  <c r="K163" i="547"/>
  <c r="M149" i="547"/>
  <c r="M163" i="547" s="1"/>
  <c r="K529" i="547"/>
  <c r="J28" i="547" a="1"/>
  <c r="J28" i="547" s="1"/>
  <c r="K28" i="547"/>
  <c r="J86" i="547" a="1"/>
  <c r="J86" i="547" s="1"/>
  <c r="K86" i="547"/>
  <c r="J121" i="547" a="1"/>
  <c r="J121" i="547" s="1"/>
  <c r="K121" i="547"/>
  <c r="W122" i="547"/>
  <c r="J137" i="547" a="1"/>
  <c r="J137" i="547" s="1"/>
  <c r="V163" i="547"/>
  <c r="W163" i="547" s="1"/>
  <c r="G164" i="547"/>
  <c r="P164" i="547"/>
  <c r="X168" i="547" s="1"/>
  <c r="X173" i="547" s="1"/>
  <c r="K166" i="547"/>
  <c r="R166" i="547"/>
  <c r="B342" i="547"/>
  <c r="R337" i="547"/>
  <c r="O335" i="547"/>
  <c r="M200" i="547"/>
  <c r="M257" i="547" s="1"/>
  <c r="H334" i="547"/>
  <c r="H335" i="547" s="1"/>
  <c r="E342" i="547" s="1"/>
  <c r="K334" i="547"/>
  <c r="K341" i="547"/>
  <c r="M341" i="547" s="1"/>
  <c r="M337" i="547"/>
  <c r="C530" i="547"/>
  <c r="W178" i="547"/>
  <c r="W199" i="547" s="1"/>
  <c r="J199" i="547" a="1"/>
  <c r="J199" i="547" s="1"/>
  <c r="X338" i="547"/>
  <c r="P335" i="547"/>
  <c r="X339" i="547" s="1"/>
  <c r="K308" i="547"/>
  <c r="M293" i="547"/>
  <c r="M308" i="547" s="1"/>
  <c r="V308" i="547"/>
  <c r="W308" i="547" s="1"/>
  <c r="M349" i="547"/>
  <c r="M370" i="547" s="1"/>
  <c r="K370" i="547"/>
  <c r="K428" i="547"/>
  <c r="M371" i="547"/>
  <c r="M428" i="547" s="1"/>
  <c r="M258" i="547"/>
  <c r="M292" i="547" s="1"/>
  <c r="M309" i="547"/>
  <c r="M319" i="547" s="1"/>
  <c r="M320" i="547"/>
  <c r="M334" i="547" s="1"/>
  <c r="K463" i="547"/>
  <c r="W349" i="547"/>
  <c r="W370" i="547" s="1"/>
  <c r="J370" i="547" a="1"/>
  <c r="J370" i="547" s="1"/>
  <c r="W371" i="547"/>
  <c r="M429" i="547"/>
  <c r="M463" i="547" s="1"/>
  <c r="R511" i="547"/>
  <c r="M464" i="547"/>
  <c r="M479" i="547" s="1"/>
  <c r="W464" i="547"/>
  <c r="V479" i="547"/>
  <c r="W479" i="547" s="1"/>
  <c r="K506" i="547"/>
  <c r="J507" i="547" a="1"/>
  <c r="J507" i="547" s="1"/>
  <c r="M514" i="547" s="1"/>
  <c r="B514" i="547"/>
  <c r="X509" i="547"/>
  <c r="O507" i="547"/>
  <c r="X510" i="547" s="1"/>
  <c r="R509" i="547"/>
  <c r="V490" i="547"/>
  <c r="W490" i="547" s="1"/>
  <c r="W506" i="547"/>
  <c r="V506" i="547"/>
  <c r="K509" i="547"/>
  <c r="R534" i="547"/>
  <c r="S534" i="547" a="1"/>
  <c r="S534" i="547" s="1"/>
  <c r="M480" i="547"/>
  <c r="M490" i="547" s="1"/>
  <c r="M491" i="547"/>
  <c r="M506" i="547" s="1"/>
  <c r="J536" i="547"/>
  <c r="Q533" i="547"/>
  <c r="R535" i="547"/>
  <c r="S535" i="547" a="1"/>
  <c r="S535" i="547" s="1"/>
  <c r="T533" i="547" a="1"/>
  <c r="T533" i="547" s="1"/>
  <c r="T534" i="547" a="1"/>
  <c r="T534" i="547" s="1"/>
  <c r="T535" i="547" a="1"/>
  <c r="T535" i="547" s="1"/>
  <c r="C536" i="547"/>
  <c r="T536" i="547" s="1" a="1"/>
  <c r="T536" i="547" s="1"/>
  <c r="J334" i="546" a="1"/>
  <c r="J334" i="546" s="1"/>
  <c r="J317" i="546" a="1"/>
  <c r="J317" i="546" s="1"/>
  <c r="K317" i="546" a="1"/>
  <c r="K317" i="546" s="1"/>
  <c r="M317" i="546" s="1"/>
  <c r="M287" i="546"/>
  <c r="J287" i="546" a="1"/>
  <c r="J287" i="546" s="1"/>
  <c r="J283" i="546" a="1"/>
  <c r="J283" i="546" s="1"/>
  <c r="J222" i="546"/>
  <c r="J222" i="546" a="1"/>
  <c r="J201" i="546" a="1"/>
  <c r="J201" i="546" s="1"/>
  <c r="M201" i="546"/>
  <c r="K201" i="546" a="1"/>
  <c r="K201" i="546" s="1"/>
  <c r="I211" i="546"/>
  <c r="I212" i="546"/>
  <c r="I317" i="546"/>
  <c r="I306" i="546"/>
  <c r="I307" i="546"/>
  <c r="I186" i="546"/>
  <c r="I283" i="546"/>
  <c r="I287" i="546"/>
  <c r="I202" i="546"/>
  <c r="I200" i="546"/>
  <c r="E524" i="547" l="1"/>
  <c r="C521" i="547"/>
  <c r="G521" i="547" s="1"/>
  <c r="E173" i="547"/>
  <c r="Z167" i="547"/>
  <c r="Z169" i="547"/>
  <c r="Z171" i="547"/>
  <c r="Z170" i="547"/>
  <c r="G519" i="547"/>
  <c r="E528" i="547"/>
  <c r="E526" i="547"/>
  <c r="E529" i="547"/>
  <c r="E527" i="547"/>
  <c r="E525" i="547"/>
  <c r="R533" i="547"/>
  <c r="R536" i="547" s="1"/>
  <c r="Q536" i="547"/>
  <c r="S536" i="547" s="1" a="1"/>
  <c r="S536" i="547" s="1"/>
  <c r="S533" i="547" a="1"/>
  <c r="S533" i="547" s="1"/>
  <c r="M509" i="547"/>
  <c r="K513" i="547"/>
  <c r="M513" i="547" s="1"/>
  <c r="R516" i="547"/>
  <c r="T509" i="547" s="1" a="1"/>
  <c r="T509" i="547" s="1"/>
  <c r="X516" i="547"/>
  <c r="Z509" i="547" a="1"/>
  <c r="Z509" i="547" s="1"/>
  <c r="T511" i="547"/>
  <c r="K507" i="547"/>
  <c r="W335" i="547"/>
  <c r="R344" i="547"/>
  <c r="T337" i="547" s="1" a="1"/>
  <c r="T337" i="547" s="1"/>
  <c r="M166" i="547"/>
  <c r="K170" i="547"/>
  <c r="M170" i="547" s="1"/>
  <c r="J164" i="547" a="1"/>
  <c r="J164" i="547" s="1"/>
  <c r="M171" i="547" s="1"/>
  <c r="B171" i="547"/>
  <c r="C519" i="547" s="1"/>
  <c r="K164" i="547"/>
  <c r="E172" i="547" s="1"/>
  <c r="V335" i="547"/>
  <c r="I344" i="547" s="1"/>
  <c r="M344" i="547" s="1" a="1"/>
  <c r="M344" i="547" s="1"/>
  <c r="K335" i="547"/>
  <c r="V164" i="547"/>
  <c r="I173" i="547" s="1"/>
  <c r="M164" i="547"/>
  <c r="Z510" i="547"/>
  <c r="V507" i="547"/>
  <c r="M507" i="547"/>
  <c r="E530" i="547"/>
  <c r="X344" i="547"/>
  <c r="Z338" i="547" s="1"/>
  <c r="Z172" i="547"/>
  <c r="Z166" i="547" a="1"/>
  <c r="Z166" i="547" s="1"/>
  <c r="K524" i="547"/>
  <c r="R173" i="547"/>
  <c r="T166" i="547" s="1" a="1"/>
  <c r="T166" i="547" s="1"/>
  <c r="Q526" i="547"/>
  <c r="Z168" i="547"/>
  <c r="M335" i="547"/>
  <c r="W164" i="547"/>
  <c r="M173" i="547" l="1" a="1"/>
  <c r="M173" i="547" s="1"/>
  <c r="L164" i="547"/>
  <c r="I171" i="547" s="1"/>
  <c r="T343" i="547"/>
  <c r="T339" i="547"/>
  <c r="T340" i="547"/>
  <c r="T341" i="547"/>
  <c r="T338" i="547"/>
  <c r="T342" i="547"/>
  <c r="Z515" i="547"/>
  <c r="Z512" i="547"/>
  <c r="Z513" i="547"/>
  <c r="Z511" i="547"/>
  <c r="Z514" i="547"/>
  <c r="Q530" i="547"/>
  <c r="S526" i="547" s="1"/>
  <c r="K530" i="547"/>
  <c r="T172" i="547"/>
  <c r="T167" i="547"/>
  <c r="T168" i="547"/>
  <c r="T169" i="547"/>
  <c r="T170" i="547"/>
  <c r="T171" i="547"/>
  <c r="Z342" i="547"/>
  <c r="Z341" i="547"/>
  <c r="Z340" i="547"/>
  <c r="Z343" i="547"/>
  <c r="Z337" i="547" a="1"/>
  <c r="Z337" i="547" s="1"/>
  <c r="Z339" i="547"/>
  <c r="I516" i="547"/>
  <c r="M516" i="547" s="1" a="1"/>
  <c r="M516" i="547" s="1"/>
  <c r="W507" i="547"/>
  <c r="E343" i="547"/>
  <c r="I343" i="547" s="1"/>
  <c r="M343" i="547" s="1"/>
  <c r="L335" i="547"/>
  <c r="I342" i="547" s="1"/>
  <c r="I172" i="547"/>
  <c r="M172" i="547" s="1"/>
  <c r="O519" i="547" a="1"/>
  <c r="O519" i="547" s="1"/>
  <c r="E515" i="547"/>
  <c r="I515" i="547" s="1"/>
  <c r="M515" i="547" s="1"/>
  <c r="L507" i="547"/>
  <c r="I514" i="547" s="1"/>
  <c r="T515" i="547"/>
  <c r="T512" i="547"/>
  <c r="T510" i="547"/>
  <c r="T513" i="547"/>
  <c r="T514" i="547"/>
  <c r="G287" i="546"/>
  <c r="G146" i="546"/>
  <c r="M529" i="547" l="1"/>
  <c r="M527" i="547"/>
  <c r="M526" i="547"/>
  <c r="M528" i="547"/>
  <c r="M525" i="547"/>
  <c r="K521" i="547"/>
  <c r="O521" i="547" s="1" a="1"/>
  <c r="O521" i="547" s="1"/>
  <c r="G520" i="547"/>
  <c r="S528" i="547"/>
  <c r="S524" i="547" a="1"/>
  <c r="S524" i="547" s="1"/>
  <c r="S527" i="547"/>
  <c r="S529" i="547"/>
  <c r="S525" i="547"/>
  <c r="M524" i="547" a="1"/>
  <c r="M524" i="547" s="1"/>
  <c r="G200" i="546"/>
  <c r="G186" i="546"/>
  <c r="G202" i="546"/>
  <c r="G211" i="546"/>
  <c r="G222" i="546"/>
  <c r="G201" i="546"/>
  <c r="S530" i="547" l="1"/>
  <c r="K520" i="547"/>
  <c r="O520" i="547" s="1"/>
  <c r="K519" i="547"/>
  <c r="D534" i="546"/>
  <c r="D535" i="546"/>
  <c r="D533" i="546"/>
  <c r="G317" i="546"/>
  <c r="G283" i="546"/>
  <c r="G323" i="546"/>
  <c r="G306" i="546"/>
  <c r="G178" i="546"/>
  <c r="G307" i="546"/>
  <c r="G212" i="546"/>
  <c r="I150" i="546"/>
  <c r="M145" i="546"/>
  <c r="M144" i="546"/>
  <c r="J146" i="546" a="1"/>
  <c r="J146" i="546" s="1"/>
  <c r="J145" i="546" a="1"/>
  <c r="J145" i="546" s="1"/>
  <c r="J144" i="546" a="1"/>
  <c r="J144" i="546" s="1"/>
  <c r="M116" i="546"/>
  <c r="J116" i="546" a="1"/>
  <c r="J116" i="546" s="1"/>
  <c r="J115" i="546" a="1"/>
  <c r="J115" i="546" s="1"/>
  <c r="J114" i="546" a="1"/>
  <c r="J114" i="546" s="1"/>
  <c r="J113" i="546" a="1"/>
  <c r="J113" i="546" s="1"/>
  <c r="J112" i="546" a="1"/>
  <c r="J112" i="546" s="1"/>
  <c r="M30" i="546"/>
  <c r="J51" i="546" a="1"/>
  <c r="J51" i="546" s="1"/>
  <c r="J30" i="546" a="1"/>
  <c r="J30" i="546" s="1"/>
  <c r="G30" i="546"/>
  <c r="I112" i="546"/>
  <c r="I15" i="546"/>
  <c r="I29" i="546"/>
  <c r="I136" i="546"/>
  <c r="I41" i="546"/>
  <c r="I146" i="546"/>
  <c r="H488" i="543"/>
  <c r="H488" i="542"/>
  <c r="H488" i="541"/>
  <c r="H488" i="544"/>
  <c r="H488" i="545"/>
  <c r="H488" i="434"/>
  <c r="H488" i="508"/>
  <c r="H488" i="505"/>
  <c r="H488" i="489"/>
  <c r="H488" i="546"/>
  <c r="K146" i="543" a="1"/>
  <c r="K146" i="543" s="1"/>
  <c r="K146" i="542" a="1"/>
  <c r="K146" i="542" s="1"/>
  <c r="K146" i="541" a="1"/>
  <c r="K146" i="541" s="1"/>
  <c r="K146" i="544" a="1"/>
  <c r="K146" i="544" s="1"/>
  <c r="K146" i="545" a="1"/>
  <c r="K146" i="545" s="1"/>
  <c r="K146" i="434" a="1"/>
  <c r="K146" i="434" s="1"/>
  <c r="K146" i="508" a="1"/>
  <c r="K146" i="508" s="1"/>
  <c r="K146" i="505" a="1"/>
  <c r="K146" i="505" s="1"/>
  <c r="K146" i="489" a="1"/>
  <c r="K146" i="489" s="1"/>
  <c r="K146" i="546" a="1"/>
  <c r="K146" i="546" s="1"/>
  <c r="M146" i="546" s="1"/>
  <c r="H146" i="543"/>
  <c r="H146" i="542"/>
  <c r="H146" i="541"/>
  <c r="H146" i="544"/>
  <c r="H146" i="545"/>
  <c r="H146" i="434"/>
  <c r="H146" i="508"/>
  <c r="H146" i="489"/>
  <c r="H146" i="546"/>
  <c r="G317" i="489"/>
  <c r="H317" i="489" s="1"/>
  <c r="H317" i="543"/>
  <c r="H317" i="542"/>
  <c r="H317" i="541"/>
  <c r="H317" i="544"/>
  <c r="H317" i="545"/>
  <c r="H317" i="434"/>
  <c r="H317" i="508"/>
  <c r="H317" i="505"/>
  <c r="H317" i="546"/>
  <c r="I144" i="546"/>
  <c r="I116" i="546"/>
  <c r="G218" i="546" l="1"/>
  <c r="G7" i="546"/>
  <c r="G29" i="546"/>
  <c r="G136" i="546"/>
  <c r="G51" i="546"/>
  <c r="G15" i="546"/>
  <c r="G116" i="546"/>
  <c r="G41" i="546"/>
  <c r="G150" i="546"/>
  <c r="G151" i="546"/>
  <c r="P536" i="546"/>
  <c r="O536" i="546"/>
  <c r="N536" i="546"/>
  <c r="M536" i="546"/>
  <c r="L536" i="546"/>
  <c r="K536" i="546"/>
  <c r="I536" i="546"/>
  <c r="H536" i="546"/>
  <c r="G536" i="546"/>
  <c r="F536" i="546"/>
  <c r="E536" i="546"/>
  <c r="D536" i="546"/>
  <c r="C535" i="546"/>
  <c r="J535" i="546" s="1"/>
  <c r="Q535" i="546" s="1"/>
  <c r="C534" i="546"/>
  <c r="J534" i="546" s="1"/>
  <c r="Q534" i="546" s="1"/>
  <c r="C533" i="546"/>
  <c r="J533" i="546" s="1"/>
  <c r="G517" i="546"/>
  <c r="N517" i="546" s="1"/>
  <c r="X515" i="546"/>
  <c r="X514" i="546"/>
  <c r="X513" i="546"/>
  <c r="G513" i="546"/>
  <c r="C513" i="546"/>
  <c r="X512" i="546"/>
  <c r="I512" i="546"/>
  <c r="E512" i="546"/>
  <c r="K512" i="546" s="1"/>
  <c r="M512" i="546" s="1"/>
  <c r="X511" i="546"/>
  <c r="I511" i="546"/>
  <c r="E511" i="546"/>
  <c r="K511" i="546" s="1"/>
  <c r="M511" i="546" s="1"/>
  <c r="I510" i="546"/>
  <c r="E510" i="546"/>
  <c r="K510" i="546" s="1"/>
  <c r="M510" i="546" s="1"/>
  <c r="I509" i="546"/>
  <c r="I513" i="546" s="1"/>
  <c r="E509" i="546"/>
  <c r="K509" i="546" s="1"/>
  <c r="AA506" i="546"/>
  <c r="Z506" i="546"/>
  <c r="Y506" i="546"/>
  <c r="X506" i="546"/>
  <c r="U506" i="546"/>
  <c r="T506" i="546"/>
  <c r="S506" i="546"/>
  <c r="R506" i="546"/>
  <c r="Q506" i="546"/>
  <c r="P506" i="546"/>
  <c r="O506" i="546"/>
  <c r="I506" i="546"/>
  <c r="G506" i="546"/>
  <c r="J506" i="546" s="1" a="1"/>
  <c r="J506" i="546" s="1"/>
  <c r="H505" i="546"/>
  <c r="H504" i="546"/>
  <c r="H503" i="546"/>
  <c r="D502" i="546"/>
  <c r="H502" i="546" s="1"/>
  <c r="V501" i="546"/>
  <c r="W501" i="546" s="1"/>
  <c r="N501" i="546"/>
  <c r="K501" i="546" a="1"/>
  <c r="K501" i="546" s="1"/>
  <c r="M501" i="546" s="1"/>
  <c r="J501" i="546" a="1"/>
  <c r="J501" i="546" s="1"/>
  <c r="H501" i="546"/>
  <c r="H500" i="546"/>
  <c r="H499" i="546"/>
  <c r="V498" i="546"/>
  <c r="W498" i="546" s="1"/>
  <c r="N498" i="546"/>
  <c r="K498" i="546" a="1"/>
  <c r="K498" i="546" s="1"/>
  <c r="M498" i="546" s="1"/>
  <c r="J498" i="546" a="1"/>
  <c r="J498" i="546" s="1"/>
  <c r="H498" i="546"/>
  <c r="V497" i="546"/>
  <c r="W497" i="546" s="1"/>
  <c r="N497" i="546"/>
  <c r="K497" i="546"/>
  <c r="M497" i="546" s="1"/>
  <c r="K497" i="546" a="1"/>
  <c r="J497" i="546"/>
  <c r="J497" i="546" a="1"/>
  <c r="H497" i="546"/>
  <c r="H496" i="546"/>
  <c r="H495" i="546"/>
  <c r="V494" i="546"/>
  <c r="W494" i="546" s="1"/>
  <c r="N494" i="546"/>
  <c r="K494" i="546" a="1"/>
  <c r="K494" i="546" s="1"/>
  <c r="M494" i="546" s="1"/>
  <c r="J494" i="546" a="1"/>
  <c r="J494" i="546" s="1"/>
  <c r="H494" i="546"/>
  <c r="V493" i="546"/>
  <c r="W493" i="546" s="1"/>
  <c r="N493" i="546"/>
  <c r="K493" i="546" a="1"/>
  <c r="K493" i="546" s="1"/>
  <c r="M493" i="546" s="1"/>
  <c r="J493" i="546" a="1"/>
  <c r="J493" i="546" s="1"/>
  <c r="H493" i="546"/>
  <c r="V492" i="546"/>
  <c r="W492" i="546" s="1"/>
  <c r="N492" i="546"/>
  <c r="K492" i="546" a="1"/>
  <c r="K492" i="546" s="1"/>
  <c r="M492" i="546" s="1"/>
  <c r="J492" i="546" a="1"/>
  <c r="J492" i="546" s="1"/>
  <c r="H492" i="546"/>
  <c r="V491" i="546"/>
  <c r="W491" i="546" s="1"/>
  <c r="N491" i="546"/>
  <c r="N506" i="546" s="1"/>
  <c r="K491" i="546"/>
  <c r="K491" i="546" a="1"/>
  <c r="J491" i="546" a="1"/>
  <c r="J491" i="546" s="1"/>
  <c r="H491" i="546"/>
  <c r="H506" i="546" s="1"/>
  <c r="AA490" i="546"/>
  <c r="Z490" i="546"/>
  <c r="Y490" i="546"/>
  <c r="X490" i="546"/>
  <c r="U490" i="546"/>
  <c r="T490" i="546"/>
  <c r="S490" i="546"/>
  <c r="Q490" i="546"/>
  <c r="P490" i="546"/>
  <c r="O490" i="546"/>
  <c r="R513" i="546" s="1"/>
  <c r="I490" i="546"/>
  <c r="G490" i="546"/>
  <c r="J490" i="546" s="1" a="1"/>
  <c r="J490" i="546" s="1"/>
  <c r="V489" i="546"/>
  <c r="W489" i="546" s="1"/>
  <c r="N489" i="546"/>
  <c r="K489" i="546" a="1"/>
  <c r="K489" i="546" s="1"/>
  <c r="M489" i="546" s="1"/>
  <c r="J489" i="546" a="1"/>
  <c r="J489" i="546" s="1"/>
  <c r="H489" i="546"/>
  <c r="H487" i="546"/>
  <c r="H486" i="546"/>
  <c r="H485" i="546"/>
  <c r="V484" i="546"/>
  <c r="W484" i="546" s="1"/>
  <c r="N484" i="546"/>
  <c r="K484" i="546" a="1"/>
  <c r="K484" i="546" s="1"/>
  <c r="M484" i="546" s="1"/>
  <c r="J484" i="546" a="1"/>
  <c r="J484" i="546" s="1"/>
  <c r="H484" i="546"/>
  <c r="V483" i="546"/>
  <c r="W483" i="546" s="1"/>
  <c r="N483" i="546"/>
  <c r="K483" i="546" a="1"/>
  <c r="K483" i="546" s="1"/>
  <c r="M483" i="546" s="1"/>
  <c r="J483" i="546" a="1"/>
  <c r="J483" i="546" s="1"/>
  <c r="H483" i="546"/>
  <c r="V482" i="546"/>
  <c r="W482" i="546" s="1"/>
  <c r="N482" i="546"/>
  <c r="K482" i="546" a="1"/>
  <c r="K482" i="546" s="1"/>
  <c r="M482" i="546" s="1"/>
  <c r="J482" i="546" a="1"/>
  <c r="J482" i="546" s="1"/>
  <c r="H482" i="546"/>
  <c r="V481" i="546"/>
  <c r="W481" i="546" s="1"/>
  <c r="N481" i="546"/>
  <c r="K481" i="546"/>
  <c r="M481" i="546" s="1"/>
  <c r="K481" i="546" a="1"/>
  <c r="J481" i="546"/>
  <c r="J481" i="546" a="1"/>
  <c r="H481" i="546"/>
  <c r="V480" i="546"/>
  <c r="W480" i="546" s="1"/>
  <c r="N480" i="546"/>
  <c r="K480" i="546" a="1"/>
  <c r="K480" i="546" s="1"/>
  <c r="J480" i="546" a="1"/>
  <c r="J480" i="546" s="1"/>
  <c r="H480" i="546"/>
  <c r="H490" i="546" s="1"/>
  <c r="AA479" i="546"/>
  <c r="Z479" i="546"/>
  <c r="Y479" i="546"/>
  <c r="X479" i="546"/>
  <c r="U479" i="546"/>
  <c r="T479" i="546"/>
  <c r="S479" i="546"/>
  <c r="Q479" i="546"/>
  <c r="P479" i="546"/>
  <c r="O479" i="546"/>
  <c r="I479" i="546"/>
  <c r="G479" i="546"/>
  <c r="J479" i="546" s="1" a="1"/>
  <c r="J479" i="546" s="1"/>
  <c r="V478" i="546"/>
  <c r="W478" i="546" s="1"/>
  <c r="N478" i="546"/>
  <c r="K478" i="546" a="1"/>
  <c r="K478" i="546" s="1"/>
  <c r="M478" i="546" s="1"/>
  <c r="J478" i="546" a="1"/>
  <c r="J478" i="546" s="1"/>
  <c r="H478" i="546"/>
  <c r="V477" i="546"/>
  <c r="W477" i="546" s="1"/>
  <c r="N477" i="546"/>
  <c r="K477" i="546" a="1"/>
  <c r="K477" i="546" s="1"/>
  <c r="M477" i="546" s="1"/>
  <c r="J477" i="546" a="1"/>
  <c r="J477" i="546" s="1"/>
  <c r="H477" i="546"/>
  <c r="V476" i="546"/>
  <c r="W476" i="546" s="1"/>
  <c r="N476" i="546"/>
  <c r="K476" i="546" a="1"/>
  <c r="K476" i="546" s="1"/>
  <c r="M476" i="546" s="1"/>
  <c r="J476" i="546" a="1"/>
  <c r="J476" i="546" s="1"/>
  <c r="H476" i="546"/>
  <c r="V475" i="546"/>
  <c r="W475" i="546" s="1"/>
  <c r="N475" i="546"/>
  <c r="K475" i="546" a="1"/>
  <c r="K475" i="546" s="1"/>
  <c r="M475" i="546" s="1"/>
  <c r="J475" i="546" a="1"/>
  <c r="J475" i="546" s="1"/>
  <c r="H475" i="546"/>
  <c r="V474" i="546"/>
  <c r="W474" i="546" s="1"/>
  <c r="N474" i="546"/>
  <c r="K474" i="546"/>
  <c r="M474" i="546" s="1"/>
  <c r="K474" i="546" a="1"/>
  <c r="J474" i="546"/>
  <c r="J474" i="546" a="1"/>
  <c r="H474" i="546"/>
  <c r="V473" i="546"/>
  <c r="W473" i="546" s="1"/>
  <c r="N473" i="546"/>
  <c r="K473" i="546" a="1"/>
  <c r="K473" i="546" s="1"/>
  <c r="M473" i="546" s="1"/>
  <c r="J473" i="546" a="1"/>
  <c r="J473" i="546" s="1"/>
  <c r="H473" i="546"/>
  <c r="V472" i="546"/>
  <c r="W472" i="546" s="1"/>
  <c r="N472" i="546"/>
  <c r="K472" i="546"/>
  <c r="M472" i="546" s="1"/>
  <c r="K472" i="546" a="1"/>
  <c r="J472" i="546"/>
  <c r="J472" i="546" a="1"/>
  <c r="H472" i="546"/>
  <c r="V471" i="546"/>
  <c r="W471" i="546" s="1"/>
  <c r="N471" i="546"/>
  <c r="K471" i="546" a="1"/>
  <c r="K471" i="546" s="1"/>
  <c r="M471" i="546" s="1"/>
  <c r="J471" i="546" a="1"/>
  <c r="J471" i="546" s="1"/>
  <c r="H471" i="546"/>
  <c r="W470" i="546"/>
  <c r="V470" i="546"/>
  <c r="N470" i="546"/>
  <c r="K470" i="546" a="1"/>
  <c r="K470" i="546" s="1"/>
  <c r="M470" i="546" s="1"/>
  <c r="J470" i="546" a="1"/>
  <c r="J470" i="546" s="1"/>
  <c r="H470" i="546"/>
  <c r="V469" i="546"/>
  <c r="W469" i="546" s="1"/>
  <c r="N469" i="546"/>
  <c r="K469" i="546" a="1"/>
  <c r="K469" i="546" s="1"/>
  <c r="M469" i="546" s="1"/>
  <c r="J469" i="546" a="1"/>
  <c r="J469" i="546" s="1"/>
  <c r="H469" i="546"/>
  <c r="V468" i="546"/>
  <c r="W468" i="546" s="1"/>
  <c r="N468" i="546"/>
  <c r="K468" i="546" a="1"/>
  <c r="K468" i="546" s="1"/>
  <c r="M468" i="546" s="1"/>
  <c r="J468" i="546" a="1"/>
  <c r="J468" i="546" s="1"/>
  <c r="H468" i="546"/>
  <c r="V467" i="546"/>
  <c r="W467" i="546" s="1"/>
  <c r="N467" i="546"/>
  <c r="K467" i="546" a="1"/>
  <c r="K467" i="546" s="1"/>
  <c r="M467" i="546" s="1"/>
  <c r="J467" i="546" a="1"/>
  <c r="J467" i="546" s="1"/>
  <c r="H467" i="546"/>
  <c r="V466" i="546"/>
  <c r="W466" i="546" s="1"/>
  <c r="N466" i="546"/>
  <c r="K466" i="546"/>
  <c r="M466" i="546" s="1"/>
  <c r="K466" i="546" a="1"/>
  <c r="J466" i="546"/>
  <c r="J466" i="546" a="1"/>
  <c r="H466" i="546"/>
  <c r="V465" i="546"/>
  <c r="W465" i="546" s="1"/>
  <c r="N465" i="546"/>
  <c r="K465" i="546" a="1"/>
  <c r="K465" i="546" s="1"/>
  <c r="M465" i="546" s="1"/>
  <c r="J465" i="546" a="1"/>
  <c r="J465" i="546" s="1"/>
  <c r="H465" i="546"/>
  <c r="V464" i="546"/>
  <c r="V479" i="546" s="1"/>
  <c r="W479" i="546" s="1"/>
  <c r="N464" i="546"/>
  <c r="K464" i="546"/>
  <c r="K464" i="546" a="1"/>
  <c r="J464" i="546"/>
  <c r="J464" i="546" a="1"/>
  <c r="H464" i="546"/>
  <c r="H479" i="546" s="1"/>
  <c r="AA463" i="546"/>
  <c r="Z463" i="546"/>
  <c r="Y463" i="546"/>
  <c r="X463" i="546"/>
  <c r="U463" i="546"/>
  <c r="T463" i="546"/>
  <c r="S463" i="546"/>
  <c r="R463" i="546"/>
  <c r="Q463" i="546"/>
  <c r="P463" i="546"/>
  <c r="O463" i="546"/>
  <c r="I463" i="546"/>
  <c r="G463" i="546"/>
  <c r="J463" i="546" s="1" a="1"/>
  <c r="J463" i="546" s="1"/>
  <c r="V462" i="546"/>
  <c r="W462" i="546" s="1"/>
  <c r="N462" i="546"/>
  <c r="K462" i="546" a="1"/>
  <c r="K462" i="546" s="1"/>
  <c r="M462" i="546" s="1"/>
  <c r="J462" i="546" a="1"/>
  <c r="J462" i="546" s="1"/>
  <c r="H462" i="546"/>
  <c r="V461" i="546"/>
  <c r="W461" i="546" s="1"/>
  <c r="N461" i="546"/>
  <c r="K461" i="546" a="1"/>
  <c r="K461" i="546" s="1"/>
  <c r="M461" i="546" s="1"/>
  <c r="J461" i="546" a="1"/>
  <c r="J461" i="546" s="1"/>
  <c r="H461" i="546"/>
  <c r="V460" i="546"/>
  <c r="W460" i="546" s="1"/>
  <c r="N460" i="546"/>
  <c r="K460" i="546"/>
  <c r="M460" i="546" s="1"/>
  <c r="K460" i="546" a="1"/>
  <c r="J460" i="546"/>
  <c r="J460" i="546" a="1"/>
  <c r="H460" i="546"/>
  <c r="K459" i="546" a="1"/>
  <c r="K459" i="546" s="1"/>
  <c r="M459" i="546" s="1"/>
  <c r="H459" i="546"/>
  <c r="K458" i="546"/>
  <c r="M458" i="546" s="1"/>
  <c r="K458" i="546" a="1"/>
  <c r="H458" i="546"/>
  <c r="K457" i="546" a="1"/>
  <c r="K457" i="546" s="1"/>
  <c r="M457" i="546" s="1"/>
  <c r="H457" i="546"/>
  <c r="V456" i="546"/>
  <c r="W456" i="546" s="1"/>
  <c r="N456" i="546"/>
  <c r="K456" i="546" a="1"/>
  <c r="K456" i="546" s="1"/>
  <c r="M456" i="546" s="1"/>
  <c r="J456" i="546" a="1"/>
  <c r="J456" i="546" s="1"/>
  <c r="H456" i="546"/>
  <c r="V455" i="546"/>
  <c r="W455" i="546" s="1"/>
  <c r="N455" i="546"/>
  <c r="K455" i="546" a="1"/>
  <c r="K455" i="546" s="1"/>
  <c r="M455" i="546" s="1"/>
  <c r="J455" i="546" a="1"/>
  <c r="J455" i="546" s="1"/>
  <c r="H455" i="546"/>
  <c r="N454" i="546"/>
  <c r="K454" i="546" a="1"/>
  <c r="K454" i="546" s="1"/>
  <c r="M454" i="546" s="1"/>
  <c r="H454" i="546"/>
  <c r="N453" i="546"/>
  <c r="K453" i="546"/>
  <c r="M453" i="546" s="1"/>
  <c r="K453" i="546" a="1"/>
  <c r="H453" i="546"/>
  <c r="N452" i="546"/>
  <c r="K452" i="546" a="1"/>
  <c r="K452" i="546" s="1"/>
  <c r="M452" i="546" s="1"/>
  <c r="H452" i="546"/>
  <c r="N451" i="546"/>
  <c r="K451" i="546" a="1"/>
  <c r="K451" i="546" s="1"/>
  <c r="M451" i="546" s="1"/>
  <c r="H451" i="546"/>
  <c r="N450" i="546"/>
  <c r="K450" i="546" a="1"/>
  <c r="K450" i="546" s="1"/>
  <c r="M450" i="546" s="1"/>
  <c r="H450" i="546"/>
  <c r="N449" i="546"/>
  <c r="K449" i="546" a="1"/>
  <c r="K449" i="546" s="1"/>
  <c r="M449" i="546" s="1"/>
  <c r="H449" i="546"/>
  <c r="V448" i="546"/>
  <c r="W448" i="546" s="1"/>
  <c r="N448" i="546"/>
  <c r="K448" i="546" a="1"/>
  <c r="K448" i="546" s="1"/>
  <c r="M448" i="546" s="1"/>
  <c r="J448" i="546" a="1"/>
  <c r="J448" i="546" s="1"/>
  <c r="H448" i="546"/>
  <c r="V447" i="546"/>
  <c r="W447" i="546" s="1"/>
  <c r="N447" i="546"/>
  <c r="K447" i="546"/>
  <c r="M447" i="546" s="1"/>
  <c r="K447" i="546" a="1"/>
  <c r="J447" i="546"/>
  <c r="J447" i="546" a="1"/>
  <c r="H447" i="546"/>
  <c r="V446" i="546"/>
  <c r="W446" i="546" s="1"/>
  <c r="N446" i="546"/>
  <c r="K446" i="546" a="1"/>
  <c r="K446" i="546" s="1"/>
  <c r="M446" i="546" s="1"/>
  <c r="J446" i="546" a="1"/>
  <c r="J446" i="546" s="1"/>
  <c r="H446" i="546"/>
  <c r="V445" i="546"/>
  <c r="W445" i="546" s="1"/>
  <c r="N445" i="546"/>
  <c r="K445" i="546"/>
  <c r="M445" i="546" s="1"/>
  <c r="K445" i="546" a="1"/>
  <c r="J445" i="546"/>
  <c r="J445" i="546" a="1"/>
  <c r="H445" i="546"/>
  <c r="V444" i="546"/>
  <c r="W444" i="546" s="1"/>
  <c r="N444" i="546"/>
  <c r="K444" i="546" a="1"/>
  <c r="K444" i="546" s="1"/>
  <c r="M444" i="546" s="1"/>
  <c r="J444" i="546" a="1"/>
  <c r="J444" i="546" s="1"/>
  <c r="H444" i="546"/>
  <c r="V443" i="546"/>
  <c r="W443" i="546" s="1"/>
  <c r="N443" i="546"/>
  <c r="K443" i="546" a="1"/>
  <c r="K443" i="546" s="1"/>
  <c r="M443" i="546" s="1"/>
  <c r="J443" i="546" a="1"/>
  <c r="J443" i="546" s="1"/>
  <c r="H443" i="546"/>
  <c r="V442" i="546"/>
  <c r="W442" i="546" s="1"/>
  <c r="N442" i="546"/>
  <c r="K442" i="546" a="1"/>
  <c r="K442" i="546" s="1"/>
  <c r="M442" i="546" s="1"/>
  <c r="J442" i="546" a="1"/>
  <c r="J442" i="546" s="1"/>
  <c r="H442" i="546"/>
  <c r="V441" i="546"/>
  <c r="W441" i="546" s="1"/>
  <c r="N441" i="546"/>
  <c r="K441" i="546"/>
  <c r="M441" i="546" s="1"/>
  <c r="K441" i="546" a="1"/>
  <c r="J441" i="546"/>
  <c r="J441" i="546" a="1"/>
  <c r="H441" i="546"/>
  <c r="V440" i="546"/>
  <c r="W440" i="546" s="1"/>
  <c r="N440" i="546"/>
  <c r="K440" i="546" a="1"/>
  <c r="K440" i="546" s="1"/>
  <c r="M440" i="546" s="1"/>
  <c r="J440" i="546" a="1"/>
  <c r="J440" i="546" s="1"/>
  <c r="H440" i="546"/>
  <c r="W439" i="546"/>
  <c r="V439" i="546"/>
  <c r="N439" i="546"/>
  <c r="K439" i="546" a="1"/>
  <c r="K439" i="546" s="1"/>
  <c r="M439" i="546" s="1"/>
  <c r="J439" i="546" a="1"/>
  <c r="J439" i="546" s="1"/>
  <c r="H439" i="546"/>
  <c r="V438" i="546"/>
  <c r="W438" i="546" s="1"/>
  <c r="N438" i="546"/>
  <c r="K438" i="546" a="1"/>
  <c r="K438" i="546" s="1"/>
  <c r="M438" i="546" s="1"/>
  <c r="J438" i="546" a="1"/>
  <c r="J438" i="546" s="1"/>
  <c r="H438" i="546"/>
  <c r="V437" i="546"/>
  <c r="W437" i="546" s="1"/>
  <c r="N437" i="546"/>
  <c r="K437" i="546"/>
  <c r="M437" i="546" s="1"/>
  <c r="K437" i="546" a="1"/>
  <c r="J437" i="546"/>
  <c r="J437" i="546" a="1"/>
  <c r="H437" i="546"/>
  <c r="N436" i="546"/>
  <c r="K436" i="546" a="1"/>
  <c r="K436" i="546" s="1"/>
  <c r="M436" i="546" s="1"/>
  <c r="H436" i="546"/>
  <c r="V435" i="546"/>
  <c r="W435" i="546" s="1"/>
  <c r="N435" i="546"/>
  <c r="K435" i="546"/>
  <c r="M435" i="546" s="1"/>
  <c r="K435" i="546" a="1"/>
  <c r="J435" i="546"/>
  <c r="J435" i="546" a="1"/>
  <c r="H435" i="546"/>
  <c r="V434" i="546"/>
  <c r="W434" i="546" s="1"/>
  <c r="N434" i="546"/>
  <c r="K434" i="546" a="1"/>
  <c r="K434" i="546" s="1"/>
  <c r="M434" i="546" s="1"/>
  <c r="J434" i="546" a="1"/>
  <c r="J434" i="546" s="1"/>
  <c r="H434" i="546"/>
  <c r="V433" i="546"/>
  <c r="W433" i="546" s="1"/>
  <c r="N433" i="546"/>
  <c r="K433" i="546"/>
  <c r="M433" i="546" s="1"/>
  <c r="K433" i="546" a="1"/>
  <c r="J433" i="546"/>
  <c r="J433" i="546" a="1"/>
  <c r="H433" i="546"/>
  <c r="V432" i="546"/>
  <c r="W432" i="546" s="1"/>
  <c r="N432" i="546"/>
  <c r="K432" i="546" a="1"/>
  <c r="K432" i="546" s="1"/>
  <c r="M432" i="546" s="1"/>
  <c r="J432" i="546" a="1"/>
  <c r="J432" i="546" s="1"/>
  <c r="H432" i="546"/>
  <c r="V431" i="546"/>
  <c r="W431" i="546" s="1"/>
  <c r="N431" i="546"/>
  <c r="K431" i="546" a="1"/>
  <c r="K431" i="546" s="1"/>
  <c r="M431" i="546" s="1"/>
  <c r="J431" i="546" a="1"/>
  <c r="J431" i="546" s="1"/>
  <c r="H431" i="546"/>
  <c r="V430" i="546"/>
  <c r="W430" i="546" s="1"/>
  <c r="N430" i="546"/>
  <c r="K430" i="546" a="1"/>
  <c r="K430" i="546" s="1"/>
  <c r="M430" i="546" s="1"/>
  <c r="J430" i="546" a="1"/>
  <c r="J430" i="546" s="1"/>
  <c r="H430" i="546"/>
  <c r="V429" i="546"/>
  <c r="V463" i="546" s="1"/>
  <c r="W463" i="546" s="1"/>
  <c r="N429" i="546"/>
  <c r="N463" i="546" s="1"/>
  <c r="K429" i="546" a="1"/>
  <c r="K429" i="546" s="1"/>
  <c r="K463" i="546" s="1"/>
  <c r="J429" i="546" a="1"/>
  <c r="J429" i="546" s="1"/>
  <c r="H429" i="546"/>
  <c r="H463" i="546" s="1"/>
  <c r="AA428" i="546"/>
  <c r="Z428" i="546"/>
  <c r="Y428" i="546"/>
  <c r="X428" i="546"/>
  <c r="U428" i="546"/>
  <c r="T428" i="546"/>
  <c r="S428" i="546"/>
  <c r="R428" i="546"/>
  <c r="Q428" i="546"/>
  <c r="P428" i="546"/>
  <c r="O428" i="546"/>
  <c r="R510" i="546" s="1"/>
  <c r="I428" i="546"/>
  <c r="G428" i="546"/>
  <c r="J428" i="546" s="1" a="1"/>
  <c r="J428" i="546" s="1"/>
  <c r="K427" i="546" a="1"/>
  <c r="K427" i="546" s="1"/>
  <c r="M427" i="546" s="1"/>
  <c r="H427" i="546"/>
  <c r="K426" i="546"/>
  <c r="M426" i="546" s="1"/>
  <c r="K426" i="546" a="1"/>
  <c r="H426" i="546"/>
  <c r="K425" i="546" a="1"/>
  <c r="K425" i="546" s="1"/>
  <c r="M425" i="546" s="1"/>
  <c r="H425" i="546"/>
  <c r="K424" i="546"/>
  <c r="M424" i="546" s="1"/>
  <c r="K424" i="546" a="1"/>
  <c r="H424" i="546"/>
  <c r="K423" i="546" a="1"/>
  <c r="K423" i="546" s="1"/>
  <c r="M423" i="546" s="1"/>
  <c r="H423" i="546"/>
  <c r="K422" i="546" a="1"/>
  <c r="K422" i="546" s="1"/>
  <c r="M422" i="546" s="1"/>
  <c r="H422" i="546"/>
  <c r="K421" i="546" a="1"/>
  <c r="K421" i="546" s="1"/>
  <c r="M421" i="546" s="1"/>
  <c r="H421" i="546"/>
  <c r="K420" i="546" a="1"/>
  <c r="K420" i="546" s="1"/>
  <c r="M420" i="546" s="1"/>
  <c r="H420" i="546"/>
  <c r="K419" i="546" a="1"/>
  <c r="K419" i="546" s="1"/>
  <c r="M419" i="546" s="1"/>
  <c r="H419" i="546"/>
  <c r="K418" i="546" a="1"/>
  <c r="K418" i="546" s="1"/>
  <c r="M418" i="546" s="1"/>
  <c r="H418" i="546"/>
  <c r="W417" i="546"/>
  <c r="V417" i="546"/>
  <c r="N417" i="546"/>
  <c r="K417" i="546" a="1"/>
  <c r="K417" i="546" s="1"/>
  <c r="M417" i="546" s="1"/>
  <c r="J417" i="546" a="1"/>
  <c r="J417" i="546" s="1"/>
  <c r="H417" i="546"/>
  <c r="V416" i="546"/>
  <c r="W416" i="546" s="1"/>
  <c r="N416" i="546"/>
  <c r="K416" i="546" a="1"/>
  <c r="K416" i="546" s="1"/>
  <c r="M416" i="546" s="1"/>
  <c r="J416" i="546" a="1"/>
  <c r="J416" i="546" s="1"/>
  <c r="H416" i="546"/>
  <c r="V415" i="546"/>
  <c r="W415" i="546" s="1"/>
  <c r="N415" i="546"/>
  <c r="K415" i="546" a="1"/>
  <c r="K415" i="546" s="1"/>
  <c r="M415" i="546" s="1"/>
  <c r="J415" i="546" a="1"/>
  <c r="J415" i="546" s="1"/>
  <c r="H415" i="546"/>
  <c r="V414" i="546"/>
  <c r="W414" i="546" s="1"/>
  <c r="N414" i="546"/>
  <c r="K414" i="546" a="1"/>
  <c r="K414" i="546" s="1"/>
  <c r="M414" i="546" s="1"/>
  <c r="J414" i="546" a="1"/>
  <c r="J414" i="546" s="1"/>
  <c r="H414" i="546"/>
  <c r="H413" i="546"/>
  <c r="V412" i="546"/>
  <c r="W412" i="546" s="1"/>
  <c r="N412" i="546"/>
  <c r="K412" i="546" a="1"/>
  <c r="K412" i="546" s="1"/>
  <c r="M412" i="546" s="1"/>
  <c r="J412" i="546" a="1"/>
  <c r="J412" i="546" s="1"/>
  <c r="H412" i="546"/>
  <c r="V411" i="546"/>
  <c r="W411" i="546" s="1"/>
  <c r="N411" i="546"/>
  <c r="K411" i="546" a="1"/>
  <c r="K411" i="546" s="1"/>
  <c r="M411" i="546" s="1"/>
  <c r="J411" i="546" a="1"/>
  <c r="J411" i="546" s="1"/>
  <c r="H411" i="546"/>
  <c r="H410" i="546"/>
  <c r="K409" i="546" a="1"/>
  <c r="K409" i="546" s="1"/>
  <c r="H409" i="546"/>
  <c r="V408" i="546"/>
  <c r="W408" i="546" s="1"/>
  <c r="N408" i="546"/>
  <c r="K408" i="546" a="1"/>
  <c r="K408" i="546" s="1"/>
  <c r="M408" i="546" s="1"/>
  <c r="J408" i="546" a="1"/>
  <c r="J408" i="546" s="1"/>
  <c r="H408" i="546"/>
  <c r="V407" i="546"/>
  <c r="W407" i="546" s="1"/>
  <c r="N407" i="546"/>
  <c r="K407" i="546" a="1"/>
  <c r="K407" i="546" s="1"/>
  <c r="M407" i="546" s="1"/>
  <c r="J407" i="546" a="1"/>
  <c r="J407" i="546" s="1"/>
  <c r="H407" i="546"/>
  <c r="V406" i="546"/>
  <c r="W406" i="546" s="1"/>
  <c r="N406" i="546"/>
  <c r="K406" i="546" a="1"/>
  <c r="K406" i="546" s="1"/>
  <c r="M406" i="546" s="1"/>
  <c r="J406" i="546" a="1"/>
  <c r="J406" i="546" s="1"/>
  <c r="H406" i="546"/>
  <c r="V405" i="546"/>
  <c r="W405" i="546" s="1"/>
  <c r="N405" i="546"/>
  <c r="K405" i="546" a="1"/>
  <c r="K405" i="546" s="1"/>
  <c r="M405" i="546" s="1"/>
  <c r="J405" i="546" a="1"/>
  <c r="J405" i="546" s="1"/>
  <c r="H405" i="546"/>
  <c r="V404" i="546"/>
  <c r="W404" i="546" s="1"/>
  <c r="N404" i="546"/>
  <c r="K404" i="546" a="1"/>
  <c r="K404" i="546" s="1"/>
  <c r="M404" i="546" s="1"/>
  <c r="J404" i="546" a="1"/>
  <c r="J404" i="546" s="1"/>
  <c r="H404" i="546"/>
  <c r="V403" i="546"/>
  <c r="W403" i="546" s="1"/>
  <c r="N403" i="546"/>
  <c r="K403" i="546" a="1"/>
  <c r="K403" i="546" s="1"/>
  <c r="M403" i="546" s="1"/>
  <c r="J403" i="546" a="1"/>
  <c r="J403" i="546" s="1"/>
  <c r="H403" i="546"/>
  <c r="V402" i="546"/>
  <c r="W402" i="546" s="1"/>
  <c r="N402" i="546"/>
  <c r="K402" i="546" a="1"/>
  <c r="K402" i="546" s="1"/>
  <c r="M402" i="546" s="1"/>
  <c r="J402" i="546" a="1"/>
  <c r="J402" i="546" s="1"/>
  <c r="H402" i="546"/>
  <c r="V401" i="546"/>
  <c r="W401" i="546" s="1"/>
  <c r="N401" i="546"/>
  <c r="K401" i="546" a="1"/>
  <c r="K401" i="546" s="1"/>
  <c r="M401" i="546" s="1"/>
  <c r="J401" i="546" a="1"/>
  <c r="J401" i="546" s="1"/>
  <c r="H401" i="546"/>
  <c r="V400" i="546"/>
  <c r="W400" i="546" s="1"/>
  <c r="N400" i="546"/>
  <c r="K400" i="546" a="1"/>
  <c r="K400" i="546" s="1"/>
  <c r="M400" i="546" s="1"/>
  <c r="J400" i="546" a="1"/>
  <c r="J400" i="546" s="1"/>
  <c r="H400" i="546"/>
  <c r="V399" i="546"/>
  <c r="W399" i="546" s="1"/>
  <c r="N399" i="546"/>
  <c r="K399" i="546" a="1"/>
  <c r="K399" i="546" s="1"/>
  <c r="M399" i="546" s="1"/>
  <c r="J399" i="546" a="1"/>
  <c r="J399" i="546" s="1"/>
  <c r="H399" i="546"/>
  <c r="K398" i="546"/>
  <c r="M398" i="546" s="1"/>
  <c r="K398" i="546" a="1"/>
  <c r="H398" i="546"/>
  <c r="K397" i="546" a="1"/>
  <c r="K397" i="546" s="1"/>
  <c r="M397" i="546" s="1"/>
  <c r="H397" i="546"/>
  <c r="K396" i="546"/>
  <c r="M396" i="546" s="1"/>
  <c r="K396" i="546" a="1"/>
  <c r="H396" i="546"/>
  <c r="K395" i="546" a="1"/>
  <c r="K395" i="546" s="1"/>
  <c r="M395" i="546" s="1"/>
  <c r="H395" i="546"/>
  <c r="N394" i="546"/>
  <c r="K394" i="546" a="1"/>
  <c r="K394" i="546" s="1"/>
  <c r="M394" i="546" s="1"/>
  <c r="H394" i="546"/>
  <c r="N393" i="546"/>
  <c r="K393" i="546" a="1"/>
  <c r="K393" i="546" s="1"/>
  <c r="M393" i="546" s="1"/>
  <c r="H393" i="546"/>
  <c r="N392" i="546"/>
  <c r="K392" i="546" a="1"/>
  <c r="K392" i="546" s="1"/>
  <c r="M392" i="546" s="1"/>
  <c r="H392" i="546"/>
  <c r="N391" i="546"/>
  <c r="K391" i="546"/>
  <c r="M391" i="546" s="1"/>
  <c r="K391" i="546" a="1"/>
  <c r="H391" i="546"/>
  <c r="V390" i="546"/>
  <c r="W390" i="546" s="1"/>
  <c r="N390" i="546"/>
  <c r="K390" i="546" a="1"/>
  <c r="K390" i="546" s="1"/>
  <c r="M390" i="546" s="1"/>
  <c r="J390" i="546" a="1"/>
  <c r="J390" i="546" s="1"/>
  <c r="H390" i="546"/>
  <c r="V389" i="546"/>
  <c r="W389" i="546" s="1"/>
  <c r="N389" i="546"/>
  <c r="K389" i="546"/>
  <c r="M389" i="546" s="1"/>
  <c r="K389" i="546" a="1"/>
  <c r="J389" i="546"/>
  <c r="J389" i="546" a="1"/>
  <c r="H389" i="546"/>
  <c r="V388" i="546"/>
  <c r="W388" i="546" s="1"/>
  <c r="N388" i="546"/>
  <c r="K388" i="546" a="1"/>
  <c r="K388" i="546" s="1"/>
  <c r="M388" i="546" s="1"/>
  <c r="J388" i="546" a="1"/>
  <c r="J388" i="546" s="1"/>
  <c r="H388" i="546"/>
  <c r="V387" i="546"/>
  <c r="W387" i="546" s="1"/>
  <c r="N387" i="546"/>
  <c r="K387" i="546"/>
  <c r="M387" i="546" s="1"/>
  <c r="K387" i="546" a="1"/>
  <c r="J387" i="546"/>
  <c r="J387" i="546" a="1"/>
  <c r="H387" i="546"/>
  <c r="V386" i="546"/>
  <c r="W386" i="546" s="1"/>
  <c r="N386" i="546"/>
  <c r="K386" i="546" a="1"/>
  <c r="K386" i="546" s="1"/>
  <c r="M386" i="546" s="1"/>
  <c r="J386" i="546" a="1"/>
  <c r="J386" i="546" s="1"/>
  <c r="H386" i="546"/>
  <c r="V385" i="546"/>
  <c r="W385" i="546" s="1"/>
  <c r="N385" i="546"/>
  <c r="K385" i="546"/>
  <c r="M385" i="546" s="1"/>
  <c r="K385" i="546" a="1"/>
  <c r="J385" i="546"/>
  <c r="J385" i="546" a="1"/>
  <c r="H385" i="546"/>
  <c r="V384" i="546"/>
  <c r="W384" i="546" s="1"/>
  <c r="N384" i="546"/>
  <c r="K384" i="546" a="1"/>
  <c r="K384" i="546" s="1"/>
  <c r="M384" i="546" s="1"/>
  <c r="J384" i="546" a="1"/>
  <c r="J384" i="546" s="1"/>
  <c r="H384" i="546"/>
  <c r="V383" i="546"/>
  <c r="W383" i="546" s="1"/>
  <c r="N383" i="546"/>
  <c r="K383" i="546"/>
  <c r="M383" i="546" s="1"/>
  <c r="K383" i="546" a="1"/>
  <c r="J383" i="546"/>
  <c r="J383" i="546" a="1"/>
  <c r="H383" i="546"/>
  <c r="V382" i="546"/>
  <c r="W382" i="546" s="1"/>
  <c r="N382" i="546"/>
  <c r="K382" i="546" a="1"/>
  <c r="K382" i="546" s="1"/>
  <c r="M382" i="546" s="1"/>
  <c r="J382" i="546" a="1"/>
  <c r="J382" i="546" s="1"/>
  <c r="H382" i="546"/>
  <c r="V381" i="546"/>
  <c r="W381" i="546" s="1"/>
  <c r="N381" i="546"/>
  <c r="K381" i="546"/>
  <c r="M381" i="546" s="1"/>
  <c r="K381" i="546" a="1"/>
  <c r="J381" i="546"/>
  <c r="J381" i="546" a="1"/>
  <c r="H381" i="546"/>
  <c r="V380" i="546"/>
  <c r="W380" i="546" s="1"/>
  <c r="N380" i="546"/>
  <c r="K380" i="546" a="1"/>
  <c r="K380" i="546" s="1"/>
  <c r="M380" i="546" s="1"/>
  <c r="J380" i="546" a="1"/>
  <c r="J380" i="546" s="1"/>
  <c r="H380" i="546"/>
  <c r="V379" i="546"/>
  <c r="W379" i="546" s="1"/>
  <c r="N379" i="546"/>
  <c r="K379" i="546"/>
  <c r="M379" i="546" s="1"/>
  <c r="K379" i="546" a="1"/>
  <c r="J379" i="546"/>
  <c r="J379" i="546" a="1"/>
  <c r="H379" i="546"/>
  <c r="K378" i="546" a="1"/>
  <c r="K378" i="546" s="1"/>
  <c r="M378" i="546" s="1"/>
  <c r="H378" i="546"/>
  <c r="K377" i="546" a="1"/>
  <c r="K377" i="546" s="1"/>
  <c r="M377" i="546" s="1"/>
  <c r="H377" i="546"/>
  <c r="K376" i="546" a="1"/>
  <c r="K376" i="546" s="1"/>
  <c r="M376" i="546" s="1"/>
  <c r="H376" i="546"/>
  <c r="W375" i="546"/>
  <c r="V375" i="546"/>
  <c r="N375" i="546"/>
  <c r="K375" i="546" a="1"/>
  <c r="K375" i="546" s="1"/>
  <c r="M375" i="546" s="1"/>
  <c r="J375" i="546" a="1"/>
  <c r="J375" i="546" s="1"/>
  <c r="H375" i="546"/>
  <c r="V374" i="546"/>
  <c r="W374" i="546" s="1"/>
  <c r="N374" i="546"/>
  <c r="K374" i="546" a="1"/>
  <c r="K374" i="546" s="1"/>
  <c r="M374" i="546" s="1"/>
  <c r="J374" i="546" a="1"/>
  <c r="J374" i="546" s="1"/>
  <c r="H374" i="546"/>
  <c r="V373" i="546"/>
  <c r="W373" i="546" s="1"/>
  <c r="N373" i="546"/>
  <c r="K373" i="546" a="1"/>
  <c r="K373" i="546" s="1"/>
  <c r="M373" i="546" s="1"/>
  <c r="J373" i="546" a="1"/>
  <c r="J373" i="546" s="1"/>
  <c r="H373" i="546"/>
  <c r="K372" i="546" a="1"/>
  <c r="K372" i="546" s="1"/>
  <c r="H372" i="546"/>
  <c r="V371" i="546"/>
  <c r="V428" i="546" s="1"/>
  <c r="W428" i="546" s="1"/>
  <c r="N371" i="546"/>
  <c r="K371" i="546"/>
  <c r="K371" i="546" a="1"/>
  <c r="J371" i="546"/>
  <c r="J371" i="546" a="1"/>
  <c r="H371" i="546"/>
  <c r="H428" i="546" s="1"/>
  <c r="AA370" i="546"/>
  <c r="AA507" i="546" s="1"/>
  <c r="Z370" i="546"/>
  <c r="Z507" i="546" s="1"/>
  <c r="Y370" i="546"/>
  <c r="Y507" i="546" s="1"/>
  <c r="X370" i="546"/>
  <c r="X507" i="546" s="1"/>
  <c r="U370" i="546"/>
  <c r="U507" i="546" s="1"/>
  <c r="T370" i="546"/>
  <c r="T507" i="546" s="1"/>
  <c r="S370" i="546"/>
  <c r="S507" i="546" s="1"/>
  <c r="R370" i="546"/>
  <c r="R507" i="546" s="1"/>
  <c r="Q370" i="546"/>
  <c r="Q507" i="546" s="1"/>
  <c r="P370" i="546"/>
  <c r="P507" i="546" s="1"/>
  <c r="O370" i="546"/>
  <c r="I370" i="546"/>
  <c r="I507" i="546" s="1"/>
  <c r="B515" i="546" s="1"/>
  <c r="G370" i="546"/>
  <c r="G507" i="546" s="1"/>
  <c r="V369" i="546"/>
  <c r="W369" i="546" s="1"/>
  <c r="N369" i="546"/>
  <c r="K369" i="546" a="1"/>
  <c r="K369" i="546" s="1"/>
  <c r="M369" i="546" s="1"/>
  <c r="J369" i="546" a="1"/>
  <c r="J369" i="546" s="1"/>
  <c r="H369" i="546"/>
  <c r="V368" i="546"/>
  <c r="W368" i="546" s="1"/>
  <c r="N368" i="546"/>
  <c r="K368" i="546" a="1"/>
  <c r="K368" i="546" s="1"/>
  <c r="M368" i="546" s="1"/>
  <c r="J368" i="546" a="1"/>
  <c r="J368" i="546" s="1"/>
  <c r="H368" i="546"/>
  <c r="K367" i="546"/>
  <c r="M367" i="546" s="1"/>
  <c r="K367" i="546" a="1"/>
  <c r="H367" i="546"/>
  <c r="K366" i="546" a="1"/>
  <c r="K366" i="546" s="1"/>
  <c r="M366" i="546" s="1"/>
  <c r="H366" i="546"/>
  <c r="K365" i="546" a="1"/>
  <c r="K365" i="546" s="1"/>
  <c r="M365" i="546" s="1"/>
  <c r="H365" i="546"/>
  <c r="K364" i="546" a="1"/>
  <c r="K364" i="546" s="1"/>
  <c r="M364" i="546" s="1"/>
  <c r="H364" i="546"/>
  <c r="V363" i="546"/>
  <c r="W363" i="546" s="1"/>
  <c r="N363" i="546"/>
  <c r="K363" i="546"/>
  <c r="M363" i="546" s="1"/>
  <c r="K363" i="546" a="1"/>
  <c r="J363" i="546"/>
  <c r="J363" i="546" a="1"/>
  <c r="H363" i="546"/>
  <c r="V362" i="546"/>
  <c r="W362" i="546" s="1"/>
  <c r="N362" i="546"/>
  <c r="K362" i="546" a="1"/>
  <c r="K362" i="546" s="1"/>
  <c r="M362" i="546" s="1"/>
  <c r="J362" i="546" a="1"/>
  <c r="J362" i="546" s="1"/>
  <c r="H362" i="546"/>
  <c r="V361" i="546"/>
  <c r="W361" i="546" s="1"/>
  <c r="N361" i="546"/>
  <c r="K361" i="546"/>
  <c r="M361" i="546" s="1"/>
  <c r="K361" i="546" a="1"/>
  <c r="J361" i="546"/>
  <c r="J361" i="546" a="1"/>
  <c r="H361" i="546"/>
  <c r="H360" i="546"/>
  <c r="H359" i="546"/>
  <c r="V358" i="546"/>
  <c r="W358" i="546" s="1"/>
  <c r="N358" i="546"/>
  <c r="K358" i="546" a="1"/>
  <c r="K358" i="546" s="1"/>
  <c r="M358" i="546" s="1"/>
  <c r="J358" i="546" a="1"/>
  <c r="J358" i="546" s="1"/>
  <c r="H358" i="546"/>
  <c r="W357" i="546"/>
  <c r="V357" i="546"/>
  <c r="N357" i="546"/>
  <c r="K357" i="546" a="1"/>
  <c r="K357" i="546" s="1"/>
  <c r="M357" i="546" s="1"/>
  <c r="J357" i="546" a="1"/>
  <c r="J357" i="546" s="1"/>
  <c r="H357" i="546"/>
  <c r="K356" i="546" a="1"/>
  <c r="K356" i="546" s="1"/>
  <c r="M356" i="546" s="1"/>
  <c r="H356" i="546"/>
  <c r="K355" i="546" a="1"/>
  <c r="K355" i="546" s="1"/>
  <c r="M355" i="546" s="1"/>
  <c r="H355" i="546"/>
  <c r="V354" i="546"/>
  <c r="W354" i="546" s="1"/>
  <c r="N354" i="546"/>
  <c r="K354" i="546"/>
  <c r="M354" i="546" s="1"/>
  <c r="K354" i="546" a="1"/>
  <c r="J354" i="546" a="1"/>
  <c r="J354" i="546" s="1"/>
  <c r="H354" i="546"/>
  <c r="W353" i="546"/>
  <c r="V353" i="546"/>
  <c r="N353" i="546"/>
  <c r="K353" i="546" a="1"/>
  <c r="K353" i="546" s="1"/>
  <c r="M353" i="546" s="1"/>
  <c r="J353" i="546" a="1"/>
  <c r="J353" i="546" s="1"/>
  <c r="H353" i="546"/>
  <c r="V352" i="546"/>
  <c r="W352" i="546" s="1"/>
  <c r="N352" i="546"/>
  <c r="K352" i="546" a="1"/>
  <c r="K352" i="546" s="1"/>
  <c r="M352" i="546" s="1"/>
  <c r="J352" i="546" a="1"/>
  <c r="J352" i="546" s="1"/>
  <c r="H352" i="546"/>
  <c r="V351" i="546"/>
  <c r="W351" i="546" s="1"/>
  <c r="N351" i="546"/>
  <c r="K351" i="546" a="1"/>
  <c r="K351" i="546" s="1"/>
  <c r="M351" i="546" s="1"/>
  <c r="J351" i="546" a="1"/>
  <c r="J351" i="546" s="1"/>
  <c r="H351" i="546"/>
  <c r="V350" i="546"/>
  <c r="W350" i="546" s="1"/>
  <c r="N350" i="546"/>
  <c r="K350" i="546"/>
  <c r="M350" i="546" s="1"/>
  <c r="K350" i="546" a="1"/>
  <c r="J350" i="546" a="1"/>
  <c r="J350" i="546" s="1"/>
  <c r="H350" i="546"/>
  <c r="V349" i="546"/>
  <c r="V370" i="546" s="1"/>
  <c r="N349" i="546"/>
  <c r="K349" i="546"/>
  <c r="M349" i="546" s="1"/>
  <c r="K349" i="546" a="1"/>
  <c r="J349" i="546"/>
  <c r="J349" i="546" a="1"/>
  <c r="H349" i="546"/>
  <c r="H370" i="546" s="1"/>
  <c r="H507" i="546" s="1"/>
  <c r="E514" i="546" s="1"/>
  <c r="X343" i="546"/>
  <c r="X342" i="546"/>
  <c r="X341" i="546"/>
  <c r="G341" i="546"/>
  <c r="C341" i="546"/>
  <c r="X340" i="546"/>
  <c r="I340" i="546"/>
  <c r="E340" i="546"/>
  <c r="K340" i="546" s="1"/>
  <c r="M340" i="546" s="1"/>
  <c r="I339" i="546"/>
  <c r="E339" i="546"/>
  <c r="K339" i="546" s="1"/>
  <c r="M339" i="546" s="1"/>
  <c r="I338" i="546"/>
  <c r="E338" i="546"/>
  <c r="K338" i="546" s="1"/>
  <c r="M338" i="546" s="1"/>
  <c r="X337" i="546"/>
  <c r="I337" i="546"/>
  <c r="I341" i="546" s="1"/>
  <c r="E337" i="546"/>
  <c r="AA334" i="546"/>
  <c r="Z334" i="546"/>
  <c r="Y334" i="546"/>
  <c r="X334" i="546"/>
  <c r="U334" i="546"/>
  <c r="T334" i="546"/>
  <c r="S334" i="546"/>
  <c r="R334" i="546"/>
  <c r="Q334" i="546"/>
  <c r="P334" i="546"/>
  <c r="O334" i="546"/>
  <c r="I334" i="546"/>
  <c r="G334" i="546"/>
  <c r="K333" i="546" a="1"/>
  <c r="K333" i="546" s="1"/>
  <c r="H333" i="546"/>
  <c r="K332" i="546" a="1"/>
  <c r="K332" i="546" s="1"/>
  <c r="H332" i="546"/>
  <c r="K331" i="546"/>
  <c r="K331" i="546" a="1"/>
  <c r="H331" i="546"/>
  <c r="V330" i="546"/>
  <c r="W330" i="546" s="1"/>
  <c r="N330" i="546"/>
  <c r="K330" i="546" a="1"/>
  <c r="K330" i="546" s="1"/>
  <c r="H330" i="546"/>
  <c r="D330" i="546"/>
  <c r="H329" i="546"/>
  <c r="K328" i="546" a="1"/>
  <c r="K328" i="546" s="1"/>
  <c r="H328" i="546"/>
  <c r="H327" i="546"/>
  <c r="V326" i="546"/>
  <c r="W326" i="546" s="1"/>
  <c r="N326" i="546"/>
  <c r="K326" i="546" a="1"/>
  <c r="K326" i="546" s="1"/>
  <c r="M326" i="546" s="1"/>
  <c r="J326" i="546" a="1"/>
  <c r="J326" i="546" s="1"/>
  <c r="H326" i="546"/>
  <c r="V325" i="546"/>
  <c r="W325" i="546" s="1"/>
  <c r="N325" i="546"/>
  <c r="K325" i="546"/>
  <c r="M325" i="546" s="1"/>
  <c r="K325" i="546" a="1"/>
  <c r="J325" i="546"/>
  <c r="J325" i="546" a="1"/>
  <c r="H325" i="546"/>
  <c r="H324" i="546"/>
  <c r="W323" i="546"/>
  <c r="V323" i="546"/>
  <c r="N323" i="546"/>
  <c r="K323" i="546" a="1"/>
  <c r="K323" i="546" s="1"/>
  <c r="M323" i="546" s="1"/>
  <c r="J323" i="546" a="1"/>
  <c r="J323" i="546" s="1"/>
  <c r="H323" i="546"/>
  <c r="V322" i="546"/>
  <c r="W322" i="546" s="1"/>
  <c r="N322" i="546"/>
  <c r="K322" i="546" a="1"/>
  <c r="K322" i="546" s="1"/>
  <c r="M322" i="546" s="1"/>
  <c r="J322" i="546" a="1"/>
  <c r="J322" i="546" s="1"/>
  <c r="H322" i="546"/>
  <c r="V321" i="546"/>
  <c r="W321" i="546" s="1"/>
  <c r="N321" i="546"/>
  <c r="K321" i="546"/>
  <c r="M321" i="546" s="1"/>
  <c r="K321" i="546" a="1"/>
  <c r="J321" i="546"/>
  <c r="J321" i="546" a="1"/>
  <c r="H321" i="546"/>
  <c r="V320" i="546"/>
  <c r="W320" i="546" s="1"/>
  <c r="N320" i="546"/>
  <c r="N334" i="546" s="1"/>
  <c r="K320" i="546" a="1"/>
  <c r="K320" i="546" s="1"/>
  <c r="J320" i="546" a="1"/>
  <c r="J320" i="546" s="1"/>
  <c r="H320" i="546"/>
  <c r="H334" i="546" s="1"/>
  <c r="AA319" i="546"/>
  <c r="Z319" i="546"/>
  <c r="Y319" i="546"/>
  <c r="X319" i="546"/>
  <c r="U319" i="546"/>
  <c r="T319" i="546"/>
  <c r="S319" i="546"/>
  <c r="Q319" i="546"/>
  <c r="P319" i="546"/>
  <c r="O319" i="546"/>
  <c r="I319" i="546"/>
  <c r="G319" i="546"/>
  <c r="V318" i="546"/>
  <c r="W318" i="546" s="1"/>
  <c r="N318" i="546"/>
  <c r="K318" i="546"/>
  <c r="M318" i="546" s="1"/>
  <c r="K318" i="546" a="1"/>
  <c r="J318" i="546"/>
  <c r="J318" i="546" a="1"/>
  <c r="H318" i="546"/>
  <c r="H316" i="546"/>
  <c r="H315" i="546"/>
  <c r="H314" i="546"/>
  <c r="V313" i="546"/>
  <c r="W313" i="546" s="1"/>
  <c r="N313" i="546"/>
  <c r="K313" i="546"/>
  <c r="M313" i="546" s="1"/>
  <c r="K313" i="546" a="1"/>
  <c r="J313" i="546"/>
  <c r="J313" i="546" a="1"/>
  <c r="H313" i="546"/>
  <c r="V312" i="546"/>
  <c r="W312" i="546" s="1"/>
  <c r="N312" i="546"/>
  <c r="K312" i="546" a="1"/>
  <c r="K312" i="546" s="1"/>
  <c r="M312" i="546" s="1"/>
  <c r="J312" i="546" a="1"/>
  <c r="J312" i="546" s="1"/>
  <c r="H312" i="546"/>
  <c r="V311" i="546"/>
  <c r="W311" i="546" s="1"/>
  <c r="N311" i="546"/>
  <c r="K311" i="546"/>
  <c r="M311" i="546" s="1"/>
  <c r="K311" i="546" a="1"/>
  <c r="J311" i="546"/>
  <c r="J311" i="546" a="1"/>
  <c r="H311" i="546"/>
  <c r="V310" i="546"/>
  <c r="W310" i="546" s="1"/>
  <c r="N310" i="546"/>
  <c r="K310" i="546" a="1"/>
  <c r="K310" i="546" s="1"/>
  <c r="M310" i="546" s="1"/>
  <c r="J310" i="546" a="1"/>
  <c r="J310" i="546" s="1"/>
  <c r="H310" i="546"/>
  <c r="V309" i="546"/>
  <c r="V319" i="546" s="1"/>
  <c r="N309" i="546"/>
  <c r="N319" i="546" s="1"/>
  <c r="K309" i="546" a="1"/>
  <c r="K309" i="546" s="1"/>
  <c r="M309" i="546" s="1"/>
  <c r="M319" i="546" s="1"/>
  <c r="J309" i="546" a="1"/>
  <c r="J309" i="546" s="1"/>
  <c r="H309" i="546"/>
  <c r="H319" i="546" s="1"/>
  <c r="AA308" i="546"/>
  <c r="Z308" i="546"/>
  <c r="Y308" i="546"/>
  <c r="X308" i="546"/>
  <c r="U308" i="546"/>
  <c r="T308" i="546"/>
  <c r="S308" i="546"/>
  <c r="Q308" i="546"/>
  <c r="P308" i="546"/>
  <c r="O308" i="546"/>
  <c r="R340" i="546" s="1"/>
  <c r="I308" i="546"/>
  <c r="G308" i="546"/>
  <c r="V307" i="546"/>
  <c r="W307" i="546" s="1"/>
  <c r="N307" i="546"/>
  <c r="K307" i="546" a="1"/>
  <c r="K307" i="546" s="1"/>
  <c r="M307" i="546" s="1"/>
  <c r="J307" i="546" a="1"/>
  <c r="J307" i="546" s="1"/>
  <c r="H307" i="546"/>
  <c r="V306" i="546"/>
  <c r="W306" i="546" s="1"/>
  <c r="N306" i="546"/>
  <c r="K306" i="546"/>
  <c r="M306" i="546" s="1"/>
  <c r="K306" i="546" a="1"/>
  <c r="J306" i="546" a="1"/>
  <c r="J306" i="546" s="1"/>
  <c r="H306" i="546"/>
  <c r="V305" i="546"/>
  <c r="W305" i="546" s="1"/>
  <c r="N305" i="546"/>
  <c r="K305" i="546" a="1"/>
  <c r="K305" i="546" s="1"/>
  <c r="M305" i="546" s="1"/>
  <c r="J305" i="546" a="1"/>
  <c r="J305" i="546" s="1"/>
  <c r="H305" i="546"/>
  <c r="V304" i="546"/>
  <c r="W304" i="546" s="1"/>
  <c r="N304" i="546"/>
  <c r="K304" i="546" a="1"/>
  <c r="K304" i="546" s="1"/>
  <c r="M304" i="546" s="1"/>
  <c r="J304" i="546" a="1"/>
  <c r="J304" i="546" s="1"/>
  <c r="H304" i="546"/>
  <c r="V303" i="546"/>
  <c r="W303" i="546" s="1"/>
  <c r="N303" i="546"/>
  <c r="K303" i="546" a="1"/>
  <c r="K303" i="546" s="1"/>
  <c r="M303" i="546" s="1"/>
  <c r="J303" i="546" a="1"/>
  <c r="J303" i="546" s="1"/>
  <c r="H303" i="546"/>
  <c r="V302" i="546"/>
  <c r="W302" i="546" s="1"/>
  <c r="N302" i="546"/>
  <c r="K302" i="546" a="1"/>
  <c r="K302" i="546" s="1"/>
  <c r="M302" i="546" s="1"/>
  <c r="J302" i="546" a="1"/>
  <c r="J302" i="546" s="1"/>
  <c r="H302" i="546"/>
  <c r="V301" i="546"/>
  <c r="W301" i="546" s="1"/>
  <c r="N301" i="546"/>
  <c r="K301" i="546" a="1"/>
  <c r="K301" i="546" s="1"/>
  <c r="M301" i="546" s="1"/>
  <c r="J301" i="546" a="1"/>
  <c r="J301" i="546" s="1"/>
  <c r="H301" i="546"/>
  <c r="V300" i="546"/>
  <c r="W300" i="546" s="1"/>
  <c r="N300" i="546"/>
  <c r="K300" i="546" a="1"/>
  <c r="K300" i="546" s="1"/>
  <c r="M300" i="546" s="1"/>
  <c r="J300" i="546" a="1"/>
  <c r="J300" i="546" s="1"/>
  <c r="H300" i="546"/>
  <c r="V299" i="546"/>
  <c r="W299" i="546" s="1"/>
  <c r="N299" i="546"/>
  <c r="K299" i="546" a="1"/>
  <c r="K299" i="546" s="1"/>
  <c r="M299" i="546" s="1"/>
  <c r="J299" i="546" a="1"/>
  <c r="J299" i="546" s="1"/>
  <c r="H299" i="546"/>
  <c r="V298" i="546"/>
  <c r="W298" i="546" s="1"/>
  <c r="N298" i="546"/>
  <c r="K298" i="546"/>
  <c r="M298" i="546" s="1"/>
  <c r="K298" i="546" a="1"/>
  <c r="J298" i="546"/>
  <c r="J298" i="546" a="1"/>
  <c r="H298" i="546"/>
  <c r="V297" i="546"/>
  <c r="W297" i="546" s="1"/>
  <c r="N297" i="546"/>
  <c r="K297" i="546" a="1"/>
  <c r="K297" i="546" s="1"/>
  <c r="M297" i="546" s="1"/>
  <c r="J297" i="546" a="1"/>
  <c r="J297" i="546" s="1"/>
  <c r="H297" i="546"/>
  <c r="V296" i="546"/>
  <c r="W296" i="546" s="1"/>
  <c r="N296" i="546"/>
  <c r="K296" i="546"/>
  <c r="M296" i="546" s="1"/>
  <c r="K296" i="546" a="1"/>
  <c r="J296" i="546"/>
  <c r="J296" i="546" a="1"/>
  <c r="H296" i="546"/>
  <c r="V295" i="546"/>
  <c r="W295" i="546" s="1"/>
  <c r="N295" i="546"/>
  <c r="K295" i="546" a="1"/>
  <c r="K295" i="546" s="1"/>
  <c r="M295" i="546" s="1"/>
  <c r="J295" i="546" a="1"/>
  <c r="J295" i="546" s="1"/>
  <c r="H295" i="546"/>
  <c r="V294" i="546"/>
  <c r="W294" i="546" s="1"/>
  <c r="N294" i="546"/>
  <c r="K294" i="546"/>
  <c r="M294" i="546" s="1"/>
  <c r="K294" i="546" a="1"/>
  <c r="J294" i="546"/>
  <c r="J294" i="546" a="1"/>
  <c r="H294" i="546"/>
  <c r="V293" i="546"/>
  <c r="W293" i="546" s="1"/>
  <c r="N293" i="546"/>
  <c r="N308" i="546" s="1"/>
  <c r="K293" i="546" a="1"/>
  <c r="K293" i="546" s="1"/>
  <c r="J293" i="546" a="1"/>
  <c r="J293" i="546" s="1"/>
  <c r="H293" i="546"/>
  <c r="AA292" i="546"/>
  <c r="Z292" i="546"/>
  <c r="Y292" i="546"/>
  <c r="X292" i="546"/>
  <c r="U292" i="546"/>
  <c r="T292" i="546"/>
  <c r="S292" i="546"/>
  <c r="R292" i="546"/>
  <c r="Q292" i="546"/>
  <c r="P292" i="546"/>
  <c r="O292" i="546"/>
  <c r="R339" i="546" s="1"/>
  <c r="I292" i="546"/>
  <c r="G292" i="546"/>
  <c r="V291" i="546"/>
  <c r="W291" i="546" s="1"/>
  <c r="N291" i="546"/>
  <c r="K291" i="546" a="1"/>
  <c r="K291" i="546" s="1"/>
  <c r="M291" i="546" s="1"/>
  <c r="J291" i="546" a="1"/>
  <c r="J291" i="546" s="1"/>
  <c r="H291" i="546"/>
  <c r="V290" i="546"/>
  <c r="W290" i="546" s="1"/>
  <c r="N290" i="546"/>
  <c r="K290" i="546" a="1"/>
  <c r="K290" i="546" s="1"/>
  <c r="M290" i="546" s="1"/>
  <c r="J290" i="546" a="1"/>
  <c r="J290" i="546" s="1"/>
  <c r="H290" i="546"/>
  <c r="V289" i="546"/>
  <c r="W289" i="546" s="1"/>
  <c r="N289" i="546"/>
  <c r="K289" i="546" a="1"/>
  <c r="K289" i="546" s="1"/>
  <c r="M289" i="546" s="1"/>
  <c r="J289" i="546" a="1"/>
  <c r="J289" i="546" s="1"/>
  <c r="H289" i="546"/>
  <c r="H288" i="546"/>
  <c r="H287" i="546"/>
  <c r="H286" i="546"/>
  <c r="V285" i="546"/>
  <c r="W285" i="546" s="1"/>
  <c r="N285" i="546"/>
  <c r="K285" i="546" a="1"/>
  <c r="K285" i="546" s="1"/>
  <c r="M285" i="546" s="1"/>
  <c r="J285" i="546" a="1"/>
  <c r="J285" i="546" s="1"/>
  <c r="H285" i="546"/>
  <c r="V284" i="546"/>
  <c r="W284" i="546" s="1"/>
  <c r="N284" i="546"/>
  <c r="K284" i="546"/>
  <c r="M284" i="546" s="1"/>
  <c r="K284" i="546" a="1"/>
  <c r="J284" i="546"/>
  <c r="J284" i="546" a="1"/>
  <c r="H284" i="546"/>
  <c r="N283" i="546"/>
  <c r="K283" i="546" a="1"/>
  <c r="K283" i="546" s="1"/>
  <c r="M283" i="546" s="1"/>
  <c r="H283" i="546"/>
  <c r="N282" i="546"/>
  <c r="K282" i="546" a="1"/>
  <c r="K282" i="546" s="1"/>
  <c r="M282" i="546" s="1"/>
  <c r="H282" i="546"/>
  <c r="N281" i="546"/>
  <c r="K281" i="546" a="1"/>
  <c r="K281" i="546" s="1"/>
  <c r="M281" i="546" s="1"/>
  <c r="H281" i="546"/>
  <c r="N280" i="546"/>
  <c r="K280" i="546"/>
  <c r="M280" i="546" s="1"/>
  <c r="K280" i="546" a="1"/>
  <c r="H280" i="546"/>
  <c r="N279" i="546"/>
  <c r="K279" i="546" a="1"/>
  <c r="K279" i="546" s="1"/>
  <c r="M279" i="546" s="1"/>
  <c r="H279" i="546"/>
  <c r="N278" i="546"/>
  <c r="K278" i="546" a="1"/>
  <c r="K278" i="546" s="1"/>
  <c r="M278" i="546" s="1"/>
  <c r="H278" i="546"/>
  <c r="V277" i="546"/>
  <c r="W277" i="546" s="1"/>
  <c r="N277" i="546"/>
  <c r="K277" i="546" a="1"/>
  <c r="K277" i="546" s="1"/>
  <c r="M277" i="546" s="1"/>
  <c r="J277" i="546" a="1"/>
  <c r="J277" i="546" s="1"/>
  <c r="H277" i="546"/>
  <c r="V276" i="546"/>
  <c r="W276" i="546" s="1"/>
  <c r="N276" i="546"/>
  <c r="K276" i="546" a="1"/>
  <c r="K276" i="546" s="1"/>
  <c r="M276" i="546" s="1"/>
  <c r="J276" i="546" a="1"/>
  <c r="J276" i="546" s="1"/>
  <c r="H276" i="546"/>
  <c r="V275" i="546"/>
  <c r="W275" i="546" s="1"/>
  <c r="N275" i="546"/>
  <c r="K275" i="546" a="1"/>
  <c r="K275" i="546" s="1"/>
  <c r="M275" i="546" s="1"/>
  <c r="J275" i="546" a="1"/>
  <c r="J275" i="546" s="1"/>
  <c r="H275" i="546"/>
  <c r="V274" i="546"/>
  <c r="W274" i="546" s="1"/>
  <c r="N274" i="546"/>
  <c r="K274" i="546" a="1"/>
  <c r="K274" i="546" s="1"/>
  <c r="M274" i="546" s="1"/>
  <c r="J274" i="546" a="1"/>
  <c r="J274" i="546" s="1"/>
  <c r="H274" i="546"/>
  <c r="V273" i="546"/>
  <c r="W273" i="546" s="1"/>
  <c r="N273" i="546"/>
  <c r="K273" i="546" a="1"/>
  <c r="K273" i="546" s="1"/>
  <c r="M273" i="546" s="1"/>
  <c r="J273" i="546" a="1"/>
  <c r="J273" i="546" s="1"/>
  <c r="H273" i="546"/>
  <c r="V272" i="546"/>
  <c r="W272" i="546" s="1"/>
  <c r="N272" i="546"/>
  <c r="K272" i="546" a="1"/>
  <c r="K272" i="546" s="1"/>
  <c r="M272" i="546" s="1"/>
  <c r="J272" i="546" a="1"/>
  <c r="J272" i="546" s="1"/>
  <c r="H272" i="546"/>
  <c r="V271" i="546"/>
  <c r="W271" i="546" s="1"/>
  <c r="N271" i="546"/>
  <c r="K271" i="546" a="1"/>
  <c r="K271" i="546" s="1"/>
  <c r="M271" i="546" s="1"/>
  <c r="J271" i="546" a="1"/>
  <c r="J271" i="546" s="1"/>
  <c r="H271" i="546"/>
  <c r="V270" i="546"/>
  <c r="W270" i="546" s="1"/>
  <c r="N270" i="546"/>
  <c r="K270" i="546" a="1"/>
  <c r="K270" i="546" s="1"/>
  <c r="M270" i="546" s="1"/>
  <c r="J270" i="546" a="1"/>
  <c r="J270" i="546" s="1"/>
  <c r="H270" i="546"/>
  <c r="V269" i="546"/>
  <c r="W269" i="546" s="1"/>
  <c r="N269" i="546"/>
  <c r="K269" i="546" a="1"/>
  <c r="K269" i="546" s="1"/>
  <c r="M269" i="546" s="1"/>
  <c r="J269" i="546" a="1"/>
  <c r="J269" i="546" s="1"/>
  <c r="H269" i="546"/>
  <c r="V268" i="546"/>
  <c r="W268" i="546" s="1"/>
  <c r="N268" i="546"/>
  <c r="K268" i="546"/>
  <c r="M268" i="546" s="1"/>
  <c r="K268" i="546" a="1"/>
  <c r="J268" i="546"/>
  <c r="J268" i="546" a="1"/>
  <c r="H268" i="546"/>
  <c r="V267" i="546"/>
  <c r="W267" i="546" s="1"/>
  <c r="N267" i="546"/>
  <c r="K267" i="546" a="1"/>
  <c r="K267" i="546" s="1"/>
  <c r="M267" i="546" s="1"/>
  <c r="J267" i="546" a="1"/>
  <c r="J267" i="546" s="1"/>
  <c r="H267" i="546"/>
  <c r="W266" i="546"/>
  <c r="V266" i="546"/>
  <c r="N266" i="546"/>
  <c r="K266" i="546" a="1"/>
  <c r="K266" i="546" s="1"/>
  <c r="M266" i="546" s="1"/>
  <c r="J266" i="546" a="1"/>
  <c r="J266" i="546" s="1"/>
  <c r="H266" i="546"/>
  <c r="N265" i="546"/>
  <c r="K265" i="546" a="1"/>
  <c r="K265" i="546" s="1"/>
  <c r="M265" i="546" s="1"/>
  <c r="H265" i="546"/>
  <c r="V264" i="546"/>
  <c r="W264" i="546" s="1"/>
  <c r="N264" i="546"/>
  <c r="K264" i="546" a="1"/>
  <c r="K264" i="546" s="1"/>
  <c r="M264" i="546" s="1"/>
  <c r="J264" i="546" a="1"/>
  <c r="J264" i="546" s="1"/>
  <c r="H264" i="546"/>
  <c r="V263" i="546"/>
  <c r="W263" i="546" s="1"/>
  <c r="N263" i="546"/>
  <c r="K263" i="546" a="1"/>
  <c r="K263" i="546" s="1"/>
  <c r="M263" i="546" s="1"/>
  <c r="J263" i="546" a="1"/>
  <c r="J263" i="546" s="1"/>
  <c r="H263" i="546"/>
  <c r="V262" i="546"/>
  <c r="W262" i="546" s="1"/>
  <c r="N262" i="546"/>
  <c r="K262" i="546" a="1"/>
  <c r="K262" i="546" s="1"/>
  <c r="M262" i="546" s="1"/>
  <c r="J262" i="546" a="1"/>
  <c r="J262" i="546" s="1"/>
  <c r="H262" i="546"/>
  <c r="V261" i="546"/>
  <c r="W261" i="546" s="1"/>
  <c r="N261" i="546"/>
  <c r="K261" i="546" a="1"/>
  <c r="K261" i="546" s="1"/>
  <c r="M261" i="546" s="1"/>
  <c r="J261" i="546" a="1"/>
  <c r="J261" i="546" s="1"/>
  <c r="H261" i="546"/>
  <c r="V260" i="546"/>
  <c r="W260" i="546" s="1"/>
  <c r="N260" i="546"/>
  <c r="K260" i="546" a="1"/>
  <c r="K260" i="546" s="1"/>
  <c r="M260" i="546" s="1"/>
  <c r="J260" i="546" a="1"/>
  <c r="J260" i="546" s="1"/>
  <c r="H260" i="546"/>
  <c r="V259" i="546"/>
  <c r="W259" i="546" s="1"/>
  <c r="N259" i="546"/>
  <c r="K259" i="546" a="1"/>
  <c r="K259" i="546" s="1"/>
  <c r="M259" i="546" s="1"/>
  <c r="J259" i="546" a="1"/>
  <c r="J259" i="546" s="1"/>
  <c r="H259" i="546"/>
  <c r="V258" i="546"/>
  <c r="N258" i="546"/>
  <c r="N292" i="546" s="1"/>
  <c r="K258" i="546" a="1"/>
  <c r="K258" i="546" s="1"/>
  <c r="J258" i="546" a="1"/>
  <c r="J258" i="546" s="1"/>
  <c r="H258" i="546"/>
  <c r="AA257" i="546"/>
  <c r="Z257" i="546"/>
  <c r="Y257" i="546"/>
  <c r="X257" i="546"/>
  <c r="U257" i="546"/>
  <c r="T257" i="546"/>
  <c r="S257" i="546"/>
  <c r="R257" i="546"/>
  <c r="Q257" i="546"/>
  <c r="P257" i="546"/>
  <c r="O257" i="546"/>
  <c r="R338" i="546" s="1"/>
  <c r="I257" i="546"/>
  <c r="G257" i="546"/>
  <c r="H256" i="546"/>
  <c r="H255" i="546"/>
  <c r="H254" i="546"/>
  <c r="H253" i="546"/>
  <c r="H252" i="546"/>
  <c r="H251" i="546"/>
  <c r="K250" i="546" a="1"/>
  <c r="K250" i="546" s="1"/>
  <c r="M250" i="546" s="1"/>
  <c r="H250" i="546"/>
  <c r="K249" i="546" a="1"/>
  <c r="K249" i="546" s="1"/>
  <c r="M249" i="546" s="1"/>
  <c r="H249" i="546"/>
  <c r="K248" i="546" a="1"/>
  <c r="K248" i="546" s="1"/>
  <c r="M248" i="546" s="1"/>
  <c r="H248" i="546"/>
  <c r="K247" i="546" a="1"/>
  <c r="K247" i="546" s="1"/>
  <c r="M247" i="546" s="1"/>
  <c r="H247" i="546"/>
  <c r="W246" i="546"/>
  <c r="V246" i="546"/>
  <c r="N246" i="546"/>
  <c r="K246" i="546" a="1"/>
  <c r="K246" i="546" s="1"/>
  <c r="M246" i="546" s="1"/>
  <c r="J246" i="546" a="1"/>
  <c r="J246" i="546" s="1"/>
  <c r="H246" i="546"/>
  <c r="V245" i="546"/>
  <c r="W245" i="546" s="1"/>
  <c r="N245" i="546"/>
  <c r="K245" i="546" a="1"/>
  <c r="K245" i="546" s="1"/>
  <c r="M245" i="546" s="1"/>
  <c r="J245" i="546" a="1"/>
  <c r="J245" i="546" s="1"/>
  <c r="H245" i="546"/>
  <c r="V244" i="546"/>
  <c r="W244" i="546" s="1"/>
  <c r="N244" i="546"/>
  <c r="K244" i="546" a="1"/>
  <c r="K244" i="546" s="1"/>
  <c r="M244" i="546" s="1"/>
  <c r="J244" i="546" a="1"/>
  <c r="J244" i="546" s="1"/>
  <c r="H244" i="546"/>
  <c r="V243" i="546"/>
  <c r="W243" i="546" s="1"/>
  <c r="N243" i="546"/>
  <c r="K243" i="546" a="1"/>
  <c r="K243" i="546" s="1"/>
  <c r="M243" i="546" s="1"/>
  <c r="J243" i="546" a="1"/>
  <c r="J243" i="546" s="1"/>
  <c r="H243" i="546"/>
  <c r="M242" i="546"/>
  <c r="H242" i="546"/>
  <c r="V241" i="546"/>
  <c r="W241" i="546" s="1"/>
  <c r="N241" i="546"/>
  <c r="K241" i="546" a="1"/>
  <c r="K241" i="546" s="1"/>
  <c r="M241" i="546" s="1"/>
  <c r="J241" i="546" a="1"/>
  <c r="J241" i="546" s="1"/>
  <c r="H241" i="546"/>
  <c r="V240" i="546"/>
  <c r="W240" i="546" s="1"/>
  <c r="N240" i="546"/>
  <c r="M240" i="546"/>
  <c r="K240" i="546" a="1"/>
  <c r="K240" i="546" s="1"/>
  <c r="J240" i="546" a="1"/>
  <c r="J240" i="546" s="1"/>
  <c r="H240" i="546"/>
  <c r="M239" i="546"/>
  <c r="K239" i="546" a="1"/>
  <c r="K239" i="546" s="1"/>
  <c r="H239" i="546"/>
  <c r="H238" i="546"/>
  <c r="V237" i="546"/>
  <c r="W237" i="546" s="1"/>
  <c r="N237" i="546"/>
  <c r="M237" i="546"/>
  <c r="K237" i="546" a="1"/>
  <c r="K237" i="546" s="1"/>
  <c r="J237" i="546" a="1"/>
  <c r="J237" i="546" s="1"/>
  <c r="H237" i="546"/>
  <c r="W236" i="546"/>
  <c r="V236" i="546"/>
  <c r="N236" i="546"/>
  <c r="K236" i="546" a="1"/>
  <c r="K236" i="546" s="1"/>
  <c r="M236" i="546" s="1"/>
  <c r="J236" i="546" a="1"/>
  <c r="J236" i="546" s="1"/>
  <c r="H236" i="546"/>
  <c r="W235" i="546"/>
  <c r="V235" i="546"/>
  <c r="N235" i="546"/>
  <c r="K235" i="546" a="1"/>
  <c r="K235" i="546" s="1"/>
  <c r="M235" i="546" s="1"/>
  <c r="J235" i="546" a="1"/>
  <c r="J235" i="546" s="1"/>
  <c r="H235" i="546"/>
  <c r="V234" i="546"/>
  <c r="W234" i="546" s="1"/>
  <c r="N234" i="546"/>
  <c r="K234" i="546" a="1"/>
  <c r="K234" i="546" s="1"/>
  <c r="M234" i="546" s="1"/>
  <c r="J234" i="546" a="1"/>
  <c r="J234" i="546" s="1"/>
  <c r="H234" i="546"/>
  <c r="V233" i="546"/>
  <c r="W233" i="546" s="1"/>
  <c r="N233" i="546"/>
  <c r="K233" i="546" a="1"/>
  <c r="K233" i="546" s="1"/>
  <c r="M233" i="546" s="1"/>
  <c r="J233" i="546" a="1"/>
  <c r="J233" i="546" s="1"/>
  <c r="H233" i="546"/>
  <c r="V232" i="546"/>
  <c r="W232" i="546" s="1"/>
  <c r="N232" i="546"/>
  <c r="K232" i="546" a="1"/>
  <c r="K232" i="546" s="1"/>
  <c r="M232" i="546" s="1"/>
  <c r="J232" i="546" a="1"/>
  <c r="J232" i="546" s="1"/>
  <c r="H232" i="546"/>
  <c r="V231" i="546"/>
  <c r="W231" i="546" s="1"/>
  <c r="N231" i="546"/>
  <c r="K231" i="546" a="1"/>
  <c r="K231" i="546" s="1"/>
  <c r="M231" i="546" s="1"/>
  <c r="J231" i="546" a="1"/>
  <c r="J231" i="546" s="1"/>
  <c r="H231" i="546"/>
  <c r="V230" i="546"/>
  <c r="W230" i="546" s="1"/>
  <c r="N230" i="546"/>
  <c r="K230" i="546" a="1"/>
  <c r="K230" i="546" s="1"/>
  <c r="M230" i="546" s="1"/>
  <c r="J230" i="546" a="1"/>
  <c r="J230" i="546" s="1"/>
  <c r="H230" i="546"/>
  <c r="V229" i="546"/>
  <c r="W229" i="546" s="1"/>
  <c r="N229" i="546"/>
  <c r="K229" i="546" a="1"/>
  <c r="K229" i="546" s="1"/>
  <c r="M229" i="546" s="1"/>
  <c r="J229" i="546" a="1"/>
  <c r="J229" i="546" s="1"/>
  <c r="H229" i="546"/>
  <c r="V228" i="546"/>
  <c r="W228" i="546" s="1"/>
  <c r="N228" i="546"/>
  <c r="K228" i="546" a="1"/>
  <c r="K228" i="546" s="1"/>
  <c r="M228" i="546" s="1"/>
  <c r="J228" i="546" a="1"/>
  <c r="J228" i="546" s="1"/>
  <c r="H228" i="546"/>
  <c r="N227" i="546"/>
  <c r="K227" i="546"/>
  <c r="M227" i="546" s="1"/>
  <c r="K227" i="546" a="1"/>
  <c r="H227" i="546"/>
  <c r="N226" i="546"/>
  <c r="K226" i="546" a="1"/>
  <c r="K226" i="546" s="1"/>
  <c r="M226" i="546" s="1"/>
  <c r="H226" i="546"/>
  <c r="N225" i="546"/>
  <c r="K225" i="546" a="1"/>
  <c r="K225" i="546" s="1"/>
  <c r="M225" i="546" s="1"/>
  <c r="H225" i="546"/>
  <c r="N224" i="546"/>
  <c r="K224" i="546" a="1"/>
  <c r="K224" i="546" s="1"/>
  <c r="M224" i="546" s="1"/>
  <c r="H224" i="546"/>
  <c r="N223" i="546"/>
  <c r="K223" i="546"/>
  <c r="M223" i="546" s="1"/>
  <c r="K223" i="546" a="1"/>
  <c r="H223" i="546"/>
  <c r="N222" i="546"/>
  <c r="K222" i="546" a="1"/>
  <c r="K222" i="546" s="1"/>
  <c r="M222" i="546" s="1"/>
  <c r="H222" i="546"/>
  <c r="N221" i="546"/>
  <c r="K221" i="546"/>
  <c r="M221" i="546" s="1"/>
  <c r="K221" i="546" a="1"/>
  <c r="H221" i="546"/>
  <c r="N220" i="546"/>
  <c r="K220" i="546" a="1"/>
  <c r="K220" i="546" s="1"/>
  <c r="M220" i="546" s="1"/>
  <c r="H220" i="546"/>
  <c r="W219" i="546"/>
  <c r="V219" i="546"/>
  <c r="N219" i="546"/>
  <c r="K219" i="546" a="1"/>
  <c r="K219" i="546" s="1"/>
  <c r="M219" i="546" s="1"/>
  <c r="J219" i="546" a="1"/>
  <c r="J219" i="546" s="1"/>
  <c r="H219" i="546"/>
  <c r="V218" i="546"/>
  <c r="W218" i="546" s="1"/>
  <c r="N218" i="546"/>
  <c r="K218" i="546" a="1"/>
  <c r="K218" i="546" s="1"/>
  <c r="M218" i="546" s="1"/>
  <c r="J218" i="546" a="1"/>
  <c r="J218" i="546" s="1"/>
  <c r="H218" i="546"/>
  <c r="V217" i="546"/>
  <c r="W217" i="546" s="1"/>
  <c r="N217" i="546"/>
  <c r="K217" i="546" a="1"/>
  <c r="K217" i="546" s="1"/>
  <c r="M217" i="546" s="1"/>
  <c r="J217" i="546" a="1"/>
  <c r="J217" i="546" s="1"/>
  <c r="H217" i="546"/>
  <c r="V216" i="546"/>
  <c r="W216" i="546" s="1"/>
  <c r="N216" i="546"/>
  <c r="K216" i="546" a="1"/>
  <c r="K216" i="546" s="1"/>
  <c r="M216" i="546" s="1"/>
  <c r="J216" i="546" a="1"/>
  <c r="J216" i="546" s="1"/>
  <c r="H216" i="546"/>
  <c r="V215" i="546"/>
  <c r="W215" i="546" s="1"/>
  <c r="N215" i="546"/>
  <c r="K215" i="546" a="1"/>
  <c r="K215" i="546" s="1"/>
  <c r="M215" i="546" s="1"/>
  <c r="J215" i="546" a="1"/>
  <c r="J215" i="546" s="1"/>
  <c r="H215" i="546"/>
  <c r="V214" i="546"/>
  <c r="W214" i="546" s="1"/>
  <c r="N214" i="546"/>
  <c r="K214" i="546" a="1"/>
  <c r="K214" i="546" s="1"/>
  <c r="M214" i="546" s="1"/>
  <c r="J214" i="546" a="1"/>
  <c r="J214" i="546" s="1"/>
  <c r="H214" i="546"/>
  <c r="V213" i="546"/>
  <c r="W213" i="546" s="1"/>
  <c r="N213" i="546"/>
  <c r="K213" i="546" a="1"/>
  <c r="K213" i="546" s="1"/>
  <c r="M213" i="546" s="1"/>
  <c r="J213" i="546" a="1"/>
  <c r="J213" i="546" s="1"/>
  <c r="H213" i="546"/>
  <c r="V212" i="546"/>
  <c r="W212" i="546" s="1"/>
  <c r="N212" i="546"/>
  <c r="K212" i="546" a="1"/>
  <c r="K212" i="546" s="1"/>
  <c r="M212" i="546" s="1"/>
  <c r="J212" i="546" a="1"/>
  <c r="J212" i="546" s="1"/>
  <c r="H212" i="546"/>
  <c r="V211" i="546"/>
  <c r="W211" i="546" s="1"/>
  <c r="N211" i="546"/>
  <c r="K211" i="546" a="1"/>
  <c r="K211" i="546" s="1"/>
  <c r="M211" i="546" s="1"/>
  <c r="J211" i="546" a="1"/>
  <c r="J211" i="546" s="1"/>
  <c r="H211" i="546"/>
  <c r="V210" i="546"/>
  <c r="W210" i="546" s="1"/>
  <c r="N210" i="546"/>
  <c r="K210" i="546" a="1"/>
  <c r="K210" i="546" s="1"/>
  <c r="M210" i="546" s="1"/>
  <c r="J210" i="546" a="1"/>
  <c r="J210" i="546" s="1"/>
  <c r="H210" i="546"/>
  <c r="V209" i="546"/>
  <c r="W209" i="546" s="1"/>
  <c r="N209" i="546"/>
  <c r="K209" i="546" a="1"/>
  <c r="K209" i="546" s="1"/>
  <c r="M209" i="546" s="1"/>
  <c r="J209" i="546" a="1"/>
  <c r="J209" i="546" s="1"/>
  <c r="H209" i="546"/>
  <c r="V208" i="546"/>
  <c r="W208" i="546" s="1"/>
  <c r="N208" i="546"/>
  <c r="K208" i="546" a="1"/>
  <c r="K208" i="546" s="1"/>
  <c r="M208" i="546" s="1"/>
  <c r="J208" i="546" a="1"/>
  <c r="J208" i="546" s="1"/>
  <c r="H208" i="546"/>
  <c r="H207" i="546"/>
  <c r="H206" i="546"/>
  <c r="H205" i="546"/>
  <c r="V204" i="546"/>
  <c r="W204" i="546" s="1"/>
  <c r="N204" i="546"/>
  <c r="K204" i="546" a="1"/>
  <c r="K204" i="546" s="1"/>
  <c r="M204" i="546" s="1"/>
  <c r="J204" i="546" a="1"/>
  <c r="J204" i="546" s="1"/>
  <c r="H204" i="546"/>
  <c r="V203" i="546"/>
  <c r="W203" i="546" s="1"/>
  <c r="N203" i="546"/>
  <c r="K203" i="546" a="1"/>
  <c r="K203" i="546" s="1"/>
  <c r="M203" i="546" s="1"/>
  <c r="J203" i="546" a="1"/>
  <c r="J203" i="546" s="1"/>
  <c r="H203" i="546"/>
  <c r="V202" i="546"/>
  <c r="W202" i="546" s="1"/>
  <c r="N202" i="546"/>
  <c r="K202" i="546" a="1"/>
  <c r="K202" i="546" s="1"/>
  <c r="M202" i="546" s="1"/>
  <c r="J202" i="546" a="1"/>
  <c r="J202" i="546" s="1"/>
  <c r="H202" i="546"/>
  <c r="H201" i="546"/>
  <c r="V200" i="546"/>
  <c r="N200" i="546"/>
  <c r="K200" i="546" a="1"/>
  <c r="K200" i="546" s="1"/>
  <c r="J200" i="546" a="1"/>
  <c r="J200" i="546" s="1"/>
  <c r="H200" i="546"/>
  <c r="AA199" i="546"/>
  <c r="AA335" i="546" s="1"/>
  <c r="Z199" i="546"/>
  <c r="Z335" i="546" s="1"/>
  <c r="Y199" i="546"/>
  <c r="Y335" i="546" s="1"/>
  <c r="X199" i="546"/>
  <c r="X335" i="546" s="1"/>
  <c r="U199" i="546"/>
  <c r="U335" i="546" s="1"/>
  <c r="T199" i="546"/>
  <c r="T335" i="546" s="1"/>
  <c r="S199" i="546"/>
  <c r="S335" i="546" s="1"/>
  <c r="R199" i="546"/>
  <c r="R335" i="546" s="1"/>
  <c r="Q199" i="546"/>
  <c r="Q335" i="546" s="1"/>
  <c r="P199" i="546"/>
  <c r="O199" i="546"/>
  <c r="I199" i="546"/>
  <c r="I335" i="546" s="1"/>
  <c r="B343" i="546" s="1"/>
  <c r="G199" i="546"/>
  <c r="G335" i="546" s="1"/>
  <c r="V198" i="546"/>
  <c r="W198" i="546" s="1"/>
  <c r="N198" i="546"/>
  <c r="K198" i="546" a="1"/>
  <c r="K198" i="546" s="1"/>
  <c r="M198" i="546" s="1"/>
  <c r="J198" i="546" a="1"/>
  <c r="J198" i="546" s="1"/>
  <c r="H198" i="546"/>
  <c r="V197" i="546"/>
  <c r="W197" i="546" s="1"/>
  <c r="N197" i="546"/>
  <c r="K197" i="546" a="1"/>
  <c r="K197" i="546" s="1"/>
  <c r="M197" i="546" s="1"/>
  <c r="J197" i="546" a="1"/>
  <c r="J197" i="546" s="1"/>
  <c r="H197" i="546"/>
  <c r="K196" i="546"/>
  <c r="M196" i="546" s="1"/>
  <c r="K196" i="546" a="1"/>
  <c r="H196" i="546"/>
  <c r="K195" i="546" a="1"/>
  <c r="K195" i="546" s="1"/>
  <c r="M195" i="546" s="1"/>
  <c r="H195" i="546"/>
  <c r="K194" i="546"/>
  <c r="M194" i="546" s="1"/>
  <c r="K194" i="546" a="1"/>
  <c r="H194" i="546"/>
  <c r="K193" i="546" a="1"/>
  <c r="K193" i="546" s="1"/>
  <c r="M193" i="546" s="1"/>
  <c r="H193" i="546"/>
  <c r="V192" i="546"/>
  <c r="W192" i="546" s="1"/>
  <c r="N192" i="546"/>
  <c r="K192" i="546" a="1"/>
  <c r="K192" i="546" s="1"/>
  <c r="M192" i="546" s="1"/>
  <c r="J192" i="546" a="1"/>
  <c r="J192" i="546" s="1"/>
  <c r="H192" i="546"/>
  <c r="V191" i="546"/>
  <c r="W191" i="546" s="1"/>
  <c r="N191" i="546"/>
  <c r="K191" i="546" a="1"/>
  <c r="K191" i="546" s="1"/>
  <c r="M191" i="546" s="1"/>
  <c r="J191" i="546" a="1"/>
  <c r="J191" i="546" s="1"/>
  <c r="H191" i="546"/>
  <c r="V190" i="546"/>
  <c r="W190" i="546" s="1"/>
  <c r="N190" i="546"/>
  <c r="K190" i="546" a="1"/>
  <c r="K190" i="546" s="1"/>
  <c r="M190" i="546" s="1"/>
  <c r="J190" i="546" a="1"/>
  <c r="J190" i="546" s="1"/>
  <c r="H190" i="546"/>
  <c r="N189" i="546"/>
  <c r="K189" i="546"/>
  <c r="M189" i="546" s="1"/>
  <c r="K189" i="546" a="1"/>
  <c r="J189" i="546"/>
  <c r="J189" i="546" a="1"/>
  <c r="H189" i="546"/>
  <c r="N188" i="546"/>
  <c r="K188" i="546" a="1"/>
  <c r="K188" i="546" s="1"/>
  <c r="M188" i="546" s="1"/>
  <c r="J188" i="546" a="1"/>
  <c r="J188" i="546" s="1"/>
  <c r="H188" i="546"/>
  <c r="V187" i="546"/>
  <c r="W187" i="546" s="1"/>
  <c r="N187" i="546"/>
  <c r="K187" i="546"/>
  <c r="M187" i="546" s="1"/>
  <c r="K187" i="546" a="1"/>
  <c r="J187" i="546"/>
  <c r="J187" i="546" a="1"/>
  <c r="H187" i="546"/>
  <c r="V186" i="546"/>
  <c r="W186" i="546" s="1"/>
  <c r="N186" i="546"/>
  <c r="K186" i="546" a="1"/>
  <c r="K186" i="546" s="1"/>
  <c r="M186" i="546" s="1"/>
  <c r="J186" i="546" a="1"/>
  <c r="J186" i="546" s="1"/>
  <c r="H186" i="546"/>
  <c r="N185" i="546"/>
  <c r="K185" i="546" a="1"/>
  <c r="K185" i="546" s="1"/>
  <c r="M185" i="546" s="1"/>
  <c r="H185" i="546"/>
  <c r="N184" i="546"/>
  <c r="K184" i="546" a="1"/>
  <c r="K184" i="546" s="1"/>
  <c r="M184" i="546" s="1"/>
  <c r="H184" i="546"/>
  <c r="V183" i="546"/>
  <c r="W183" i="546" s="1"/>
  <c r="N183" i="546"/>
  <c r="K183" i="546"/>
  <c r="M183" i="546" s="1"/>
  <c r="K183" i="546" a="1"/>
  <c r="J183" i="546"/>
  <c r="J183" i="546" a="1"/>
  <c r="H183" i="546"/>
  <c r="V182" i="546"/>
  <c r="W182" i="546" s="1"/>
  <c r="N182" i="546"/>
  <c r="K182" i="546" a="1"/>
  <c r="K182" i="546" s="1"/>
  <c r="M182" i="546" s="1"/>
  <c r="J182" i="546" a="1"/>
  <c r="J182" i="546" s="1"/>
  <c r="H182" i="546"/>
  <c r="V181" i="546"/>
  <c r="W181" i="546" s="1"/>
  <c r="N181" i="546"/>
  <c r="K181" i="546" a="1"/>
  <c r="K181" i="546" s="1"/>
  <c r="M181" i="546" s="1"/>
  <c r="J181" i="546" a="1"/>
  <c r="J181" i="546" s="1"/>
  <c r="H181" i="546"/>
  <c r="V180" i="546"/>
  <c r="W180" i="546" s="1"/>
  <c r="N180" i="546"/>
  <c r="K180" i="546" a="1"/>
  <c r="K180" i="546" s="1"/>
  <c r="M180" i="546" s="1"/>
  <c r="J180" i="546" a="1"/>
  <c r="J180" i="546" s="1"/>
  <c r="H180" i="546"/>
  <c r="V179" i="546"/>
  <c r="W179" i="546" s="1"/>
  <c r="N179" i="546"/>
  <c r="K179" i="546" a="1"/>
  <c r="K179" i="546" s="1"/>
  <c r="M179" i="546" s="1"/>
  <c r="J179" i="546" a="1"/>
  <c r="J179" i="546" s="1"/>
  <c r="H179" i="546"/>
  <c r="V178" i="546"/>
  <c r="V199" i="546" s="1"/>
  <c r="N178" i="546"/>
  <c r="K178" i="546" a="1"/>
  <c r="K178" i="546" s="1"/>
  <c r="J178" i="546" a="1"/>
  <c r="J178" i="546" s="1"/>
  <c r="H178" i="546"/>
  <c r="H199" i="546" s="1"/>
  <c r="X171" i="546"/>
  <c r="Q529" i="546" s="1"/>
  <c r="X170" i="546"/>
  <c r="Q528" i="546" s="1"/>
  <c r="G170" i="546"/>
  <c r="C170" i="546"/>
  <c r="X169" i="546"/>
  <c r="Q527" i="546" s="1"/>
  <c r="I169" i="546"/>
  <c r="E169" i="546"/>
  <c r="K169" i="546" s="1"/>
  <c r="M169" i="546" s="1"/>
  <c r="I168" i="546"/>
  <c r="E168" i="546"/>
  <c r="K168" i="546" s="1"/>
  <c r="M168" i="546" s="1"/>
  <c r="I167" i="546"/>
  <c r="E167" i="546"/>
  <c r="K167" i="546" s="1"/>
  <c r="M167" i="546" s="1"/>
  <c r="X166" i="546"/>
  <c r="Q524" i="546" s="1"/>
  <c r="I166" i="546"/>
  <c r="I170" i="546" s="1"/>
  <c r="E166" i="546"/>
  <c r="K166" i="546" s="1"/>
  <c r="AA163" i="546"/>
  <c r="Z163" i="546"/>
  <c r="Y163" i="546"/>
  <c r="X163" i="546"/>
  <c r="U163" i="546"/>
  <c r="T163" i="546"/>
  <c r="S163" i="546"/>
  <c r="R163" i="546"/>
  <c r="Q163" i="546"/>
  <c r="P163" i="546"/>
  <c r="O163" i="546"/>
  <c r="R171" i="546" s="1"/>
  <c r="I163" i="546"/>
  <c r="G163" i="546"/>
  <c r="C529" i="546" s="1"/>
  <c r="H162" i="546"/>
  <c r="H161" i="546"/>
  <c r="H160" i="546"/>
  <c r="V159" i="546"/>
  <c r="W159" i="546" s="1"/>
  <c r="N159" i="546"/>
  <c r="K159" i="546"/>
  <c r="K159" i="546" a="1"/>
  <c r="J159" i="546" a="1"/>
  <c r="J159" i="546" s="1"/>
  <c r="H159" i="546"/>
  <c r="D159" i="546"/>
  <c r="V158" i="546"/>
  <c r="W158" i="546" s="1"/>
  <c r="N158" i="546"/>
  <c r="K158" i="546" a="1"/>
  <c r="K158" i="546" s="1"/>
  <c r="M158" i="546" s="1"/>
  <c r="J158" i="546" a="1"/>
  <c r="J158" i="546" s="1"/>
  <c r="H158" i="546"/>
  <c r="H157" i="546"/>
  <c r="H156" i="546"/>
  <c r="V155" i="546"/>
  <c r="W155" i="546" s="1"/>
  <c r="N155" i="546"/>
  <c r="K155" i="546" a="1"/>
  <c r="K155" i="546" s="1"/>
  <c r="M155" i="546" s="1"/>
  <c r="J155" i="546" a="1"/>
  <c r="J155" i="546" s="1"/>
  <c r="H155" i="546"/>
  <c r="V154" i="546"/>
  <c r="W154" i="546" s="1"/>
  <c r="N154" i="546"/>
  <c r="K154" i="546"/>
  <c r="M154" i="546" s="1"/>
  <c r="K154" i="546" a="1"/>
  <c r="J154" i="546"/>
  <c r="J154" i="546" a="1"/>
  <c r="H154" i="546"/>
  <c r="H153" i="546"/>
  <c r="V152" i="546"/>
  <c r="W152" i="546" s="1"/>
  <c r="N152" i="546"/>
  <c r="K152" i="546" a="1"/>
  <c r="K152" i="546" s="1"/>
  <c r="M152" i="546" s="1"/>
  <c r="J152" i="546" a="1"/>
  <c r="J152" i="546" s="1"/>
  <c r="H152" i="546"/>
  <c r="V151" i="546"/>
  <c r="W151" i="546" s="1"/>
  <c r="N151" i="546"/>
  <c r="K151" i="546" a="1"/>
  <c r="K151" i="546" s="1"/>
  <c r="M151" i="546" s="1"/>
  <c r="J151" i="546" a="1"/>
  <c r="J151" i="546" s="1"/>
  <c r="H151" i="546"/>
  <c r="V150" i="546"/>
  <c r="W150" i="546" s="1"/>
  <c r="N150" i="546"/>
  <c r="K150" i="546"/>
  <c r="M150" i="546" s="1"/>
  <c r="K150" i="546" a="1"/>
  <c r="J150" i="546" a="1"/>
  <c r="J150" i="546" s="1"/>
  <c r="H150" i="546"/>
  <c r="V149" i="546"/>
  <c r="V163" i="546" s="1"/>
  <c r="W163" i="546" s="1"/>
  <c r="N149" i="546"/>
  <c r="N163" i="546" s="1"/>
  <c r="K149" i="546" a="1"/>
  <c r="K149" i="546" s="1"/>
  <c r="J149" i="546" a="1"/>
  <c r="J149" i="546" s="1"/>
  <c r="H149" i="546"/>
  <c r="AA148" i="546"/>
  <c r="Z148" i="546"/>
  <c r="Y148" i="546"/>
  <c r="X148" i="546"/>
  <c r="U148" i="546"/>
  <c r="T148" i="546"/>
  <c r="S148" i="546"/>
  <c r="Q148" i="546"/>
  <c r="P148" i="546"/>
  <c r="O148" i="546"/>
  <c r="I148" i="546"/>
  <c r="G148" i="546"/>
  <c r="C528" i="546" s="1"/>
  <c r="V147" i="546"/>
  <c r="W147" i="546" s="1"/>
  <c r="N147" i="546"/>
  <c r="K147" i="546" a="1"/>
  <c r="K147" i="546" s="1"/>
  <c r="M147" i="546" s="1"/>
  <c r="J147" i="546" a="1"/>
  <c r="J147" i="546" s="1"/>
  <c r="H147" i="546"/>
  <c r="K145" i="546" a="1"/>
  <c r="K145" i="546" s="1"/>
  <c r="H145" i="546"/>
  <c r="K144" i="546" a="1"/>
  <c r="K144" i="546" s="1"/>
  <c r="H144" i="546"/>
  <c r="K143" i="546" a="1"/>
  <c r="K143" i="546" s="1"/>
  <c r="H143" i="546"/>
  <c r="V142" i="546"/>
  <c r="W142" i="546" s="1"/>
  <c r="N142" i="546"/>
  <c r="K142" i="546" a="1"/>
  <c r="K142" i="546" s="1"/>
  <c r="M142" i="546" s="1"/>
  <c r="J142" i="546" a="1"/>
  <c r="J142" i="546" s="1"/>
  <c r="H142" i="546"/>
  <c r="V141" i="546"/>
  <c r="W141" i="546" s="1"/>
  <c r="N141" i="546"/>
  <c r="K141" i="546" a="1"/>
  <c r="K141" i="546" s="1"/>
  <c r="M141" i="546" s="1"/>
  <c r="J141" i="546" a="1"/>
  <c r="J141" i="546" s="1"/>
  <c r="H141" i="546"/>
  <c r="V140" i="546"/>
  <c r="W140" i="546" s="1"/>
  <c r="N140" i="546"/>
  <c r="K140" i="546" a="1"/>
  <c r="K140" i="546" s="1"/>
  <c r="M140" i="546" s="1"/>
  <c r="J140" i="546" a="1"/>
  <c r="J140" i="546" s="1"/>
  <c r="H140" i="546"/>
  <c r="V139" i="546"/>
  <c r="W139" i="546" s="1"/>
  <c r="N139" i="546"/>
  <c r="K139" i="546" a="1"/>
  <c r="K139" i="546" s="1"/>
  <c r="M139" i="546" s="1"/>
  <c r="J139" i="546" a="1"/>
  <c r="J139" i="546" s="1"/>
  <c r="H139" i="546"/>
  <c r="V138" i="546"/>
  <c r="V148" i="546" s="1"/>
  <c r="W148" i="546" s="1"/>
  <c r="N138" i="546"/>
  <c r="N148" i="546" s="1"/>
  <c r="K138" i="546" a="1"/>
  <c r="K138" i="546" s="1"/>
  <c r="J138" i="546" a="1"/>
  <c r="J138" i="546" s="1"/>
  <c r="H138" i="546"/>
  <c r="H148" i="546" s="1"/>
  <c r="AA137" i="546"/>
  <c r="Z137" i="546"/>
  <c r="Y137" i="546"/>
  <c r="X137" i="546"/>
  <c r="U137" i="546"/>
  <c r="T137" i="546"/>
  <c r="S137" i="546"/>
  <c r="Q137" i="546"/>
  <c r="P137" i="546"/>
  <c r="O137" i="546"/>
  <c r="R169" i="546" s="1"/>
  <c r="I137" i="546"/>
  <c r="G137" i="546"/>
  <c r="C527" i="546" s="1"/>
  <c r="V136" i="546"/>
  <c r="W136" i="546" s="1"/>
  <c r="N136" i="546"/>
  <c r="K136" i="546" a="1"/>
  <c r="K136" i="546" s="1"/>
  <c r="M136" i="546" s="1"/>
  <c r="J136" i="546" a="1"/>
  <c r="J136" i="546" s="1"/>
  <c r="H136" i="546"/>
  <c r="V135" i="546"/>
  <c r="W135" i="546" s="1"/>
  <c r="N135" i="546"/>
  <c r="K135" i="546" a="1"/>
  <c r="K135" i="546" s="1"/>
  <c r="M135" i="546" s="1"/>
  <c r="J135" i="546" a="1"/>
  <c r="J135" i="546" s="1"/>
  <c r="H135" i="546"/>
  <c r="V134" i="546"/>
  <c r="W134" i="546" s="1"/>
  <c r="N134" i="546"/>
  <c r="K134" i="546" a="1"/>
  <c r="K134" i="546" s="1"/>
  <c r="M134" i="546" s="1"/>
  <c r="J134" i="546" a="1"/>
  <c r="J134" i="546" s="1"/>
  <c r="H134" i="546"/>
  <c r="V133" i="546"/>
  <c r="W133" i="546" s="1"/>
  <c r="N133" i="546"/>
  <c r="K133" i="546"/>
  <c r="M133" i="546" s="1"/>
  <c r="K133" i="546" a="1"/>
  <c r="J133" i="546"/>
  <c r="J133" i="546" a="1"/>
  <c r="H133" i="546"/>
  <c r="V132" i="546"/>
  <c r="W132" i="546" s="1"/>
  <c r="N132" i="546"/>
  <c r="K132" i="546" a="1"/>
  <c r="K132" i="546" s="1"/>
  <c r="M132" i="546" s="1"/>
  <c r="J132" i="546" a="1"/>
  <c r="J132" i="546" s="1"/>
  <c r="H132" i="546"/>
  <c r="V131" i="546"/>
  <c r="W131" i="546" s="1"/>
  <c r="N131" i="546"/>
  <c r="K131" i="546" a="1"/>
  <c r="K131" i="546" s="1"/>
  <c r="M131" i="546" s="1"/>
  <c r="J131" i="546" a="1"/>
  <c r="J131" i="546" s="1"/>
  <c r="H131" i="546"/>
  <c r="V130" i="546"/>
  <c r="W130" i="546" s="1"/>
  <c r="N130" i="546"/>
  <c r="K130" i="546" a="1"/>
  <c r="K130" i="546" s="1"/>
  <c r="M130" i="546" s="1"/>
  <c r="J130" i="546" a="1"/>
  <c r="J130" i="546" s="1"/>
  <c r="H130" i="546"/>
  <c r="V129" i="546"/>
  <c r="W129" i="546" s="1"/>
  <c r="N129" i="546"/>
  <c r="K129" i="546"/>
  <c r="M129" i="546" s="1"/>
  <c r="K129" i="546" a="1"/>
  <c r="J129" i="546"/>
  <c r="J129" i="546" a="1"/>
  <c r="H129" i="546"/>
  <c r="V128" i="546"/>
  <c r="W128" i="546" s="1"/>
  <c r="N128" i="546"/>
  <c r="K128" i="546" a="1"/>
  <c r="K128" i="546" s="1"/>
  <c r="M128" i="546" s="1"/>
  <c r="J128" i="546" a="1"/>
  <c r="J128" i="546" s="1"/>
  <c r="H128" i="546"/>
  <c r="V127" i="546"/>
  <c r="W127" i="546" s="1"/>
  <c r="N127" i="546"/>
  <c r="K127" i="546" a="1"/>
  <c r="K127" i="546" s="1"/>
  <c r="M127" i="546" s="1"/>
  <c r="J127" i="546" a="1"/>
  <c r="J127" i="546" s="1"/>
  <c r="H127" i="546"/>
  <c r="V126" i="546"/>
  <c r="W126" i="546" s="1"/>
  <c r="N126" i="546"/>
  <c r="K126" i="546" a="1"/>
  <c r="K126" i="546" s="1"/>
  <c r="M126" i="546" s="1"/>
  <c r="J126" i="546" a="1"/>
  <c r="J126" i="546" s="1"/>
  <c r="H126" i="546"/>
  <c r="V125" i="546"/>
  <c r="W125" i="546" s="1"/>
  <c r="N125" i="546"/>
  <c r="K125" i="546"/>
  <c r="M125" i="546" s="1"/>
  <c r="K125" i="546" a="1"/>
  <c r="J125" i="546"/>
  <c r="J125" i="546" a="1"/>
  <c r="H125" i="546"/>
  <c r="V124" i="546"/>
  <c r="W124" i="546" s="1"/>
  <c r="N124" i="546"/>
  <c r="K124" i="546" a="1"/>
  <c r="K124" i="546" s="1"/>
  <c r="M124" i="546" s="1"/>
  <c r="J124" i="546" a="1"/>
  <c r="J124" i="546" s="1"/>
  <c r="H124" i="546"/>
  <c r="V123" i="546"/>
  <c r="W123" i="546" s="1"/>
  <c r="N123" i="546"/>
  <c r="K123" i="546" a="1"/>
  <c r="K123" i="546" s="1"/>
  <c r="M123" i="546" s="1"/>
  <c r="J123" i="546" a="1"/>
  <c r="J123" i="546" s="1"/>
  <c r="H123" i="546"/>
  <c r="V122" i="546"/>
  <c r="V137" i="546" s="1"/>
  <c r="W137" i="546" s="1"/>
  <c r="N122" i="546"/>
  <c r="K122" i="546" a="1"/>
  <c r="K122" i="546" s="1"/>
  <c r="J122" i="546" a="1"/>
  <c r="J122" i="546" s="1"/>
  <c r="H122" i="546"/>
  <c r="H137" i="546" s="1"/>
  <c r="AA121" i="546"/>
  <c r="Z121" i="546"/>
  <c r="Y121" i="546"/>
  <c r="X121" i="546"/>
  <c r="U121" i="546"/>
  <c r="T121" i="546"/>
  <c r="S121" i="546"/>
  <c r="R121" i="546"/>
  <c r="Q121" i="546"/>
  <c r="P121" i="546"/>
  <c r="O121" i="546"/>
  <c r="R168" i="546" s="1"/>
  <c r="I121" i="546"/>
  <c r="G121" i="546"/>
  <c r="C526" i="546" s="1"/>
  <c r="V120" i="546"/>
  <c r="W120" i="546" s="1"/>
  <c r="N120" i="546"/>
  <c r="K120" i="546" a="1"/>
  <c r="K120" i="546" s="1"/>
  <c r="M120" i="546" s="1"/>
  <c r="J120" i="546" a="1"/>
  <c r="J120" i="546" s="1"/>
  <c r="H120" i="546"/>
  <c r="V119" i="546"/>
  <c r="W119" i="546" s="1"/>
  <c r="N119" i="546"/>
  <c r="K119" i="546" a="1"/>
  <c r="K119" i="546" s="1"/>
  <c r="M119" i="546" s="1"/>
  <c r="J119" i="546" a="1"/>
  <c r="J119" i="546" s="1"/>
  <c r="H119" i="546"/>
  <c r="V118" i="546"/>
  <c r="W118" i="546" s="1"/>
  <c r="N118" i="546"/>
  <c r="K118" i="546" a="1"/>
  <c r="K118" i="546" s="1"/>
  <c r="M118" i="546" s="1"/>
  <c r="J118" i="546" a="1"/>
  <c r="J118" i="546" s="1"/>
  <c r="H118" i="546"/>
  <c r="K117" i="546" a="1"/>
  <c r="K117" i="546" s="1"/>
  <c r="H117" i="546"/>
  <c r="K116" i="546" a="1"/>
  <c r="K116" i="546" s="1"/>
  <c r="H116" i="546"/>
  <c r="K115" i="546" a="1"/>
  <c r="K115" i="546" s="1"/>
  <c r="H115" i="546"/>
  <c r="V114" i="546"/>
  <c r="W114" i="546" s="1"/>
  <c r="N114" i="546"/>
  <c r="K114" i="546" a="1"/>
  <c r="K114" i="546" s="1"/>
  <c r="M114" i="546" s="1"/>
  <c r="H114" i="546"/>
  <c r="V113" i="546"/>
  <c r="W113" i="546" s="1"/>
  <c r="N113" i="546"/>
  <c r="K113" i="546"/>
  <c r="M113" i="546" s="1"/>
  <c r="K113" i="546" a="1"/>
  <c r="H113" i="546"/>
  <c r="N112" i="546"/>
  <c r="K112" i="546" a="1"/>
  <c r="K112" i="546" s="1"/>
  <c r="M112" i="546" s="1"/>
  <c r="H112" i="546"/>
  <c r="N111" i="546"/>
  <c r="K111" i="546" a="1"/>
  <c r="K111" i="546" s="1"/>
  <c r="M111" i="546" s="1"/>
  <c r="H111" i="546"/>
  <c r="N110" i="546"/>
  <c r="K110" i="546" a="1"/>
  <c r="K110" i="546" s="1"/>
  <c r="M110" i="546" s="1"/>
  <c r="H110" i="546"/>
  <c r="N109" i="546"/>
  <c r="K109" i="546" a="1"/>
  <c r="K109" i="546" s="1"/>
  <c r="M109" i="546" s="1"/>
  <c r="H109" i="546"/>
  <c r="N108" i="546"/>
  <c r="K108" i="546" a="1"/>
  <c r="K108" i="546" s="1"/>
  <c r="M108" i="546" s="1"/>
  <c r="H108" i="546"/>
  <c r="N107" i="546"/>
  <c r="K107" i="546" a="1"/>
  <c r="K107" i="546" s="1"/>
  <c r="M107" i="546" s="1"/>
  <c r="H107" i="546"/>
  <c r="V106" i="546"/>
  <c r="W106" i="546" s="1"/>
  <c r="N106" i="546"/>
  <c r="K106" i="546" a="1"/>
  <c r="K106" i="546" s="1"/>
  <c r="M106" i="546" s="1"/>
  <c r="J106" i="546" a="1"/>
  <c r="J106" i="546" s="1"/>
  <c r="H106" i="546"/>
  <c r="V105" i="546"/>
  <c r="W105" i="546" s="1"/>
  <c r="N105" i="546"/>
  <c r="K105" i="546"/>
  <c r="M105" i="546" s="1"/>
  <c r="K105" i="546" a="1"/>
  <c r="J105" i="546" a="1"/>
  <c r="J105" i="546" s="1"/>
  <c r="H105" i="546"/>
  <c r="V104" i="546"/>
  <c r="W104" i="546" s="1"/>
  <c r="N104" i="546"/>
  <c r="K104" i="546" a="1"/>
  <c r="K104" i="546" s="1"/>
  <c r="M104" i="546" s="1"/>
  <c r="J104" i="546" a="1"/>
  <c r="J104" i="546" s="1"/>
  <c r="H104" i="546"/>
  <c r="V103" i="546"/>
  <c r="W103" i="546" s="1"/>
  <c r="N103" i="546"/>
  <c r="K103" i="546" a="1"/>
  <c r="K103" i="546" s="1"/>
  <c r="M103" i="546" s="1"/>
  <c r="J103" i="546" a="1"/>
  <c r="J103" i="546" s="1"/>
  <c r="H103" i="546"/>
  <c r="V102" i="546"/>
  <c r="W102" i="546" s="1"/>
  <c r="N102" i="546"/>
  <c r="K102" i="546" a="1"/>
  <c r="K102" i="546" s="1"/>
  <c r="M102" i="546" s="1"/>
  <c r="J102" i="546" a="1"/>
  <c r="J102" i="546" s="1"/>
  <c r="H102" i="546"/>
  <c r="V101" i="546"/>
  <c r="W101" i="546" s="1"/>
  <c r="N101" i="546"/>
  <c r="K101" i="546"/>
  <c r="M101" i="546" s="1"/>
  <c r="K101" i="546" a="1"/>
  <c r="J101" i="546"/>
  <c r="J101" i="546" a="1"/>
  <c r="H101" i="546"/>
  <c r="V100" i="546"/>
  <c r="W100" i="546" s="1"/>
  <c r="N100" i="546"/>
  <c r="K100" i="546" a="1"/>
  <c r="K100" i="546" s="1"/>
  <c r="M100" i="546" s="1"/>
  <c r="J100" i="546" a="1"/>
  <c r="J100" i="546" s="1"/>
  <c r="H100" i="546"/>
  <c r="V99" i="546"/>
  <c r="W99" i="546" s="1"/>
  <c r="N99" i="546"/>
  <c r="K99" i="546" a="1"/>
  <c r="K99" i="546" s="1"/>
  <c r="M99" i="546" s="1"/>
  <c r="J99" i="546" a="1"/>
  <c r="J99" i="546" s="1"/>
  <c r="H99" i="546"/>
  <c r="V98" i="546"/>
  <c r="W98" i="546" s="1"/>
  <c r="N98" i="546"/>
  <c r="K98" i="546" a="1"/>
  <c r="K98" i="546" s="1"/>
  <c r="M98" i="546" s="1"/>
  <c r="J98" i="546" a="1"/>
  <c r="J98" i="546" s="1"/>
  <c r="H98" i="546"/>
  <c r="V97" i="546"/>
  <c r="W97" i="546" s="1"/>
  <c r="N97" i="546"/>
  <c r="K97" i="546"/>
  <c r="M97" i="546" s="1"/>
  <c r="K97" i="546" a="1"/>
  <c r="J97" i="546"/>
  <c r="J97" i="546" a="1"/>
  <c r="H97" i="546"/>
  <c r="V96" i="546"/>
  <c r="W96" i="546" s="1"/>
  <c r="N96" i="546"/>
  <c r="K96" i="546" a="1"/>
  <c r="K96" i="546" s="1"/>
  <c r="M96" i="546" s="1"/>
  <c r="J96" i="546" a="1"/>
  <c r="J96" i="546" s="1"/>
  <c r="H96" i="546"/>
  <c r="V95" i="546"/>
  <c r="W95" i="546" s="1"/>
  <c r="N95" i="546"/>
  <c r="K95" i="546" a="1"/>
  <c r="K95" i="546" s="1"/>
  <c r="M95" i="546" s="1"/>
  <c r="J95" i="546" a="1"/>
  <c r="J95" i="546" s="1"/>
  <c r="H95" i="546"/>
  <c r="K94" i="546"/>
  <c r="M94" i="546" s="1"/>
  <c r="K94" i="546" a="1"/>
  <c r="H94" i="546"/>
  <c r="V93" i="546"/>
  <c r="W93" i="546" s="1"/>
  <c r="N93" i="546"/>
  <c r="K93" i="546" a="1"/>
  <c r="K93" i="546" s="1"/>
  <c r="M93" i="546" s="1"/>
  <c r="J93" i="546" a="1"/>
  <c r="J93" i="546" s="1"/>
  <c r="H93" i="546"/>
  <c r="V92" i="546"/>
  <c r="W92" i="546" s="1"/>
  <c r="N92" i="546"/>
  <c r="K92" i="546" a="1"/>
  <c r="K92" i="546" s="1"/>
  <c r="M92" i="546" s="1"/>
  <c r="J92" i="546" a="1"/>
  <c r="J92" i="546" s="1"/>
  <c r="H92" i="546"/>
  <c r="V91" i="546"/>
  <c r="W91" i="546" s="1"/>
  <c r="N91" i="546"/>
  <c r="K91" i="546" a="1"/>
  <c r="K91" i="546" s="1"/>
  <c r="M91" i="546" s="1"/>
  <c r="J91" i="546" a="1"/>
  <c r="J91" i="546" s="1"/>
  <c r="H91" i="546"/>
  <c r="V90" i="546"/>
  <c r="W90" i="546" s="1"/>
  <c r="N90" i="546"/>
  <c r="K90" i="546"/>
  <c r="M90" i="546" s="1"/>
  <c r="K90" i="546" a="1"/>
  <c r="J90" i="546"/>
  <c r="J90" i="546" a="1"/>
  <c r="H90" i="546"/>
  <c r="V89" i="546"/>
  <c r="W89" i="546" s="1"/>
  <c r="N89" i="546"/>
  <c r="K89" i="546" a="1"/>
  <c r="K89" i="546" s="1"/>
  <c r="M89" i="546" s="1"/>
  <c r="J89" i="546" a="1"/>
  <c r="J89" i="546" s="1"/>
  <c r="H89" i="546"/>
  <c r="V88" i="546"/>
  <c r="W88" i="546" s="1"/>
  <c r="N88" i="546"/>
  <c r="K88" i="546" a="1"/>
  <c r="K88" i="546" s="1"/>
  <c r="M88" i="546" s="1"/>
  <c r="J88" i="546" a="1"/>
  <c r="J88" i="546" s="1"/>
  <c r="H88" i="546"/>
  <c r="V87" i="546"/>
  <c r="V121" i="546" s="1"/>
  <c r="W121" i="546" s="1"/>
  <c r="N87" i="546"/>
  <c r="K87" i="546" a="1"/>
  <c r="K87" i="546" s="1"/>
  <c r="J87" i="546" a="1"/>
  <c r="J87" i="546" s="1"/>
  <c r="H87" i="546"/>
  <c r="H121" i="546" s="1"/>
  <c r="AA86" i="546"/>
  <c r="Z86" i="546"/>
  <c r="Y86" i="546"/>
  <c r="X86" i="546"/>
  <c r="U86" i="546"/>
  <c r="T86" i="546"/>
  <c r="S86" i="546"/>
  <c r="R86" i="546"/>
  <c r="Q86" i="546"/>
  <c r="P86" i="546"/>
  <c r="O86" i="546"/>
  <c r="R167" i="546" s="1"/>
  <c r="I86" i="546"/>
  <c r="G86" i="546"/>
  <c r="C525" i="546" s="1"/>
  <c r="K85" i="546" a="1"/>
  <c r="K85" i="546" s="1"/>
  <c r="H85" i="546"/>
  <c r="K84" i="546" a="1"/>
  <c r="K84" i="546" s="1"/>
  <c r="H84" i="546"/>
  <c r="K83" i="546" a="1"/>
  <c r="K83" i="546" s="1"/>
  <c r="H83" i="546"/>
  <c r="K82" i="546" a="1"/>
  <c r="K82" i="546" s="1"/>
  <c r="H82" i="546"/>
  <c r="K81" i="546" a="1"/>
  <c r="K81" i="546" s="1"/>
  <c r="H81" i="546"/>
  <c r="K80" i="546" a="1"/>
  <c r="K80" i="546" s="1"/>
  <c r="H80" i="546"/>
  <c r="K79" i="546" a="1"/>
  <c r="K79" i="546" s="1"/>
  <c r="M79" i="546" s="1"/>
  <c r="H79" i="546"/>
  <c r="K78" i="546" a="1"/>
  <c r="K78" i="546" s="1"/>
  <c r="M78" i="546" s="1"/>
  <c r="H78" i="546"/>
  <c r="K77" i="546" a="1"/>
  <c r="K77" i="546" s="1"/>
  <c r="M77" i="546" s="1"/>
  <c r="H77" i="546"/>
  <c r="K76" i="546" a="1"/>
  <c r="K76" i="546" s="1"/>
  <c r="M76" i="546" s="1"/>
  <c r="H76" i="546"/>
  <c r="V75" i="546"/>
  <c r="W75" i="546" s="1"/>
  <c r="N75" i="546"/>
  <c r="K75" i="546" a="1"/>
  <c r="K75" i="546" s="1"/>
  <c r="M75" i="546" s="1"/>
  <c r="J75" i="546" a="1"/>
  <c r="J75" i="546" s="1"/>
  <c r="H75" i="546"/>
  <c r="V74" i="546"/>
  <c r="W74" i="546" s="1"/>
  <c r="N74" i="546"/>
  <c r="K74" i="546"/>
  <c r="M74" i="546" s="1"/>
  <c r="K74" i="546" a="1"/>
  <c r="J74" i="546"/>
  <c r="J74" i="546" a="1"/>
  <c r="H74" i="546"/>
  <c r="V73" i="546"/>
  <c r="W73" i="546" s="1"/>
  <c r="N73" i="546"/>
  <c r="K73" i="546" a="1"/>
  <c r="K73" i="546" s="1"/>
  <c r="M73" i="546" s="1"/>
  <c r="J73" i="546" a="1"/>
  <c r="J73" i="546" s="1"/>
  <c r="H73" i="546"/>
  <c r="V72" i="546"/>
  <c r="W72" i="546" s="1"/>
  <c r="N72" i="546"/>
  <c r="K72" i="546" a="1"/>
  <c r="K72" i="546" s="1"/>
  <c r="M72" i="546" s="1"/>
  <c r="J72" i="546" a="1"/>
  <c r="J72" i="546" s="1"/>
  <c r="H72" i="546"/>
  <c r="H71" i="546"/>
  <c r="V70" i="546"/>
  <c r="W70" i="546" s="1"/>
  <c r="N70" i="546"/>
  <c r="K70" i="546" a="1"/>
  <c r="K70" i="546" s="1"/>
  <c r="M70" i="546" s="1"/>
  <c r="J70" i="546" a="1"/>
  <c r="J70" i="546" s="1"/>
  <c r="H70" i="546"/>
  <c r="V69" i="546"/>
  <c r="W69" i="546" s="1"/>
  <c r="N69" i="546"/>
  <c r="K69" i="546" a="1"/>
  <c r="K69" i="546" s="1"/>
  <c r="M69" i="546" s="1"/>
  <c r="J69" i="546" a="1"/>
  <c r="J69" i="546" s="1"/>
  <c r="H69" i="546"/>
  <c r="K68" i="546" a="1"/>
  <c r="K68" i="546" s="1"/>
  <c r="H68" i="546"/>
  <c r="K67" i="546"/>
  <c r="K67" i="546" a="1"/>
  <c r="H67" i="546"/>
  <c r="V66" i="546"/>
  <c r="W66" i="546" s="1"/>
  <c r="N66" i="546"/>
  <c r="K66" i="546" a="1"/>
  <c r="K66" i="546" s="1"/>
  <c r="M66" i="546" s="1"/>
  <c r="J66" i="546" a="1"/>
  <c r="J66" i="546" s="1"/>
  <c r="H66" i="546"/>
  <c r="V65" i="546"/>
  <c r="W65" i="546" s="1"/>
  <c r="N65" i="546"/>
  <c r="K65" i="546" a="1"/>
  <c r="K65" i="546" s="1"/>
  <c r="M65" i="546" s="1"/>
  <c r="J65" i="546" a="1"/>
  <c r="J65" i="546" s="1"/>
  <c r="H65" i="546"/>
  <c r="V64" i="546"/>
  <c r="W64" i="546" s="1"/>
  <c r="N64" i="546"/>
  <c r="K64" i="546" a="1"/>
  <c r="K64" i="546" s="1"/>
  <c r="M64" i="546" s="1"/>
  <c r="J64" i="546" a="1"/>
  <c r="J64" i="546" s="1"/>
  <c r="H64" i="546"/>
  <c r="V63" i="546"/>
  <c r="W63" i="546" s="1"/>
  <c r="N63" i="546"/>
  <c r="K63" i="546"/>
  <c r="M63" i="546" s="1"/>
  <c r="K63" i="546" a="1"/>
  <c r="J63" i="546"/>
  <c r="J63" i="546" a="1"/>
  <c r="H63" i="546"/>
  <c r="V62" i="546"/>
  <c r="W62" i="546" s="1"/>
  <c r="N62" i="546"/>
  <c r="K62" i="546" a="1"/>
  <c r="K62" i="546" s="1"/>
  <c r="M62" i="546" s="1"/>
  <c r="J62" i="546" a="1"/>
  <c r="J62" i="546" s="1"/>
  <c r="H62" i="546"/>
  <c r="V61" i="546"/>
  <c r="W61" i="546" s="1"/>
  <c r="N61" i="546"/>
  <c r="K61" i="546" a="1"/>
  <c r="K61" i="546" s="1"/>
  <c r="M61" i="546" s="1"/>
  <c r="J61" i="546" a="1"/>
  <c r="J61" i="546" s="1"/>
  <c r="H61" i="546"/>
  <c r="V60" i="546"/>
  <c r="W60" i="546" s="1"/>
  <c r="N60" i="546"/>
  <c r="K60" i="546" a="1"/>
  <c r="K60" i="546" s="1"/>
  <c r="M60" i="546" s="1"/>
  <c r="J60" i="546" a="1"/>
  <c r="J60" i="546" s="1"/>
  <c r="H60" i="546"/>
  <c r="V59" i="546"/>
  <c r="W59" i="546" s="1"/>
  <c r="N59" i="546"/>
  <c r="K59" i="546"/>
  <c r="M59" i="546" s="1"/>
  <c r="K59" i="546" a="1"/>
  <c r="J59" i="546"/>
  <c r="J59" i="546" a="1"/>
  <c r="H59" i="546"/>
  <c r="V58" i="546"/>
  <c r="W58" i="546" s="1"/>
  <c r="N58" i="546"/>
  <c r="K58" i="546" a="1"/>
  <c r="K58" i="546" s="1"/>
  <c r="M58" i="546" s="1"/>
  <c r="J58" i="546" a="1"/>
  <c r="J58" i="546" s="1"/>
  <c r="H58" i="546"/>
  <c r="V57" i="546"/>
  <c r="W57" i="546" s="1"/>
  <c r="N57" i="546"/>
  <c r="K57" i="546" a="1"/>
  <c r="K57" i="546" s="1"/>
  <c r="M57" i="546" s="1"/>
  <c r="J57" i="546" a="1"/>
  <c r="J57" i="546" s="1"/>
  <c r="H57" i="546"/>
  <c r="K56" i="546"/>
  <c r="M56" i="546" s="1"/>
  <c r="K56" i="546" a="1"/>
  <c r="H56" i="546"/>
  <c r="K55" i="546" a="1"/>
  <c r="K55" i="546" s="1"/>
  <c r="M55" i="546" s="1"/>
  <c r="H55" i="546"/>
  <c r="K54" i="546" a="1"/>
  <c r="K54" i="546" s="1"/>
  <c r="M54" i="546" s="1"/>
  <c r="H54" i="546"/>
  <c r="K53" i="546" a="1"/>
  <c r="K53" i="546" s="1"/>
  <c r="M53" i="546" s="1"/>
  <c r="H53" i="546"/>
  <c r="N52" i="546"/>
  <c r="K52" i="546"/>
  <c r="M52" i="546" s="1"/>
  <c r="K52" i="546" a="1"/>
  <c r="H52" i="546"/>
  <c r="N51" i="546"/>
  <c r="K51" i="546" a="1"/>
  <c r="K51" i="546" s="1"/>
  <c r="M51" i="546" s="1"/>
  <c r="H51" i="546"/>
  <c r="N50" i="546"/>
  <c r="K50" i="546" a="1"/>
  <c r="K50" i="546" s="1"/>
  <c r="M50" i="546" s="1"/>
  <c r="H50" i="546"/>
  <c r="N49" i="546"/>
  <c r="K49" i="546" a="1"/>
  <c r="K49" i="546" s="1"/>
  <c r="M49" i="546" s="1"/>
  <c r="H49" i="546"/>
  <c r="V48" i="546"/>
  <c r="W48" i="546" s="1"/>
  <c r="N48" i="546"/>
  <c r="K48" i="546" a="1"/>
  <c r="K48" i="546" s="1"/>
  <c r="M48" i="546" s="1"/>
  <c r="J48" i="546" a="1"/>
  <c r="J48" i="546" s="1"/>
  <c r="H48" i="546"/>
  <c r="V47" i="546"/>
  <c r="W47" i="546" s="1"/>
  <c r="N47" i="546"/>
  <c r="K47" i="546" a="1"/>
  <c r="K47" i="546" s="1"/>
  <c r="M47" i="546" s="1"/>
  <c r="J47" i="546" a="1"/>
  <c r="J47" i="546" s="1"/>
  <c r="H47" i="546"/>
  <c r="V46" i="546"/>
  <c r="W46" i="546" s="1"/>
  <c r="N46" i="546"/>
  <c r="K46" i="546" a="1"/>
  <c r="K46" i="546" s="1"/>
  <c r="M46" i="546" s="1"/>
  <c r="J46" i="546" a="1"/>
  <c r="J46" i="546" s="1"/>
  <c r="H46" i="546"/>
  <c r="V45" i="546"/>
  <c r="W45" i="546" s="1"/>
  <c r="N45" i="546"/>
  <c r="K45" i="546" a="1"/>
  <c r="K45" i="546" s="1"/>
  <c r="M45" i="546" s="1"/>
  <c r="J45" i="546" a="1"/>
  <c r="J45" i="546" s="1"/>
  <c r="H45" i="546"/>
  <c r="V44" i="546"/>
  <c r="W44" i="546" s="1"/>
  <c r="N44" i="546"/>
  <c r="K44" i="546" a="1"/>
  <c r="K44" i="546" s="1"/>
  <c r="M44" i="546" s="1"/>
  <c r="J44" i="546" a="1"/>
  <c r="J44" i="546" s="1"/>
  <c r="H44" i="546"/>
  <c r="V43" i="546"/>
  <c r="W43" i="546" s="1"/>
  <c r="N43" i="546"/>
  <c r="K43" i="546"/>
  <c r="M43" i="546" s="1"/>
  <c r="K43" i="546" a="1"/>
  <c r="J43" i="546"/>
  <c r="J43" i="546" a="1"/>
  <c r="H43" i="546"/>
  <c r="V42" i="546"/>
  <c r="W42" i="546" s="1"/>
  <c r="N42" i="546"/>
  <c r="K42" i="546" a="1"/>
  <c r="K42" i="546" s="1"/>
  <c r="M42" i="546" s="1"/>
  <c r="J42" i="546" a="1"/>
  <c r="J42" i="546" s="1"/>
  <c r="H42" i="546"/>
  <c r="V41" i="546"/>
  <c r="W41" i="546" s="1"/>
  <c r="N41" i="546"/>
  <c r="K41" i="546" a="1"/>
  <c r="K41" i="546" s="1"/>
  <c r="M41" i="546" s="1"/>
  <c r="J41" i="546" a="1"/>
  <c r="J41" i="546" s="1"/>
  <c r="H41" i="546"/>
  <c r="V40" i="546"/>
  <c r="W40" i="546" s="1"/>
  <c r="N40" i="546"/>
  <c r="K40" i="546" a="1"/>
  <c r="K40" i="546" s="1"/>
  <c r="M40" i="546" s="1"/>
  <c r="J40" i="546" a="1"/>
  <c r="J40" i="546" s="1"/>
  <c r="H40" i="546"/>
  <c r="V39" i="546"/>
  <c r="W39" i="546" s="1"/>
  <c r="N39" i="546"/>
  <c r="K39" i="546"/>
  <c r="M39" i="546" s="1"/>
  <c r="K39" i="546" a="1"/>
  <c r="J39" i="546" a="1"/>
  <c r="J39" i="546" s="1"/>
  <c r="H39" i="546"/>
  <c r="V38" i="546"/>
  <c r="W38" i="546" s="1"/>
  <c r="N38" i="546"/>
  <c r="K38" i="546" a="1"/>
  <c r="K38" i="546" s="1"/>
  <c r="M38" i="546" s="1"/>
  <c r="J38" i="546" a="1"/>
  <c r="J38" i="546" s="1"/>
  <c r="H38" i="546"/>
  <c r="V37" i="546"/>
  <c r="W37" i="546" s="1"/>
  <c r="N37" i="546"/>
  <c r="K37" i="546" a="1"/>
  <c r="K37" i="546" s="1"/>
  <c r="M37" i="546" s="1"/>
  <c r="J37" i="546" a="1"/>
  <c r="J37" i="546" s="1"/>
  <c r="H37" i="546"/>
  <c r="H36" i="546"/>
  <c r="H35" i="546"/>
  <c r="H34" i="546"/>
  <c r="V33" i="546"/>
  <c r="W33" i="546" s="1"/>
  <c r="N33" i="546"/>
  <c r="K33" i="546" a="1"/>
  <c r="K33" i="546" s="1"/>
  <c r="M33" i="546" s="1"/>
  <c r="J33" i="546" a="1"/>
  <c r="J33" i="546" s="1"/>
  <c r="H33" i="546"/>
  <c r="V32" i="546"/>
  <c r="W32" i="546" s="1"/>
  <c r="N32" i="546"/>
  <c r="K32" i="546" a="1"/>
  <c r="K32" i="546" s="1"/>
  <c r="M32" i="546" s="1"/>
  <c r="J32" i="546" a="1"/>
  <c r="J32" i="546" s="1"/>
  <c r="H32" i="546"/>
  <c r="V31" i="546"/>
  <c r="W31" i="546" s="1"/>
  <c r="N31" i="546"/>
  <c r="K31" i="546"/>
  <c r="M31" i="546" s="1"/>
  <c r="K31" i="546" a="1"/>
  <c r="J31" i="546"/>
  <c r="J31" i="546" a="1"/>
  <c r="H31" i="546"/>
  <c r="K30" i="546" a="1"/>
  <c r="K30" i="546" s="1"/>
  <c r="H30" i="546"/>
  <c r="V29" i="546"/>
  <c r="V86" i="546" s="1"/>
  <c r="W86" i="546" s="1"/>
  <c r="N29" i="546"/>
  <c r="N86" i="546" s="1"/>
  <c r="K29" i="546" a="1"/>
  <c r="K29" i="546" s="1"/>
  <c r="M29" i="546" s="1"/>
  <c r="J29" i="546" a="1"/>
  <c r="J29" i="546" s="1"/>
  <c r="H29" i="546"/>
  <c r="H86" i="546" s="1"/>
  <c r="AA28" i="546"/>
  <c r="AA164" i="546" s="1"/>
  <c r="Z28" i="546"/>
  <c r="Z164" i="546" s="1"/>
  <c r="Y28" i="546"/>
  <c r="Y164" i="546" s="1"/>
  <c r="X28" i="546"/>
  <c r="X164" i="546" s="1"/>
  <c r="U28" i="546"/>
  <c r="U164" i="546" s="1"/>
  <c r="T28" i="546"/>
  <c r="T164" i="546" s="1"/>
  <c r="S28" i="546"/>
  <c r="S164" i="546" s="1"/>
  <c r="R28" i="546"/>
  <c r="R164" i="546" s="1"/>
  <c r="Q28" i="546"/>
  <c r="Q164" i="546" s="1"/>
  <c r="P28" i="546"/>
  <c r="X167" i="546" s="1"/>
  <c r="O28" i="546"/>
  <c r="R166" i="546" s="1"/>
  <c r="I28" i="546"/>
  <c r="I164" i="546" s="1"/>
  <c r="B172" i="546" s="1"/>
  <c r="G28" i="546"/>
  <c r="C524" i="546" s="1"/>
  <c r="V27" i="546"/>
  <c r="W27" i="546" s="1"/>
  <c r="N27" i="546"/>
  <c r="K27" i="546" a="1"/>
  <c r="K27" i="546" s="1"/>
  <c r="M27" i="546" s="1"/>
  <c r="J27" i="546" a="1"/>
  <c r="J27" i="546" s="1"/>
  <c r="H27" i="546"/>
  <c r="V26" i="546"/>
  <c r="W26" i="546" s="1"/>
  <c r="N26" i="546"/>
  <c r="K26" i="546"/>
  <c r="M26" i="546" s="1"/>
  <c r="K26" i="546" a="1"/>
  <c r="J26" i="546"/>
  <c r="J26" i="546" a="1"/>
  <c r="H26" i="546"/>
  <c r="K25" i="546" a="1"/>
  <c r="K25" i="546" s="1"/>
  <c r="M25" i="546" s="1"/>
  <c r="J25" i="546" a="1"/>
  <c r="J25" i="546" s="1"/>
  <c r="H25" i="546"/>
  <c r="K24" i="546" a="1"/>
  <c r="K24" i="546" s="1"/>
  <c r="M24" i="546" s="1"/>
  <c r="J24" i="546" a="1"/>
  <c r="J24" i="546" s="1"/>
  <c r="H24" i="546"/>
  <c r="K23" i="546" a="1"/>
  <c r="K23" i="546" s="1"/>
  <c r="M23" i="546" s="1"/>
  <c r="J23" i="546" a="1"/>
  <c r="J23" i="546" s="1"/>
  <c r="H23" i="546"/>
  <c r="K22" i="546" a="1"/>
  <c r="K22" i="546" s="1"/>
  <c r="M22" i="546" s="1"/>
  <c r="J22" i="546" a="1"/>
  <c r="J22" i="546" s="1"/>
  <c r="H22" i="546"/>
  <c r="V21" i="546"/>
  <c r="W21" i="546" s="1"/>
  <c r="N21" i="546"/>
  <c r="K21" i="546" a="1"/>
  <c r="K21" i="546" s="1"/>
  <c r="M21" i="546" s="1"/>
  <c r="J21" i="546" a="1"/>
  <c r="J21" i="546" s="1"/>
  <c r="H21" i="546"/>
  <c r="V20" i="546"/>
  <c r="W20" i="546" s="1"/>
  <c r="N20" i="546"/>
  <c r="K20" i="546" a="1"/>
  <c r="K20" i="546" s="1"/>
  <c r="M20" i="546" s="1"/>
  <c r="J20" i="546" a="1"/>
  <c r="J20" i="546" s="1"/>
  <c r="H20" i="546"/>
  <c r="V19" i="546"/>
  <c r="W19" i="546" s="1"/>
  <c r="N19" i="546"/>
  <c r="K19" i="546"/>
  <c r="M19" i="546" s="1"/>
  <c r="K19" i="546" a="1"/>
  <c r="J19" i="546"/>
  <c r="J19" i="546" a="1"/>
  <c r="H19" i="546"/>
  <c r="N18" i="546"/>
  <c r="K18" i="546" a="1"/>
  <c r="K18" i="546" s="1"/>
  <c r="M18" i="546" s="1"/>
  <c r="J18" i="546" a="1"/>
  <c r="J18" i="546" s="1"/>
  <c r="H18" i="546"/>
  <c r="N17" i="546"/>
  <c r="K17" i="546"/>
  <c r="M17" i="546" s="1"/>
  <c r="K17" i="546" a="1"/>
  <c r="J17" i="546"/>
  <c r="J17" i="546" a="1"/>
  <c r="H17" i="546"/>
  <c r="V16" i="546"/>
  <c r="W16" i="546" s="1"/>
  <c r="N16" i="546"/>
  <c r="K16" i="546" a="1"/>
  <c r="K16" i="546" s="1"/>
  <c r="M16" i="546" s="1"/>
  <c r="J16" i="546" a="1"/>
  <c r="J16" i="546" s="1"/>
  <c r="H16" i="546"/>
  <c r="W15" i="546"/>
  <c r="V15" i="546"/>
  <c r="N15" i="546"/>
  <c r="K15" i="546" a="1"/>
  <c r="K15" i="546" s="1"/>
  <c r="M15" i="546" s="1"/>
  <c r="J15" i="546" a="1"/>
  <c r="J15" i="546" s="1"/>
  <c r="H15" i="546"/>
  <c r="N14" i="546"/>
  <c r="K14" i="546" a="1"/>
  <c r="K14" i="546" s="1"/>
  <c r="M14" i="546" s="1"/>
  <c r="H14" i="546"/>
  <c r="N13" i="546"/>
  <c r="K13" i="546" a="1"/>
  <c r="K13" i="546" s="1"/>
  <c r="M13" i="546" s="1"/>
  <c r="H13" i="546"/>
  <c r="V12" i="546"/>
  <c r="W12" i="546" s="1"/>
  <c r="N12" i="546"/>
  <c r="K12" i="546" a="1"/>
  <c r="K12" i="546" s="1"/>
  <c r="M12" i="546" s="1"/>
  <c r="J12" i="546" a="1"/>
  <c r="J12" i="546" s="1"/>
  <c r="H12" i="546"/>
  <c r="V11" i="546"/>
  <c r="W11" i="546" s="1"/>
  <c r="N11" i="546"/>
  <c r="K11" i="546"/>
  <c r="M11" i="546" s="1"/>
  <c r="K11" i="546" a="1"/>
  <c r="J11" i="546"/>
  <c r="J11" i="546" a="1"/>
  <c r="H11" i="546"/>
  <c r="V10" i="546"/>
  <c r="W10" i="546" s="1"/>
  <c r="N10" i="546"/>
  <c r="K10" i="546" a="1"/>
  <c r="K10" i="546" s="1"/>
  <c r="M10" i="546" s="1"/>
  <c r="J10" i="546" a="1"/>
  <c r="J10" i="546" s="1"/>
  <c r="H10" i="546"/>
  <c r="V9" i="546"/>
  <c r="W9" i="546" s="1"/>
  <c r="N9" i="546"/>
  <c r="K9" i="546" a="1"/>
  <c r="K9" i="546" s="1"/>
  <c r="M9" i="546" s="1"/>
  <c r="J9" i="546" a="1"/>
  <c r="J9" i="546" s="1"/>
  <c r="H9" i="546"/>
  <c r="V8" i="546"/>
  <c r="W8" i="546" s="1"/>
  <c r="N8" i="546"/>
  <c r="K8" i="546" a="1"/>
  <c r="K8" i="546" s="1"/>
  <c r="M8" i="546" s="1"/>
  <c r="J8" i="546" a="1"/>
  <c r="J8" i="546" s="1"/>
  <c r="H8" i="546"/>
  <c r="V7" i="546"/>
  <c r="V28" i="546" s="1"/>
  <c r="N7" i="546"/>
  <c r="N28" i="546" s="1"/>
  <c r="K7" i="546" a="1"/>
  <c r="K7" i="546" s="1"/>
  <c r="M7" i="546" s="1"/>
  <c r="J7" i="546" a="1"/>
  <c r="J7" i="546" s="1"/>
  <c r="H7" i="546"/>
  <c r="H28" i="546" s="1"/>
  <c r="J319" i="546" l="1" a="1"/>
  <c r="J319" i="546" s="1"/>
  <c r="J308" i="546" a="1"/>
  <c r="J308" i="546" s="1"/>
  <c r="J292" i="546" a="1"/>
  <c r="J292" i="546" s="1"/>
  <c r="J257" i="546" a="1"/>
  <c r="J257" i="546" s="1"/>
  <c r="N370" i="546"/>
  <c r="N428" i="546"/>
  <c r="K506" i="546"/>
  <c r="M370" i="546"/>
  <c r="K428" i="546"/>
  <c r="H308" i="546"/>
  <c r="K292" i="546"/>
  <c r="H292" i="546"/>
  <c r="V292" i="546"/>
  <c r="W292" i="546" s="1"/>
  <c r="V257" i="546"/>
  <c r="W257" i="546" s="1"/>
  <c r="N199" i="546"/>
  <c r="W349" i="546"/>
  <c r="W370" i="546" s="1"/>
  <c r="W371" i="546"/>
  <c r="W309" i="546"/>
  <c r="W334" i="546"/>
  <c r="W429" i="546"/>
  <c r="N479" i="546"/>
  <c r="W464" i="546"/>
  <c r="N490" i="546"/>
  <c r="W319" i="546"/>
  <c r="W7" i="546"/>
  <c r="W29" i="546"/>
  <c r="W258" i="546"/>
  <c r="W138" i="546"/>
  <c r="R170" i="546"/>
  <c r="N137" i="546"/>
  <c r="N121" i="546"/>
  <c r="N164" i="546" s="1"/>
  <c r="B173" i="546" s="1"/>
  <c r="E173" i="546" s="1"/>
  <c r="J148" i="546" a="1"/>
  <c r="J148" i="546" s="1"/>
  <c r="K148" i="546"/>
  <c r="H163" i="546"/>
  <c r="H164" i="546"/>
  <c r="E171" i="546" s="1"/>
  <c r="J163" i="546" a="1"/>
  <c r="J163" i="546" s="1"/>
  <c r="M28" i="546"/>
  <c r="V164" i="546"/>
  <c r="I173" i="546" s="1"/>
  <c r="W28" i="546"/>
  <c r="W164" i="546" s="1"/>
  <c r="K524" i="546"/>
  <c r="R173" i="546"/>
  <c r="T167" i="546" s="1"/>
  <c r="M86" i="546"/>
  <c r="K525" i="546"/>
  <c r="K526" i="546"/>
  <c r="K170" i="546"/>
  <c r="M166" i="546"/>
  <c r="M178" i="546"/>
  <c r="M199" i="546" s="1"/>
  <c r="K199" i="546"/>
  <c r="C520" i="546"/>
  <c r="Q525" i="546"/>
  <c r="M87" i="546"/>
  <c r="M121" i="546" s="1"/>
  <c r="K121" i="546"/>
  <c r="M122" i="546"/>
  <c r="M137" i="546" s="1"/>
  <c r="K137" i="546"/>
  <c r="K527" i="546"/>
  <c r="K528" i="546"/>
  <c r="T170" i="546"/>
  <c r="K163" i="546"/>
  <c r="M149" i="546"/>
  <c r="M163" i="546" s="1"/>
  <c r="K529" i="546"/>
  <c r="T171" i="546"/>
  <c r="K257" i="546"/>
  <c r="M200" i="546"/>
  <c r="M257" i="546" s="1"/>
  <c r="J28" i="546" a="1"/>
  <c r="J28" i="546" s="1"/>
  <c r="K28" i="546"/>
  <c r="J86" i="546" a="1"/>
  <c r="J86" i="546" s="1"/>
  <c r="K86" i="546"/>
  <c r="W87" i="546"/>
  <c r="J121" i="546" a="1"/>
  <c r="J121" i="546" s="1"/>
  <c r="W122" i="546"/>
  <c r="J137" i="546" a="1"/>
  <c r="J137" i="546" s="1"/>
  <c r="M138" i="546"/>
  <c r="M148" i="546" s="1"/>
  <c r="W149" i="546"/>
  <c r="O164" i="546"/>
  <c r="E170" i="546"/>
  <c r="W178" i="546"/>
  <c r="W199" i="546" s="1"/>
  <c r="J199" i="546" a="1"/>
  <c r="J199" i="546" s="1"/>
  <c r="X338" i="546"/>
  <c r="P335" i="546"/>
  <c r="X339" i="546" s="1"/>
  <c r="H257" i="546"/>
  <c r="H335" i="546" s="1"/>
  <c r="E342" i="546" s="1"/>
  <c r="N257" i="546"/>
  <c r="N335" i="546" s="1"/>
  <c r="B344" i="546" s="1"/>
  <c r="W200" i="546"/>
  <c r="K308" i="546"/>
  <c r="M293" i="546"/>
  <c r="M308" i="546" s="1"/>
  <c r="K334" i="546"/>
  <c r="M320" i="546"/>
  <c r="M334" i="546" s="1"/>
  <c r="C530" i="546"/>
  <c r="E528" i="546" s="1"/>
  <c r="G164" i="546"/>
  <c r="P164" i="546"/>
  <c r="X168" i="546" s="1"/>
  <c r="X173" i="546" s="1"/>
  <c r="B342" i="546"/>
  <c r="J335" i="546" a="1"/>
  <c r="J335" i="546" s="1"/>
  <c r="M342" i="546" s="1"/>
  <c r="O335" i="546"/>
  <c r="R337" i="546"/>
  <c r="V308" i="546"/>
  <c r="W308" i="546" s="1"/>
  <c r="K319" i="546"/>
  <c r="V334" i="546"/>
  <c r="X344" i="546"/>
  <c r="Z337" i="546" s="1" a="1"/>
  <c r="Z337" i="546" s="1"/>
  <c r="M258" i="546"/>
  <c r="M292" i="546" s="1"/>
  <c r="R341" i="546"/>
  <c r="R342" i="546"/>
  <c r="E341" i="546"/>
  <c r="K337" i="546"/>
  <c r="J370" i="546" a="1"/>
  <c r="J370" i="546" s="1"/>
  <c r="K370" i="546"/>
  <c r="M429" i="546"/>
  <c r="M463" i="546" s="1"/>
  <c r="B514" i="546"/>
  <c r="J507" i="546" a="1"/>
  <c r="J507" i="546" s="1"/>
  <c r="M514" i="546" s="1"/>
  <c r="R509" i="546"/>
  <c r="X509" i="546"/>
  <c r="O507" i="546"/>
  <c r="X510" i="546" s="1"/>
  <c r="M371" i="546"/>
  <c r="M428" i="546" s="1"/>
  <c r="M464" i="546"/>
  <c r="M479" i="546" s="1"/>
  <c r="K479" i="546"/>
  <c r="K490" i="546"/>
  <c r="M480" i="546"/>
  <c r="M490" i="546" s="1"/>
  <c r="V490" i="546"/>
  <c r="W490" i="546" s="1"/>
  <c r="W506" i="546"/>
  <c r="V506" i="546"/>
  <c r="R534" i="546"/>
  <c r="S534" i="546" a="1"/>
  <c r="S534" i="546" s="1"/>
  <c r="R511" i="546"/>
  <c r="R512" i="546"/>
  <c r="M491" i="546"/>
  <c r="M506" i="546" s="1"/>
  <c r="R514" i="546"/>
  <c r="K513" i="546"/>
  <c r="M509" i="546"/>
  <c r="J536" i="546"/>
  <c r="Q533" i="546"/>
  <c r="R535" i="546"/>
  <c r="S535" i="546" a="1"/>
  <c r="S535" i="546" s="1"/>
  <c r="E513" i="546"/>
  <c r="T533" i="546" a="1"/>
  <c r="T533" i="546" s="1"/>
  <c r="T534" i="546" a="1"/>
  <c r="T534" i="546" s="1"/>
  <c r="T535" i="546" a="1"/>
  <c r="T535" i="546" s="1"/>
  <c r="C536" i="546"/>
  <c r="T536" i="546" s="1" a="1"/>
  <c r="T536" i="546" s="1"/>
  <c r="J334" i="545" a="1"/>
  <c r="J334" i="545" s="1"/>
  <c r="N507" i="546" l="1"/>
  <c r="B516" i="546" s="1"/>
  <c r="E516" i="546" s="1"/>
  <c r="Z341" i="546"/>
  <c r="Z342" i="546"/>
  <c r="Z343" i="546"/>
  <c r="Z340" i="546"/>
  <c r="M507" i="546"/>
  <c r="T169" i="546"/>
  <c r="T168" i="546"/>
  <c r="G519" i="546"/>
  <c r="E527" i="546"/>
  <c r="E526" i="546"/>
  <c r="E525" i="546"/>
  <c r="E524" i="546"/>
  <c r="Z166" i="546" a="1"/>
  <c r="Z166" i="546" s="1"/>
  <c r="Z172" i="546"/>
  <c r="Z167" i="546"/>
  <c r="Z171" i="546"/>
  <c r="Z169" i="546"/>
  <c r="Z170" i="546"/>
  <c r="E344" i="546"/>
  <c r="C521" i="546"/>
  <c r="G521" i="546" s="1"/>
  <c r="R533" i="546"/>
  <c r="R536" i="546" s="1"/>
  <c r="Q536" i="546"/>
  <c r="S536" i="546" s="1" a="1"/>
  <c r="S536" i="546" s="1"/>
  <c r="S533" i="546" a="1"/>
  <c r="S533" i="546" s="1"/>
  <c r="X516" i="546"/>
  <c r="Z509" i="546" s="1" a="1"/>
  <c r="Z509" i="546" s="1"/>
  <c r="K507" i="546"/>
  <c r="M337" i="546"/>
  <c r="K341" i="546"/>
  <c r="M341" i="546" s="1"/>
  <c r="T337" i="546" a="1"/>
  <c r="T337" i="546" s="1"/>
  <c r="R344" i="546"/>
  <c r="B171" i="546"/>
  <c r="C519" i="546" s="1"/>
  <c r="J164" i="546" a="1"/>
  <c r="J164" i="546" s="1"/>
  <c r="M171" i="546" s="1"/>
  <c r="Z338" i="546"/>
  <c r="W335" i="546"/>
  <c r="E529" i="546"/>
  <c r="E530" i="546" s="1"/>
  <c r="K164" i="546"/>
  <c r="E172" i="546" s="1"/>
  <c r="V335" i="546"/>
  <c r="I344" i="546" s="1"/>
  <c r="M344" i="546" s="1" a="1"/>
  <c r="M344" i="546" s="1"/>
  <c r="M335" i="546"/>
  <c r="K530" i="546"/>
  <c r="M528" i="546" s="1"/>
  <c r="T172" i="546"/>
  <c r="M164" i="546"/>
  <c r="M513" i="546"/>
  <c r="Z510" i="546"/>
  <c r="R516" i="546"/>
  <c r="T514" i="546" s="1"/>
  <c r="T509" i="546" a="1"/>
  <c r="T509" i="546" s="1"/>
  <c r="T341" i="546"/>
  <c r="V507" i="546"/>
  <c r="Q526" i="546"/>
  <c r="Z168" i="546"/>
  <c r="Z339" i="546"/>
  <c r="K335" i="546"/>
  <c r="M170" i="546"/>
  <c r="M526" i="546"/>
  <c r="T166" i="546" a="1"/>
  <c r="T166" i="546" s="1"/>
  <c r="M524" i="546" a="1"/>
  <c r="M524" i="546" s="1"/>
  <c r="M173" i="546" a="1"/>
  <c r="M173" i="546" s="1"/>
  <c r="M315" i="545"/>
  <c r="J315" i="545" a="1"/>
  <c r="J315" i="545" s="1"/>
  <c r="K315" i="545" a="1"/>
  <c r="K315" i="545" s="1"/>
  <c r="J222" i="545" a="1"/>
  <c r="J222" i="545" s="1"/>
  <c r="J221" i="545" a="1"/>
  <c r="J221" i="545" s="1"/>
  <c r="I315" i="545"/>
  <c r="I307" i="545"/>
  <c r="I183" i="545"/>
  <c r="I200" i="545"/>
  <c r="I203" i="545"/>
  <c r="I264" i="545"/>
  <c r="I212" i="545"/>
  <c r="I215" i="545"/>
  <c r="I222" i="545"/>
  <c r="I221" i="545"/>
  <c r="I186" i="545"/>
  <c r="M525" i="546" l="1"/>
  <c r="E343" i="546"/>
  <c r="I343" i="546" s="1"/>
  <c r="M343" i="546" s="1"/>
  <c r="L335" i="546"/>
  <c r="I342" i="546" s="1"/>
  <c r="I516" i="546"/>
  <c r="W507" i="546"/>
  <c r="M527" i="546"/>
  <c r="M529" i="546"/>
  <c r="O519" i="546" a="1"/>
  <c r="O519" i="546" s="1"/>
  <c r="E515" i="546"/>
  <c r="I515" i="546" s="1"/>
  <c r="M515" i="546" s="1"/>
  <c r="L507" i="546"/>
  <c r="I514" i="546" s="1"/>
  <c r="Q530" i="546"/>
  <c r="T515" i="546"/>
  <c r="T510" i="546"/>
  <c r="T513" i="546"/>
  <c r="T511" i="546"/>
  <c r="G520" i="546"/>
  <c r="K520" i="546" s="1"/>
  <c r="O520" i="546" s="1"/>
  <c r="I172" i="546"/>
  <c r="M172" i="546" s="1"/>
  <c r="L164" i="546"/>
  <c r="I171" i="546" s="1"/>
  <c r="T343" i="546"/>
  <c r="T338" i="546"/>
  <c r="T340" i="546"/>
  <c r="T339" i="546"/>
  <c r="T342" i="546"/>
  <c r="Z515" i="546"/>
  <c r="Z512" i="546"/>
  <c r="Z511" i="546"/>
  <c r="Z514" i="546"/>
  <c r="Z513" i="546"/>
  <c r="T512" i="546"/>
  <c r="G315" i="545"/>
  <c r="G186" i="545"/>
  <c r="S528" i="546" l="1"/>
  <c r="S524" i="546" a="1"/>
  <c r="S524" i="546" s="1"/>
  <c r="S527" i="546"/>
  <c r="S529" i="546"/>
  <c r="S525" i="546"/>
  <c r="S526" i="546"/>
  <c r="K519" i="546"/>
  <c r="M516" i="546" a="1"/>
  <c r="M516" i="546" s="1"/>
  <c r="K521" i="546"/>
  <c r="O521" i="546" s="1" a="1"/>
  <c r="O521" i="546" s="1"/>
  <c r="G198" i="545"/>
  <c r="G322" i="545"/>
  <c r="I15" i="545"/>
  <c r="G15" i="545"/>
  <c r="G264" i="545"/>
  <c r="G307" i="545"/>
  <c r="G215" i="545"/>
  <c r="G221" i="545"/>
  <c r="G200" i="545"/>
  <c r="G212" i="545"/>
  <c r="G203" i="545"/>
  <c r="G183" i="545"/>
  <c r="G12" i="545"/>
  <c r="M30" i="545"/>
  <c r="J30" i="545" a="1"/>
  <c r="J30" i="545" s="1"/>
  <c r="J50" i="545" a="1"/>
  <c r="J50" i="545" s="1"/>
  <c r="J52" i="545" a="1"/>
  <c r="J52" i="545" s="1"/>
  <c r="J108" i="545" a="1"/>
  <c r="J108" i="545" s="1"/>
  <c r="M117" i="545"/>
  <c r="M116" i="545"/>
  <c r="M115" i="545"/>
  <c r="M144" i="545"/>
  <c r="J117" i="545" a="1"/>
  <c r="J117" i="545" s="1"/>
  <c r="J116" i="545" a="1"/>
  <c r="J116" i="545" s="1"/>
  <c r="J115" i="545" a="1"/>
  <c r="J115" i="545" s="1"/>
  <c r="J144" i="545" a="1"/>
  <c r="J144" i="545" s="1"/>
  <c r="I11" i="545"/>
  <c r="I44" i="545"/>
  <c r="I93" i="545"/>
  <c r="I144" i="545"/>
  <c r="I32" i="545"/>
  <c r="I30" i="545"/>
  <c r="I152" i="545"/>
  <c r="I12" i="545"/>
  <c r="I27" i="545"/>
  <c r="S530" i="546" l="1"/>
  <c r="I435" i="545"/>
  <c r="G435" i="545" l="1"/>
  <c r="G108" i="545"/>
  <c r="G52" i="545"/>
  <c r="G32" i="545"/>
  <c r="G50" i="545"/>
  <c r="G44" i="545"/>
  <c r="G30" i="545"/>
  <c r="G93" i="545"/>
  <c r="G117" i="545"/>
  <c r="G144" i="545"/>
  <c r="G27" i="545"/>
  <c r="P536" i="545"/>
  <c r="O536" i="545"/>
  <c r="N536" i="545"/>
  <c r="M536" i="545"/>
  <c r="L536" i="545"/>
  <c r="K536" i="545"/>
  <c r="I536" i="545"/>
  <c r="H536" i="545"/>
  <c r="G536" i="545"/>
  <c r="F536" i="545"/>
  <c r="E536" i="545"/>
  <c r="G517" i="545"/>
  <c r="N517" i="545" s="1"/>
  <c r="X515" i="545"/>
  <c r="X514" i="545"/>
  <c r="X513" i="545"/>
  <c r="G513" i="545"/>
  <c r="C513" i="545"/>
  <c r="X512" i="545"/>
  <c r="I512" i="545"/>
  <c r="E512" i="545"/>
  <c r="K512" i="545" s="1"/>
  <c r="M512" i="545" s="1"/>
  <c r="X511" i="545"/>
  <c r="I511" i="545"/>
  <c r="E511" i="545"/>
  <c r="K511" i="545" s="1"/>
  <c r="M511" i="545" s="1"/>
  <c r="I510" i="545"/>
  <c r="E510" i="545"/>
  <c r="K510" i="545" s="1"/>
  <c r="M510" i="545" s="1"/>
  <c r="I509" i="545"/>
  <c r="I513" i="545" s="1"/>
  <c r="E509" i="545"/>
  <c r="E513" i="545" s="1"/>
  <c r="AA506" i="545"/>
  <c r="Z506" i="545"/>
  <c r="Y506" i="545"/>
  <c r="X506" i="545"/>
  <c r="U506" i="545"/>
  <c r="T506" i="545"/>
  <c r="S506" i="545"/>
  <c r="R506" i="545"/>
  <c r="Q506" i="545"/>
  <c r="P506" i="545"/>
  <c r="O506" i="545"/>
  <c r="I506" i="545"/>
  <c r="G506" i="545"/>
  <c r="J506" i="545" s="1" a="1"/>
  <c r="J506" i="545" s="1"/>
  <c r="H505" i="545"/>
  <c r="H504" i="545"/>
  <c r="H503" i="545"/>
  <c r="D502" i="545"/>
  <c r="H502" i="545" s="1"/>
  <c r="V501" i="545"/>
  <c r="W501" i="545" s="1"/>
  <c r="N501" i="545"/>
  <c r="K501" i="545" a="1"/>
  <c r="K501" i="545" s="1"/>
  <c r="M501" i="545" s="1"/>
  <c r="J501" i="545" a="1"/>
  <c r="J501" i="545" s="1"/>
  <c r="H501" i="545"/>
  <c r="H500" i="545"/>
  <c r="H499" i="545"/>
  <c r="V498" i="545"/>
  <c r="W498" i="545" s="1"/>
  <c r="N498" i="545"/>
  <c r="M498" i="545"/>
  <c r="K498" i="545" a="1"/>
  <c r="K498" i="545" s="1"/>
  <c r="J498" i="545" a="1"/>
  <c r="J498" i="545" s="1"/>
  <c r="H498" i="545"/>
  <c r="W497" i="545"/>
  <c r="V497" i="545"/>
  <c r="N497" i="545"/>
  <c r="K497" i="545" a="1"/>
  <c r="K497" i="545" s="1"/>
  <c r="M497" i="545" s="1"/>
  <c r="J497" i="545" a="1"/>
  <c r="J497" i="545" s="1"/>
  <c r="H497" i="545"/>
  <c r="H496" i="545"/>
  <c r="H495" i="545"/>
  <c r="V494" i="545"/>
  <c r="W494" i="545" s="1"/>
  <c r="N494" i="545"/>
  <c r="M494" i="545"/>
  <c r="K494" i="545" a="1"/>
  <c r="K494" i="545" s="1"/>
  <c r="J494" i="545" a="1"/>
  <c r="J494" i="545" s="1"/>
  <c r="H494" i="545"/>
  <c r="W493" i="545"/>
  <c r="V493" i="545"/>
  <c r="N493" i="545"/>
  <c r="K493" i="545" a="1"/>
  <c r="K493" i="545" s="1"/>
  <c r="M493" i="545" s="1"/>
  <c r="J493" i="545" a="1"/>
  <c r="J493" i="545" s="1"/>
  <c r="H493" i="545"/>
  <c r="V492" i="545"/>
  <c r="W492" i="545" s="1"/>
  <c r="N492" i="545"/>
  <c r="M492" i="545"/>
  <c r="K492" i="545" a="1"/>
  <c r="K492" i="545" s="1"/>
  <c r="J492" i="545" a="1"/>
  <c r="J492" i="545" s="1"/>
  <c r="H492" i="545"/>
  <c r="W491" i="545"/>
  <c r="V491" i="545"/>
  <c r="N491" i="545"/>
  <c r="N506" i="545" s="1"/>
  <c r="K491" i="545" a="1"/>
  <c r="K491" i="545" s="1"/>
  <c r="J491" i="545" a="1"/>
  <c r="J491" i="545" s="1"/>
  <c r="H491" i="545"/>
  <c r="AA490" i="545"/>
  <c r="Z490" i="545"/>
  <c r="Y490" i="545"/>
  <c r="X490" i="545"/>
  <c r="U490" i="545"/>
  <c r="T490" i="545"/>
  <c r="S490" i="545"/>
  <c r="Q490" i="545"/>
  <c r="P490" i="545"/>
  <c r="O490" i="545"/>
  <c r="I490" i="545"/>
  <c r="G490" i="545"/>
  <c r="V489" i="545"/>
  <c r="W489" i="545" s="1"/>
  <c r="N489" i="545"/>
  <c r="K489" i="545" a="1"/>
  <c r="K489" i="545" s="1"/>
  <c r="M489" i="545" s="1"/>
  <c r="J489" i="545" a="1"/>
  <c r="J489" i="545" s="1"/>
  <c r="H489" i="545"/>
  <c r="H487" i="545"/>
  <c r="H486" i="545"/>
  <c r="H485" i="545"/>
  <c r="V484" i="545"/>
  <c r="W484" i="545" s="1"/>
  <c r="N484" i="545"/>
  <c r="M484" i="545"/>
  <c r="K484" i="545" a="1"/>
  <c r="K484" i="545" s="1"/>
  <c r="J484" i="545" a="1"/>
  <c r="J484" i="545" s="1"/>
  <c r="H484" i="545"/>
  <c r="W483" i="545"/>
  <c r="V483" i="545"/>
  <c r="N483" i="545"/>
  <c r="K483" i="545" a="1"/>
  <c r="K483" i="545" s="1"/>
  <c r="M483" i="545" s="1"/>
  <c r="J483" i="545" a="1"/>
  <c r="J483" i="545" s="1"/>
  <c r="H483" i="545"/>
  <c r="V482" i="545"/>
  <c r="W482" i="545" s="1"/>
  <c r="N482" i="545"/>
  <c r="M482" i="545"/>
  <c r="K482" i="545" a="1"/>
  <c r="K482" i="545" s="1"/>
  <c r="J482" i="545" a="1"/>
  <c r="J482" i="545" s="1"/>
  <c r="H482" i="545"/>
  <c r="W481" i="545"/>
  <c r="V481" i="545"/>
  <c r="N481" i="545"/>
  <c r="K481" i="545" a="1"/>
  <c r="K481" i="545" s="1"/>
  <c r="M481" i="545" s="1"/>
  <c r="J481" i="545" a="1"/>
  <c r="J481" i="545" s="1"/>
  <c r="H481" i="545"/>
  <c r="V480" i="545"/>
  <c r="W480" i="545" s="1"/>
  <c r="N480" i="545"/>
  <c r="M480" i="545"/>
  <c r="K480" i="545" a="1"/>
  <c r="K480" i="545" s="1"/>
  <c r="J480" i="545" a="1"/>
  <c r="J480" i="545" s="1"/>
  <c r="H480" i="545"/>
  <c r="AA479" i="545"/>
  <c r="Z479" i="545"/>
  <c r="Y479" i="545"/>
  <c r="X479" i="545"/>
  <c r="U479" i="545"/>
  <c r="T479" i="545"/>
  <c r="S479" i="545"/>
  <c r="Q479" i="545"/>
  <c r="P479" i="545"/>
  <c r="O479" i="545"/>
  <c r="I479" i="545"/>
  <c r="G479" i="545"/>
  <c r="J479" i="545" s="1" a="1"/>
  <c r="J479" i="545" s="1"/>
  <c r="V478" i="545"/>
  <c r="W478" i="545" s="1"/>
  <c r="N478" i="545"/>
  <c r="K478" i="545"/>
  <c r="M478" i="545" s="1"/>
  <c r="K478" i="545" a="1"/>
  <c r="J478" i="545"/>
  <c r="J478" i="545" a="1"/>
  <c r="H478" i="545"/>
  <c r="V477" i="545"/>
  <c r="W477" i="545" s="1"/>
  <c r="N477" i="545"/>
  <c r="K477" i="545" a="1"/>
  <c r="K477" i="545" s="1"/>
  <c r="M477" i="545" s="1"/>
  <c r="J477" i="545" a="1"/>
  <c r="J477" i="545" s="1"/>
  <c r="H477" i="545"/>
  <c r="W476" i="545"/>
  <c r="V476" i="545"/>
  <c r="N476" i="545"/>
  <c r="K476" i="545" a="1"/>
  <c r="K476" i="545" s="1"/>
  <c r="M476" i="545" s="1"/>
  <c r="J476" i="545" a="1"/>
  <c r="J476" i="545" s="1"/>
  <c r="H476" i="545"/>
  <c r="V475" i="545"/>
  <c r="W475" i="545" s="1"/>
  <c r="N475" i="545"/>
  <c r="K475" i="545" a="1"/>
  <c r="K475" i="545" s="1"/>
  <c r="M475" i="545" s="1"/>
  <c r="J475" i="545" a="1"/>
  <c r="J475" i="545" s="1"/>
  <c r="H475" i="545"/>
  <c r="V474" i="545"/>
  <c r="W474" i="545" s="1"/>
  <c r="N474" i="545"/>
  <c r="K474" i="545"/>
  <c r="M474" i="545" s="1"/>
  <c r="K474" i="545" a="1"/>
  <c r="J474" i="545"/>
  <c r="J474" i="545" a="1"/>
  <c r="H474" i="545"/>
  <c r="V473" i="545"/>
  <c r="W473" i="545" s="1"/>
  <c r="N473" i="545"/>
  <c r="K473" i="545" a="1"/>
  <c r="K473" i="545" s="1"/>
  <c r="M473" i="545" s="1"/>
  <c r="J473" i="545" a="1"/>
  <c r="J473" i="545" s="1"/>
  <c r="H473" i="545"/>
  <c r="V472" i="545"/>
  <c r="W472" i="545" s="1"/>
  <c r="N472" i="545"/>
  <c r="K472" i="545" a="1"/>
  <c r="K472" i="545" s="1"/>
  <c r="M472" i="545" s="1"/>
  <c r="J472" i="545" a="1"/>
  <c r="J472" i="545" s="1"/>
  <c r="H472" i="545"/>
  <c r="V471" i="545"/>
  <c r="W471" i="545" s="1"/>
  <c r="N471" i="545"/>
  <c r="K471" i="545" a="1"/>
  <c r="K471" i="545" s="1"/>
  <c r="M471" i="545" s="1"/>
  <c r="J471" i="545" a="1"/>
  <c r="J471" i="545" s="1"/>
  <c r="H471" i="545"/>
  <c r="V470" i="545"/>
  <c r="W470" i="545" s="1"/>
  <c r="N470" i="545"/>
  <c r="K470" i="545"/>
  <c r="M470" i="545" s="1"/>
  <c r="K470" i="545" a="1"/>
  <c r="J470" i="545"/>
  <c r="J470" i="545" a="1"/>
  <c r="H470" i="545"/>
  <c r="V469" i="545"/>
  <c r="W469" i="545" s="1"/>
  <c r="N469" i="545"/>
  <c r="K469" i="545" a="1"/>
  <c r="K469" i="545" s="1"/>
  <c r="M469" i="545" s="1"/>
  <c r="J469" i="545" a="1"/>
  <c r="J469" i="545" s="1"/>
  <c r="H469" i="545"/>
  <c r="W468" i="545"/>
  <c r="V468" i="545"/>
  <c r="N468" i="545"/>
  <c r="K468" i="545" a="1"/>
  <c r="K468" i="545" s="1"/>
  <c r="M468" i="545" s="1"/>
  <c r="J468" i="545" a="1"/>
  <c r="J468" i="545" s="1"/>
  <c r="H468" i="545"/>
  <c r="V467" i="545"/>
  <c r="W467" i="545" s="1"/>
  <c r="N467" i="545"/>
  <c r="K467" i="545" a="1"/>
  <c r="K467" i="545" s="1"/>
  <c r="M467" i="545" s="1"/>
  <c r="J467" i="545" a="1"/>
  <c r="J467" i="545" s="1"/>
  <c r="H467" i="545"/>
  <c r="V466" i="545"/>
  <c r="W466" i="545" s="1"/>
  <c r="N466" i="545"/>
  <c r="K466" i="545"/>
  <c r="M466" i="545" s="1"/>
  <c r="K466" i="545" a="1"/>
  <c r="J466" i="545"/>
  <c r="J466" i="545" a="1"/>
  <c r="H466" i="545"/>
  <c r="V465" i="545"/>
  <c r="W465" i="545" s="1"/>
  <c r="N465" i="545"/>
  <c r="K465" i="545" a="1"/>
  <c r="K465" i="545" s="1"/>
  <c r="M465" i="545" s="1"/>
  <c r="J465" i="545" a="1"/>
  <c r="J465" i="545" s="1"/>
  <c r="H465" i="545"/>
  <c r="V464" i="545"/>
  <c r="W464" i="545" s="1"/>
  <c r="N464" i="545"/>
  <c r="K464" i="545" a="1"/>
  <c r="K464" i="545" s="1"/>
  <c r="M464" i="545" s="1"/>
  <c r="J464" i="545" a="1"/>
  <c r="J464" i="545" s="1"/>
  <c r="H464" i="545"/>
  <c r="AA463" i="545"/>
  <c r="Z463" i="545"/>
  <c r="Y463" i="545"/>
  <c r="X463" i="545"/>
  <c r="U463" i="545"/>
  <c r="T463" i="545"/>
  <c r="S463" i="545"/>
  <c r="R463" i="545"/>
  <c r="Q463" i="545"/>
  <c r="P463" i="545"/>
  <c r="O463" i="545"/>
  <c r="R511" i="545" s="1"/>
  <c r="I463" i="545"/>
  <c r="G463" i="545"/>
  <c r="V462" i="545"/>
  <c r="W462" i="545" s="1"/>
  <c r="N462" i="545"/>
  <c r="K462" i="545"/>
  <c r="M462" i="545" s="1"/>
  <c r="K462" i="545" a="1"/>
  <c r="J462" i="545"/>
  <c r="J462" i="545" a="1"/>
  <c r="H462" i="545"/>
  <c r="V461" i="545"/>
  <c r="W461" i="545" s="1"/>
  <c r="N461" i="545"/>
  <c r="K461" i="545" a="1"/>
  <c r="K461" i="545" s="1"/>
  <c r="M461" i="545" s="1"/>
  <c r="J461" i="545" a="1"/>
  <c r="J461" i="545" s="1"/>
  <c r="H461" i="545"/>
  <c r="W460" i="545"/>
  <c r="V460" i="545"/>
  <c r="N460" i="545"/>
  <c r="K460" i="545" a="1"/>
  <c r="K460" i="545" s="1"/>
  <c r="M460" i="545" s="1"/>
  <c r="J460" i="545" a="1"/>
  <c r="J460" i="545" s="1"/>
  <c r="H460" i="545"/>
  <c r="K459" i="545"/>
  <c r="M459" i="545" s="1"/>
  <c r="K459" i="545" a="1"/>
  <c r="H459" i="545"/>
  <c r="K458" i="545" a="1"/>
  <c r="K458" i="545" s="1"/>
  <c r="M458" i="545" s="1"/>
  <c r="H458" i="545"/>
  <c r="K457" i="545"/>
  <c r="M457" i="545" s="1"/>
  <c r="K457" i="545" a="1"/>
  <c r="H457" i="545"/>
  <c r="V456" i="545"/>
  <c r="W456" i="545" s="1"/>
  <c r="N456" i="545"/>
  <c r="K456" i="545" a="1"/>
  <c r="K456" i="545" s="1"/>
  <c r="M456" i="545" s="1"/>
  <c r="J456" i="545" a="1"/>
  <c r="J456" i="545" s="1"/>
  <c r="H456" i="545"/>
  <c r="V455" i="545"/>
  <c r="W455" i="545" s="1"/>
  <c r="N455" i="545"/>
  <c r="K455" i="545" a="1"/>
  <c r="K455" i="545" s="1"/>
  <c r="M455" i="545" s="1"/>
  <c r="J455" i="545" a="1"/>
  <c r="J455" i="545" s="1"/>
  <c r="H455" i="545"/>
  <c r="N454" i="545"/>
  <c r="K454" i="545" a="1"/>
  <c r="K454" i="545" s="1"/>
  <c r="M454" i="545" s="1"/>
  <c r="H454" i="545"/>
  <c r="N453" i="545"/>
  <c r="K453" i="545"/>
  <c r="M453" i="545" s="1"/>
  <c r="K453" i="545" a="1"/>
  <c r="H453" i="545"/>
  <c r="N452" i="545"/>
  <c r="K452" i="545" a="1"/>
  <c r="K452" i="545" s="1"/>
  <c r="M452" i="545" s="1"/>
  <c r="H452" i="545"/>
  <c r="N451" i="545"/>
  <c r="K451" i="545" a="1"/>
  <c r="K451" i="545" s="1"/>
  <c r="M451" i="545" s="1"/>
  <c r="H451" i="545"/>
  <c r="N450" i="545"/>
  <c r="K450" i="545" a="1"/>
  <c r="K450" i="545" s="1"/>
  <c r="M450" i="545" s="1"/>
  <c r="H450" i="545"/>
  <c r="N449" i="545"/>
  <c r="K449" i="545"/>
  <c r="M449" i="545" s="1"/>
  <c r="K449" i="545" a="1"/>
  <c r="H449" i="545"/>
  <c r="V448" i="545"/>
  <c r="W448" i="545" s="1"/>
  <c r="N448" i="545"/>
  <c r="K448" i="545" a="1"/>
  <c r="K448" i="545" s="1"/>
  <c r="M448" i="545" s="1"/>
  <c r="J448" i="545" a="1"/>
  <c r="J448" i="545" s="1"/>
  <c r="H448" i="545"/>
  <c r="V447" i="545"/>
  <c r="W447" i="545" s="1"/>
  <c r="N447" i="545"/>
  <c r="K447" i="545" a="1"/>
  <c r="K447" i="545" s="1"/>
  <c r="M447" i="545" s="1"/>
  <c r="J447" i="545" a="1"/>
  <c r="J447" i="545" s="1"/>
  <c r="H447" i="545"/>
  <c r="V446" i="545"/>
  <c r="W446" i="545" s="1"/>
  <c r="N446" i="545"/>
  <c r="K446" i="545" a="1"/>
  <c r="K446" i="545" s="1"/>
  <c r="M446" i="545" s="1"/>
  <c r="J446" i="545" a="1"/>
  <c r="J446" i="545" s="1"/>
  <c r="H446" i="545"/>
  <c r="V445" i="545"/>
  <c r="W445" i="545" s="1"/>
  <c r="N445" i="545"/>
  <c r="K445" i="545"/>
  <c r="M445" i="545" s="1"/>
  <c r="K445" i="545" a="1"/>
  <c r="J445" i="545"/>
  <c r="J445" i="545" a="1"/>
  <c r="H445" i="545"/>
  <c r="V444" i="545"/>
  <c r="W444" i="545" s="1"/>
  <c r="N444" i="545"/>
  <c r="K444" i="545" a="1"/>
  <c r="K444" i="545" s="1"/>
  <c r="M444" i="545" s="1"/>
  <c r="J444" i="545" a="1"/>
  <c r="J444" i="545" s="1"/>
  <c r="H444" i="545"/>
  <c r="V443" i="545"/>
  <c r="W443" i="545" s="1"/>
  <c r="N443" i="545"/>
  <c r="K443" i="545"/>
  <c r="M443" i="545" s="1"/>
  <c r="K443" i="545" a="1"/>
  <c r="J443" i="545"/>
  <c r="J443" i="545" a="1"/>
  <c r="H443" i="545"/>
  <c r="V442" i="545"/>
  <c r="W442" i="545" s="1"/>
  <c r="N442" i="545"/>
  <c r="K442" i="545" a="1"/>
  <c r="K442" i="545" s="1"/>
  <c r="M442" i="545" s="1"/>
  <c r="J442" i="545" a="1"/>
  <c r="J442" i="545" s="1"/>
  <c r="H442" i="545"/>
  <c r="W441" i="545"/>
  <c r="V441" i="545"/>
  <c r="N441" i="545"/>
  <c r="K441" i="545" a="1"/>
  <c r="K441" i="545" s="1"/>
  <c r="M441" i="545" s="1"/>
  <c r="J441" i="545" a="1"/>
  <c r="J441" i="545" s="1"/>
  <c r="H441" i="545"/>
  <c r="V440" i="545"/>
  <c r="W440" i="545" s="1"/>
  <c r="N440" i="545"/>
  <c r="K440" i="545" a="1"/>
  <c r="K440" i="545" s="1"/>
  <c r="M440" i="545" s="1"/>
  <c r="J440" i="545" a="1"/>
  <c r="J440" i="545" s="1"/>
  <c r="H440" i="545"/>
  <c r="V439" i="545"/>
  <c r="W439" i="545" s="1"/>
  <c r="N439" i="545"/>
  <c r="K439" i="545"/>
  <c r="M439" i="545" s="1"/>
  <c r="K439" i="545" a="1"/>
  <c r="J439" i="545"/>
  <c r="J439" i="545" a="1"/>
  <c r="H439" i="545"/>
  <c r="V438" i="545"/>
  <c r="W438" i="545" s="1"/>
  <c r="N438" i="545"/>
  <c r="K438" i="545" a="1"/>
  <c r="K438" i="545" s="1"/>
  <c r="M438" i="545" s="1"/>
  <c r="J438" i="545" a="1"/>
  <c r="J438" i="545" s="1"/>
  <c r="H438" i="545"/>
  <c r="W437" i="545"/>
  <c r="V437" i="545"/>
  <c r="N437" i="545"/>
  <c r="K437" i="545" a="1"/>
  <c r="K437" i="545" s="1"/>
  <c r="M437" i="545" s="1"/>
  <c r="J437" i="545" a="1"/>
  <c r="J437" i="545" s="1"/>
  <c r="H437" i="545"/>
  <c r="N436" i="545"/>
  <c r="K436" i="545" a="1"/>
  <c r="K436" i="545" s="1"/>
  <c r="M436" i="545" s="1"/>
  <c r="H436" i="545"/>
  <c r="W435" i="545"/>
  <c r="V435" i="545"/>
  <c r="N435" i="545"/>
  <c r="K435" i="545" a="1"/>
  <c r="K435" i="545" s="1"/>
  <c r="M435" i="545" s="1"/>
  <c r="J435" i="545" a="1"/>
  <c r="J435" i="545" s="1"/>
  <c r="H435" i="545"/>
  <c r="V434" i="545"/>
  <c r="W434" i="545" s="1"/>
  <c r="N434" i="545"/>
  <c r="K434" i="545" a="1"/>
  <c r="K434" i="545" s="1"/>
  <c r="M434" i="545" s="1"/>
  <c r="J434" i="545" a="1"/>
  <c r="J434" i="545" s="1"/>
  <c r="H434" i="545"/>
  <c r="V433" i="545"/>
  <c r="W433" i="545" s="1"/>
  <c r="N433" i="545"/>
  <c r="K433" i="545"/>
  <c r="M433" i="545" s="1"/>
  <c r="K433" i="545" a="1"/>
  <c r="J433" i="545"/>
  <c r="J433" i="545" a="1"/>
  <c r="H433" i="545"/>
  <c r="V432" i="545"/>
  <c r="W432" i="545" s="1"/>
  <c r="N432" i="545"/>
  <c r="K432" i="545" a="1"/>
  <c r="K432" i="545" s="1"/>
  <c r="M432" i="545" s="1"/>
  <c r="J432" i="545" a="1"/>
  <c r="J432" i="545" s="1"/>
  <c r="H432" i="545"/>
  <c r="V431" i="545"/>
  <c r="W431" i="545" s="1"/>
  <c r="N431" i="545"/>
  <c r="K431" i="545" a="1"/>
  <c r="K431" i="545" s="1"/>
  <c r="M431" i="545" s="1"/>
  <c r="J431" i="545" a="1"/>
  <c r="J431" i="545" s="1"/>
  <c r="H431" i="545"/>
  <c r="V430" i="545"/>
  <c r="W430" i="545" s="1"/>
  <c r="N430" i="545"/>
  <c r="K430" i="545" a="1"/>
  <c r="K430" i="545" s="1"/>
  <c r="M430" i="545" s="1"/>
  <c r="J430" i="545" a="1"/>
  <c r="J430" i="545" s="1"/>
  <c r="H430" i="545"/>
  <c r="V429" i="545"/>
  <c r="V463" i="545" s="1"/>
  <c r="W463" i="545" s="1"/>
  <c r="N429" i="545"/>
  <c r="K429" i="545"/>
  <c r="K429" i="545" a="1"/>
  <c r="J429" i="545"/>
  <c r="J429" i="545" a="1"/>
  <c r="H429" i="545"/>
  <c r="AA428" i="545"/>
  <c r="Z428" i="545"/>
  <c r="Y428" i="545"/>
  <c r="X428" i="545"/>
  <c r="U428" i="545"/>
  <c r="T428" i="545"/>
  <c r="S428" i="545"/>
  <c r="R428" i="545"/>
  <c r="Q428" i="545"/>
  <c r="P428" i="545"/>
  <c r="O428" i="545"/>
  <c r="I428" i="545"/>
  <c r="G428" i="545"/>
  <c r="J428" i="545" s="1" a="1"/>
  <c r="J428" i="545" s="1"/>
  <c r="K427" i="545" a="1"/>
  <c r="K427" i="545" s="1"/>
  <c r="M427" i="545" s="1"/>
  <c r="H427" i="545"/>
  <c r="K426" i="545" a="1"/>
  <c r="K426" i="545" s="1"/>
  <c r="M426" i="545" s="1"/>
  <c r="H426" i="545"/>
  <c r="K425" i="545" a="1"/>
  <c r="K425" i="545" s="1"/>
  <c r="M425" i="545" s="1"/>
  <c r="H425" i="545"/>
  <c r="K424" i="545" a="1"/>
  <c r="K424" i="545" s="1"/>
  <c r="M424" i="545" s="1"/>
  <c r="H424" i="545"/>
  <c r="K423" i="545" a="1"/>
  <c r="K423" i="545" s="1"/>
  <c r="M423" i="545" s="1"/>
  <c r="H423" i="545"/>
  <c r="K422" i="545" a="1"/>
  <c r="K422" i="545" s="1"/>
  <c r="M422" i="545" s="1"/>
  <c r="H422" i="545"/>
  <c r="K421" i="545" a="1"/>
  <c r="K421" i="545" s="1"/>
  <c r="M421" i="545" s="1"/>
  <c r="H421" i="545"/>
  <c r="K420" i="545" a="1"/>
  <c r="K420" i="545" s="1"/>
  <c r="M420" i="545" s="1"/>
  <c r="H420" i="545"/>
  <c r="K419" i="545" a="1"/>
  <c r="K419" i="545" s="1"/>
  <c r="M419" i="545" s="1"/>
  <c r="H419" i="545"/>
  <c r="K418" i="545" a="1"/>
  <c r="K418" i="545" s="1"/>
  <c r="M418" i="545" s="1"/>
  <c r="H418" i="545"/>
  <c r="W417" i="545"/>
  <c r="V417" i="545"/>
  <c r="N417" i="545"/>
  <c r="K417" i="545" a="1"/>
  <c r="K417" i="545" s="1"/>
  <c r="M417" i="545" s="1"/>
  <c r="J417" i="545" a="1"/>
  <c r="J417" i="545" s="1"/>
  <c r="H417" i="545"/>
  <c r="V416" i="545"/>
  <c r="W416" i="545" s="1"/>
  <c r="N416" i="545"/>
  <c r="K416" i="545" a="1"/>
  <c r="K416" i="545" s="1"/>
  <c r="M416" i="545" s="1"/>
  <c r="J416" i="545" a="1"/>
  <c r="J416" i="545" s="1"/>
  <c r="H416" i="545"/>
  <c r="V415" i="545"/>
  <c r="W415" i="545" s="1"/>
  <c r="N415" i="545"/>
  <c r="K415" i="545"/>
  <c r="M415" i="545" s="1"/>
  <c r="K415" i="545" a="1"/>
  <c r="J415" i="545"/>
  <c r="J415" i="545" a="1"/>
  <c r="H415" i="545"/>
  <c r="V414" i="545"/>
  <c r="W414" i="545" s="1"/>
  <c r="N414" i="545"/>
  <c r="K414" i="545" a="1"/>
  <c r="K414" i="545" s="1"/>
  <c r="M414" i="545" s="1"/>
  <c r="J414" i="545" a="1"/>
  <c r="J414" i="545" s="1"/>
  <c r="H414" i="545"/>
  <c r="H413" i="545"/>
  <c r="V412" i="545"/>
  <c r="W412" i="545" s="1"/>
  <c r="N412" i="545"/>
  <c r="K412" i="545" a="1"/>
  <c r="K412" i="545" s="1"/>
  <c r="M412" i="545" s="1"/>
  <c r="J412" i="545" a="1"/>
  <c r="J412" i="545" s="1"/>
  <c r="H412" i="545"/>
  <c r="V411" i="545"/>
  <c r="W411" i="545" s="1"/>
  <c r="N411" i="545"/>
  <c r="K411" i="545" a="1"/>
  <c r="K411" i="545" s="1"/>
  <c r="M411" i="545" s="1"/>
  <c r="J411" i="545" a="1"/>
  <c r="J411" i="545" s="1"/>
  <c r="H411" i="545"/>
  <c r="H410" i="545"/>
  <c r="K409" i="545" a="1"/>
  <c r="K409" i="545" s="1"/>
  <c r="H409" i="545"/>
  <c r="V408" i="545"/>
  <c r="W408" i="545" s="1"/>
  <c r="N408" i="545"/>
  <c r="K408" i="545" a="1"/>
  <c r="K408" i="545" s="1"/>
  <c r="M408" i="545" s="1"/>
  <c r="J408" i="545" a="1"/>
  <c r="J408" i="545" s="1"/>
  <c r="H408" i="545"/>
  <c r="V407" i="545"/>
  <c r="W407" i="545" s="1"/>
  <c r="N407" i="545"/>
  <c r="K407" i="545"/>
  <c r="M407" i="545" s="1"/>
  <c r="K407" i="545" a="1"/>
  <c r="J407" i="545"/>
  <c r="J407" i="545" a="1"/>
  <c r="H407" i="545"/>
  <c r="V406" i="545"/>
  <c r="W406" i="545" s="1"/>
  <c r="N406" i="545"/>
  <c r="K406" i="545" a="1"/>
  <c r="K406" i="545" s="1"/>
  <c r="M406" i="545" s="1"/>
  <c r="J406" i="545" a="1"/>
  <c r="J406" i="545" s="1"/>
  <c r="H406" i="545"/>
  <c r="V405" i="545"/>
  <c r="W405" i="545" s="1"/>
  <c r="N405" i="545"/>
  <c r="K405" i="545" a="1"/>
  <c r="K405" i="545" s="1"/>
  <c r="M405" i="545" s="1"/>
  <c r="J405" i="545" a="1"/>
  <c r="J405" i="545" s="1"/>
  <c r="H405" i="545"/>
  <c r="V404" i="545"/>
  <c r="W404" i="545" s="1"/>
  <c r="N404" i="545"/>
  <c r="K404" i="545" a="1"/>
  <c r="K404" i="545" s="1"/>
  <c r="M404" i="545" s="1"/>
  <c r="J404" i="545" a="1"/>
  <c r="J404" i="545" s="1"/>
  <c r="H404" i="545"/>
  <c r="V403" i="545"/>
  <c r="W403" i="545" s="1"/>
  <c r="N403" i="545"/>
  <c r="K403" i="545"/>
  <c r="M403" i="545" s="1"/>
  <c r="K403" i="545" a="1"/>
  <c r="J403" i="545"/>
  <c r="J403" i="545" a="1"/>
  <c r="H403" i="545"/>
  <c r="V402" i="545"/>
  <c r="W402" i="545" s="1"/>
  <c r="N402" i="545"/>
  <c r="K402" i="545" a="1"/>
  <c r="K402" i="545" s="1"/>
  <c r="M402" i="545" s="1"/>
  <c r="J402" i="545" a="1"/>
  <c r="J402" i="545" s="1"/>
  <c r="H402" i="545"/>
  <c r="W401" i="545"/>
  <c r="V401" i="545"/>
  <c r="N401" i="545"/>
  <c r="K401" i="545" a="1"/>
  <c r="K401" i="545" s="1"/>
  <c r="M401" i="545" s="1"/>
  <c r="J401" i="545" a="1"/>
  <c r="J401" i="545" s="1"/>
  <c r="H401" i="545"/>
  <c r="V400" i="545"/>
  <c r="W400" i="545" s="1"/>
  <c r="N400" i="545"/>
  <c r="K400" i="545" a="1"/>
  <c r="K400" i="545" s="1"/>
  <c r="M400" i="545" s="1"/>
  <c r="J400" i="545" a="1"/>
  <c r="J400" i="545" s="1"/>
  <c r="H400" i="545"/>
  <c r="V399" i="545"/>
  <c r="W399" i="545" s="1"/>
  <c r="N399" i="545"/>
  <c r="K399" i="545"/>
  <c r="M399" i="545" s="1"/>
  <c r="K399" i="545" a="1"/>
  <c r="J399" i="545"/>
  <c r="J399" i="545" a="1"/>
  <c r="H399" i="545"/>
  <c r="K398" i="545" a="1"/>
  <c r="K398" i="545" s="1"/>
  <c r="M398" i="545" s="1"/>
  <c r="H398" i="545"/>
  <c r="K397" i="545"/>
  <c r="M397" i="545" s="1"/>
  <c r="K397" i="545" a="1"/>
  <c r="H397" i="545"/>
  <c r="K396" i="545" a="1"/>
  <c r="K396" i="545" s="1"/>
  <c r="M396" i="545" s="1"/>
  <c r="H396" i="545"/>
  <c r="K395" i="545"/>
  <c r="M395" i="545" s="1"/>
  <c r="K395" i="545" a="1"/>
  <c r="H395" i="545"/>
  <c r="N394" i="545"/>
  <c r="K394" i="545" a="1"/>
  <c r="K394" i="545" s="1"/>
  <c r="M394" i="545" s="1"/>
  <c r="H394" i="545"/>
  <c r="N393" i="545"/>
  <c r="K393" i="545" a="1"/>
  <c r="K393" i="545" s="1"/>
  <c r="M393" i="545" s="1"/>
  <c r="H393" i="545"/>
  <c r="N392" i="545"/>
  <c r="K392" i="545" a="1"/>
  <c r="K392" i="545" s="1"/>
  <c r="M392" i="545" s="1"/>
  <c r="H392" i="545"/>
  <c r="N391" i="545"/>
  <c r="K391" i="545"/>
  <c r="M391" i="545" s="1"/>
  <c r="K391" i="545" a="1"/>
  <c r="H391" i="545"/>
  <c r="V390" i="545"/>
  <c r="W390" i="545" s="1"/>
  <c r="N390" i="545"/>
  <c r="K390" i="545" a="1"/>
  <c r="K390" i="545" s="1"/>
  <c r="M390" i="545" s="1"/>
  <c r="J390" i="545" a="1"/>
  <c r="J390" i="545" s="1"/>
  <c r="H390" i="545"/>
  <c r="W389" i="545"/>
  <c r="V389" i="545"/>
  <c r="N389" i="545"/>
  <c r="K389" i="545" a="1"/>
  <c r="K389" i="545" s="1"/>
  <c r="M389" i="545" s="1"/>
  <c r="J389" i="545" a="1"/>
  <c r="J389" i="545" s="1"/>
  <c r="H389" i="545"/>
  <c r="V388" i="545"/>
  <c r="W388" i="545" s="1"/>
  <c r="N388" i="545"/>
  <c r="K388" i="545" a="1"/>
  <c r="K388" i="545" s="1"/>
  <c r="M388" i="545" s="1"/>
  <c r="J388" i="545" a="1"/>
  <c r="J388" i="545" s="1"/>
  <c r="H388" i="545"/>
  <c r="V387" i="545"/>
  <c r="W387" i="545" s="1"/>
  <c r="N387" i="545"/>
  <c r="K387" i="545"/>
  <c r="M387" i="545" s="1"/>
  <c r="K387" i="545" a="1"/>
  <c r="J387" i="545"/>
  <c r="J387" i="545" a="1"/>
  <c r="H387" i="545"/>
  <c r="V386" i="545"/>
  <c r="W386" i="545" s="1"/>
  <c r="N386" i="545"/>
  <c r="K386" i="545" a="1"/>
  <c r="K386" i="545" s="1"/>
  <c r="M386" i="545" s="1"/>
  <c r="J386" i="545" a="1"/>
  <c r="J386" i="545" s="1"/>
  <c r="H386" i="545"/>
  <c r="V385" i="545"/>
  <c r="W385" i="545" s="1"/>
  <c r="N385" i="545"/>
  <c r="K385" i="545" a="1"/>
  <c r="K385" i="545" s="1"/>
  <c r="M385" i="545" s="1"/>
  <c r="J385" i="545" a="1"/>
  <c r="J385" i="545" s="1"/>
  <c r="H385" i="545"/>
  <c r="V384" i="545"/>
  <c r="W384" i="545" s="1"/>
  <c r="N384" i="545"/>
  <c r="K384" i="545" a="1"/>
  <c r="K384" i="545" s="1"/>
  <c r="M384" i="545" s="1"/>
  <c r="J384" i="545" a="1"/>
  <c r="J384" i="545" s="1"/>
  <c r="H384" i="545"/>
  <c r="V383" i="545"/>
  <c r="W383" i="545" s="1"/>
  <c r="N383" i="545"/>
  <c r="K383" i="545"/>
  <c r="M383" i="545" s="1"/>
  <c r="K383" i="545" a="1"/>
  <c r="J383" i="545"/>
  <c r="J383" i="545" a="1"/>
  <c r="H383" i="545"/>
  <c r="V382" i="545"/>
  <c r="W382" i="545" s="1"/>
  <c r="N382" i="545"/>
  <c r="K382" i="545" a="1"/>
  <c r="K382" i="545" s="1"/>
  <c r="M382" i="545" s="1"/>
  <c r="J382" i="545" a="1"/>
  <c r="J382" i="545" s="1"/>
  <c r="H382" i="545"/>
  <c r="W381" i="545"/>
  <c r="V381" i="545"/>
  <c r="N381" i="545"/>
  <c r="K381" i="545" a="1"/>
  <c r="K381" i="545" s="1"/>
  <c r="M381" i="545" s="1"/>
  <c r="J381" i="545" a="1"/>
  <c r="J381" i="545" s="1"/>
  <c r="H381" i="545"/>
  <c r="V380" i="545"/>
  <c r="W380" i="545" s="1"/>
  <c r="N380" i="545"/>
  <c r="K380" i="545" a="1"/>
  <c r="K380" i="545" s="1"/>
  <c r="M380" i="545" s="1"/>
  <c r="J380" i="545" a="1"/>
  <c r="J380" i="545" s="1"/>
  <c r="H380" i="545"/>
  <c r="V379" i="545"/>
  <c r="W379" i="545" s="1"/>
  <c r="N379" i="545"/>
  <c r="K379" i="545"/>
  <c r="M379" i="545" s="1"/>
  <c r="K379" i="545" a="1"/>
  <c r="J379" i="545"/>
  <c r="J379" i="545" a="1"/>
  <c r="H379" i="545"/>
  <c r="K378" i="545" a="1"/>
  <c r="K378" i="545" s="1"/>
  <c r="M378" i="545" s="1"/>
  <c r="H378" i="545"/>
  <c r="K377" i="545"/>
  <c r="M377" i="545" s="1"/>
  <c r="K377" i="545" a="1"/>
  <c r="H377" i="545"/>
  <c r="K376" i="545" a="1"/>
  <c r="K376" i="545" s="1"/>
  <c r="M376" i="545" s="1"/>
  <c r="H376" i="545"/>
  <c r="V375" i="545"/>
  <c r="W375" i="545" s="1"/>
  <c r="N375" i="545"/>
  <c r="M375" i="545"/>
  <c r="K375" i="545" a="1"/>
  <c r="K375" i="545" s="1"/>
  <c r="J375" i="545" a="1"/>
  <c r="J375" i="545" s="1"/>
  <c r="H375" i="545"/>
  <c r="V374" i="545"/>
  <c r="W374" i="545" s="1"/>
  <c r="N374" i="545"/>
  <c r="K374" i="545" a="1"/>
  <c r="K374" i="545" s="1"/>
  <c r="M374" i="545" s="1"/>
  <c r="J374" i="545" a="1"/>
  <c r="J374" i="545" s="1"/>
  <c r="H374" i="545"/>
  <c r="V373" i="545"/>
  <c r="W373" i="545" s="1"/>
  <c r="N373" i="545"/>
  <c r="K373" i="545" a="1"/>
  <c r="K373" i="545" s="1"/>
  <c r="M373" i="545" s="1"/>
  <c r="J373" i="545" a="1"/>
  <c r="J373" i="545" s="1"/>
  <c r="H373" i="545"/>
  <c r="K372" i="545" a="1"/>
  <c r="K372" i="545" s="1"/>
  <c r="H372" i="545"/>
  <c r="V371" i="545"/>
  <c r="V428" i="545" s="1"/>
  <c r="W428" i="545" s="1"/>
  <c r="N371" i="545"/>
  <c r="K371" i="545" a="1"/>
  <c r="K371" i="545" s="1"/>
  <c r="J371" i="545" a="1"/>
  <c r="J371" i="545" s="1"/>
  <c r="H371" i="545"/>
  <c r="AA370" i="545"/>
  <c r="AA507" i="545" s="1"/>
  <c r="Z370" i="545"/>
  <c r="Z507" i="545" s="1"/>
  <c r="Y370" i="545"/>
  <c r="Y507" i="545" s="1"/>
  <c r="X370" i="545"/>
  <c r="X507" i="545" s="1"/>
  <c r="U370" i="545"/>
  <c r="U507" i="545" s="1"/>
  <c r="T370" i="545"/>
  <c r="T507" i="545" s="1"/>
  <c r="S370" i="545"/>
  <c r="S507" i="545" s="1"/>
  <c r="R370" i="545"/>
  <c r="R507" i="545" s="1"/>
  <c r="Q370" i="545"/>
  <c r="Q507" i="545" s="1"/>
  <c r="P370" i="545"/>
  <c r="P507" i="545" s="1"/>
  <c r="O370" i="545"/>
  <c r="I370" i="545"/>
  <c r="I507" i="545" s="1"/>
  <c r="B515" i="545" s="1"/>
  <c r="G370" i="545"/>
  <c r="G507" i="545" s="1"/>
  <c r="V369" i="545"/>
  <c r="W369" i="545" s="1"/>
  <c r="N369" i="545"/>
  <c r="K369" i="545" a="1"/>
  <c r="K369" i="545" s="1"/>
  <c r="M369" i="545" s="1"/>
  <c r="J369" i="545" a="1"/>
  <c r="J369" i="545" s="1"/>
  <c r="H369" i="545"/>
  <c r="V368" i="545"/>
  <c r="W368" i="545" s="1"/>
  <c r="N368" i="545"/>
  <c r="K368" i="545"/>
  <c r="M368" i="545" s="1"/>
  <c r="K368" i="545" a="1"/>
  <c r="J368" i="545"/>
  <c r="J368" i="545" a="1"/>
  <c r="H368" i="545"/>
  <c r="K367" i="545" a="1"/>
  <c r="K367" i="545" s="1"/>
  <c r="M367" i="545" s="1"/>
  <c r="H367" i="545"/>
  <c r="K366" i="545"/>
  <c r="M366" i="545" s="1"/>
  <c r="K366" i="545" a="1"/>
  <c r="H366" i="545"/>
  <c r="K365" i="545" a="1"/>
  <c r="K365" i="545" s="1"/>
  <c r="M365" i="545" s="1"/>
  <c r="H365" i="545"/>
  <c r="K364" i="545"/>
  <c r="M364" i="545" s="1"/>
  <c r="K364" i="545" a="1"/>
  <c r="H364" i="545"/>
  <c r="V363" i="545"/>
  <c r="W363" i="545" s="1"/>
  <c r="N363" i="545"/>
  <c r="K363" i="545" a="1"/>
  <c r="K363" i="545" s="1"/>
  <c r="M363" i="545" s="1"/>
  <c r="J363" i="545" a="1"/>
  <c r="J363" i="545" s="1"/>
  <c r="H363" i="545"/>
  <c r="V362" i="545"/>
  <c r="W362" i="545" s="1"/>
  <c r="N362" i="545"/>
  <c r="K362" i="545" a="1"/>
  <c r="K362" i="545" s="1"/>
  <c r="M362" i="545" s="1"/>
  <c r="J362" i="545" a="1"/>
  <c r="J362" i="545" s="1"/>
  <c r="H362" i="545"/>
  <c r="V361" i="545"/>
  <c r="W361" i="545" s="1"/>
  <c r="N361" i="545"/>
  <c r="K361" i="545" a="1"/>
  <c r="K361" i="545" s="1"/>
  <c r="M361" i="545" s="1"/>
  <c r="J361" i="545" a="1"/>
  <c r="J361" i="545" s="1"/>
  <c r="H361" i="545"/>
  <c r="H360" i="545"/>
  <c r="H359" i="545"/>
  <c r="V358" i="545"/>
  <c r="W358" i="545" s="1"/>
  <c r="N358" i="545"/>
  <c r="K358" i="545"/>
  <c r="M358" i="545" s="1"/>
  <c r="K358" i="545" a="1"/>
  <c r="J358" i="545"/>
  <c r="J358" i="545" a="1"/>
  <c r="H358" i="545"/>
  <c r="V357" i="545"/>
  <c r="W357" i="545" s="1"/>
  <c r="N357" i="545"/>
  <c r="K357" i="545" a="1"/>
  <c r="K357" i="545" s="1"/>
  <c r="M357" i="545" s="1"/>
  <c r="J357" i="545" a="1"/>
  <c r="J357" i="545" s="1"/>
  <c r="H357" i="545"/>
  <c r="K356" i="545" a="1"/>
  <c r="K356" i="545" s="1"/>
  <c r="M356" i="545" s="1"/>
  <c r="H356" i="545"/>
  <c r="K355" i="545" a="1"/>
  <c r="K355" i="545" s="1"/>
  <c r="M355" i="545" s="1"/>
  <c r="H355" i="545"/>
  <c r="W354" i="545"/>
  <c r="V354" i="545"/>
  <c r="N354" i="545"/>
  <c r="K354" i="545" a="1"/>
  <c r="K354" i="545" s="1"/>
  <c r="M354" i="545" s="1"/>
  <c r="J354" i="545" a="1"/>
  <c r="J354" i="545" s="1"/>
  <c r="H354" i="545"/>
  <c r="V353" i="545"/>
  <c r="W353" i="545" s="1"/>
  <c r="N353" i="545"/>
  <c r="K353" i="545" a="1"/>
  <c r="K353" i="545" s="1"/>
  <c r="M353" i="545" s="1"/>
  <c r="J353" i="545" a="1"/>
  <c r="J353" i="545" s="1"/>
  <c r="H353" i="545"/>
  <c r="V352" i="545"/>
  <c r="W352" i="545" s="1"/>
  <c r="N352" i="545"/>
  <c r="K352" i="545"/>
  <c r="M352" i="545" s="1"/>
  <c r="K352" i="545" a="1"/>
  <c r="J352" i="545"/>
  <c r="J352" i="545" a="1"/>
  <c r="H352" i="545"/>
  <c r="V351" i="545"/>
  <c r="W351" i="545" s="1"/>
  <c r="N351" i="545"/>
  <c r="K351" i="545" a="1"/>
  <c r="K351" i="545" s="1"/>
  <c r="M351" i="545" s="1"/>
  <c r="J351" i="545" a="1"/>
  <c r="J351" i="545" s="1"/>
  <c r="H351" i="545"/>
  <c r="V350" i="545"/>
  <c r="W350" i="545" s="1"/>
  <c r="N350" i="545"/>
  <c r="K350" i="545" a="1"/>
  <c r="K350" i="545" s="1"/>
  <c r="M350" i="545" s="1"/>
  <c r="J350" i="545" a="1"/>
  <c r="J350" i="545" s="1"/>
  <c r="H350" i="545"/>
  <c r="V349" i="545"/>
  <c r="N349" i="545"/>
  <c r="K349" i="545" a="1"/>
  <c r="K349" i="545" s="1"/>
  <c r="J349" i="545" a="1"/>
  <c r="J349" i="545" s="1"/>
  <c r="H349" i="545"/>
  <c r="X343" i="545"/>
  <c r="X342" i="545"/>
  <c r="X341" i="545"/>
  <c r="G341" i="545"/>
  <c r="E341" i="545"/>
  <c r="C341" i="545"/>
  <c r="X340" i="545"/>
  <c r="I340" i="545"/>
  <c r="E340" i="545"/>
  <c r="K340" i="545" s="1"/>
  <c r="M340" i="545" s="1"/>
  <c r="I339" i="545"/>
  <c r="E339" i="545"/>
  <c r="K339" i="545" s="1"/>
  <c r="M339" i="545" s="1"/>
  <c r="I338" i="545"/>
  <c r="E338" i="545"/>
  <c r="K338" i="545" s="1"/>
  <c r="M338" i="545" s="1"/>
  <c r="X337" i="545"/>
  <c r="I337" i="545"/>
  <c r="I341" i="545" s="1"/>
  <c r="E337" i="545"/>
  <c r="K337" i="545" s="1"/>
  <c r="AA334" i="545"/>
  <c r="Z334" i="545"/>
  <c r="Y334" i="545"/>
  <c r="X334" i="545"/>
  <c r="U334" i="545"/>
  <c r="T334" i="545"/>
  <c r="S334" i="545"/>
  <c r="R334" i="545"/>
  <c r="Q334" i="545"/>
  <c r="P334" i="545"/>
  <c r="O334" i="545"/>
  <c r="R342" i="545" s="1"/>
  <c r="I334" i="545"/>
  <c r="G334" i="545"/>
  <c r="K333" i="545" a="1"/>
  <c r="K333" i="545" s="1"/>
  <c r="H333" i="545"/>
  <c r="K332" i="545"/>
  <c r="K332" i="545" a="1"/>
  <c r="H332" i="545"/>
  <c r="K331" i="545" a="1"/>
  <c r="K331" i="545" s="1"/>
  <c r="H331" i="545"/>
  <c r="V330" i="545"/>
  <c r="W330" i="545" s="1"/>
  <c r="N330" i="545"/>
  <c r="K330" i="545" a="1"/>
  <c r="K330" i="545" s="1"/>
  <c r="D330" i="545"/>
  <c r="H330" i="545" s="1"/>
  <c r="H329" i="545"/>
  <c r="K328" i="545" a="1"/>
  <c r="K328" i="545" s="1"/>
  <c r="H328" i="545"/>
  <c r="H327" i="545"/>
  <c r="V326" i="545"/>
  <c r="W326" i="545" s="1"/>
  <c r="N326" i="545"/>
  <c r="K326" i="545"/>
  <c r="M326" i="545" s="1"/>
  <c r="K326" i="545" a="1"/>
  <c r="J326" i="545" a="1"/>
  <c r="J326" i="545" s="1"/>
  <c r="H326" i="545"/>
  <c r="V325" i="545"/>
  <c r="W325" i="545" s="1"/>
  <c r="N325" i="545"/>
  <c r="K325" i="545" a="1"/>
  <c r="K325" i="545" s="1"/>
  <c r="M325" i="545" s="1"/>
  <c r="J325" i="545" a="1"/>
  <c r="J325" i="545" s="1"/>
  <c r="H325" i="545"/>
  <c r="H324" i="545"/>
  <c r="V323" i="545"/>
  <c r="W323" i="545" s="1"/>
  <c r="N323" i="545"/>
  <c r="K323" i="545" a="1"/>
  <c r="K323" i="545" s="1"/>
  <c r="M323" i="545" s="1"/>
  <c r="J323" i="545" a="1"/>
  <c r="J323" i="545" s="1"/>
  <c r="H323" i="545"/>
  <c r="V322" i="545"/>
  <c r="W322" i="545" s="1"/>
  <c r="N322" i="545"/>
  <c r="K322" i="545" a="1"/>
  <c r="K322" i="545" s="1"/>
  <c r="M322" i="545" s="1"/>
  <c r="J322" i="545" a="1"/>
  <c r="J322" i="545" s="1"/>
  <c r="H322" i="545"/>
  <c r="V321" i="545"/>
  <c r="W321" i="545" s="1"/>
  <c r="N321" i="545"/>
  <c r="K321" i="545" a="1"/>
  <c r="K321" i="545" s="1"/>
  <c r="M321" i="545" s="1"/>
  <c r="J321" i="545" a="1"/>
  <c r="J321" i="545" s="1"/>
  <c r="H321" i="545"/>
  <c r="V320" i="545"/>
  <c r="N320" i="545"/>
  <c r="N334" i="545" s="1"/>
  <c r="K320" i="545" a="1"/>
  <c r="K320" i="545" s="1"/>
  <c r="J320" i="545" a="1"/>
  <c r="J320" i="545" s="1"/>
  <c r="H320" i="545"/>
  <c r="AA319" i="545"/>
  <c r="Z319" i="545"/>
  <c r="Y319" i="545"/>
  <c r="X319" i="545"/>
  <c r="U319" i="545"/>
  <c r="T319" i="545"/>
  <c r="S319" i="545"/>
  <c r="Q319" i="545"/>
  <c r="P319" i="545"/>
  <c r="O319" i="545"/>
  <c r="R341" i="545" s="1"/>
  <c r="I319" i="545"/>
  <c r="G319" i="545"/>
  <c r="V318" i="545"/>
  <c r="W318" i="545" s="1"/>
  <c r="N318" i="545"/>
  <c r="K318" i="545" a="1"/>
  <c r="K318" i="545" s="1"/>
  <c r="M318" i="545" s="1"/>
  <c r="J318" i="545" a="1"/>
  <c r="J318" i="545" s="1"/>
  <c r="H318" i="545"/>
  <c r="H316" i="545"/>
  <c r="H315" i="545"/>
  <c r="H314" i="545"/>
  <c r="V313" i="545"/>
  <c r="W313" i="545" s="1"/>
  <c r="N313" i="545"/>
  <c r="K313" i="545" a="1"/>
  <c r="K313" i="545" s="1"/>
  <c r="M313" i="545" s="1"/>
  <c r="J313" i="545" a="1"/>
  <c r="J313" i="545" s="1"/>
  <c r="H313" i="545"/>
  <c r="V312" i="545"/>
  <c r="W312" i="545" s="1"/>
  <c r="N312" i="545"/>
  <c r="K312" i="545" a="1"/>
  <c r="K312" i="545" s="1"/>
  <c r="M312" i="545" s="1"/>
  <c r="J312" i="545" a="1"/>
  <c r="J312" i="545" s="1"/>
  <c r="H312" i="545"/>
  <c r="V311" i="545"/>
  <c r="W311" i="545" s="1"/>
  <c r="N311" i="545"/>
  <c r="K311" i="545" a="1"/>
  <c r="K311" i="545" s="1"/>
  <c r="M311" i="545" s="1"/>
  <c r="J311" i="545" a="1"/>
  <c r="J311" i="545" s="1"/>
  <c r="H311" i="545"/>
  <c r="V310" i="545"/>
  <c r="W310" i="545" s="1"/>
  <c r="N310" i="545"/>
  <c r="K310" i="545"/>
  <c r="M310" i="545" s="1"/>
  <c r="K310" i="545" a="1"/>
  <c r="J310" i="545"/>
  <c r="J310" i="545" a="1"/>
  <c r="H310" i="545"/>
  <c r="V309" i="545"/>
  <c r="W309" i="545" s="1"/>
  <c r="N309" i="545"/>
  <c r="K309" i="545" a="1"/>
  <c r="K309" i="545" s="1"/>
  <c r="J309" i="545" a="1"/>
  <c r="J309" i="545" s="1"/>
  <c r="H309" i="545"/>
  <c r="H319" i="545" s="1"/>
  <c r="AA308" i="545"/>
  <c r="Z308" i="545"/>
  <c r="Y308" i="545"/>
  <c r="X308" i="545"/>
  <c r="U308" i="545"/>
  <c r="T308" i="545"/>
  <c r="S308" i="545"/>
  <c r="Q308" i="545"/>
  <c r="P308" i="545"/>
  <c r="O308" i="545"/>
  <c r="I308" i="545"/>
  <c r="G308" i="545"/>
  <c r="V307" i="545"/>
  <c r="W307" i="545" s="1"/>
  <c r="N307" i="545"/>
  <c r="K307" i="545" a="1"/>
  <c r="K307" i="545" s="1"/>
  <c r="M307" i="545" s="1"/>
  <c r="J307" i="545" a="1"/>
  <c r="J307" i="545" s="1"/>
  <c r="H307" i="545"/>
  <c r="V306" i="545"/>
  <c r="W306" i="545" s="1"/>
  <c r="N306" i="545"/>
  <c r="K306" i="545" a="1"/>
  <c r="K306" i="545" s="1"/>
  <c r="M306" i="545" s="1"/>
  <c r="J306" i="545" a="1"/>
  <c r="J306" i="545" s="1"/>
  <c r="H306" i="545"/>
  <c r="V305" i="545"/>
  <c r="W305" i="545" s="1"/>
  <c r="N305" i="545"/>
  <c r="K305" i="545"/>
  <c r="M305" i="545" s="1"/>
  <c r="K305" i="545" a="1"/>
  <c r="J305" i="545"/>
  <c r="J305" i="545" a="1"/>
  <c r="H305" i="545"/>
  <c r="V304" i="545"/>
  <c r="W304" i="545" s="1"/>
  <c r="N304" i="545"/>
  <c r="K304" i="545" a="1"/>
  <c r="K304" i="545" s="1"/>
  <c r="M304" i="545" s="1"/>
  <c r="J304" i="545" a="1"/>
  <c r="J304" i="545" s="1"/>
  <c r="H304" i="545"/>
  <c r="V303" i="545"/>
  <c r="W303" i="545" s="1"/>
  <c r="N303" i="545"/>
  <c r="K303" i="545" a="1"/>
  <c r="K303" i="545" s="1"/>
  <c r="M303" i="545" s="1"/>
  <c r="J303" i="545" a="1"/>
  <c r="J303" i="545" s="1"/>
  <c r="H303" i="545"/>
  <c r="V302" i="545"/>
  <c r="W302" i="545" s="1"/>
  <c r="N302" i="545"/>
  <c r="K302" i="545" a="1"/>
  <c r="K302" i="545" s="1"/>
  <c r="M302" i="545" s="1"/>
  <c r="J302" i="545" a="1"/>
  <c r="J302" i="545" s="1"/>
  <c r="H302" i="545"/>
  <c r="V301" i="545"/>
  <c r="W301" i="545" s="1"/>
  <c r="N301" i="545"/>
  <c r="K301" i="545"/>
  <c r="M301" i="545" s="1"/>
  <c r="K301" i="545" a="1"/>
  <c r="J301" i="545"/>
  <c r="J301" i="545" a="1"/>
  <c r="H301" i="545"/>
  <c r="V300" i="545"/>
  <c r="W300" i="545" s="1"/>
  <c r="N300" i="545"/>
  <c r="K300" i="545" a="1"/>
  <c r="K300" i="545" s="1"/>
  <c r="M300" i="545" s="1"/>
  <c r="J300" i="545" a="1"/>
  <c r="J300" i="545" s="1"/>
  <c r="H300" i="545"/>
  <c r="V299" i="545"/>
  <c r="W299" i="545" s="1"/>
  <c r="N299" i="545"/>
  <c r="K299" i="545" a="1"/>
  <c r="K299" i="545" s="1"/>
  <c r="M299" i="545" s="1"/>
  <c r="J299" i="545" a="1"/>
  <c r="J299" i="545" s="1"/>
  <c r="H299" i="545"/>
  <c r="V298" i="545"/>
  <c r="W298" i="545" s="1"/>
  <c r="N298" i="545"/>
  <c r="K298" i="545" a="1"/>
  <c r="K298" i="545" s="1"/>
  <c r="M298" i="545" s="1"/>
  <c r="J298" i="545" a="1"/>
  <c r="J298" i="545" s="1"/>
  <c r="H298" i="545"/>
  <c r="V297" i="545"/>
  <c r="W297" i="545" s="1"/>
  <c r="N297" i="545"/>
  <c r="K297" i="545"/>
  <c r="M297" i="545" s="1"/>
  <c r="K297" i="545" a="1"/>
  <c r="J297" i="545"/>
  <c r="J297" i="545" a="1"/>
  <c r="H297" i="545"/>
  <c r="V296" i="545"/>
  <c r="W296" i="545" s="1"/>
  <c r="N296" i="545"/>
  <c r="K296" i="545" a="1"/>
  <c r="K296" i="545" s="1"/>
  <c r="M296" i="545" s="1"/>
  <c r="J296" i="545" a="1"/>
  <c r="J296" i="545" s="1"/>
  <c r="H296" i="545"/>
  <c r="V295" i="545"/>
  <c r="W295" i="545" s="1"/>
  <c r="N295" i="545"/>
  <c r="K295" i="545" a="1"/>
  <c r="K295" i="545" s="1"/>
  <c r="M295" i="545" s="1"/>
  <c r="J295" i="545" a="1"/>
  <c r="J295" i="545" s="1"/>
  <c r="H295" i="545"/>
  <c r="V294" i="545"/>
  <c r="W294" i="545" s="1"/>
  <c r="N294" i="545"/>
  <c r="K294" i="545" a="1"/>
  <c r="K294" i="545" s="1"/>
  <c r="M294" i="545" s="1"/>
  <c r="J294" i="545" a="1"/>
  <c r="J294" i="545" s="1"/>
  <c r="H294" i="545"/>
  <c r="V293" i="545"/>
  <c r="V308" i="545" s="1"/>
  <c r="W308" i="545" s="1"/>
  <c r="N293" i="545"/>
  <c r="K293" i="545"/>
  <c r="M293" i="545" s="1"/>
  <c r="K293" i="545" a="1"/>
  <c r="J293" i="545"/>
  <c r="J293" i="545" a="1"/>
  <c r="H293" i="545"/>
  <c r="H308" i="545" s="1"/>
  <c r="AA292" i="545"/>
  <c r="Z292" i="545"/>
  <c r="Y292" i="545"/>
  <c r="X292" i="545"/>
  <c r="U292" i="545"/>
  <c r="T292" i="545"/>
  <c r="S292" i="545"/>
  <c r="R292" i="545"/>
  <c r="Q292" i="545"/>
  <c r="P292" i="545"/>
  <c r="O292" i="545"/>
  <c r="R339" i="545" s="1"/>
  <c r="I292" i="545"/>
  <c r="G292" i="545"/>
  <c r="V291" i="545"/>
  <c r="W291" i="545" s="1"/>
  <c r="N291" i="545"/>
  <c r="K291" i="545" a="1"/>
  <c r="K291" i="545" s="1"/>
  <c r="M291" i="545" s="1"/>
  <c r="J291" i="545" a="1"/>
  <c r="J291" i="545" s="1"/>
  <c r="H291" i="545"/>
  <c r="V290" i="545"/>
  <c r="W290" i="545" s="1"/>
  <c r="N290" i="545"/>
  <c r="K290" i="545" a="1"/>
  <c r="K290" i="545" s="1"/>
  <c r="M290" i="545" s="1"/>
  <c r="J290" i="545" a="1"/>
  <c r="J290" i="545" s="1"/>
  <c r="H290" i="545"/>
  <c r="W289" i="545"/>
  <c r="V289" i="545"/>
  <c r="N289" i="545"/>
  <c r="K289" i="545" a="1"/>
  <c r="K289" i="545" s="1"/>
  <c r="M289" i="545" s="1"/>
  <c r="J289" i="545" a="1"/>
  <c r="J289" i="545" s="1"/>
  <c r="H289" i="545"/>
  <c r="H288" i="545"/>
  <c r="H287" i="545"/>
  <c r="H286" i="545"/>
  <c r="V285" i="545"/>
  <c r="W285" i="545" s="1"/>
  <c r="N285" i="545"/>
  <c r="K285" i="545" a="1"/>
  <c r="K285" i="545" s="1"/>
  <c r="M285" i="545" s="1"/>
  <c r="J285" i="545" a="1"/>
  <c r="J285" i="545" s="1"/>
  <c r="H285" i="545"/>
  <c r="V284" i="545"/>
  <c r="W284" i="545" s="1"/>
  <c r="N284" i="545"/>
  <c r="K284" i="545" a="1"/>
  <c r="K284" i="545" s="1"/>
  <c r="M284" i="545" s="1"/>
  <c r="J284" i="545" a="1"/>
  <c r="J284" i="545" s="1"/>
  <c r="H284" i="545"/>
  <c r="N283" i="545"/>
  <c r="K283" i="545" a="1"/>
  <c r="K283" i="545" s="1"/>
  <c r="M283" i="545" s="1"/>
  <c r="H283" i="545"/>
  <c r="N282" i="545"/>
  <c r="K282" i="545" a="1"/>
  <c r="K282" i="545" s="1"/>
  <c r="M282" i="545" s="1"/>
  <c r="H282" i="545"/>
  <c r="N281" i="545"/>
  <c r="K281" i="545" a="1"/>
  <c r="K281" i="545" s="1"/>
  <c r="M281" i="545" s="1"/>
  <c r="H281" i="545"/>
  <c r="N280" i="545"/>
  <c r="K280" i="545" a="1"/>
  <c r="K280" i="545" s="1"/>
  <c r="M280" i="545" s="1"/>
  <c r="H280" i="545"/>
  <c r="N279" i="545"/>
  <c r="K279" i="545" a="1"/>
  <c r="K279" i="545" s="1"/>
  <c r="M279" i="545" s="1"/>
  <c r="H279" i="545"/>
  <c r="N278" i="545"/>
  <c r="K278" i="545" a="1"/>
  <c r="K278" i="545" s="1"/>
  <c r="M278" i="545" s="1"/>
  <c r="H278" i="545"/>
  <c r="V277" i="545"/>
  <c r="W277" i="545" s="1"/>
  <c r="N277" i="545"/>
  <c r="K277" i="545" a="1"/>
  <c r="K277" i="545" s="1"/>
  <c r="M277" i="545" s="1"/>
  <c r="J277" i="545" a="1"/>
  <c r="J277" i="545" s="1"/>
  <c r="H277" i="545"/>
  <c r="V276" i="545"/>
  <c r="W276" i="545" s="1"/>
  <c r="N276" i="545"/>
  <c r="K276" i="545" a="1"/>
  <c r="K276" i="545" s="1"/>
  <c r="M276" i="545" s="1"/>
  <c r="J276" i="545" a="1"/>
  <c r="J276" i="545" s="1"/>
  <c r="H276" i="545"/>
  <c r="V275" i="545"/>
  <c r="W275" i="545" s="1"/>
  <c r="N275" i="545"/>
  <c r="K275" i="545" a="1"/>
  <c r="K275" i="545" s="1"/>
  <c r="M275" i="545" s="1"/>
  <c r="J275" i="545" a="1"/>
  <c r="J275" i="545" s="1"/>
  <c r="H275" i="545"/>
  <c r="V274" i="545"/>
  <c r="W274" i="545" s="1"/>
  <c r="N274" i="545"/>
  <c r="K274" i="545" a="1"/>
  <c r="K274" i="545" s="1"/>
  <c r="M274" i="545" s="1"/>
  <c r="J274" i="545" a="1"/>
  <c r="J274" i="545" s="1"/>
  <c r="H274" i="545"/>
  <c r="V273" i="545"/>
  <c r="W273" i="545" s="1"/>
  <c r="N273" i="545"/>
  <c r="K273" i="545" a="1"/>
  <c r="K273" i="545" s="1"/>
  <c r="M273" i="545" s="1"/>
  <c r="J273" i="545" a="1"/>
  <c r="J273" i="545" s="1"/>
  <c r="H273" i="545"/>
  <c r="V272" i="545"/>
  <c r="W272" i="545" s="1"/>
  <c r="N272" i="545"/>
  <c r="K272" i="545" a="1"/>
  <c r="K272" i="545" s="1"/>
  <c r="M272" i="545" s="1"/>
  <c r="J272" i="545" a="1"/>
  <c r="J272" i="545" s="1"/>
  <c r="H272" i="545"/>
  <c r="V271" i="545"/>
  <c r="W271" i="545" s="1"/>
  <c r="N271" i="545"/>
  <c r="K271" i="545" a="1"/>
  <c r="K271" i="545" s="1"/>
  <c r="M271" i="545" s="1"/>
  <c r="J271" i="545" a="1"/>
  <c r="J271" i="545" s="1"/>
  <c r="H271" i="545"/>
  <c r="V270" i="545"/>
  <c r="W270" i="545" s="1"/>
  <c r="N270" i="545"/>
  <c r="K270" i="545" a="1"/>
  <c r="K270" i="545" s="1"/>
  <c r="M270" i="545" s="1"/>
  <c r="J270" i="545" a="1"/>
  <c r="J270" i="545" s="1"/>
  <c r="H270" i="545"/>
  <c r="V269" i="545"/>
  <c r="W269" i="545" s="1"/>
  <c r="N269" i="545"/>
  <c r="K269" i="545" a="1"/>
  <c r="K269" i="545" s="1"/>
  <c r="M269" i="545" s="1"/>
  <c r="J269" i="545" a="1"/>
  <c r="J269" i="545" s="1"/>
  <c r="H269" i="545"/>
  <c r="V268" i="545"/>
  <c r="W268" i="545" s="1"/>
  <c r="N268" i="545"/>
  <c r="K268" i="545" a="1"/>
  <c r="K268" i="545" s="1"/>
  <c r="M268" i="545" s="1"/>
  <c r="J268" i="545" a="1"/>
  <c r="J268" i="545" s="1"/>
  <c r="H268" i="545"/>
  <c r="V267" i="545"/>
  <c r="W267" i="545" s="1"/>
  <c r="N267" i="545"/>
  <c r="K267" i="545" a="1"/>
  <c r="K267" i="545" s="1"/>
  <c r="M267" i="545" s="1"/>
  <c r="J267" i="545" a="1"/>
  <c r="J267" i="545" s="1"/>
  <c r="H267" i="545"/>
  <c r="V266" i="545"/>
  <c r="W266" i="545" s="1"/>
  <c r="N266" i="545"/>
  <c r="K266" i="545" a="1"/>
  <c r="K266" i="545" s="1"/>
  <c r="M266" i="545" s="1"/>
  <c r="J266" i="545" a="1"/>
  <c r="J266" i="545" s="1"/>
  <c r="H266" i="545"/>
  <c r="N265" i="545"/>
  <c r="K265" i="545" a="1"/>
  <c r="K265" i="545" s="1"/>
  <c r="M265" i="545" s="1"/>
  <c r="H265" i="545"/>
  <c r="V264" i="545"/>
  <c r="W264" i="545" s="1"/>
  <c r="N264" i="545"/>
  <c r="K264" i="545" a="1"/>
  <c r="K264" i="545" s="1"/>
  <c r="M264" i="545" s="1"/>
  <c r="J264" i="545" a="1"/>
  <c r="J264" i="545" s="1"/>
  <c r="H264" i="545"/>
  <c r="V263" i="545"/>
  <c r="W263" i="545" s="1"/>
  <c r="N263" i="545"/>
  <c r="K263" i="545" a="1"/>
  <c r="K263" i="545" s="1"/>
  <c r="M263" i="545" s="1"/>
  <c r="J263" i="545" a="1"/>
  <c r="J263" i="545" s="1"/>
  <c r="H263" i="545"/>
  <c r="V262" i="545"/>
  <c r="W262" i="545" s="1"/>
  <c r="N262" i="545"/>
  <c r="K262" i="545" a="1"/>
  <c r="K262" i="545" s="1"/>
  <c r="M262" i="545" s="1"/>
  <c r="J262" i="545" a="1"/>
  <c r="J262" i="545" s="1"/>
  <c r="H262" i="545"/>
  <c r="V261" i="545"/>
  <c r="W261" i="545" s="1"/>
  <c r="N261" i="545"/>
  <c r="K261" i="545" a="1"/>
  <c r="K261" i="545" s="1"/>
  <c r="M261" i="545" s="1"/>
  <c r="J261" i="545" a="1"/>
  <c r="J261" i="545" s="1"/>
  <c r="H261" i="545"/>
  <c r="V260" i="545"/>
  <c r="W260" i="545" s="1"/>
  <c r="N260" i="545"/>
  <c r="K260" i="545" a="1"/>
  <c r="K260" i="545" s="1"/>
  <c r="M260" i="545" s="1"/>
  <c r="J260" i="545" a="1"/>
  <c r="J260" i="545" s="1"/>
  <c r="H260" i="545"/>
  <c r="V259" i="545"/>
  <c r="W259" i="545" s="1"/>
  <c r="N259" i="545"/>
  <c r="K259" i="545" a="1"/>
  <c r="K259" i="545" s="1"/>
  <c r="M259" i="545" s="1"/>
  <c r="J259" i="545" a="1"/>
  <c r="J259" i="545" s="1"/>
  <c r="H259" i="545"/>
  <c r="V258" i="545"/>
  <c r="W258" i="545" s="1"/>
  <c r="N258" i="545"/>
  <c r="K258" i="545"/>
  <c r="M258" i="545" s="1"/>
  <c r="K258" i="545" a="1"/>
  <c r="J258" i="545"/>
  <c r="J258" i="545" a="1"/>
  <c r="H258" i="545"/>
  <c r="AA257" i="545"/>
  <c r="Z257" i="545"/>
  <c r="Y257" i="545"/>
  <c r="X257" i="545"/>
  <c r="U257" i="545"/>
  <c r="T257" i="545"/>
  <c r="S257" i="545"/>
  <c r="R257" i="545"/>
  <c r="Q257" i="545"/>
  <c r="P257" i="545"/>
  <c r="O257" i="545"/>
  <c r="I257" i="545"/>
  <c r="G257" i="545"/>
  <c r="H256" i="545"/>
  <c r="H255" i="545"/>
  <c r="H254" i="545"/>
  <c r="H253" i="545"/>
  <c r="H252" i="545"/>
  <c r="H251" i="545"/>
  <c r="K250" i="545" a="1"/>
  <c r="K250" i="545" s="1"/>
  <c r="M250" i="545" s="1"/>
  <c r="H250" i="545"/>
  <c r="K249" i="545" a="1"/>
  <c r="K249" i="545" s="1"/>
  <c r="M249" i="545" s="1"/>
  <c r="H249" i="545"/>
  <c r="K248" i="545" a="1"/>
  <c r="K248" i="545" s="1"/>
  <c r="M248" i="545" s="1"/>
  <c r="H248" i="545"/>
  <c r="K247" i="545" a="1"/>
  <c r="K247" i="545" s="1"/>
  <c r="M247" i="545" s="1"/>
  <c r="H247" i="545"/>
  <c r="W246" i="545"/>
  <c r="V246" i="545"/>
  <c r="N246" i="545"/>
  <c r="K246" i="545" a="1"/>
  <c r="K246" i="545" s="1"/>
  <c r="M246" i="545" s="1"/>
  <c r="J246" i="545" a="1"/>
  <c r="J246" i="545" s="1"/>
  <c r="H246" i="545"/>
  <c r="V245" i="545"/>
  <c r="W245" i="545" s="1"/>
  <c r="N245" i="545"/>
  <c r="K245" i="545" a="1"/>
  <c r="K245" i="545" s="1"/>
  <c r="M245" i="545" s="1"/>
  <c r="J245" i="545" a="1"/>
  <c r="J245" i="545" s="1"/>
  <c r="H245" i="545"/>
  <c r="V244" i="545"/>
  <c r="W244" i="545" s="1"/>
  <c r="N244" i="545"/>
  <c r="K244" i="545"/>
  <c r="M244" i="545" s="1"/>
  <c r="K244" i="545" a="1"/>
  <c r="J244" i="545"/>
  <c r="J244" i="545" a="1"/>
  <c r="H244" i="545"/>
  <c r="V243" i="545"/>
  <c r="W243" i="545" s="1"/>
  <c r="N243" i="545"/>
  <c r="K243" i="545" a="1"/>
  <c r="K243" i="545" s="1"/>
  <c r="M243" i="545" s="1"/>
  <c r="J243" i="545" a="1"/>
  <c r="J243" i="545" s="1"/>
  <c r="H243" i="545"/>
  <c r="M242" i="545"/>
  <c r="H242" i="545"/>
  <c r="V241" i="545"/>
  <c r="W241" i="545" s="1"/>
  <c r="N241" i="545"/>
  <c r="K241" i="545" a="1"/>
  <c r="K241" i="545" s="1"/>
  <c r="M241" i="545" s="1"/>
  <c r="J241" i="545" a="1"/>
  <c r="J241" i="545" s="1"/>
  <c r="H241" i="545"/>
  <c r="V240" i="545"/>
  <c r="W240" i="545" s="1"/>
  <c r="N240" i="545"/>
  <c r="K240" i="545" a="1"/>
  <c r="K240" i="545" s="1"/>
  <c r="M240" i="545" s="1"/>
  <c r="J240" i="545" a="1"/>
  <c r="J240" i="545" s="1"/>
  <c r="H240" i="545"/>
  <c r="K239" i="545" a="1"/>
  <c r="K239" i="545" s="1"/>
  <c r="M239" i="545" s="1"/>
  <c r="H239" i="545"/>
  <c r="H238" i="545"/>
  <c r="V237" i="545"/>
  <c r="W237" i="545" s="1"/>
  <c r="N237" i="545"/>
  <c r="K237" i="545" a="1"/>
  <c r="K237" i="545" s="1"/>
  <c r="M237" i="545" s="1"/>
  <c r="J237" i="545" a="1"/>
  <c r="J237" i="545" s="1"/>
  <c r="H237" i="545"/>
  <c r="V236" i="545"/>
  <c r="W236" i="545" s="1"/>
  <c r="N236" i="545"/>
  <c r="K236" i="545"/>
  <c r="M236" i="545" s="1"/>
  <c r="K236" i="545" a="1"/>
  <c r="J236" i="545"/>
  <c r="J236" i="545" a="1"/>
  <c r="H236" i="545"/>
  <c r="V235" i="545"/>
  <c r="W235" i="545" s="1"/>
  <c r="N235" i="545"/>
  <c r="K235" i="545" a="1"/>
  <c r="K235" i="545" s="1"/>
  <c r="M235" i="545" s="1"/>
  <c r="J235" i="545" a="1"/>
  <c r="J235" i="545" s="1"/>
  <c r="H235" i="545"/>
  <c r="V234" i="545"/>
  <c r="W234" i="545" s="1"/>
  <c r="N234" i="545"/>
  <c r="K234" i="545" a="1"/>
  <c r="K234" i="545" s="1"/>
  <c r="M234" i="545" s="1"/>
  <c r="J234" i="545" a="1"/>
  <c r="J234" i="545" s="1"/>
  <c r="H234" i="545"/>
  <c r="V233" i="545"/>
  <c r="W233" i="545" s="1"/>
  <c r="N233" i="545"/>
  <c r="K233" i="545" a="1"/>
  <c r="K233" i="545" s="1"/>
  <c r="M233" i="545" s="1"/>
  <c r="J233" i="545" a="1"/>
  <c r="J233" i="545" s="1"/>
  <c r="H233" i="545"/>
  <c r="V232" i="545"/>
  <c r="W232" i="545" s="1"/>
  <c r="N232" i="545"/>
  <c r="K232" i="545"/>
  <c r="M232" i="545" s="1"/>
  <c r="K232" i="545" a="1"/>
  <c r="J232" i="545"/>
  <c r="J232" i="545" a="1"/>
  <c r="H232" i="545"/>
  <c r="V231" i="545"/>
  <c r="W231" i="545" s="1"/>
  <c r="N231" i="545"/>
  <c r="K231" i="545" a="1"/>
  <c r="K231" i="545" s="1"/>
  <c r="M231" i="545" s="1"/>
  <c r="J231" i="545" a="1"/>
  <c r="J231" i="545" s="1"/>
  <c r="H231" i="545"/>
  <c r="V230" i="545"/>
  <c r="W230" i="545" s="1"/>
  <c r="N230" i="545"/>
  <c r="K230" i="545" a="1"/>
  <c r="K230" i="545" s="1"/>
  <c r="M230" i="545" s="1"/>
  <c r="J230" i="545" a="1"/>
  <c r="J230" i="545" s="1"/>
  <c r="H230" i="545"/>
  <c r="V229" i="545"/>
  <c r="W229" i="545" s="1"/>
  <c r="N229" i="545"/>
  <c r="K229" i="545" a="1"/>
  <c r="K229" i="545" s="1"/>
  <c r="M229" i="545" s="1"/>
  <c r="J229" i="545" a="1"/>
  <c r="J229" i="545" s="1"/>
  <c r="H229" i="545"/>
  <c r="V228" i="545"/>
  <c r="W228" i="545" s="1"/>
  <c r="N228" i="545"/>
  <c r="K228" i="545"/>
  <c r="M228" i="545" s="1"/>
  <c r="K228" i="545" a="1"/>
  <c r="J228" i="545"/>
  <c r="J228" i="545" a="1"/>
  <c r="H228" i="545"/>
  <c r="N227" i="545"/>
  <c r="K227" i="545" a="1"/>
  <c r="K227" i="545" s="1"/>
  <c r="M227" i="545" s="1"/>
  <c r="H227" i="545"/>
  <c r="N226" i="545"/>
  <c r="K226" i="545" a="1"/>
  <c r="K226" i="545" s="1"/>
  <c r="M226" i="545" s="1"/>
  <c r="H226" i="545"/>
  <c r="N225" i="545"/>
  <c r="K225" i="545" a="1"/>
  <c r="K225" i="545" s="1"/>
  <c r="M225" i="545" s="1"/>
  <c r="H225" i="545"/>
  <c r="N224" i="545"/>
  <c r="K224" i="545"/>
  <c r="M224" i="545" s="1"/>
  <c r="K224" i="545" a="1"/>
  <c r="H224" i="545"/>
  <c r="N223" i="545"/>
  <c r="K223" i="545" a="1"/>
  <c r="K223" i="545" s="1"/>
  <c r="M223" i="545" s="1"/>
  <c r="H223" i="545"/>
  <c r="N222" i="545"/>
  <c r="K222" i="545" a="1"/>
  <c r="K222" i="545" s="1"/>
  <c r="M222" i="545" s="1"/>
  <c r="H222" i="545"/>
  <c r="N221" i="545"/>
  <c r="K221" i="545" a="1"/>
  <c r="K221" i="545" s="1"/>
  <c r="M221" i="545" s="1"/>
  <c r="H221" i="545"/>
  <c r="N220" i="545"/>
  <c r="K220" i="545"/>
  <c r="M220" i="545" s="1"/>
  <c r="K220" i="545" a="1"/>
  <c r="H220" i="545"/>
  <c r="V219" i="545"/>
  <c r="W219" i="545" s="1"/>
  <c r="N219" i="545"/>
  <c r="K219" i="545" a="1"/>
  <c r="K219" i="545" s="1"/>
  <c r="M219" i="545" s="1"/>
  <c r="J219" i="545" a="1"/>
  <c r="J219" i="545" s="1"/>
  <c r="H219" i="545"/>
  <c r="V218" i="545"/>
  <c r="W218" i="545" s="1"/>
  <c r="N218" i="545"/>
  <c r="K218" i="545" a="1"/>
  <c r="K218" i="545" s="1"/>
  <c r="M218" i="545" s="1"/>
  <c r="J218" i="545" a="1"/>
  <c r="J218" i="545" s="1"/>
  <c r="H218" i="545"/>
  <c r="V217" i="545"/>
  <c r="W217" i="545" s="1"/>
  <c r="N217" i="545"/>
  <c r="K217" i="545" a="1"/>
  <c r="K217" i="545" s="1"/>
  <c r="M217" i="545" s="1"/>
  <c r="J217" i="545" a="1"/>
  <c r="J217" i="545" s="1"/>
  <c r="H217" i="545"/>
  <c r="V216" i="545"/>
  <c r="W216" i="545" s="1"/>
  <c r="N216" i="545"/>
  <c r="K216" i="545"/>
  <c r="M216" i="545" s="1"/>
  <c r="K216" i="545" a="1"/>
  <c r="J216" i="545"/>
  <c r="J216" i="545" a="1"/>
  <c r="H216" i="545"/>
  <c r="V215" i="545"/>
  <c r="W215" i="545" s="1"/>
  <c r="N215" i="545"/>
  <c r="K215" i="545" a="1"/>
  <c r="K215" i="545" s="1"/>
  <c r="M215" i="545" s="1"/>
  <c r="J215" i="545" a="1"/>
  <c r="J215" i="545" s="1"/>
  <c r="H215" i="545"/>
  <c r="V214" i="545"/>
  <c r="W214" i="545" s="1"/>
  <c r="N214" i="545"/>
  <c r="K214" i="545" a="1"/>
  <c r="K214" i="545" s="1"/>
  <c r="M214" i="545" s="1"/>
  <c r="J214" i="545" a="1"/>
  <c r="J214" i="545" s="1"/>
  <c r="H214" i="545"/>
  <c r="V213" i="545"/>
  <c r="W213" i="545" s="1"/>
  <c r="N213" i="545"/>
  <c r="K213" i="545" a="1"/>
  <c r="K213" i="545" s="1"/>
  <c r="M213" i="545" s="1"/>
  <c r="J213" i="545" a="1"/>
  <c r="J213" i="545" s="1"/>
  <c r="H213" i="545"/>
  <c r="V212" i="545"/>
  <c r="W212" i="545" s="1"/>
  <c r="N212" i="545"/>
  <c r="K212" i="545"/>
  <c r="M212" i="545" s="1"/>
  <c r="K212" i="545" a="1"/>
  <c r="J212" i="545" a="1"/>
  <c r="J212" i="545" s="1"/>
  <c r="H212" i="545"/>
  <c r="V211" i="545"/>
  <c r="W211" i="545" s="1"/>
  <c r="N211" i="545"/>
  <c r="K211" i="545" a="1"/>
  <c r="K211" i="545" s="1"/>
  <c r="M211" i="545" s="1"/>
  <c r="J211" i="545" a="1"/>
  <c r="J211" i="545" s="1"/>
  <c r="H211" i="545"/>
  <c r="V210" i="545"/>
  <c r="W210" i="545" s="1"/>
  <c r="N210" i="545"/>
  <c r="K210" i="545" a="1"/>
  <c r="K210" i="545" s="1"/>
  <c r="M210" i="545" s="1"/>
  <c r="J210" i="545" a="1"/>
  <c r="J210" i="545" s="1"/>
  <c r="H210" i="545"/>
  <c r="V209" i="545"/>
  <c r="W209" i="545" s="1"/>
  <c r="N209" i="545"/>
  <c r="K209" i="545" a="1"/>
  <c r="K209" i="545" s="1"/>
  <c r="M209" i="545" s="1"/>
  <c r="J209" i="545" a="1"/>
  <c r="J209" i="545" s="1"/>
  <c r="H209" i="545"/>
  <c r="V208" i="545"/>
  <c r="W208" i="545" s="1"/>
  <c r="N208" i="545"/>
  <c r="K208" i="545"/>
  <c r="M208" i="545" s="1"/>
  <c r="K208" i="545" a="1"/>
  <c r="J208" i="545"/>
  <c r="J208" i="545" a="1"/>
  <c r="H208" i="545"/>
  <c r="H207" i="545"/>
  <c r="H206" i="545"/>
  <c r="H205" i="545"/>
  <c r="V204" i="545"/>
  <c r="W204" i="545" s="1"/>
  <c r="N204" i="545"/>
  <c r="K204" i="545" a="1"/>
  <c r="K204" i="545" s="1"/>
  <c r="M204" i="545" s="1"/>
  <c r="J204" i="545" a="1"/>
  <c r="J204" i="545" s="1"/>
  <c r="H204" i="545"/>
  <c r="V203" i="545"/>
  <c r="W203" i="545" s="1"/>
  <c r="N203" i="545"/>
  <c r="K203" i="545" a="1"/>
  <c r="K203" i="545" s="1"/>
  <c r="M203" i="545" s="1"/>
  <c r="J203" i="545" a="1"/>
  <c r="J203" i="545" s="1"/>
  <c r="H203" i="545"/>
  <c r="V202" i="545"/>
  <c r="W202" i="545" s="1"/>
  <c r="N202" i="545"/>
  <c r="K202" i="545" a="1"/>
  <c r="K202" i="545" s="1"/>
  <c r="M202" i="545" s="1"/>
  <c r="J202" i="545" a="1"/>
  <c r="J202" i="545" s="1"/>
  <c r="H202" i="545"/>
  <c r="H201" i="545"/>
  <c r="W200" i="545"/>
  <c r="V200" i="545"/>
  <c r="V257" i="545" s="1"/>
  <c r="W257" i="545" s="1"/>
  <c r="N200" i="545"/>
  <c r="K200" i="545" a="1"/>
  <c r="K200" i="545" s="1"/>
  <c r="J200" i="545" a="1"/>
  <c r="J200" i="545" s="1"/>
  <c r="H200" i="545"/>
  <c r="AA199" i="545"/>
  <c r="Z199" i="545"/>
  <c r="Z335" i="545" s="1"/>
  <c r="Y199" i="545"/>
  <c r="X199" i="545"/>
  <c r="X335" i="545" s="1"/>
  <c r="U199" i="545"/>
  <c r="T199" i="545"/>
  <c r="T335" i="545" s="1"/>
  <c r="S199" i="545"/>
  <c r="R199" i="545"/>
  <c r="R335" i="545" s="1"/>
  <c r="Q199" i="545"/>
  <c r="Q335" i="545" s="1"/>
  <c r="P199" i="545"/>
  <c r="O199" i="545"/>
  <c r="I199" i="545"/>
  <c r="I335" i="545" s="1"/>
  <c r="B343" i="545" s="1"/>
  <c r="G199" i="545"/>
  <c r="G335" i="545" s="1"/>
  <c r="V198" i="545"/>
  <c r="W198" i="545" s="1"/>
  <c r="N198" i="545"/>
  <c r="K198" i="545" a="1"/>
  <c r="K198" i="545" s="1"/>
  <c r="M198" i="545" s="1"/>
  <c r="J198" i="545" a="1"/>
  <c r="J198" i="545" s="1"/>
  <c r="H198" i="545"/>
  <c r="V197" i="545"/>
  <c r="W197" i="545" s="1"/>
  <c r="N197" i="545"/>
  <c r="K197" i="545" a="1"/>
  <c r="K197" i="545" s="1"/>
  <c r="M197" i="545" s="1"/>
  <c r="J197" i="545" a="1"/>
  <c r="J197" i="545" s="1"/>
  <c r="H197" i="545"/>
  <c r="K196" i="545" a="1"/>
  <c r="K196" i="545" s="1"/>
  <c r="M196" i="545" s="1"/>
  <c r="H196" i="545"/>
  <c r="K195" i="545" a="1"/>
  <c r="K195" i="545" s="1"/>
  <c r="M195" i="545" s="1"/>
  <c r="H195" i="545"/>
  <c r="K194" i="545" a="1"/>
  <c r="K194" i="545" s="1"/>
  <c r="M194" i="545" s="1"/>
  <c r="H194" i="545"/>
  <c r="K193" i="545" a="1"/>
  <c r="K193" i="545" s="1"/>
  <c r="M193" i="545" s="1"/>
  <c r="H193" i="545"/>
  <c r="W192" i="545"/>
  <c r="V192" i="545"/>
  <c r="N192" i="545"/>
  <c r="K192" i="545" a="1"/>
  <c r="K192" i="545" s="1"/>
  <c r="M192" i="545" s="1"/>
  <c r="J192" i="545" a="1"/>
  <c r="J192" i="545" s="1"/>
  <c r="H192" i="545"/>
  <c r="V191" i="545"/>
  <c r="W191" i="545" s="1"/>
  <c r="N191" i="545"/>
  <c r="K191" i="545" a="1"/>
  <c r="K191" i="545" s="1"/>
  <c r="M191" i="545" s="1"/>
  <c r="J191" i="545" a="1"/>
  <c r="J191" i="545" s="1"/>
  <c r="H191" i="545"/>
  <c r="V190" i="545"/>
  <c r="W190" i="545" s="1"/>
  <c r="N190" i="545"/>
  <c r="K190" i="545" a="1"/>
  <c r="K190" i="545" s="1"/>
  <c r="M190" i="545" s="1"/>
  <c r="J190" i="545" a="1"/>
  <c r="J190" i="545" s="1"/>
  <c r="H190" i="545"/>
  <c r="N189" i="545"/>
  <c r="K189" i="545" a="1"/>
  <c r="K189" i="545" s="1"/>
  <c r="M189" i="545" s="1"/>
  <c r="J189" i="545" a="1"/>
  <c r="J189" i="545" s="1"/>
  <c r="H189" i="545"/>
  <c r="N188" i="545"/>
  <c r="K188" i="545" a="1"/>
  <c r="K188" i="545" s="1"/>
  <c r="M188" i="545" s="1"/>
  <c r="J188" i="545" a="1"/>
  <c r="J188" i="545" s="1"/>
  <c r="H188" i="545"/>
  <c r="V187" i="545"/>
  <c r="W187" i="545" s="1"/>
  <c r="N187" i="545"/>
  <c r="K187" i="545" a="1"/>
  <c r="K187" i="545" s="1"/>
  <c r="M187" i="545" s="1"/>
  <c r="J187" i="545" a="1"/>
  <c r="J187" i="545" s="1"/>
  <c r="H187" i="545"/>
  <c r="V186" i="545"/>
  <c r="W186" i="545" s="1"/>
  <c r="N186" i="545"/>
  <c r="K186" i="545" a="1"/>
  <c r="K186" i="545" s="1"/>
  <c r="M186" i="545" s="1"/>
  <c r="J186" i="545" a="1"/>
  <c r="J186" i="545" s="1"/>
  <c r="H186" i="545"/>
  <c r="N185" i="545"/>
  <c r="K185" i="545" a="1"/>
  <c r="K185" i="545" s="1"/>
  <c r="M185" i="545" s="1"/>
  <c r="H185" i="545"/>
  <c r="N184" i="545"/>
  <c r="K184" i="545" a="1"/>
  <c r="K184" i="545" s="1"/>
  <c r="M184" i="545" s="1"/>
  <c r="H184" i="545"/>
  <c r="V183" i="545"/>
  <c r="W183" i="545" s="1"/>
  <c r="N183" i="545"/>
  <c r="K183" i="545" a="1"/>
  <c r="K183" i="545" s="1"/>
  <c r="M183" i="545" s="1"/>
  <c r="J183" i="545" a="1"/>
  <c r="J183" i="545" s="1"/>
  <c r="H183" i="545"/>
  <c r="V182" i="545"/>
  <c r="W182" i="545" s="1"/>
  <c r="N182" i="545"/>
  <c r="K182" i="545" a="1"/>
  <c r="K182" i="545" s="1"/>
  <c r="M182" i="545" s="1"/>
  <c r="J182" i="545" a="1"/>
  <c r="J182" i="545" s="1"/>
  <c r="H182" i="545"/>
  <c r="V181" i="545"/>
  <c r="W181" i="545" s="1"/>
  <c r="N181" i="545"/>
  <c r="K181" i="545" a="1"/>
  <c r="K181" i="545" s="1"/>
  <c r="M181" i="545" s="1"/>
  <c r="J181" i="545" a="1"/>
  <c r="J181" i="545" s="1"/>
  <c r="H181" i="545"/>
  <c r="V180" i="545"/>
  <c r="W180" i="545" s="1"/>
  <c r="N180" i="545"/>
  <c r="K180" i="545"/>
  <c r="M180" i="545" s="1"/>
  <c r="K180" i="545" a="1"/>
  <c r="J180" i="545"/>
  <c r="J180" i="545" a="1"/>
  <c r="H180" i="545"/>
  <c r="V179" i="545"/>
  <c r="W179" i="545" s="1"/>
  <c r="N179" i="545"/>
  <c r="K179" i="545" a="1"/>
  <c r="K179" i="545" s="1"/>
  <c r="M179" i="545" s="1"/>
  <c r="J179" i="545" a="1"/>
  <c r="J179" i="545" s="1"/>
  <c r="H179" i="545"/>
  <c r="V178" i="545"/>
  <c r="N178" i="545"/>
  <c r="N199" i="545" s="1"/>
  <c r="K178" i="545" a="1"/>
  <c r="K178" i="545" s="1"/>
  <c r="J178" i="545" a="1"/>
  <c r="J178" i="545" s="1"/>
  <c r="H178" i="545"/>
  <c r="X171" i="545"/>
  <c r="Q529" i="545" s="1"/>
  <c r="X170" i="545"/>
  <c r="Q528" i="545" s="1"/>
  <c r="G170" i="545"/>
  <c r="C170" i="545"/>
  <c r="X169" i="545"/>
  <c r="Q527" i="545" s="1"/>
  <c r="I169" i="545"/>
  <c r="E169" i="545"/>
  <c r="K169" i="545" s="1"/>
  <c r="M169" i="545" s="1"/>
  <c r="I168" i="545"/>
  <c r="E168" i="545"/>
  <c r="K168" i="545" s="1"/>
  <c r="M168" i="545" s="1"/>
  <c r="I167" i="545"/>
  <c r="E167" i="545"/>
  <c r="K167" i="545" s="1"/>
  <c r="M167" i="545" s="1"/>
  <c r="X166" i="545"/>
  <c r="Q524" i="545" s="1"/>
  <c r="I166" i="545"/>
  <c r="I170" i="545" s="1"/>
  <c r="E166" i="545"/>
  <c r="E170" i="545" s="1"/>
  <c r="AA163" i="545"/>
  <c r="Z163" i="545"/>
  <c r="Y163" i="545"/>
  <c r="X163" i="545"/>
  <c r="U163" i="545"/>
  <c r="T163" i="545"/>
  <c r="S163" i="545"/>
  <c r="R163" i="545"/>
  <c r="Q163" i="545"/>
  <c r="P163" i="545"/>
  <c r="O163" i="545"/>
  <c r="R171" i="545" s="1"/>
  <c r="I163" i="545"/>
  <c r="G163" i="545"/>
  <c r="C529" i="545" s="1"/>
  <c r="H162" i="545"/>
  <c r="H161" i="545"/>
  <c r="H160" i="545"/>
  <c r="V159" i="545"/>
  <c r="W159" i="545" s="1"/>
  <c r="N159" i="545"/>
  <c r="K159" i="545"/>
  <c r="K159" i="545" a="1"/>
  <c r="J159" i="545"/>
  <c r="J159" i="545" a="1"/>
  <c r="H159" i="545"/>
  <c r="D159" i="545"/>
  <c r="W158" i="545"/>
  <c r="V158" i="545"/>
  <c r="N158" i="545"/>
  <c r="K158" i="545" a="1"/>
  <c r="K158" i="545" s="1"/>
  <c r="M158" i="545" s="1"/>
  <c r="J158" i="545" a="1"/>
  <c r="J158" i="545" s="1"/>
  <c r="H158" i="545"/>
  <c r="H157" i="545"/>
  <c r="H156" i="545"/>
  <c r="V155" i="545"/>
  <c r="W155" i="545" s="1"/>
  <c r="N155" i="545"/>
  <c r="K155" i="545" a="1"/>
  <c r="K155" i="545" s="1"/>
  <c r="M155" i="545" s="1"/>
  <c r="J155" i="545" a="1"/>
  <c r="J155" i="545" s="1"/>
  <c r="H155" i="545"/>
  <c r="V154" i="545"/>
  <c r="W154" i="545" s="1"/>
  <c r="N154" i="545"/>
  <c r="K154" i="545"/>
  <c r="M154" i="545" s="1"/>
  <c r="K154" i="545" a="1"/>
  <c r="J154" i="545"/>
  <c r="J154" i="545" a="1"/>
  <c r="H154" i="545"/>
  <c r="H153" i="545"/>
  <c r="V152" i="545"/>
  <c r="W152" i="545" s="1"/>
  <c r="N152" i="545"/>
  <c r="K152" i="545" a="1"/>
  <c r="K152" i="545" s="1"/>
  <c r="M152" i="545" s="1"/>
  <c r="J152" i="545" a="1"/>
  <c r="J152" i="545" s="1"/>
  <c r="H152" i="545"/>
  <c r="V151" i="545"/>
  <c r="W151" i="545" s="1"/>
  <c r="N151" i="545"/>
  <c r="K151" i="545" a="1"/>
  <c r="K151" i="545" s="1"/>
  <c r="M151" i="545" s="1"/>
  <c r="J151" i="545" a="1"/>
  <c r="J151" i="545" s="1"/>
  <c r="H151" i="545"/>
  <c r="V150" i="545"/>
  <c r="W150" i="545" s="1"/>
  <c r="N150" i="545"/>
  <c r="K150" i="545" a="1"/>
  <c r="K150" i="545" s="1"/>
  <c r="M150" i="545" s="1"/>
  <c r="J150" i="545" a="1"/>
  <c r="J150" i="545" s="1"/>
  <c r="H150" i="545"/>
  <c r="V149" i="545"/>
  <c r="W149" i="545" s="1"/>
  <c r="N149" i="545"/>
  <c r="K149" i="545" a="1"/>
  <c r="K149" i="545" s="1"/>
  <c r="J149" i="545" a="1"/>
  <c r="J149" i="545" s="1"/>
  <c r="H149" i="545"/>
  <c r="AA148" i="545"/>
  <c r="Z148" i="545"/>
  <c r="Y148" i="545"/>
  <c r="X148" i="545"/>
  <c r="U148" i="545"/>
  <c r="T148" i="545"/>
  <c r="S148" i="545"/>
  <c r="Q148" i="545"/>
  <c r="P148" i="545"/>
  <c r="O148" i="545"/>
  <c r="R170" i="545" s="1"/>
  <c r="I148" i="545"/>
  <c r="G148" i="545"/>
  <c r="C528" i="545" s="1"/>
  <c r="V147" i="545"/>
  <c r="W147" i="545" s="1"/>
  <c r="N147" i="545"/>
  <c r="K147" i="545" a="1"/>
  <c r="K147" i="545" s="1"/>
  <c r="M147" i="545" s="1"/>
  <c r="J147" i="545" a="1"/>
  <c r="J147" i="545" s="1"/>
  <c r="H147" i="545"/>
  <c r="K145" i="545" a="1"/>
  <c r="K145" i="545" s="1"/>
  <c r="H145" i="545"/>
  <c r="K144" i="545" a="1"/>
  <c r="K144" i="545" s="1"/>
  <c r="H144" i="545"/>
  <c r="K143" i="545" a="1"/>
  <c r="K143" i="545" s="1"/>
  <c r="H143" i="545"/>
  <c r="V142" i="545"/>
  <c r="W142" i="545" s="1"/>
  <c r="N142" i="545"/>
  <c r="K142" i="545" a="1"/>
  <c r="K142" i="545" s="1"/>
  <c r="M142" i="545" s="1"/>
  <c r="J142" i="545" a="1"/>
  <c r="J142" i="545" s="1"/>
  <c r="H142" i="545"/>
  <c r="V141" i="545"/>
  <c r="W141" i="545" s="1"/>
  <c r="N141" i="545"/>
  <c r="K141" i="545" a="1"/>
  <c r="K141" i="545" s="1"/>
  <c r="M141" i="545" s="1"/>
  <c r="J141" i="545" a="1"/>
  <c r="J141" i="545" s="1"/>
  <c r="H141" i="545"/>
  <c r="V140" i="545"/>
  <c r="W140" i="545" s="1"/>
  <c r="N140" i="545"/>
  <c r="K140" i="545"/>
  <c r="M140" i="545" s="1"/>
  <c r="K140" i="545" a="1"/>
  <c r="J140" i="545"/>
  <c r="J140" i="545" a="1"/>
  <c r="H140" i="545"/>
  <c r="V139" i="545"/>
  <c r="W139" i="545" s="1"/>
  <c r="N139" i="545"/>
  <c r="K139" i="545" a="1"/>
  <c r="K139" i="545" s="1"/>
  <c r="M139" i="545" s="1"/>
  <c r="J139" i="545" a="1"/>
  <c r="J139" i="545" s="1"/>
  <c r="H139" i="545"/>
  <c r="V138" i="545"/>
  <c r="V148" i="545" s="1"/>
  <c r="W148" i="545" s="1"/>
  <c r="N138" i="545"/>
  <c r="K138" i="545" a="1"/>
  <c r="K138" i="545" s="1"/>
  <c r="M138" i="545" s="1"/>
  <c r="J138" i="545" a="1"/>
  <c r="J138" i="545" s="1"/>
  <c r="H138" i="545"/>
  <c r="H148" i="545" s="1"/>
  <c r="AA137" i="545"/>
  <c r="Z137" i="545"/>
  <c r="Y137" i="545"/>
  <c r="X137" i="545"/>
  <c r="U137" i="545"/>
  <c r="T137" i="545"/>
  <c r="S137" i="545"/>
  <c r="Q137" i="545"/>
  <c r="P137" i="545"/>
  <c r="O137" i="545"/>
  <c r="I137" i="545"/>
  <c r="G137" i="545"/>
  <c r="C527" i="545" s="1"/>
  <c r="V136" i="545"/>
  <c r="W136" i="545" s="1"/>
  <c r="N136" i="545"/>
  <c r="K136" i="545" a="1"/>
  <c r="K136" i="545" s="1"/>
  <c r="M136" i="545" s="1"/>
  <c r="J136" i="545" a="1"/>
  <c r="J136" i="545" s="1"/>
  <c r="H136" i="545"/>
  <c r="V135" i="545"/>
  <c r="W135" i="545" s="1"/>
  <c r="N135" i="545"/>
  <c r="K135" i="545" a="1"/>
  <c r="K135" i="545" s="1"/>
  <c r="M135" i="545" s="1"/>
  <c r="J135" i="545" a="1"/>
  <c r="J135" i="545" s="1"/>
  <c r="H135" i="545"/>
  <c r="V134" i="545"/>
  <c r="W134" i="545" s="1"/>
  <c r="N134" i="545"/>
  <c r="K134" i="545" a="1"/>
  <c r="K134" i="545" s="1"/>
  <c r="M134" i="545" s="1"/>
  <c r="J134" i="545" a="1"/>
  <c r="J134" i="545" s="1"/>
  <c r="H134" i="545"/>
  <c r="V133" i="545"/>
  <c r="W133" i="545" s="1"/>
  <c r="N133" i="545"/>
  <c r="K133" i="545"/>
  <c r="M133" i="545" s="1"/>
  <c r="K133" i="545" a="1"/>
  <c r="J133" i="545"/>
  <c r="J133" i="545" a="1"/>
  <c r="H133" i="545"/>
  <c r="V132" i="545"/>
  <c r="W132" i="545" s="1"/>
  <c r="N132" i="545"/>
  <c r="K132" i="545" a="1"/>
  <c r="K132" i="545" s="1"/>
  <c r="M132" i="545" s="1"/>
  <c r="J132" i="545" a="1"/>
  <c r="J132" i="545" s="1"/>
  <c r="H132" i="545"/>
  <c r="V131" i="545"/>
  <c r="W131" i="545" s="1"/>
  <c r="N131" i="545"/>
  <c r="K131" i="545" a="1"/>
  <c r="K131" i="545" s="1"/>
  <c r="M131" i="545" s="1"/>
  <c r="J131" i="545" a="1"/>
  <c r="J131" i="545" s="1"/>
  <c r="H131" i="545"/>
  <c r="V130" i="545"/>
  <c r="W130" i="545" s="1"/>
  <c r="N130" i="545"/>
  <c r="K130" i="545" a="1"/>
  <c r="K130" i="545" s="1"/>
  <c r="M130" i="545" s="1"/>
  <c r="J130" i="545" a="1"/>
  <c r="J130" i="545" s="1"/>
  <c r="H130" i="545"/>
  <c r="V129" i="545"/>
  <c r="W129" i="545" s="1"/>
  <c r="N129" i="545"/>
  <c r="K129" i="545"/>
  <c r="M129" i="545" s="1"/>
  <c r="K129" i="545" a="1"/>
  <c r="J129" i="545"/>
  <c r="J129" i="545" a="1"/>
  <c r="H129" i="545"/>
  <c r="V128" i="545"/>
  <c r="W128" i="545" s="1"/>
  <c r="N128" i="545"/>
  <c r="K128" i="545" a="1"/>
  <c r="K128" i="545" s="1"/>
  <c r="M128" i="545" s="1"/>
  <c r="J128" i="545" a="1"/>
  <c r="J128" i="545" s="1"/>
  <c r="H128" i="545"/>
  <c r="V127" i="545"/>
  <c r="W127" i="545" s="1"/>
  <c r="N127" i="545"/>
  <c r="K127" i="545" a="1"/>
  <c r="K127" i="545" s="1"/>
  <c r="M127" i="545" s="1"/>
  <c r="J127" i="545" a="1"/>
  <c r="J127" i="545" s="1"/>
  <c r="H127" i="545"/>
  <c r="V126" i="545"/>
  <c r="W126" i="545" s="1"/>
  <c r="N126" i="545"/>
  <c r="K126" i="545" a="1"/>
  <c r="K126" i="545" s="1"/>
  <c r="M126" i="545" s="1"/>
  <c r="J126" i="545" a="1"/>
  <c r="J126" i="545" s="1"/>
  <c r="H126" i="545"/>
  <c r="V125" i="545"/>
  <c r="W125" i="545" s="1"/>
  <c r="N125" i="545"/>
  <c r="K125" i="545"/>
  <c r="M125" i="545" s="1"/>
  <c r="K125" i="545" a="1"/>
  <c r="J125" i="545"/>
  <c r="J125" i="545" a="1"/>
  <c r="H125" i="545"/>
  <c r="V124" i="545"/>
  <c r="W124" i="545" s="1"/>
  <c r="N124" i="545"/>
  <c r="K124" i="545" a="1"/>
  <c r="K124" i="545" s="1"/>
  <c r="M124" i="545" s="1"/>
  <c r="J124" i="545" a="1"/>
  <c r="J124" i="545" s="1"/>
  <c r="H124" i="545"/>
  <c r="V123" i="545"/>
  <c r="W123" i="545" s="1"/>
  <c r="N123" i="545"/>
  <c r="K123" i="545" a="1"/>
  <c r="K123" i="545" s="1"/>
  <c r="M123" i="545" s="1"/>
  <c r="J123" i="545" a="1"/>
  <c r="J123" i="545" s="1"/>
  <c r="H123" i="545"/>
  <c r="V122" i="545"/>
  <c r="W122" i="545" s="1"/>
  <c r="N122" i="545"/>
  <c r="K122" i="545" a="1"/>
  <c r="K122" i="545" s="1"/>
  <c r="J122" i="545" a="1"/>
  <c r="J122" i="545" s="1"/>
  <c r="H122" i="545"/>
  <c r="AA121" i="545"/>
  <c r="Z121" i="545"/>
  <c r="Y121" i="545"/>
  <c r="X121" i="545"/>
  <c r="U121" i="545"/>
  <c r="T121" i="545"/>
  <c r="S121" i="545"/>
  <c r="R121" i="545"/>
  <c r="Q121" i="545"/>
  <c r="P121" i="545"/>
  <c r="O121" i="545"/>
  <c r="R168" i="545" s="1"/>
  <c r="I121" i="545"/>
  <c r="G121" i="545"/>
  <c r="C526" i="545" s="1"/>
  <c r="V120" i="545"/>
  <c r="W120" i="545" s="1"/>
  <c r="N120" i="545"/>
  <c r="K120" i="545" a="1"/>
  <c r="K120" i="545" s="1"/>
  <c r="M120" i="545" s="1"/>
  <c r="J120" i="545" a="1"/>
  <c r="J120" i="545" s="1"/>
  <c r="H120" i="545"/>
  <c r="V119" i="545"/>
  <c r="W119" i="545" s="1"/>
  <c r="N119" i="545"/>
  <c r="K119" i="545" a="1"/>
  <c r="K119" i="545" s="1"/>
  <c r="M119" i="545" s="1"/>
  <c r="J119" i="545" a="1"/>
  <c r="J119" i="545" s="1"/>
  <c r="H119" i="545"/>
  <c r="V118" i="545"/>
  <c r="W118" i="545" s="1"/>
  <c r="N118" i="545"/>
  <c r="K118" i="545" a="1"/>
  <c r="K118" i="545" s="1"/>
  <c r="M118" i="545" s="1"/>
  <c r="J118" i="545" a="1"/>
  <c r="J118" i="545" s="1"/>
  <c r="H118" i="545"/>
  <c r="K117" i="545" a="1"/>
  <c r="K117" i="545" s="1"/>
  <c r="H117" i="545"/>
  <c r="K116" i="545" a="1"/>
  <c r="K116" i="545" s="1"/>
  <c r="H116" i="545"/>
  <c r="K115" i="545" a="1"/>
  <c r="K115" i="545" s="1"/>
  <c r="H115" i="545"/>
  <c r="V114" i="545"/>
  <c r="W114" i="545" s="1"/>
  <c r="N114" i="545"/>
  <c r="K114" i="545" a="1"/>
  <c r="K114" i="545" s="1"/>
  <c r="M114" i="545" s="1"/>
  <c r="J114" i="545" a="1"/>
  <c r="J114" i="545" s="1"/>
  <c r="H114" i="545"/>
  <c r="V113" i="545"/>
  <c r="W113" i="545" s="1"/>
  <c r="N113" i="545"/>
  <c r="K113" i="545" a="1"/>
  <c r="K113" i="545" s="1"/>
  <c r="M113" i="545" s="1"/>
  <c r="J113" i="545" a="1"/>
  <c r="J113" i="545" s="1"/>
  <c r="H113" i="545"/>
  <c r="N112" i="545"/>
  <c r="K112" i="545" a="1"/>
  <c r="K112" i="545" s="1"/>
  <c r="M112" i="545" s="1"/>
  <c r="H112" i="545"/>
  <c r="N111" i="545"/>
  <c r="K111" i="545" a="1"/>
  <c r="K111" i="545" s="1"/>
  <c r="M111" i="545" s="1"/>
  <c r="H111" i="545"/>
  <c r="N110" i="545"/>
  <c r="K110" i="545" a="1"/>
  <c r="K110" i="545" s="1"/>
  <c r="M110" i="545" s="1"/>
  <c r="H110" i="545"/>
  <c r="N109" i="545"/>
  <c r="K109" i="545" a="1"/>
  <c r="K109" i="545" s="1"/>
  <c r="M109" i="545" s="1"/>
  <c r="H109" i="545"/>
  <c r="N108" i="545"/>
  <c r="K108" i="545" a="1"/>
  <c r="K108" i="545" s="1"/>
  <c r="M108" i="545" s="1"/>
  <c r="H108" i="545"/>
  <c r="N107" i="545"/>
  <c r="K107" i="545" a="1"/>
  <c r="K107" i="545" s="1"/>
  <c r="M107" i="545" s="1"/>
  <c r="H107" i="545"/>
  <c r="V106" i="545"/>
  <c r="W106" i="545" s="1"/>
  <c r="N106" i="545"/>
  <c r="K106" i="545" a="1"/>
  <c r="K106" i="545" s="1"/>
  <c r="M106" i="545" s="1"/>
  <c r="J106" i="545" a="1"/>
  <c r="J106" i="545" s="1"/>
  <c r="H106" i="545"/>
  <c r="V105" i="545"/>
  <c r="W105" i="545" s="1"/>
  <c r="N105" i="545"/>
  <c r="K105" i="545" a="1"/>
  <c r="K105" i="545" s="1"/>
  <c r="M105" i="545" s="1"/>
  <c r="J105" i="545" a="1"/>
  <c r="J105" i="545" s="1"/>
  <c r="H105" i="545"/>
  <c r="V104" i="545"/>
  <c r="W104" i="545" s="1"/>
  <c r="N104" i="545"/>
  <c r="K104" i="545" a="1"/>
  <c r="K104" i="545" s="1"/>
  <c r="M104" i="545" s="1"/>
  <c r="J104" i="545" a="1"/>
  <c r="J104" i="545" s="1"/>
  <c r="H104" i="545"/>
  <c r="V103" i="545"/>
  <c r="W103" i="545" s="1"/>
  <c r="N103" i="545"/>
  <c r="K103" i="545"/>
  <c r="M103" i="545" s="1"/>
  <c r="K103" i="545" a="1"/>
  <c r="J103" i="545" a="1"/>
  <c r="J103" i="545" s="1"/>
  <c r="H103" i="545"/>
  <c r="V102" i="545"/>
  <c r="W102" i="545" s="1"/>
  <c r="N102" i="545"/>
  <c r="K102" i="545" a="1"/>
  <c r="K102" i="545" s="1"/>
  <c r="M102" i="545" s="1"/>
  <c r="J102" i="545" a="1"/>
  <c r="J102" i="545" s="1"/>
  <c r="H102" i="545"/>
  <c r="V101" i="545"/>
  <c r="W101" i="545" s="1"/>
  <c r="N101" i="545"/>
  <c r="K101" i="545"/>
  <c r="M101" i="545" s="1"/>
  <c r="K101" i="545" a="1"/>
  <c r="J101" i="545"/>
  <c r="J101" i="545" a="1"/>
  <c r="H101" i="545"/>
  <c r="V100" i="545"/>
  <c r="W100" i="545" s="1"/>
  <c r="N100" i="545"/>
  <c r="K100" i="545" a="1"/>
  <c r="K100" i="545" s="1"/>
  <c r="M100" i="545" s="1"/>
  <c r="J100" i="545" a="1"/>
  <c r="J100" i="545" s="1"/>
  <c r="H100" i="545"/>
  <c r="V99" i="545"/>
  <c r="W99" i="545" s="1"/>
  <c r="N99" i="545"/>
  <c r="K99" i="545" a="1"/>
  <c r="K99" i="545" s="1"/>
  <c r="M99" i="545" s="1"/>
  <c r="J99" i="545" a="1"/>
  <c r="J99" i="545" s="1"/>
  <c r="H99" i="545"/>
  <c r="V98" i="545"/>
  <c r="W98" i="545" s="1"/>
  <c r="N98" i="545"/>
  <c r="K98" i="545" a="1"/>
  <c r="K98" i="545" s="1"/>
  <c r="M98" i="545" s="1"/>
  <c r="J98" i="545" a="1"/>
  <c r="J98" i="545" s="1"/>
  <c r="H98" i="545"/>
  <c r="V97" i="545"/>
  <c r="W97" i="545" s="1"/>
  <c r="N97" i="545"/>
  <c r="K97" i="545"/>
  <c r="M97" i="545" s="1"/>
  <c r="K97" i="545" a="1"/>
  <c r="J97" i="545"/>
  <c r="J97" i="545" a="1"/>
  <c r="H97" i="545"/>
  <c r="V96" i="545"/>
  <c r="W96" i="545" s="1"/>
  <c r="N96" i="545"/>
  <c r="K96" i="545" a="1"/>
  <c r="K96" i="545" s="1"/>
  <c r="M96" i="545" s="1"/>
  <c r="J96" i="545" a="1"/>
  <c r="J96" i="545" s="1"/>
  <c r="H96" i="545"/>
  <c r="V95" i="545"/>
  <c r="W95" i="545" s="1"/>
  <c r="N95" i="545"/>
  <c r="K95" i="545" a="1"/>
  <c r="K95" i="545" s="1"/>
  <c r="M95" i="545" s="1"/>
  <c r="J95" i="545" a="1"/>
  <c r="J95" i="545" s="1"/>
  <c r="H95" i="545"/>
  <c r="K94" i="545"/>
  <c r="M94" i="545" s="1"/>
  <c r="K94" i="545" a="1"/>
  <c r="H94" i="545"/>
  <c r="V93" i="545"/>
  <c r="W93" i="545" s="1"/>
  <c r="N93" i="545"/>
  <c r="K93" i="545" a="1"/>
  <c r="K93" i="545" s="1"/>
  <c r="M93" i="545" s="1"/>
  <c r="J93" i="545" a="1"/>
  <c r="J93" i="545" s="1"/>
  <c r="H93" i="545"/>
  <c r="V92" i="545"/>
  <c r="W92" i="545" s="1"/>
  <c r="N92" i="545"/>
  <c r="K92" i="545" a="1"/>
  <c r="K92" i="545" s="1"/>
  <c r="M92" i="545" s="1"/>
  <c r="J92" i="545" a="1"/>
  <c r="J92" i="545" s="1"/>
  <c r="H92" i="545"/>
  <c r="V91" i="545"/>
  <c r="W91" i="545" s="1"/>
  <c r="N91" i="545"/>
  <c r="K91" i="545" a="1"/>
  <c r="K91" i="545" s="1"/>
  <c r="M91" i="545" s="1"/>
  <c r="J91" i="545" a="1"/>
  <c r="J91" i="545" s="1"/>
  <c r="H91" i="545"/>
  <c r="V90" i="545"/>
  <c r="W90" i="545" s="1"/>
  <c r="N90" i="545"/>
  <c r="K90" i="545"/>
  <c r="M90" i="545" s="1"/>
  <c r="K90" i="545" a="1"/>
  <c r="J90" i="545"/>
  <c r="J90" i="545" a="1"/>
  <c r="H90" i="545"/>
  <c r="V89" i="545"/>
  <c r="W89" i="545" s="1"/>
  <c r="N89" i="545"/>
  <c r="K89" i="545" a="1"/>
  <c r="K89" i="545" s="1"/>
  <c r="M89" i="545" s="1"/>
  <c r="J89" i="545" a="1"/>
  <c r="J89" i="545" s="1"/>
  <c r="H89" i="545"/>
  <c r="V88" i="545"/>
  <c r="W88" i="545" s="1"/>
  <c r="N88" i="545"/>
  <c r="K88" i="545" a="1"/>
  <c r="K88" i="545" s="1"/>
  <c r="M88" i="545" s="1"/>
  <c r="J88" i="545" a="1"/>
  <c r="J88" i="545" s="1"/>
  <c r="H88" i="545"/>
  <c r="V87" i="545"/>
  <c r="V121" i="545" s="1"/>
  <c r="W121" i="545" s="1"/>
  <c r="N87" i="545"/>
  <c r="K87" i="545" a="1"/>
  <c r="K87" i="545" s="1"/>
  <c r="J87" i="545" a="1"/>
  <c r="J87" i="545" s="1"/>
  <c r="H87" i="545"/>
  <c r="H121" i="545" s="1"/>
  <c r="AA86" i="545"/>
  <c r="Z86" i="545"/>
  <c r="Y86" i="545"/>
  <c r="X86" i="545"/>
  <c r="U86" i="545"/>
  <c r="T86" i="545"/>
  <c r="S86" i="545"/>
  <c r="R86" i="545"/>
  <c r="Q86" i="545"/>
  <c r="P86" i="545"/>
  <c r="O86" i="545"/>
  <c r="R167" i="545" s="1"/>
  <c r="I86" i="545"/>
  <c r="G86" i="545"/>
  <c r="C525" i="545" s="1"/>
  <c r="K85" i="545" a="1"/>
  <c r="K85" i="545" s="1"/>
  <c r="H85" i="545"/>
  <c r="K84" i="545" a="1"/>
  <c r="K84" i="545" s="1"/>
  <c r="H84" i="545"/>
  <c r="K83" i="545" a="1"/>
  <c r="K83" i="545" s="1"/>
  <c r="H83" i="545"/>
  <c r="K82" i="545" a="1"/>
  <c r="K82" i="545" s="1"/>
  <c r="H82" i="545"/>
  <c r="K81" i="545" a="1"/>
  <c r="K81" i="545" s="1"/>
  <c r="H81" i="545"/>
  <c r="K80" i="545" a="1"/>
  <c r="K80" i="545" s="1"/>
  <c r="H80" i="545"/>
  <c r="K79" i="545" a="1"/>
  <c r="K79" i="545" s="1"/>
  <c r="M79" i="545" s="1"/>
  <c r="H79" i="545"/>
  <c r="K78" i="545" a="1"/>
  <c r="K78" i="545" s="1"/>
  <c r="M78" i="545" s="1"/>
  <c r="H78" i="545"/>
  <c r="K77" i="545" a="1"/>
  <c r="K77" i="545" s="1"/>
  <c r="M77" i="545" s="1"/>
  <c r="H77" i="545"/>
  <c r="K76" i="545" a="1"/>
  <c r="K76" i="545" s="1"/>
  <c r="M76" i="545" s="1"/>
  <c r="H76" i="545"/>
  <c r="V75" i="545"/>
  <c r="W75" i="545" s="1"/>
  <c r="N75" i="545"/>
  <c r="K75" i="545" a="1"/>
  <c r="K75" i="545" s="1"/>
  <c r="M75" i="545" s="1"/>
  <c r="J75" i="545" a="1"/>
  <c r="J75" i="545" s="1"/>
  <c r="H75" i="545"/>
  <c r="V74" i="545"/>
  <c r="W74" i="545" s="1"/>
  <c r="N74" i="545"/>
  <c r="K74" i="545"/>
  <c r="M74" i="545" s="1"/>
  <c r="K74" i="545" a="1"/>
  <c r="J74" i="545"/>
  <c r="J74" i="545" a="1"/>
  <c r="H74" i="545"/>
  <c r="V73" i="545"/>
  <c r="W73" i="545" s="1"/>
  <c r="N73" i="545"/>
  <c r="K73" i="545" a="1"/>
  <c r="K73" i="545" s="1"/>
  <c r="M73" i="545" s="1"/>
  <c r="J73" i="545" a="1"/>
  <c r="J73" i="545" s="1"/>
  <c r="H73" i="545"/>
  <c r="V72" i="545"/>
  <c r="W72" i="545" s="1"/>
  <c r="N72" i="545"/>
  <c r="K72" i="545" a="1"/>
  <c r="K72" i="545" s="1"/>
  <c r="M72" i="545" s="1"/>
  <c r="J72" i="545" a="1"/>
  <c r="J72" i="545" s="1"/>
  <c r="H72" i="545"/>
  <c r="H71" i="545"/>
  <c r="V70" i="545"/>
  <c r="W70" i="545" s="1"/>
  <c r="N70" i="545"/>
  <c r="K70" i="545"/>
  <c r="M70" i="545" s="1"/>
  <c r="K70" i="545" a="1"/>
  <c r="J70" i="545" a="1"/>
  <c r="J70" i="545" s="1"/>
  <c r="H70" i="545"/>
  <c r="V69" i="545"/>
  <c r="W69" i="545" s="1"/>
  <c r="N69" i="545"/>
  <c r="K69" i="545" a="1"/>
  <c r="K69" i="545" s="1"/>
  <c r="M69" i="545" s="1"/>
  <c r="J69" i="545" a="1"/>
  <c r="J69" i="545" s="1"/>
  <c r="H69" i="545"/>
  <c r="K68" i="545" a="1"/>
  <c r="K68" i="545" s="1"/>
  <c r="H68" i="545"/>
  <c r="K67" i="545" a="1"/>
  <c r="K67" i="545" s="1"/>
  <c r="H67" i="545"/>
  <c r="V66" i="545"/>
  <c r="W66" i="545" s="1"/>
  <c r="N66" i="545"/>
  <c r="K66" i="545"/>
  <c r="M66" i="545" s="1"/>
  <c r="K66" i="545" a="1"/>
  <c r="J66" i="545" a="1"/>
  <c r="J66" i="545" s="1"/>
  <c r="H66" i="545"/>
  <c r="V65" i="545"/>
  <c r="W65" i="545" s="1"/>
  <c r="N65" i="545"/>
  <c r="K65" i="545" a="1"/>
  <c r="K65" i="545" s="1"/>
  <c r="M65" i="545" s="1"/>
  <c r="J65" i="545" a="1"/>
  <c r="J65" i="545" s="1"/>
  <c r="H65" i="545"/>
  <c r="V64" i="545"/>
  <c r="W64" i="545" s="1"/>
  <c r="N64" i="545"/>
  <c r="K64" i="545"/>
  <c r="M64" i="545" s="1"/>
  <c r="K64" i="545" a="1"/>
  <c r="J64" i="545" a="1"/>
  <c r="J64" i="545" s="1"/>
  <c r="H64" i="545"/>
  <c r="V63" i="545"/>
  <c r="W63" i="545" s="1"/>
  <c r="N63" i="545"/>
  <c r="K63" i="545" a="1"/>
  <c r="K63" i="545" s="1"/>
  <c r="M63" i="545" s="1"/>
  <c r="J63" i="545" a="1"/>
  <c r="J63" i="545" s="1"/>
  <c r="H63" i="545"/>
  <c r="V62" i="545"/>
  <c r="W62" i="545" s="1"/>
  <c r="N62" i="545"/>
  <c r="K62" i="545"/>
  <c r="M62" i="545" s="1"/>
  <c r="K62" i="545" a="1"/>
  <c r="J62" i="545" a="1"/>
  <c r="J62" i="545" s="1"/>
  <c r="H62" i="545"/>
  <c r="V61" i="545"/>
  <c r="W61" i="545" s="1"/>
  <c r="N61" i="545"/>
  <c r="K61" i="545" a="1"/>
  <c r="K61" i="545" s="1"/>
  <c r="M61" i="545" s="1"/>
  <c r="J61" i="545" a="1"/>
  <c r="J61" i="545" s="1"/>
  <c r="H61" i="545"/>
  <c r="V60" i="545"/>
  <c r="W60" i="545" s="1"/>
  <c r="N60" i="545"/>
  <c r="K60" i="545" a="1"/>
  <c r="K60" i="545" s="1"/>
  <c r="M60" i="545" s="1"/>
  <c r="J60" i="545" a="1"/>
  <c r="J60" i="545" s="1"/>
  <c r="H60" i="545"/>
  <c r="V59" i="545"/>
  <c r="W59" i="545" s="1"/>
  <c r="N59" i="545"/>
  <c r="K59" i="545" a="1"/>
  <c r="K59" i="545" s="1"/>
  <c r="M59" i="545" s="1"/>
  <c r="J59" i="545" a="1"/>
  <c r="J59" i="545" s="1"/>
  <c r="H59" i="545"/>
  <c r="V58" i="545"/>
  <c r="W58" i="545" s="1"/>
  <c r="N58" i="545"/>
  <c r="K58" i="545" a="1"/>
  <c r="K58" i="545" s="1"/>
  <c r="M58" i="545" s="1"/>
  <c r="J58" i="545" a="1"/>
  <c r="J58" i="545" s="1"/>
  <c r="H58" i="545"/>
  <c r="V57" i="545"/>
  <c r="W57" i="545" s="1"/>
  <c r="N57" i="545"/>
  <c r="K57" i="545"/>
  <c r="M57" i="545" s="1"/>
  <c r="K57" i="545" a="1"/>
  <c r="J57" i="545"/>
  <c r="J57" i="545" a="1"/>
  <c r="H57" i="545"/>
  <c r="K56" i="545" a="1"/>
  <c r="K56" i="545" s="1"/>
  <c r="M56" i="545" s="1"/>
  <c r="H56" i="545"/>
  <c r="K55" i="545" a="1"/>
  <c r="K55" i="545" s="1"/>
  <c r="M55" i="545" s="1"/>
  <c r="H55" i="545"/>
  <c r="K54" i="545" a="1"/>
  <c r="K54" i="545" s="1"/>
  <c r="M54" i="545" s="1"/>
  <c r="H54" i="545"/>
  <c r="K53" i="545" a="1"/>
  <c r="K53" i="545" s="1"/>
  <c r="M53" i="545" s="1"/>
  <c r="H53" i="545"/>
  <c r="N52" i="545"/>
  <c r="K52" i="545" a="1"/>
  <c r="K52" i="545" s="1"/>
  <c r="M52" i="545" s="1"/>
  <c r="H52" i="545"/>
  <c r="N51" i="545"/>
  <c r="K51" i="545" a="1"/>
  <c r="K51" i="545" s="1"/>
  <c r="M51" i="545" s="1"/>
  <c r="H51" i="545"/>
  <c r="N50" i="545"/>
  <c r="K50" i="545" a="1"/>
  <c r="K50" i="545" s="1"/>
  <c r="M50" i="545" s="1"/>
  <c r="H50" i="545"/>
  <c r="N49" i="545"/>
  <c r="K49" i="545" a="1"/>
  <c r="K49" i="545" s="1"/>
  <c r="M49" i="545" s="1"/>
  <c r="H49" i="545"/>
  <c r="V48" i="545"/>
  <c r="W48" i="545" s="1"/>
  <c r="N48" i="545"/>
  <c r="K48" i="545" a="1"/>
  <c r="K48" i="545" s="1"/>
  <c r="M48" i="545" s="1"/>
  <c r="J48" i="545" a="1"/>
  <c r="J48" i="545" s="1"/>
  <c r="H48" i="545"/>
  <c r="V47" i="545"/>
  <c r="W47" i="545" s="1"/>
  <c r="N47" i="545"/>
  <c r="K47" i="545" a="1"/>
  <c r="K47" i="545" s="1"/>
  <c r="M47" i="545" s="1"/>
  <c r="J47" i="545" a="1"/>
  <c r="J47" i="545" s="1"/>
  <c r="H47" i="545"/>
  <c r="V46" i="545"/>
  <c r="W46" i="545" s="1"/>
  <c r="N46" i="545"/>
  <c r="K46" i="545"/>
  <c r="M46" i="545" s="1"/>
  <c r="K46" i="545" a="1"/>
  <c r="J46" i="545"/>
  <c r="J46" i="545" a="1"/>
  <c r="H46" i="545"/>
  <c r="V45" i="545"/>
  <c r="W45" i="545" s="1"/>
  <c r="N45" i="545"/>
  <c r="K45" i="545" a="1"/>
  <c r="K45" i="545" s="1"/>
  <c r="M45" i="545" s="1"/>
  <c r="J45" i="545" a="1"/>
  <c r="J45" i="545" s="1"/>
  <c r="H45" i="545"/>
  <c r="V44" i="545"/>
  <c r="W44" i="545" s="1"/>
  <c r="N44" i="545"/>
  <c r="K44" i="545" a="1"/>
  <c r="K44" i="545" s="1"/>
  <c r="M44" i="545" s="1"/>
  <c r="J44" i="545" a="1"/>
  <c r="J44" i="545" s="1"/>
  <c r="H44" i="545"/>
  <c r="V43" i="545"/>
  <c r="W43" i="545" s="1"/>
  <c r="N43" i="545"/>
  <c r="K43" i="545" a="1"/>
  <c r="K43" i="545" s="1"/>
  <c r="M43" i="545" s="1"/>
  <c r="J43" i="545" a="1"/>
  <c r="J43" i="545" s="1"/>
  <c r="H43" i="545"/>
  <c r="V42" i="545"/>
  <c r="W42" i="545" s="1"/>
  <c r="N42" i="545"/>
  <c r="K42" i="545" a="1"/>
  <c r="K42" i="545" s="1"/>
  <c r="M42" i="545" s="1"/>
  <c r="J42" i="545" a="1"/>
  <c r="J42" i="545" s="1"/>
  <c r="H42" i="545"/>
  <c r="V41" i="545"/>
  <c r="W41" i="545" s="1"/>
  <c r="N41" i="545"/>
  <c r="K41" i="545" a="1"/>
  <c r="K41" i="545" s="1"/>
  <c r="M41" i="545" s="1"/>
  <c r="J41" i="545" a="1"/>
  <c r="J41" i="545" s="1"/>
  <c r="H41" i="545"/>
  <c r="V40" i="545"/>
  <c r="W40" i="545" s="1"/>
  <c r="N40" i="545"/>
  <c r="K40" i="545"/>
  <c r="M40" i="545" s="1"/>
  <c r="K40" i="545" a="1"/>
  <c r="J40" i="545"/>
  <c r="J40" i="545" a="1"/>
  <c r="H40" i="545"/>
  <c r="V39" i="545"/>
  <c r="W39" i="545" s="1"/>
  <c r="N39" i="545"/>
  <c r="K39" i="545" a="1"/>
  <c r="K39" i="545" s="1"/>
  <c r="M39" i="545" s="1"/>
  <c r="J39" i="545" a="1"/>
  <c r="J39" i="545" s="1"/>
  <c r="H39" i="545"/>
  <c r="V38" i="545"/>
  <c r="W38" i="545" s="1"/>
  <c r="N38" i="545"/>
  <c r="K38" i="545" a="1"/>
  <c r="K38" i="545" s="1"/>
  <c r="M38" i="545" s="1"/>
  <c r="J38" i="545" a="1"/>
  <c r="J38" i="545" s="1"/>
  <c r="H38" i="545"/>
  <c r="V37" i="545"/>
  <c r="W37" i="545" s="1"/>
  <c r="N37" i="545"/>
  <c r="K37" i="545" a="1"/>
  <c r="K37" i="545" s="1"/>
  <c r="M37" i="545" s="1"/>
  <c r="J37" i="545" a="1"/>
  <c r="J37" i="545" s="1"/>
  <c r="H37" i="545"/>
  <c r="H36" i="545"/>
  <c r="H35" i="545"/>
  <c r="H34" i="545"/>
  <c r="V33" i="545"/>
  <c r="W33" i="545" s="1"/>
  <c r="N33" i="545"/>
  <c r="K33" i="545" a="1"/>
  <c r="K33" i="545" s="1"/>
  <c r="M33" i="545" s="1"/>
  <c r="J33" i="545" a="1"/>
  <c r="J33" i="545" s="1"/>
  <c r="H33" i="545"/>
  <c r="V32" i="545"/>
  <c r="W32" i="545" s="1"/>
  <c r="N32" i="545"/>
  <c r="K32" i="545" a="1"/>
  <c r="K32" i="545" s="1"/>
  <c r="M32" i="545" s="1"/>
  <c r="J32" i="545" a="1"/>
  <c r="J32" i="545" s="1"/>
  <c r="H32" i="545"/>
  <c r="V31" i="545"/>
  <c r="W31" i="545" s="1"/>
  <c r="N31" i="545"/>
  <c r="K31" i="545" a="1"/>
  <c r="K31" i="545" s="1"/>
  <c r="M31" i="545" s="1"/>
  <c r="J31" i="545" a="1"/>
  <c r="J31" i="545" s="1"/>
  <c r="H31" i="545"/>
  <c r="K30" i="545"/>
  <c r="K30" i="545" a="1"/>
  <c r="H30" i="545"/>
  <c r="V29" i="545"/>
  <c r="N29" i="545"/>
  <c r="N86" i="545" s="1"/>
  <c r="K29" i="545" a="1"/>
  <c r="K29" i="545" s="1"/>
  <c r="J29" i="545" a="1"/>
  <c r="J29" i="545" s="1"/>
  <c r="H29" i="545"/>
  <c r="AA28" i="545"/>
  <c r="Z28" i="545"/>
  <c r="Z164" i="545" s="1"/>
  <c r="Y28" i="545"/>
  <c r="X28" i="545"/>
  <c r="X164" i="545" s="1"/>
  <c r="U28" i="545"/>
  <c r="T28" i="545"/>
  <c r="T164" i="545" s="1"/>
  <c r="S28" i="545"/>
  <c r="R28" i="545"/>
  <c r="R164" i="545" s="1"/>
  <c r="Q28" i="545"/>
  <c r="P28" i="545"/>
  <c r="X167" i="545" s="1"/>
  <c r="O28" i="545"/>
  <c r="I28" i="545"/>
  <c r="I164" i="545" s="1"/>
  <c r="B172" i="545" s="1"/>
  <c r="G28" i="545"/>
  <c r="C524" i="545" s="1"/>
  <c r="V27" i="545"/>
  <c r="W27" i="545" s="1"/>
  <c r="N27" i="545"/>
  <c r="K27" i="545" a="1"/>
  <c r="K27" i="545" s="1"/>
  <c r="M27" i="545" s="1"/>
  <c r="J27" i="545" a="1"/>
  <c r="J27" i="545" s="1"/>
  <c r="H27" i="545"/>
  <c r="V26" i="545"/>
  <c r="W26" i="545" s="1"/>
  <c r="N26" i="545"/>
  <c r="K26" i="545" a="1"/>
  <c r="K26" i="545" s="1"/>
  <c r="M26" i="545" s="1"/>
  <c r="J26" i="545" a="1"/>
  <c r="J26" i="545" s="1"/>
  <c r="H26" i="545"/>
  <c r="K25" i="545" a="1"/>
  <c r="K25" i="545" s="1"/>
  <c r="M25" i="545" s="1"/>
  <c r="J25" i="545" a="1"/>
  <c r="J25" i="545" s="1"/>
  <c r="H25" i="545"/>
  <c r="K24" i="545" a="1"/>
  <c r="K24" i="545" s="1"/>
  <c r="M24" i="545" s="1"/>
  <c r="J24" i="545" a="1"/>
  <c r="J24" i="545" s="1"/>
  <c r="H24" i="545"/>
  <c r="K23" i="545" a="1"/>
  <c r="K23" i="545" s="1"/>
  <c r="M23" i="545" s="1"/>
  <c r="J23" i="545" a="1"/>
  <c r="J23" i="545" s="1"/>
  <c r="H23" i="545"/>
  <c r="K22" i="545" a="1"/>
  <c r="K22" i="545" s="1"/>
  <c r="M22" i="545" s="1"/>
  <c r="J22" i="545" a="1"/>
  <c r="J22" i="545" s="1"/>
  <c r="H22" i="545"/>
  <c r="V21" i="545"/>
  <c r="W21" i="545" s="1"/>
  <c r="N21" i="545"/>
  <c r="K21" i="545" a="1"/>
  <c r="K21" i="545" s="1"/>
  <c r="M21" i="545" s="1"/>
  <c r="J21" i="545" a="1"/>
  <c r="J21" i="545" s="1"/>
  <c r="H21" i="545"/>
  <c r="V20" i="545"/>
  <c r="W20" i="545" s="1"/>
  <c r="N20" i="545"/>
  <c r="K20" i="545" a="1"/>
  <c r="K20" i="545" s="1"/>
  <c r="M20" i="545" s="1"/>
  <c r="J20" i="545" a="1"/>
  <c r="J20" i="545" s="1"/>
  <c r="H20" i="545"/>
  <c r="V19" i="545"/>
  <c r="W19" i="545" s="1"/>
  <c r="N19" i="545"/>
  <c r="K19" i="545" a="1"/>
  <c r="K19" i="545" s="1"/>
  <c r="M19" i="545" s="1"/>
  <c r="J19" i="545" a="1"/>
  <c r="J19" i="545" s="1"/>
  <c r="H19" i="545"/>
  <c r="N18" i="545"/>
  <c r="K18" i="545" a="1"/>
  <c r="K18" i="545" s="1"/>
  <c r="M18" i="545" s="1"/>
  <c r="J18" i="545" a="1"/>
  <c r="J18" i="545" s="1"/>
  <c r="H18" i="545"/>
  <c r="N17" i="545"/>
  <c r="K17" i="545" a="1"/>
  <c r="K17" i="545" s="1"/>
  <c r="M17" i="545" s="1"/>
  <c r="J17" i="545" a="1"/>
  <c r="J17" i="545" s="1"/>
  <c r="H17" i="545"/>
  <c r="V16" i="545"/>
  <c r="W16" i="545" s="1"/>
  <c r="N16" i="545"/>
  <c r="K16" i="545" a="1"/>
  <c r="K16" i="545" s="1"/>
  <c r="M16" i="545" s="1"/>
  <c r="J16" i="545" a="1"/>
  <c r="J16" i="545" s="1"/>
  <c r="H16" i="545"/>
  <c r="V15" i="545"/>
  <c r="W15" i="545" s="1"/>
  <c r="N15" i="545"/>
  <c r="K15" i="545" a="1"/>
  <c r="K15" i="545" s="1"/>
  <c r="M15" i="545" s="1"/>
  <c r="J15" i="545" a="1"/>
  <c r="J15" i="545" s="1"/>
  <c r="H15" i="545"/>
  <c r="N14" i="545"/>
  <c r="K14" i="545" a="1"/>
  <c r="K14" i="545" s="1"/>
  <c r="M14" i="545" s="1"/>
  <c r="H14" i="545"/>
  <c r="N13" i="545"/>
  <c r="K13" i="545" a="1"/>
  <c r="K13" i="545" s="1"/>
  <c r="M13" i="545" s="1"/>
  <c r="H13" i="545"/>
  <c r="V12" i="545"/>
  <c r="W12" i="545" s="1"/>
  <c r="N12" i="545"/>
  <c r="K12" i="545" a="1"/>
  <c r="K12" i="545" s="1"/>
  <c r="M12" i="545" s="1"/>
  <c r="J12" i="545" a="1"/>
  <c r="J12" i="545" s="1"/>
  <c r="H12" i="545"/>
  <c r="V11" i="545"/>
  <c r="W11" i="545" s="1"/>
  <c r="N11" i="545"/>
  <c r="K11" i="545" a="1"/>
  <c r="K11" i="545" s="1"/>
  <c r="M11" i="545" s="1"/>
  <c r="J11" i="545" a="1"/>
  <c r="J11" i="545" s="1"/>
  <c r="H11" i="545"/>
  <c r="V10" i="545"/>
  <c r="W10" i="545" s="1"/>
  <c r="N10" i="545"/>
  <c r="K10" i="545" a="1"/>
  <c r="K10" i="545" s="1"/>
  <c r="M10" i="545" s="1"/>
  <c r="J10" i="545" a="1"/>
  <c r="J10" i="545" s="1"/>
  <c r="H10" i="545"/>
  <c r="V9" i="545"/>
  <c r="W9" i="545" s="1"/>
  <c r="N9" i="545"/>
  <c r="K9" i="545" a="1"/>
  <c r="K9" i="545" s="1"/>
  <c r="M9" i="545" s="1"/>
  <c r="J9" i="545" a="1"/>
  <c r="J9" i="545" s="1"/>
  <c r="H9" i="545"/>
  <c r="V8" i="545"/>
  <c r="W8" i="545" s="1"/>
  <c r="N8" i="545"/>
  <c r="K8" i="545" a="1"/>
  <c r="K8" i="545" s="1"/>
  <c r="M8" i="545" s="1"/>
  <c r="J8" i="545" a="1"/>
  <c r="J8" i="545" s="1"/>
  <c r="H8" i="545"/>
  <c r="V7" i="545"/>
  <c r="N7" i="545"/>
  <c r="N28" i="545" s="1"/>
  <c r="K7" i="545" a="1"/>
  <c r="K7" i="545" s="1"/>
  <c r="J7" i="545" a="1"/>
  <c r="J7" i="545" s="1"/>
  <c r="H7" i="545"/>
  <c r="H28" i="545" l="1"/>
  <c r="V28" i="545"/>
  <c r="N148" i="545"/>
  <c r="H199" i="545"/>
  <c r="V199" i="545"/>
  <c r="N257" i="545"/>
  <c r="N292" i="545"/>
  <c r="N319" i="545"/>
  <c r="H370" i="545"/>
  <c r="V370" i="545"/>
  <c r="N463" i="545"/>
  <c r="N479" i="545"/>
  <c r="N121" i="545"/>
  <c r="V86" i="545"/>
  <c r="W86" i="545" s="1"/>
  <c r="H137" i="545"/>
  <c r="W138" i="545"/>
  <c r="W178" i="545"/>
  <c r="J319" i="545" a="1"/>
  <c r="J319" i="545" s="1"/>
  <c r="J292" i="545" a="1"/>
  <c r="J292" i="545" s="1"/>
  <c r="J257" i="545" a="1"/>
  <c r="J257" i="545" s="1"/>
  <c r="H334" i="545"/>
  <c r="V334" i="545"/>
  <c r="H292" i="545"/>
  <c r="W320" i="545"/>
  <c r="W334" i="545" s="1"/>
  <c r="S335" i="545"/>
  <c r="U335" i="545"/>
  <c r="Y335" i="545"/>
  <c r="AA335" i="545"/>
  <c r="N308" i="545"/>
  <c r="N335" i="545" s="1"/>
  <c r="B344" i="545" s="1"/>
  <c r="E344" i="545" s="1"/>
  <c r="W293" i="545"/>
  <c r="J308" i="545" a="1"/>
  <c r="J308" i="545" s="1"/>
  <c r="R340" i="545"/>
  <c r="M292" i="545"/>
  <c r="M308" i="545"/>
  <c r="W199" i="545"/>
  <c r="H257" i="545"/>
  <c r="H335" i="545" s="1"/>
  <c r="E342" i="545" s="1"/>
  <c r="K199" i="545"/>
  <c r="J463" i="545" a="1"/>
  <c r="J463" i="545" s="1"/>
  <c r="H479" i="545"/>
  <c r="V479" i="545"/>
  <c r="W479" i="545" s="1"/>
  <c r="R512" i="545"/>
  <c r="H490" i="545"/>
  <c r="J490" i="545" a="1"/>
  <c r="J490" i="545" s="1"/>
  <c r="R513" i="545"/>
  <c r="H506" i="545"/>
  <c r="R514" i="545"/>
  <c r="M490" i="545"/>
  <c r="W506" i="545"/>
  <c r="H463" i="545"/>
  <c r="W429" i="545"/>
  <c r="N370" i="545"/>
  <c r="O164" i="545"/>
  <c r="Q164" i="545"/>
  <c r="S164" i="545"/>
  <c r="U164" i="545"/>
  <c r="Y164" i="545"/>
  <c r="AA164" i="545"/>
  <c r="N163" i="545"/>
  <c r="M148" i="545"/>
  <c r="N137" i="545"/>
  <c r="N164" i="545" s="1"/>
  <c r="B173" i="545" s="1"/>
  <c r="E173" i="545" s="1"/>
  <c r="R169" i="545"/>
  <c r="W7" i="545"/>
  <c r="H163" i="545"/>
  <c r="J163" i="545" a="1"/>
  <c r="J163" i="545" s="1"/>
  <c r="H86" i="545"/>
  <c r="H164" i="545" s="1"/>
  <c r="E171" i="545" s="1"/>
  <c r="K28" i="545"/>
  <c r="J148" i="545" a="1"/>
  <c r="J148" i="545" s="1"/>
  <c r="K121" i="545"/>
  <c r="M87" i="545"/>
  <c r="M121" i="545" s="1"/>
  <c r="K137" i="545"/>
  <c r="M122" i="545"/>
  <c r="M137" i="545" s="1"/>
  <c r="K527" i="545"/>
  <c r="K528" i="545"/>
  <c r="K163" i="545"/>
  <c r="M149" i="545"/>
  <c r="M163" i="545" s="1"/>
  <c r="K529" i="545"/>
  <c r="W28" i="545"/>
  <c r="C520" i="545"/>
  <c r="Q525" i="545"/>
  <c r="K86" i="545"/>
  <c r="M29" i="545"/>
  <c r="M86" i="545" s="1"/>
  <c r="K525" i="545"/>
  <c r="K526" i="545"/>
  <c r="K257" i="545"/>
  <c r="M7" i="545"/>
  <c r="M28" i="545" s="1"/>
  <c r="M164" i="545" s="1"/>
  <c r="C530" i="545"/>
  <c r="E524" i="545" s="1"/>
  <c r="V137" i="545"/>
  <c r="W137" i="545" s="1"/>
  <c r="K148" i="545"/>
  <c r="V163" i="545"/>
  <c r="W163" i="545" s="1"/>
  <c r="G164" i="545"/>
  <c r="P164" i="545"/>
  <c r="X168" i="545" s="1"/>
  <c r="X173" i="545" s="1"/>
  <c r="K166" i="545"/>
  <c r="R166" i="545"/>
  <c r="M178" i="545"/>
  <c r="M199" i="545" s="1"/>
  <c r="B342" i="545"/>
  <c r="J335" i="545" a="1"/>
  <c r="J335" i="545" s="1"/>
  <c r="M342" i="545" s="1"/>
  <c r="R337" i="545"/>
  <c r="O335" i="545"/>
  <c r="M200" i="545"/>
  <c r="M257" i="545" s="1"/>
  <c r="R338" i="545"/>
  <c r="V292" i="545"/>
  <c r="W292" i="545" s="1"/>
  <c r="K334" i="545"/>
  <c r="K341" i="545"/>
  <c r="M341" i="545" s="1"/>
  <c r="M337" i="545"/>
  <c r="K370" i="545"/>
  <c r="M349" i="545"/>
  <c r="M370" i="545" s="1"/>
  <c r="K428" i="545"/>
  <c r="M371" i="545"/>
  <c r="M428" i="545" s="1"/>
  <c r="J28" i="545" a="1"/>
  <c r="J28" i="545" s="1"/>
  <c r="W29" i="545"/>
  <c r="J86" i="545" a="1"/>
  <c r="J86" i="545" s="1"/>
  <c r="W87" i="545"/>
  <c r="J121" i="545" a="1"/>
  <c r="J121" i="545" s="1"/>
  <c r="J137" i="545" a="1"/>
  <c r="J137" i="545" s="1"/>
  <c r="J199" i="545" a="1"/>
  <c r="J199" i="545" s="1"/>
  <c r="X338" i="545"/>
  <c r="P335" i="545"/>
  <c r="X339" i="545" s="1"/>
  <c r="K292" i="545"/>
  <c r="K319" i="545"/>
  <c r="M309" i="545"/>
  <c r="M319" i="545" s="1"/>
  <c r="K308" i="545"/>
  <c r="V319" i="545"/>
  <c r="W319" i="545" s="1"/>
  <c r="J507" i="545" a="1"/>
  <c r="J507" i="545" s="1"/>
  <c r="M514" i="545" s="1"/>
  <c r="B514" i="545"/>
  <c r="X509" i="545"/>
  <c r="O507" i="545"/>
  <c r="X510" i="545" s="1"/>
  <c r="R509" i="545"/>
  <c r="M320" i="545"/>
  <c r="M334" i="545" s="1"/>
  <c r="W349" i="545"/>
  <c r="W370" i="545" s="1"/>
  <c r="J370" i="545" a="1"/>
  <c r="J370" i="545" s="1"/>
  <c r="H428" i="545"/>
  <c r="H507" i="545" s="1"/>
  <c r="E514" i="545" s="1"/>
  <c r="N428" i="545"/>
  <c r="W371" i="545"/>
  <c r="K463" i="545"/>
  <c r="R510" i="545"/>
  <c r="M429" i="545"/>
  <c r="M463" i="545" s="1"/>
  <c r="K490" i="545"/>
  <c r="N490" i="545"/>
  <c r="K506" i="545"/>
  <c r="M491" i="545"/>
  <c r="M506" i="545" s="1"/>
  <c r="V506" i="545"/>
  <c r="K509" i="545"/>
  <c r="M479" i="545"/>
  <c r="K479" i="545"/>
  <c r="V490" i="545"/>
  <c r="W490" i="545" s="1"/>
  <c r="M316" i="544"/>
  <c r="M315" i="544"/>
  <c r="K316" i="544" a="1"/>
  <c r="K316" i="544" s="1"/>
  <c r="K315" i="544" a="1"/>
  <c r="K315" i="544" s="1"/>
  <c r="J316" i="544" a="1"/>
  <c r="J316" i="544" s="1"/>
  <c r="J315" i="544" a="1"/>
  <c r="J315" i="544" s="1"/>
  <c r="J286" i="544" a="1"/>
  <c r="J286" i="544" s="1"/>
  <c r="J285" i="544" a="1"/>
  <c r="J285" i="544" s="1"/>
  <c r="J284" i="544" a="1"/>
  <c r="J284" i="544" s="1"/>
  <c r="J283" i="544" a="1"/>
  <c r="J283" i="544" s="1"/>
  <c r="J282" i="544" a="1"/>
  <c r="J282" i="544" s="1"/>
  <c r="J281" i="544" a="1"/>
  <c r="J281" i="544" s="1"/>
  <c r="J280" i="544" a="1"/>
  <c r="J280" i="544" s="1"/>
  <c r="J279" i="544" a="1"/>
  <c r="J279" i="544" s="1"/>
  <c r="M286" i="544"/>
  <c r="K286" i="544" a="1"/>
  <c r="K286" i="544" s="1"/>
  <c r="J223" i="544" a="1"/>
  <c r="J223" i="544" s="1"/>
  <c r="J209" i="544" a="1"/>
  <c r="J209" i="544" s="1"/>
  <c r="M207" i="544"/>
  <c r="M206" i="544"/>
  <c r="M205" i="544"/>
  <c r="M204" i="544"/>
  <c r="M203" i="544"/>
  <c r="M202" i="544"/>
  <c r="K207" i="544" a="1"/>
  <c r="K207" i="544" s="1"/>
  <c r="K206" i="544" a="1"/>
  <c r="K206" i="544" s="1"/>
  <c r="K205" i="544" a="1"/>
  <c r="K205" i="544" s="1"/>
  <c r="K204" i="544" a="1"/>
  <c r="K204" i="544" s="1"/>
  <c r="K203" i="544" a="1"/>
  <c r="K203" i="544" s="1"/>
  <c r="K202" i="544" a="1"/>
  <c r="K202" i="544" s="1"/>
  <c r="K201" i="544" a="1"/>
  <c r="K201" i="544" s="1"/>
  <c r="M201" i="544" s="1"/>
  <c r="J208" i="544" a="1"/>
  <c r="J208" i="544" s="1"/>
  <c r="J207" i="544" a="1"/>
  <c r="J207" i="544" s="1"/>
  <c r="J206" i="544" a="1"/>
  <c r="J206" i="544" s="1"/>
  <c r="J205" i="544" a="1"/>
  <c r="J205" i="544" s="1"/>
  <c r="J204" i="544" a="1"/>
  <c r="J204" i="544" s="1"/>
  <c r="J203" i="544" a="1"/>
  <c r="J203" i="544" s="1"/>
  <c r="J202" i="544" a="1"/>
  <c r="J202" i="544" s="1"/>
  <c r="J201" i="544" a="1"/>
  <c r="J201" i="544" s="1"/>
  <c r="I199" i="544"/>
  <c r="I198" i="544"/>
  <c r="I191" i="544"/>
  <c r="I201" i="544"/>
  <c r="I207" i="544"/>
  <c r="I183" i="544"/>
  <c r="I295" i="544"/>
  <c r="I315" i="544"/>
  <c r="I316" i="544"/>
  <c r="I279" i="544"/>
  <c r="I286" i="544"/>
  <c r="I215" i="544"/>
  <c r="I213" i="544"/>
  <c r="I182" i="544"/>
  <c r="J145" i="544" a="1"/>
  <c r="J145" i="544" s="1"/>
  <c r="M145" i="544"/>
  <c r="M36" i="544"/>
  <c r="M117" i="544"/>
  <c r="M116" i="544"/>
  <c r="M115" i="544"/>
  <c r="J117" i="544" a="1"/>
  <c r="J117" i="544" s="1"/>
  <c r="J116" i="544" a="1"/>
  <c r="J116" i="544" s="1"/>
  <c r="J115" i="544" a="1"/>
  <c r="J115" i="544" s="1"/>
  <c r="J114" i="544" a="1"/>
  <c r="J114" i="544" s="1"/>
  <c r="J113" i="544" a="1"/>
  <c r="J113" i="544" s="1"/>
  <c r="J112" i="544" a="1"/>
  <c r="J112" i="544" s="1"/>
  <c r="J111" i="544" a="1"/>
  <c r="J111" i="544" s="1"/>
  <c r="J110" i="544" a="1"/>
  <c r="J110" i="544" s="1"/>
  <c r="J109" i="544" a="1"/>
  <c r="J109" i="544" s="1"/>
  <c r="J108" i="544" a="1"/>
  <c r="J108" i="544" s="1"/>
  <c r="J107" i="544" a="1"/>
  <c r="J107" i="544" s="1"/>
  <c r="J106" i="544" a="1"/>
  <c r="J106" i="544" s="1"/>
  <c r="J105" i="544" a="1"/>
  <c r="J105" i="544" s="1"/>
  <c r="J104" i="544" a="1"/>
  <c r="J104" i="544" s="1"/>
  <c r="J103" i="544" a="1"/>
  <c r="J103" i="544" s="1"/>
  <c r="J102" i="544" a="1"/>
  <c r="J102" i="544" s="1"/>
  <c r="J101" i="544" a="1"/>
  <c r="J101" i="544" s="1"/>
  <c r="J100" i="544" a="1"/>
  <c r="J100" i="544" s="1"/>
  <c r="J99" i="544" a="1"/>
  <c r="J99" i="544" s="1"/>
  <c r="J98" i="544" a="1"/>
  <c r="J98" i="544" s="1"/>
  <c r="J97" i="544" a="1"/>
  <c r="J97" i="544" s="1"/>
  <c r="J96" i="544" a="1"/>
  <c r="J96" i="544" s="1"/>
  <c r="J95" i="544" a="1"/>
  <c r="J95" i="544" s="1"/>
  <c r="J94" i="544" a="1"/>
  <c r="J94" i="544" s="1"/>
  <c r="J36" i="544" a="1"/>
  <c r="J36" i="544" s="1"/>
  <c r="I42" i="544"/>
  <c r="K36" i="544" a="1"/>
  <c r="K36" i="544" s="1"/>
  <c r="I145" i="544"/>
  <c r="I11" i="544"/>
  <c r="I117" i="544"/>
  <c r="I108" i="544"/>
  <c r="I20" i="544"/>
  <c r="I124" i="544"/>
  <c r="I36" i="544"/>
  <c r="I47" i="544"/>
  <c r="X344" i="545" l="1"/>
  <c r="Z338" i="545" s="1"/>
  <c r="W335" i="545"/>
  <c r="K335" i="545"/>
  <c r="L335" i="545" s="1"/>
  <c r="I342" i="545" s="1"/>
  <c r="N507" i="545"/>
  <c r="B516" i="545" s="1"/>
  <c r="C521" i="545" s="1"/>
  <c r="G521" i="545" s="1"/>
  <c r="E528" i="545"/>
  <c r="Z169" i="545"/>
  <c r="Z171" i="545"/>
  <c r="Z170" i="545"/>
  <c r="G519" i="545"/>
  <c r="E527" i="545"/>
  <c r="E529" i="545"/>
  <c r="E525" i="545"/>
  <c r="K164" i="545"/>
  <c r="E172" i="545" s="1"/>
  <c r="I172" i="545" s="1"/>
  <c r="M172" i="545" s="1"/>
  <c r="E526" i="545"/>
  <c r="E343" i="545"/>
  <c r="I343" i="545" s="1"/>
  <c r="M343" i="545" s="1"/>
  <c r="E516" i="545"/>
  <c r="M509" i="545"/>
  <c r="K513" i="545"/>
  <c r="M513" i="545" s="1"/>
  <c r="R516" i="545"/>
  <c r="T509" i="545" s="1" a="1"/>
  <c r="T509" i="545" s="1"/>
  <c r="X516" i="545"/>
  <c r="Z510" i="545" s="1"/>
  <c r="M507" i="545"/>
  <c r="M335" i="545"/>
  <c r="M166" i="545"/>
  <c r="K170" i="545"/>
  <c r="M170" i="545" s="1"/>
  <c r="J164" i="545" a="1"/>
  <c r="J164" i="545" s="1"/>
  <c r="M171" i="545" s="1"/>
  <c r="B171" i="545"/>
  <c r="C519" i="545" s="1"/>
  <c r="V164" i="545"/>
  <c r="I173" i="545" s="1"/>
  <c r="T510" i="545"/>
  <c r="Z342" i="545"/>
  <c r="Z339" i="545"/>
  <c r="V507" i="545"/>
  <c r="K507" i="545"/>
  <c r="R344" i="545"/>
  <c r="Z172" i="545"/>
  <c r="Z166" i="545" a="1"/>
  <c r="Z166" i="545" s="1"/>
  <c r="K524" i="545"/>
  <c r="R173" i="545"/>
  <c r="T166" i="545" s="1" a="1"/>
  <c r="T166" i="545" s="1"/>
  <c r="Q526" i="545"/>
  <c r="Z168" i="545"/>
  <c r="V335" i="545"/>
  <c r="I344" i="545" s="1"/>
  <c r="M344" i="545" s="1" a="1"/>
  <c r="M344" i="545" s="1"/>
  <c r="Z167" i="545"/>
  <c r="W164" i="545"/>
  <c r="G182" i="544"/>
  <c r="G215" i="544"/>
  <c r="Z340" i="545" l="1"/>
  <c r="E530" i="545"/>
  <c r="Z337" i="545" a="1"/>
  <c r="Z337" i="545" s="1"/>
  <c r="Z343" i="545"/>
  <c r="Z341" i="545"/>
  <c r="L164" i="545"/>
  <c r="I171" i="545" s="1"/>
  <c r="T343" i="545"/>
  <c r="T341" i="545"/>
  <c r="T340" i="545"/>
  <c r="T339" i="545"/>
  <c r="T342" i="545"/>
  <c r="E515" i="545"/>
  <c r="L507" i="545"/>
  <c r="I514" i="545" s="1"/>
  <c r="T338" i="545"/>
  <c r="Z515" i="545"/>
  <c r="Z512" i="545"/>
  <c r="Z513" i="545"/>
  <c r="Z511" i="545"/>
  <c r="Z514" i="545"/>
  <c r="Q530" i="545"/>
  <c r="K530" i="545"/>
  <c r="T172" i="545"/>
  <c r="T167" i="545"/>
  <c r="T168" i="545"/>
  <c r="T169" i="545"/>
  <c r="T170" i="545"/>
  <c r="T171" i="545"/>
  <c r="T337" i="545" a="1"/>
  <c r="T337" i="545" s="1"/>
  <c r="I516" i="545"/>
  <c r="M516" i="545" s="1" a="1"/>
  <c r="M516" i="545" s="1"/>
  <c r="W507" i="545"/>
  <c r="K521" i="545"/>
  <c r="O521" i="545" s="1" a="1"/>
  <c r="O521" i="545" s="1"/>
  <c r="M173" i="545" a="1"/>
  <c r="M173" i="545" s="1"/>
  <c r="O519" i="545" a="1"/>
  <c r="O519" i="545" s="1"/>
  <c r="Z509" i="545" a="1"/>
  <c r="Z509" i="545" s="1"/>
  <c r="T515" i="545"/>
  <c r="T511" i="545"/>
  <c r="T513" i="545"/>
  <c r="T512" i="545"/>
  <c r="T514" i="545"/>
  <c r="G316" i="544"/>
  <c r="G295" i="544"/>
  <c r="G279" i="544"/>
  <c r="G213" i="544"/>
  <c r="G223" i="544"/>
  <c r="G207" i="544"/>
  <c r="G198" i="544"/>
  <c r="G191" i="544"/>
  <c r="G183" i="544"/>
  <c r="G20" i="544"/>
  <c r="G145" i="544"/>
  <c r="S528" i="545" l="1"/>
  <c r="S527" i="545"/>
  <c r="S529" i="545"/>
  <c r="S524" i="545" a="1"/>
  <c r="S524" i="545" s="1"/>
  <c r="S525" i="545"/>
  <c r="M526" i="545"/>
  <c r="M529" i="545"/>
  <c r="M527" i="545"/>
  <c r="M525" i="545"/>
  <c r="M528" i="545"/>
  <c r="S526" i="545"/>
  <c r="I515" i="545"/>
  <c r="M515" i="545" s="1"/>
  <c r="G520" i="545"/>
  <c r="M524" i="545" a="1"/>
  <c r="M524" i="545" s="1"/>
  <c r="G11" i="544"/>
  <c r="G36" i="544"/>
  <c r="G42" i="544"/>
  <c r="G108" i="544"/>
  <c r="G117" i="544"/>
  <c r="G124" i="544"/>
  <c r="G47" i="544"/>
  <c r="S530" i="545" l="1"/>
  <c r="K520" i="545"/>
  <c r="O520" i="545" s="1"/>
  <c r="K519" i="545"/>
  <c r="J436" i="541" a="1"/>
  <c r="J436" i="541" s="1"/>
  <c r="M316" i="541"/>
  <c r="M315" i="541"/>
  <c r="K316" i="541" a="1"/>
  <c r="K316" i="541" s="1"/>
  <c r="K315" i="541" a="1"/>
  <c r="K315" i="541" s="1"/>
  <c r="J316" i="541" a="1"/>
  <c r="J316" i="541" s="1"/>
  <c r="J315" i="541" a="1"/>
  <c r="J315" i="541" s="1"/>
  <c r="M288" i="541"/>
  <c r="K288" i="541" a="1"/>
  <c r="K288" i="541" s="1"/>
  <c r="J288" i="541" a="1"/>
  <c r="J288" i="541" s="1"/>
  <c r="J287" i="541" a="1"/>
  <c r="J287" i="541" s="1"/>
  <c r="J286" i="541" a="1"/>
  <c r="J286" i="541" s="1"/>
  <c r="J285" i="541" a="1"/>
  <c r="J285" i="541" s="1"/>
  <c r="J284" i="541" a="1"/>
  <c r="J284" i="541" s="1"/>
  <c r="J283" i="541" a="1"/>
  <c r="J283" i="541" s="1"/>
  <c r="J282" i="541" a="1"/>
  <c r="J282" i="541" s="1"/>
  <c r="J281" i="541" a="1"/>
  <c r="J281" i="541" s="1"/>
  <c r="J280" i="541" a="1"/>
  <c r="J280" i="541" s="1"/>
  <c r="J279" i="541" a="1"/>
  <c r="J279" i="541" s="1"/>
  <c r="J278" i="541" a="1"/>
  <c r="J278" i="541" s="1"/>
  <c r="J277" i="541" a="1"/>
  <c r="J277" i="541" s="1"/>
  <c r="J276" i="541" a="1"/>
  <c r="J276" i="541" s="1"/>
  <c r="J275" i="541" a="1"/>
  <c r="J275" i="541" s="1"/>
  <c r="J274" i="541" a="1"/>
  <c r="J274" i="541" s="1"/>
  <c r="J273" i="541" a="1"/>
  <c r="J273" i="541" s="1"/>
  <c r="J272" i="541" a="1"/>
  <c r="J272" i="541" s="1"/>
  <c r="J271" i="541" a="1"/>
  <c r="J271" i="541" s="1"/>
  <c r="J270" i="541" a="1"/>
  <c r="J270" i="541" s="1"/>
  <c r="J269" i="541" a="1"/>
  <c r="J269" i="541" s="1"/>
  <c r="J268" i="541" a="1"/>
  <c r="J268" i="541" s="1"/>
  <c r="J267" i="541" a="1"/>
  <c r="J267" i="541" s="1"/>
  <c r="J266" i="541" a="1"/>
  <c r="J266" i="541" s="1"/>
  <c r="J265" i="541" a="1"/>
  <c r="J265" i="541" s="1"/>
  <c r="I316" i="541" l="1"/>
  <c r="I187" i="541"/>
  <c r="I295" i="541"/>
  <c r="I307" i="541"/>
  <c r="I213" i="541"/>
  <c r="I209" i="541"/>
  <c r="I191" i="541"/>
  <c r="I288" i="541"/>
  <c r="I182" i="541"/>
  <c r="I240" i="541"/>
  <c r="I218" i="541"/>
  <c r="I217" i="541"/>
  <c r="M117" i="541"/>
  <c r="M116" i="541"/>
  <c r="M115" i="541"/>
  <c r="J117" i="541" a="1"/>
  <c r="J117" i="541" s="1"/>
  <c r="J116" i="541" a="1"/>
  <c r="J116" i="541" s="1"/>
  <c r="J115" i="541" a="1"/>
  <c r="J115" i="541" s="1"/>
  <c r="J114" i="541" a="1"/>
  <c r="J114" i="541" s="1"/>
  <c r="J113" i="541" a="1"/>
  <c r="J113" i="541" s="1"/>
  <c r="J112" i="541" a="1"/>
  <c r="J112" i="541" s="1"/>
  <c r="J111" i="541" a="1"/>
  <c r="J111" i="541" s="1"/>
  <c r="J110" i="541" a="1"/>
  <c r="J110" i="541" s="1"/>
  <c r="J109" i="541" a="1"/>
  <c r="J109" i="541" s="1"/>
  <c r="J108" i="541" a="1"/>
  <c r="J108" i="541" s="1"/>
  <c r="J107" i="541" a="1"/>
  <c r="J107" i="541" s="1"/>
  <c r="J106" i="541" a="1"/>
  <c r="J106" i="541" s="1"/>
  <c r="J105" i="541" a="1"/>
  <c r="J105" i="541" s="1"/>
  <c r="J104" i="541" a="1"/>
  <c r="J104" i="541" s="1"/>
  <c r="J103" i="541" a="1"/>
  <c r="J103" i="541" s="1"/>
  <c r="J102" i="541" a="1"/>
  <c r="J102" i="541" s="1"/>
  <c r="J101" i="541" a="1"/>
  <c r="J101" i="541" s="1"/>
  <c r="J100" i="541" a="1"/>
  <c r="J100" i="541" s="1"/>
  <c r="J99" i="541" a="1"/>
  <c r="J99" i="541" s="1"/>
  <c r="J98" i="541" a="1"/>
  <c r="J98" i="541" s="1"/>
  <c r="J97" i="541" a="1"/>
  <c r="J97" i="541" s="1"/>
  <c r="J96" i="541" a="1"/>
  <c r="J96" i="541" s="1"/>
  <c r="J95" i="541" a="1"/>
  <c r="J95" i="541" s="1"/>
  <c r="J94" i="541" a="1"/>
  <c r="J94" i="541" s="1"/>
  <c r="I46" i="541"/>
  <c r="I69" i="541"/>
  <c r="I10" i="541"/>
  <c r="I20" i="541"/>
  <c r="I21" i="541"/>
  <c r="I136" i="541" l="1"/>
  <c r="I117" i="541"/>
  <c r="I115" i="541"/>
  <c r="I38" i="541"/>
  <c r="I16" i="541"/>
  <c r="G288" i="541" l="1"/>
  <c r="G151" i="541"/>
  <c r="G136" i="541"/>
  <c r="G115" i="541"/>
  <c r="G117" i="541"/>
  <c r="G38" i="541"/>
  <c r="G46" i="541"/>
  <c r="G20" i="541"/>
  <c r="G21" i="541"/>
  <c r="G16" i="541"/>
  <c r="G10" i="541"/>
  <c r="G190" i="541"/>
  <c r="G192" i="541"/>
  <c r="G307" i="541"/>
  <c r="G240" i="541"/>
  <c r="G209" i="541"/>
  <c r="G213" i="541"/>
  <c r="G218" i="541"/>
  <c r="G217" i="541"/>
  <c r="G191" i="541"/>
  <c r="G187" i="541"/>
  <c r="G182" i="541"/>
  <c r="I434" i="541" l="1"/>
  <c r="G434" i="541"/>
  <c r="G436" i="541"/>
  <c r="I436" i="541"/>
  <c r="P536" i="544"/>
  <c r="O536" i="544"/>
  <c r="N536" i="544"/>
  <c r="M536" i="544"/>
  <c r="L536" i="544"/>
  <c r="K536" i="544"/>
  <c r="I536" i="544"/>
  <c r="H536" i="544"/>
  <c r="G536" i="544"/>
  <c r="F536" i="544"/>
  <c r="E536" i="544"/>
  <c r="G517" i="544"/>
  <c r="N517" i="544" s="1"/>
  <c r="X515" i="544"/>
  <c r="X514" i="544"/>
  <c r="X513" i="544"/>
  <c r="G513" i="544"/>
  <c r="C513" i="544"/>
  <c r="X512" i="544"/>
  <c r="I512" i="544"/>
  <c r="E512" i="544"/>
  <c r="K512" i="544" s="1"/>
  <c r="M512" i="544" s="1"/>
  <c r="X511" i="544"/>
  <c r="I511" i="544"/>
  <c r="E511" i="544"/>
  <c r="K511" i="544" s="1"/>
  <c r="M511" i="544" s="1"/>
  <c r="I510" i="544"/>
  <c r="E510" i="544"/>
  <c r="K510" i="544" s="1"/>
  <c r="M510" i="544" s="1"/>
  <c r="I509" i="544"/>
  <c r="I513" i="544" s="1"/>
  <c r="E509" i="544"/>
  <c r="E513" i="544" s="1"/>
  <c r="AA506" i="544"/>
  <c r="Z506" i="544"/>
  <c r="Y506" i="544"/>
  <c r="X506" i="544"/>
  <c r="U506" i="544"/>
  <c r="T506" i="544"/>
  <c r="S506" i="544"/>
  <c r="R506" i="544"/>
  <c r="Q506" i="544"/>
  <c r="P506" i="544"/>
  <c r="R514" i="544" s="1"/>
  <c r="O506" i="544"/>
  <c r="I506" i="544"/>
  <c r="G506" i="544"/>
  <c r="J506" i="544" s="1" a="1"/>
  <c r="J506" i="544" s="1"/>
  <c r="H505" i="544"/>
  <c r="H504" i="544"/>
  <c r="H503" i="544"/>
  <c r="D502" i="544"/>
  <c r="H502" i="544" s="1"/>
  <c r="V501" i="544"/>
  <c r="W501" i="544" s="1"/>
  <c r="N501" i="544"/>
  <c r="K501" i="544" a="1"/>
  <c r="K501" i="544" s="1"/>
  <c r="M501" i="544" s="1"/>
  <c r="J501" i="544" a="1"/>
  <c r="J501" i="544" s="1"/>
  <c r="H501" i="544"/>
  <c r="H500" i="544"/>
  <c r="H499" i="544"/>
  <c r="V498" i="544"/>
  <c r="W498" i="544" s="1"/>
  <c r="N498" i="544"/>
  <c r="K498" i="544" a="1"/>
  <c r="K498" i="544" s="1"/>
  <c r="M498" i="544" s="1"/>
  <c r="J498" i="544" a="1"/>
  <c r="J498" i="544" s="1"/>
  <c r="H498" i="544"/>
  <c r="V497" i="544"/>
  <c r="W497" i="544" s="1"/>
  <c r="N497" i="544"/>
  <c r="K497" i="544"/>
  <c r="M497" i="544" s="1"/>
  <c r="K497" i="544" a="1"/>
  <c r="J497" i="544"/>
  <c r="J497" i="544" a="1"/>
  <c r="H497" i="544"/>
  <c r="H496" i="544"/>
  <c r="H495" i="544"/>
  <c r="V494" i="544"/>
  <c r="W494" i="544" s="1"/>
  <c r="N494" i="544"/>
  <c r="K494" i="544" a="1"/>
  <c r="K494" i="544" s="1"/>
  <c r="M494" i="544" s="1"/>
  <c r="J494" i="544" a="1"/>
  <c r="J494" i="544" s="1"/>
  <c r="H494" i="544"/>
  <c r="W493" i="544"/>
  <c r="V493" i="544"/>
  <c r="N493" i="544"/>
  <c r="K493" i="544" a="1"/>
  <c r="K493" i="544" s="1"/>
  <c r="M493" i="544" s="1"/>
  <c r="J493" i="544" a="1"/>
  <c r="J493" i="544" s="1"/>
  <c r="H493" i="544"/>
  <c r="V492" i="544"/>
  <c r="W492" i="544" s="1"/>
  <c r="N492" i="544"/>
  <c r="K492" i="544" a="1"/>
  <c r="K492" i="544" s="1"/>
  <c r="M492" i="544" s="1"/>
  <c r="J492" i="544" a="1"/>
  <c r="J492" i="544" s="1"/>
  <c r="H492" i="544"/>
  <c r="V491" i="544"/>
  <c r="W491" i="544" s="1"/>
  <c r="N491" i="544"/>
  <c r="N506" i="544" s="1"/>
  <c r="K491" i="544"/>
  <c r="K491" i="544" a="1"/>
  <c r="J491" i="544"/>
  <c r="J491" i="544" a="1"/>
  <c r="H491" i="544"/>
  <c r="H506" i="544" s="1"/>
  <c r="AA490" i="544"/>
  <c r="Z490" i="544"/>
  <c r="Y490" i="544"/>
  <c r="X490" i="544"/>
  <c r="U490" i="544"/>
  <c r="T490" i="544"/>
  <c r="S490" i="544"/>
  <c r="Q490" i="544"/>
  <c r="P490" i="544"/>
  <c r="O490" i="544"/>
  <c r="R513" i="544" s="1"/>
  <c r="I490" i="544"/>
  <c r="G490" i="544"/>
  <c r="J490" i="544" s="1" a="1"/>
  <c r="J490" i="544" s="1"/>
  <c r="V489" i="544"/>
  <c r="W489" i="544" s="1"/>
  <c r="N489" i="544"/>
  <c r="K489" i="544" a="1"/>
  <c r="K489" i="544" s="1"/>
  <c r="M489" i="544" s="1"/>
  <c r="J489" i="544" a="1"/>
  <c r="J489" i="544" s="1"/>
  <c r="H489" i="544"/>
  <c r="H487" i="544"/>
  <c r="H486" i="544"/>
  <c r="H485" i="544"/>
  <c r="V484" i="544"/>
  <c r="W484" i="544" s="1"/>
  <c r="N484" i="544"/>
  <c r="K484" i="544" a="1"/>
  <c r="K484" i="544" s="1"/>
  <c r="M484" i="544" s="1"/>
  <c r="J484" i="544" a="1"/>
  <c r="J484" i="544" s="1"/>
  <c r="H484" i="544"/>
  <c r="V483" i="544"/>
  <c r="W483" i="544" s="1"/>
  <c r="N483" i="544"/>
  <c r="K483" i="544" a="1"/>
  <c r="K483" i="544" s="1"/>
  <c r="M483" i="544" s="1"/>
  <c r="J483" i="544" a="1"/>
  <c r="J483" i="544" s="1"/>
  <c r="H483" i="544"/>
  <c r="V482" i="544"/>
  <c r="W482" i="544" s="1"/>
  <c r="N482" i="544"/>
  <c r="K482" i="544" a="1"/>
  <c r="K482" i="544" s="1"/>
  <c r="M482" i="544" s="1"/>
  <c r="J482" i="544" a="1"/>
  <c r="J482" i="544" s="1"/>
  <c r="H482" i="544"/>
  <c r="V481" i="544"/>
  <c r="W481" i="544" s="1"/>
  <c r="N481" i="544"/>
  <c r="K481" i="544"/>
  <c r="M481" i="544" s="1"/>
  <c r="K481" i="544" a="1"/>
  <c r="J481" i="544"/>
  <c r="J481" i="544" a="1"/>
  <c r="H481" i="544"/>
  <c r="V480" i="544"/>
  <c r="W480" i="544" s="1"/>
  <c r="N480" i="544"/>
  <c r="N490" i="544" s="1"/>
  <c r="K480" i="544" a="1"/>
  <c r="K480" i="544" s="1"/>
  <c r="J480" i="544" a="1"/>
  <c r="J480" i="544" s="1"/>
  <c r="H480" i="544"/>
  <c r="AA479" i="544"/>
  <c r="Z479" i="544"/>
  <c r="Y479" i="544"/>
  <c r="X479" i="544"/>
  <c r="U479" i="544"/>
  <c r="T479" i="544"/>
  <c r="S479" i="544"/>
  <c r="Q479" i="544"/>
  <c r="P479" i="544"/>
  <c r="O479" i="544"/>
  <c r="I479" i="544"/>
  <c r="G479" i="544"/>
  <c r="J479" i="544" s="1" a="1"/>
  <c r="J479" i="544" s="1"/>
  <c r="V478" i="544"/>
  <c r="W478" i="544" s="1"/>
  <c r="N478" i="544"/>
  <c r="K478" i="544"/>
  <c r="M478" i="544" s="1"/>
  <c r="K478" i="544" a="1"/>
  <c r="J478" i="544"/>
  <c r="J478" i="544" a="1"/>
  <c r="H478" i="544"/>
  <c r="V477" i="544"/>
  <c r="W477" i="544" s="1"/>
  <c r="N477" i="544"/>
  <c r="K477" i="544" a="1"/>
  <c r="K477" i="544" s="1"/>
  <c r="M477" i="544" s="1"/>
  <c r="J477" i="544" a="1"/>
  <c r="J477" i="544" s="1"/>
  <c r="H477" i="544"/>
  <c r="V476" i="544"/>
  <c r="W476" i="544" s="1"/>
  <c r="N476" i="544"/>
  <c r="K476" i="544" a="1"/>
  <c r="K476" i="544" s="1"/>
  <c r="M476" i="544" s="1"/>
  <c r="J476" i="544" a="1"/>
  <c r="J476" i="544" s="1"/>
  <c r="H476" i="544"/>
  <c r="V475" i="544"/>
  <c r="W475" i="544" s="1"/>
  <c r="N475" i="544"/>
  <c r="K475" i="544" a="1"/>
  <c r="K475" i="544" s="1"/>
  <c r="M475" i="544" s="1"/>
  <c r="J475" i="544" a="1"/>
  <c r="J475" i="544" s="1"/>
  <c r="H475" i="544"/>
  <c r="V474" i="544"/>
  <c r="W474" i="544" s="1"/>
  <c r="N474" i="544"/>
  <c r="K474" i="544"/>
  <c r="M474" i="544" s="1"/>
  <c r="K474" i="544" a="1"/>
  <c r="J474" i="544"/>
  <c r="J474" i="544" a="1"/>
  <c r="H474" i="544"/>
  <c r="V473" i="544"/>
  <c r="W473" i="544" s="1"/>
  <c r="N473" i="544"/>
  <c r="K473" i="544" a="1"/>
  <c r="K473" i="544" s="1"/>
  <c r="M473" i="544" s="1"/>
  <c r="J473" i="544" a="1"/>
  <c r="J473" i="544" s="1"/>
  <c r="H473" i="544"/>
  <c r="V472" i="544"/>
  <c r="W472" i="544" s="1"/>
  <c r="N472" i="544"/>
  <c r="K472" i="544"/>
  <c r="M472" i="544" s="1"/>
  <c r="K472" i="544" a="1"/>
  <c r="J472" i="544"/>
  <c r="J472" i="544" a="1"/>
  <c r="H472" i="544"/>
  <c r="V471" i="544"/>
  <c r="W471" i="544" s="1"/>
  <c r="N471" i="544"/>
  <c r="K471" i="544" a="1"/>
  <c r="K471" i="544" s="1"/>
  <c r="M471" i="544" s="1"/>
  <c r="J471" i="544" a="1"/>
  <c r="J471" i="544" s="1"/>
  <c r="H471" i="544"/>
  <c r="V470" i="544"/>
  <c r="W470" i="544" s="1"/>
  <c r="N470" i="544"/>
  <c r="K470" i="544"/>
  <c r="M470" i="544" s="1"/>
  <c r="K470" i="544" a="1"/>
  <c r="J470" i="544"/>
  <c r="J470" i="544" a="1"/>
  <c r="H470" i="544"/>
  <c r="V469" i="544"/>
  <c r="W469" i="544" s="1"/>
  <c r="N469" i="544"/>
  <c r="K469" i="544" a="1"/>
  <c r="K469" i="544" s="1"/>
  <c r="M469" i="544" s="1"/>
  <c r="J469" i="544" a="1"/>
  <c r="J469" i="544" s="1"/>
  <c r="H469" i="544"/>
  <c r="V468" i="544"/>
  <c r="W468" i="544" s="1"/>
  <c r="N468" i="544"/>
  <c r="K468" i="544"/>
  <c r="M468" i="544" s="1"/>
  <c r="K468" i="544" a="1"/>
  <c r="J468" i="544"/>
  <c r="J468" i="544" a="1"/>
  <c r="H468" i="544"/>
  <c r="V467" i="544"/>
  <c r="W467" i="544" s="1"/>
  <c r="N467" i="544"/>
  <c r="K467" i="544" a="1"/>
  <c r="K467" i="544" s="1"/>
  <c r="M467" i="544" s="1"/>
  <c r="J467" i="544" a="1"/>
  <c r="J467" i="544" s="1"/>
  <c r="H467" i="544"/>
  <c r="V466" i="544"/>
  <c r="W466" i="544" s="1"/>
  <c r="N466" i="544"/>
  <c r="K466" i="544"/>
  <c r="M466" i="544" s="1"/>
  <c r="K466" i="544" a="1"/>
  <c r="J466" i="544"/>
  <c r="J466" i="544" a="1"/>
  <c r="H466" i="544"/>
  <c r="V465" i="544"/>
  <c r="W465" i="544" s="1"/>
  <c r="N465" i="544"/>
  <c r="K465" i="544" a="1"/>
  <c r="K465" i="544" s="1"/>
  <c r="M465" i="544" s="1"/>
  <c r="J465" i="544" a="1"/>
  <c r="J465" i="544" s="1"/>
  <c r="H465" i="544"/>
  <c r="V464" i="544"/>
  <c r="W464" i="544" s="1"/>
  <c r="N464" i="544"/>
  <c r="K464" i="544" a="1"/>
  <c r="K464" i="544" s="1"/>
  <c r="J464" i="544" a="1"/>
  <c r="J464" i="544" s="1"/>
  <c r="H464" i="544"/>
  <c r="H479" i="544" s="1"/>
  <c r="AA463" i="544"/>
  <c r="Z463" i="544"/>
  <c r="Y463" i="544"/>
  <c r="X463" i="544"/>
  <c r="U463" i="544"/>
  <c r="T463" i="544"/>
  <c r="S463" i="544"/>
  <c r="R463" i="544"/>
  <c r="Q463" i="544"/>
  <c r="P463" i="544"/>
  <c r="O463" i="544"/>
  <c r="I463" i="544"/>
  <c r="G463" i="544"/>
  <c r="V462" i="544"/>
  <c r="W462" i="544" s="1"/>
  <c r="N462" i="544"/>
  <c r="K462" i="544" a="1"/>
  <c r="K462" i="544" s="1"/>
  <c r="M462" i="544" s="1"/>
  <c r="J462" i="544" a="1"/>
  <c r="J462" i="544" s="1"/>
  <c r="H462" i="544"/>
  <c r="V461" i="544"/>
  <c r="W461" i="544" s="1"/>
  <c r="N461" i="544"/>
  <c r="K461" i="544"/>
  <c r="M461" i="544" s="1"/>
  <c r="K461" i="544" a="1"/>
  <c r="J461" i="544"/>
  <c r="J461" i="544" a="1"/>
  <c r="H461" i="544"/>
  <c r="V460" i="544"/>
  <c r="W460" i="544" s="1"/>
  <c r="N460" i="544"/>
  <c r="K460" i="544" a="1"/>
  <c r="K460" i="544" s="1"/>
  <c r="M460" i="544" s="1"/>
  <c r="J460" i="544" a="1"/>
  <c r="J460" i="544" s="1"/>
  <c r="H460" i="544"/>
  <c r="K459" i="544" a="1"/>
  <c r="K459" i="544" s="1"/>
  <c r="M459" i="544" s="1"/>
  <c r="H459" i="544"/>
  <c r="K458" i="544" a="1"/>
  <c r="K458" i="544" s="1"/>
  <c r="M458" i="544" s="1"/>
  <c r="H458" i="544"/>
  <c r="K457" i="544" a="1"/>
  <c r="K457" i="544" s="1"/>
  <c r="M457" i="544" s="1"/>
  <c r="H457" i="544"/>
  <c r="V456" i="544"/>
  <c r="W456" i="544" s="1"/>
  <c r="N456" i="544"/>
  <c r="K456" i="544" a="1"/>
  <c r="K456" i="544" s="1"/>
  <c r="M456" i="544" s="1"/>
  <c r="J456" i="544" a="1"/>
  <c r="J456" i="544" s="1"/>
  <c r="H456" i="544"/>
  <c r="V455" i="544"/>
  <c r="W455" i="544" s="1"/>
  <c r="N455" i="544"/>
  <c r="K455" i="544" a="1"/>
  <c r="K455" i="544" s="1"/>
  <c r="M455" i="544" s="1"/>
  <c r="J455" i="544" a="1"/>
  <c r="J455" i="544" s="1"/>
  <c r="H455" i="544"/>
  <c r="N454" i="544"/>
  <c r="K454" i="544"/>
  <c r="M454" i="544" s="1"/>
  <c r="K454" i="544" a="1"/>
  <c r="H454" i="544"/>
  <c r="N453" i="544"/>
  <c r="K453" i="544" a="1"/>
  <c r="K453" i="544" s="1"/>
  <c r="M453" i="544" s="1"/>
  <c r="H453" i="544"/>
  <c r="N452" i="544"/>
  <c r="K452" i="544" a="1"/>
  <c r="K452" i="544" s="1"/>
  <c r="M452" i="544" s="1"/>
  <c r="H452" i="544"/>
  <c r="N451" i="544"/>
  <c r="K451" i="544" a="1"/>
  <c r="K451" i="544" s="1"/>
  <c r="M451" i="544" s="1"/>
  <c r="H451" i="544"/>
  <c r="N450" i="544"/>
  <c r="K450" i="544"/>
  <c r="M450" i="544" s="1"/>
  <c r="K450" i="544" a="1"/>
  <c r="H450" i="544"/>
  <c r="N449" i="544"/>
  <c r="K449" i="544" a="1"/>
  <c r="K449" i="544" s="1"/>
  <c r="M449" i="544" s="1"/>
  <c r="H449" i="544"/>
  <c r="V448" i="544"/>
  <c r="W448" i="544" s="1"/>
  <c r="N448" i="544"/>
  <c r="K448" i="544" a="1"/>
  <c r="K448" i="544" s="1"/>
  <c r="M448" i="544" s="1"/>
  <c r="J448" i="544" a="1"/>
  <c r="J448" i="544" s="1"/>
  <c r="H448" i="544"/>
  <c r="V447" i="544"/>
  <c r="W447" i="544" s="1"/>
  <c r="N447" i="544"/>
  <c r="K447" i="544" a="1"/>
  <c r="K447" i="544" s="1"/>
  <c r="M447" i="544" s="1"/>
  <c r="J447" i="544" a="1"/>
  <c r="J447" i="544" s="1"/>
  <c r="H447" i="544"/>
  <c r="V446" i="544"/>
  <c r="W446" i="544" s="1"/>
  <c r="N446" i="544"/>
  <c r="K446" i="544"/>
  <c r="M446" i="544" s="1"/>
  <c r="K446" i="544" a="1"/>
  <c r="J446" i="544"/>
  <c r="J446" i="544" a="1"/>
  <c r="H446" i="544"/>
  <c r="V445" i="544"/>
  <c r="W445" i="544" s="1"/>
  <c r="N445" i="544"/>
  <c r="K445" i="544" a="1"/>
  <c r="K445" i="544" s="1"/>
  <c r="M445" i="544" s="1"/>
  <c r="J445" i="544" a="1"/>
  <c r="J445" i="544" s="1"/>
  <c r="H445" i="544"/>
  <c r="V444" i="544"/>
  <c r="W444" i="544" s="1"/>
  <c r="N444" i="544"/>
  <c r="K444" i="544" a="1"/>
  <c r="K444" i="544" s="1"/>
  <c r="M444" i="544" s="1"/>
  <c r="J444" i="544" a="1"/>
  <c r="J444" i="544" s="1"/>
  <c r="H444" i="544"/>
  <c r="V443" i="544"/>
  <c r="W443" i="544" s="1"/>
  <c r="N443" i="544"/>
  <c r="K443" i="544" a="1"/>
  <c r="K443" i="544" s="1"/>
  <c r="M443" i="544" s="1"/>
  <c r="J443" i="544" a="1"/>
  <c r="J443" i="544" s="1"/>
  <c r="H443" i="544"/>
  <c r="V442" i="544"/>
  <c r="W442" i="544" s="1"/>
  <c r="N442" i="544"/>
  <c r="K442" i="544"/>
  <c r="M442" i="544" s="1"/>
  <c r="K442" i="544" a="1"/>
  <c r="J442" i="544"/>
  <c r="J442" i="544" a="1"/>
  <c r="H442" i="544"/>
  <c r="V441" i="544"/>
  <c r="W441" i="544" s="1"/>
  <c r="N441" i="544"/>
  <c r="K441" i="544" a="1"/>
  <c r="K441" i="544" s="1"/>
  <c r="M441" i="544" s="1"/>
  <c r="J441" i="544" a="1"/>
  <c r="J441" i="544" s="1"/>
  <c r="H441" i="544"/>
  <c r="W440" i="544"/>
  <c r="V440" i="544"/>
  <c r="N440" i="544"/>
  <c r="K440" i="544" a="1"/>
  <c r="K440" i="544" s="1"/>
  <c r="M440" i="544" s="1"/>
  <c r="J440" i="544" a="1"/>
  <c r="J440" i="544" s="1"/>
  <c r="H440" i="544"/>
  <c r="V439" i="544"/>
  <c r="W439" i="544" s="1"/>
  <c r="N439" i="544"/>
  <c r="K439" i="544" a="1"/>
  <c r="K439" i="544" s="1"/>
  <c r="M439" i="544" s="1"/>
  <c r="J439" i="544" a="1"/>
  <c r="J439" i="544" s="1"/>
  <c r="H439" i="544"/>
  <c r="V438" i="544"/>
  <c r="W438" i="544" s="1"/>
  <c r="N438" i="544"/>
  <c r="K438" i="544"/>
  <c r="M438" i="544" s="1"/>
  <c r="K438" i="544" a="1"/>
  <c r="J438" i="544"/>
  <c r="J438" i="544" a="1"/>
  <c r="H438" i="544"/>
  <c r="V437" i="544"/>
  <c r="W437" i="544" s="1"/>
  <c r="N437" i="544"/>
  <c r="K437" i="544" a="1"/>
  <c r="K437" i="544" s="1"/>
  <c r="M437" i="544" s="1"/>
  <c r="J437" i="544" a="1"/>
  <c r="J437" i="544" s="1"/>
  <c r="H437" i="544"/>
  <c r="N436" i="544"/>
  <c r="K436" i="544" a="1"/>
  <c r="K436" i="544" s="1"/>
  <c r="M436" i="544" s="1"/>
  <c r="H436" i="544"/>
  <c r="V435" i="544"/>
  <c r="W435" i="544" s="1"/>
  <c r="N435" i="544"/>
  <c r="K435" i="544" a="1"/>
  <c r="K435" i="544" s="1"/>
  <c r="M435" i="544" s="1"/>
  <c r="J435" i="544" a="1"/>
  <c r="J435" i="544" s="1"/>
  <c r="H435" i="544"/>
  <c r="V434" i="544"/>
  <c r="W434" i="544" s="1"/>
  <c r="N434" i="544"/>
  <c r="K434" i="544"/>
  <c r="M434" i="544" s="1"/>
  <c r="K434" i="544" a="1"/>
  <c r="J434" i="544"/>
  <c r="J434" i="544" a="1"/>
  <c r="H434" i="544"/>
  <c r="V433" i="544"/>
  <c r="W433" i="544" s="1"/>
  <c r="N433" i="544"/>
  <c r="K433" i="544" a="1"/>
  <c r="K433" i="544" s="1"/>
  <c r="M433" i="544" s="1"/>
  <c r="J433" i="544" a="1"/>
  <c r="J433" i="544" s="1"/>
  <c r="H433" i="544"/>
  <c r="V432" i="544"/>
  <c r="W432" i="544" s="1"/>
  <c r="N432" i="544"/>
  <c r="K432" i="544" a="1"/>
  <c r="K432" i="544" s="1"/>
  <c r="M432" i="544" s="1"/>
  <c r="J432" i="544" a="1"/>
  <c r="J432" i="544" s="1"/>
  <c r="H432" i="544"/>
  <c r="V431" i="544"/>
  <c r="W431" i="544" s="1"/>
  <c r="N431" i="544"/>
  <c r="K431" i="544" a="1"/>
  <c r="K431" i="544" s="1"/>
  <c r="M431" i="544" s="1"/>
  <c r="J431" i="544" a="1"/>
  <c r="J431" i="544" s="1"/>
  <c r="H431" i="544"/>
  <c r="V430" i="544"/>
  <c r="W430" i="544" s="1"/>
  <c r="N430" i="544"/>
  <c r="K430" i="544"/>
  <c r="M430" i="544" s="1"/>
  <c r="K430" i="544" a="1"/>
  <c r="J430" i="544"/>
  <c r="J430" i="544" a="1"/>
  <c r="H430" i="544"/>
  <c r="V429" i="544"/>
  <c r="N429" i="544"/>
  <c r="N463" i="544" s="1"/>
  <c r="K429" i="544" a="1"/>
  <c r="K429" i="544" s="1"/>
  <c r="J429" i="544" a="1"/>
  <c r="J429" i="544" s="1"/>
  <c r="H429" i="544"/>
  <c r="AA428" i="544"/>
  <c r="Z428" i="544"/>
  <c r="Y428" i="544"/>
  <c r="X428" i="544"/>
  <c r="U428" i="544"/>
  <c r="T428" i="544"/>
  <c r="S428" i="544"/>
  <c r="R428" i="544"/>
  <c r="Q428" i="544"/>
  <c r="P428" i="544"/>
  <c r="O428" i="544"/>
  <c r="R510" i="544" s="1"/>
  <c r="I428" i="544"/>
  <c r="G428" i="544"/>
  <c r="J428" i="544" s="1" a="1"/>
  <c r="J428" i="544" s="1"/>
  <c r="K427" i="544" a="1"/>
  <c r="K427" i="544" s="1"/>
  <c r="M427" i="544" s="1"/>
  <c r="H427" i="544"/>
  <c r="K426" i="544"/>
  <c r="M426" i="544" s="1"/>
  <c r="K426" i="544" a="1"/>
  <c r="H426" i="544"/>
  <c r="K425" i="544" a="1"/>
  <c r="K425" i="544" s="1"/>
  <c r="M425" i="544" s="1"/>
  <c r="H425" i="544"/>
  <c r="K424" i="544"/>
  <c r="M424" i="544" s="1"/>
  <c r="K424" i="544" a="1"/>
  <c r="H424" i="544"/>
  <c r="K423" i="544" a="1"/>
  <c r="K423" i="544" s="1"/>
  <c r="M423" i="544" s="1"/>
  <c r="H423" i="544"/>
  <c r="K422" i="544"/>
  <c r="M422" i="544" s="1"/>
  <c r="K422" i="544" a="1"/>
  <c r="H422" i="544"/>
  <c r="K421" i="544" a="1"/>
  <c r="K421" i="544" s="1"/>
  <c r="M421" i="544" s="1"/>
  <c r="H421" i="544"/>
  <c r="K420" i="544"/>
  <c r="M420" i="544" s="1"/>
  <c r="K420" i="544" a="1"/>
  <c r="H420" i="544"/>
  <c r="K419" i="544" a="1"/>
  <c r="K419" i="544" s="1"/>
  <c r="M419" i="544" s="1"/>
  <c r="H419" i="544"/>
  <c r="K418" i="544"/>
  <c r="M418" i="544" s="1"/>
  <c r="K418" i="544" a="1"/>
  <c r="H418" i="544"/>
  <c r="V417" i="544"/>
  <c r="W417" i="544" s="1"/>
  <c r="N417" i="544"/>
  <c r="K417" i="544" a="1"/>
  <c r="K417" i="544" s="1"/>
  <c r="M417" i="544" s="1"/>
  <c r="J417" i="544" a="1"/>
  <c r="J417" i="544" s="1"/>
  <c r="H417" i="544"/>
  <c r="V416" i="544"/>
  <c r="W416" i="544" s="1"/>
  <c r="N416" i="544"/>
  <c r="K416" i="544" a="1"/>
  <c r="K416" i="544" s="1"/>
  <c r="M416" i="544" s="1"/>
  <c r="J416" i="544" a="1"/>
  <c r="J416" i="544" s="1"/>
  <c r="H416" i="544"/>
  <c r="V415" i="544"/>
  <c r="W415" i="544" s="1"/>
  <c r="N415" i="544"/>
  <c r="K415" i="544" a="1"/>
  <c r="K415" i="544" s="1"/>
  <c r="M415" i="544" s="1"/>
  <c r="J415" i="544" a="1"/>
  <c r="J415" i="544" s="1"/>
  <c r="H415" i="544"/>
  <c r="V414" i="544"/>
  <c r="W414" i="544" s="1"/>
  <c r="N414" i="544"/>
  <c r="K414" i="544"/>
  <c r="M414" i="544" s="1"/>
  <c r="K414" i="544" a="1"/>
  <c r="J414" i="544"/>
  <c r="J414" i="544" a="1"/>
  <c r="H414" i="544"/>
  <c r="H413" i="544"/>
  <c r="W412" i="544"/>
  <c r="V412" i="544"/>
  <c r="N412" i="544"/>
  <c r="K412" i="544" a="1"/>
  <c r="K412" i="544" s="1"/>
  <c r="M412" i="544" s="1"/>
  <c r="J412" i="544" a="1"/>
  <c r="J412" i="544" s="1"/>
  <c r="H412" i="544"/>
  <c r="V411" i="544"/>
  <c r="W411" i="544" s="1"/>
  <c r="N411" i="544"/>
  <c r="K411" i="544" a="1"/>
  <c r="K411" i="544" s="1"/>
  <c r="M411" i="544" s="1"/>
  <c r="J411" i="544" a="1"/>
  <c r="J411" i="544" s="1"/>
  <c r="H411" i="544"/>
  <c r="H410" i="544"/>
  <c r="K409" i="544" a="1"/>
  <c r="K409" i="544" s="1"/>
  <c r="H409" i="544"/>
  <c r="W408" i="544"/>
  <c r="V408" i="544"/>
  <c r="N408" i="544"/>
  <c r="K408" i="544" a="1"/>
  <c r="K408" i="544" s="1"/>
  <c r="M408" i="544" s="1"/>
  <c r="J408" i="544" a="1"/>
  <c r="J408" i="544" s="1"/>
  <c r="H408" i="544"/>
  <c r="V407" i="544"/>
  <c r="W407" i="544" s="1"/>
  <c r="N407" i="544"/>
  <c r="K407" i="544" a="1"/>
  <c r="K407" i="544" s="1"/>
  <c r="M407" i="544" s="1"/>
  <c r="J407" i="544" a="1"/>
  <c r="J407" i="544" s="1"/>
  <c r="H407" i="544"/>
  <c r="V406" i="544"/>
  <c r="W406" i="544" s="1"/>
  <c r="N406" i="544"/>
  <c r="K406" i="544"/>
  <c r="M406" i="544" s="1"/>
  <c r="K406" i="544" a="1"/>
  <c r="J406" i="544"/>
  <c r="J406" i="544" a="1"/>
  <c r="H406" i="544"/>
  <c r="V405" i="544"/>
  <c r="W405" i="544" s="1"/>
  <c r="N405" i="544"/>
  <c r="K405" i="544" a="1"/>
  <c r="K405" i="544" s="1"/>
  <c r="M405" i="544" s="1"/>
  <c r="J405" i="544" a="1"/>
  <c r="J405" i="544" s="1"/>
  <c r="H405" i="544"/>
  <c r="V404" i="544"/>
  <c r="W404" i="544" s="1"/>
  <c r="N404" i="544"/>
  <c r="K404" i="544" a="1"/>
  <c r="K404" i="544" s="1"/>
  <c r="M404" i="544" s="1"/>
  <c r="J404" i="544" a="1"/>
  <c r="J404" i="544" s="1"/>
  <c r="H404" i="544"/>
  <c r="V403" i="544"/>
  <c r="W403" i="544" s="1"/>
  <c r="N403" i="544"/>
  <c r="K403" i="544" a="1"/>
  <c r="K403" i="544" s="1"/>
  <c r="M403" i="544" s="1"/>
  <c r="J403" i="544" a="1"/>
  <c r="J403" i="544" s="1"/>
  <c r="H403" i="544"/>
  <c r="V402" i="544"/>
  <c r="W402" i="544" s="1"/>
  <c r="N402" i="544"/>
  <c r="K402" i="544"/>
  <c r="M402" i="544" s="1"/>
  <c r="K402" i="544" a="1"/>
  <c r="J402" i="544"/>
  <c r="J402" i="544" a="1"/>
  <c r="H402" i="544"/>
  <c r="V401" i="544"/>
  <c r="W401" i="544" s="1"/>
  <c r="N401" i="544"/>
  <c r="K401" i="544" a="1"/>
  <c r="K401" i="544" s="1"/>
  <c r="M401" i="544" s="1"/>
  <c r="J401" i="544" a="1"/>
  <c r="J401" i="544" s="1"/>
  <c r="H401" i="544"/>
  <c r="W400" i="544"/>
  <c r="V400" i="544"/>
  <c r="N400" i="544"/>
  <c r="K400" i="544" a="1"/>
  <c r="K400" i="544" s="1"/>
  <c r="M400" i="544" s="1"/>
  <c r="J400" i="544" a="1"/>
  <c r="J400" i="544" s="1"/>
  <c r="H400" i="544"/>
  <c r="V399" i="544"/>
  <c r="W399" i="544" s="1"/>
  <c r="N399" i="544"/>
  <c r="K399" i="544" a="1"/>
  <c r="K399" i="544" s="1"/>
  <c r="M399" i="544" s="1"/>
  <c r="J399" i="544" a="1"/>
  <c r="J399" i="544" s="1"/>
  <c r="H399" i="544"/>
  <c r="K398" i="544" a="1"/>
  <c r="K398" i="544" s="1"/>
  <c r="M398" i="544" s="1"/>
  <c r="H398" i="544"/>
  <c r="K397" i="544" a="1"/>
  <c r="K397" i="544" s="1"/>
  <c r="M397" i="544" s="1"/>
  <c r="H397" i="544"/>
  <c r="K396" i="544" a="1"/>
  <c r="K396" i="544" s="1"/>
  <c r="M396" i="544" s="1"/>
  <c r="H396" i="544"/>
  <c r="K395" i="544" a="1"/>
  <c r="K395" i="544" s="1"/>
  <c r="M395" i="544" s="1"/>
  <c r="H395" i="544"/>
  <c r="N394" i="544"/>
  <c r="K394" i="544"/>
  <c r="M394" i="544" s="1"/>
  <c r="K394" i="544" a="1"/>
  <c r="H394" i="544"/>
  <c r="N393" i="544"/>
  <c r="K393" i="544" a="1"/>
  <c r="K393" i="544" s="1"/>
  <c r="M393" i="544" s="1"/>
  <c r="H393" i="544"/>
  <c r="N392" i="544"/>
  <c r="K392" i="544" a="1"/>
  <c r="K392" i="544" s="1"/>
  <c r="M392" i="544" s="1"/>
  <c r="H392" i="544"/>
  <c r="N391" i="544"/>
  <c r="K391" i="544" a="1"/>
  <c r="K391" i="544" s="1"/>
  <c r="M391" i="544" s="1"/>
  <c r="H391" i="544"/>
  <c r="V390" i="544"/>
  <c r="W390" i="544" s="1"/>
  <c r="N390" i="544"/>
  <c r="K390" i="544"/>
  <c r="M390" i="544" s="1"/>
  <c r="K390" i="544" a="1"/>
  <c r="J390" i="544"/>
  <c r="J390" i="544" a="1"/>
  <c r="H390" i="544"/>
  <c r="V389" i="544"/>
  <c r="W389" i="544" s="1"/>
  <c r="N389" i="544"/>
  <c r="K389" i="544" a="1"/>
  <c r="K389" i="544" s="1"/>
  <c r="M389" i="544" s="1"/>
  <c r="J389" i="544" a="1"/>
  <c r="J389" i="544" s="1"/>
  <c r="H389" i="544"/>
  <c r="W388" i="544"/>
  <c r="V388" i="544"/>
  <c r="N388" i="544"/>
  <c r="K388" i="544" a="1"/>
  <c r="K388" i="544" s="1"/>
  <c r="M388" i="544" s="1"/>
  <c r="J388" i="544" a="1"/>
  <c r="J388" i="544" s="1"/>
  <c r="H388" i="544"/>
  <c r="V387" i="544"/>
  <c r="W387" i="544" s="1"/>
  <c r="N387" i="544"/>
  <c r="K387" i="544" a="1"/>
  <c r="K387" i="544" s="1"/>
  <c r="M387" i="544" s="1"/>
  <c r="J387" i="544" a="1"/>
  <c r="J387" i="544" s="1"/>
  <c r="H387" i="544"/>
  <c r="V386" i="544"/>
  <c r="W386" i="544" s="1"/>
  <c r="N386" i="544"/>
  <c r="K386" i="544"/>
  <c r="M386" i="544" s="1"/>
  <c r="K386" i="544" a="1"/>
  <c r="J386" i="544"/>
  <c r="J386" i="544" a="1"/>
  <c r="H386" i="544"/>
  <c r="V385" i="544"/>
  <c r="W385" i="544" s="1"/>
  <c r="N385" i="544"/>
  <c r="K385" i="544" a="1"/>
  <c r="K385" i="544" s="1"/>
  <c r="M385" i="544" s="1"/>
  <c r="J385" i="544" a="1"/>
  <c r="J385" i="544" s="1"/>
  <c r="H385" i="544"/>
  <c r="V384" i="544"/>
  <c r="W384" i="544" s="1"/>
  <c r="N384" i="544"/>
  <c r="K384" i="544" a="1"/>
  <c r="K384" i="544" s="1"/>
  <c r="M384" i="544" s="1"/>
  <c r="J384" i="544" a="1"/>
  <c r="J384" i="544" s="1"/>
  <c r="H384" i="544"/>
  <c r="V383" i="544"/>
  <c r="W383" i="544" s="1"/>
  <c r="N383" i="544"/>
  <c r="K383" i="544" a="1"/>
  <c r="K383" i="544" s="1"/>
  <c r="M383" i="544" s="1"/>
  <c r="J383" i="544" a="1"/>
  <c r="J383" i="544" s="1"/>
  <c r="H383" i="544"/>
  <c r="V382" i="544"/>
  <c r="W382" i="544" s="1"/>
  <c r="N382" i="544"/>
  <c r="K382" i="544"/>
  <c r="M382" i="544" s="1"/>
  <c r="K382" i="544" a="1"/>
  <c r="J382" i="544"/>
  <c r="J382" i="544" a="1"/>
  <c r="H382" i="544"/>
  <c r="V381" i="544"/>
  <c r="W381" i="544" s="1"/>
  <c r="N381" i="544"/>
  <c r="K381" i="544" a="1"/>
  <c r="K381" i="544" s="1"/>
  <c r="M381" i="544" s="1"/>
  <c r="J381" i="544" a="1"/>
  <c r="J381" i="544" s="1"/>
  <c r="H381" i="544"/>
  <c r="W380" i="544"/>
  <c r="V380" i="544"/>
  <c r="N380" i="544"/>
  <c r="K380" i="544" a="1"/>
  <c r="K380" i="544" s="1"/>
  <c r="M380" i="544" s="1"/>
  <c r="J380" i="544" a="1"/>
  <c r="J380" i="544" s="1"/>
  <c r="H380" i="544"/>
  <c r="V379" i="544"/>
  <c r="W379" i="544" s="1"/>
  <c r="N379" i="544"/>
  <c r="K379" i="544" a="1"/>
  <c r="K379" i="544" s="1"/>
  <c r="M379" i="544" s="1"/>
  <c r="J379" i="544" a="1"/>
  <c r="J379" i="544" s="1"/>
  <c r="H379" i="544"/>
  <c r="K378" i="544" a="1"/>
  <c r="K378" i="544" s="1"/>
  <c r="M378" i="544" s="1"/>
  <c r="H378" i="544"/>
  <c r="K377" i="544" a="1"/>
  <c r="K377" i="544" s="1"/>
  <c r="M377" i="544" s="1"/>
  <c r="H377" i="544"/>
  <c r="K376" i="544" a="1"/>
  <c r="K376" i="544" s="1"/>
  <c r="M376" i="544" s="1"/>
  <c r="H376" i="544"/>
  <c r="V375" i="544"/>
  <c r="W375" i="544" s="1"/>
  <c r="N375" i="544"/>
  <c r="K375" i="544"/>
  <c r="M375" i="544" s="1"/>
  <c r="K375" i="544" a="1"/>
  <c r="J375" i="544"/>
  <c r="J375" i="544" a="1"/>
  <c r="H375" i="544"/>
  <c r="V374" i="544"/>
  <c r="W374" i="544" s="1"/>
  <c r="N374" i="544"/>
  <c r="K374" i="544" a="1"/>
  <c r="K374" i="544" s="1"/>
  <c r="M374" i="544" s="1"/>
  <c r="J374" i="544" a="1"/>
  <c r="J374" i="544" s="1"/>
  <c r="H374" i="544"/>
  <c r="V373" i="544"/>
  <c r="W373" i="544" s="1"/>
  <c r="N373" i="544"/>
  <c r="K373" i="544" a="1"/>
  <c r="K373" i="544" s="1"/>
  <c r="M373" i="544" s="1"/>
  <c r="J373" i="544" a="1"/>
  <c r="J373" i="544" s="1"/>
  <c r="H373" i="544"/>
  <c r="K372" i="544" a="1"/>
  <c r="K372" i="544" s="1"/>
  <c r="H372" i="544"/>
  <c r="W371" i="544"/>
  <c r="V371" i="544"/>
  <c r="N371" i="544"/>
  <c r="N428" i="544" s="1"/>
  <c r="K371" i="544" a="1"/>
  <c r="K371" i="544" s="1"/>
  <c r="J371" i="544" a="1"/>
  <c r="J371" i="544" s="1"/>
  <c r="H371" i="544"/>
  <c r="AA370" i="544"/>
  <c r="AA507" i="544" s="1"/>
  <c r="Z370" i="544"/>
  <c r="Z507" i="544" s="1"/>
  <c r="Y370" i="544"/>
  <c r="Y507" i="544" s="1"/>
  <c r="X370" i="544"/>
  <c r="X507" i="544" s="1"/>
  <c r="U370" i="544"/>
  <c r="U507" i="544" s="1"/>
  <c r="T370" i="544"/>
  <c r="T507" i="544" s="1"/>
  <c r="S370" i="544"/>
  <c r="S507" i="544" s="1"/>
  <c r="R370" i="544"/>
  <c r="R507" i="544" s="1"/>
  <c r="Q370" i="544"/>
  <c r="Q507" i="544" s="1"/>
  <c r="P370" i="544"/>
  <c r="P507" i="544" s="1"/>
  <c r="O370" i="544"/>
  <c r="I370" i="544"/>
  <c r="I507" i="544" s="1"/>
  <c r="B515" i="544" s="1"/>
  <c r="G370" i="544"/>
  <c r="G507" i="544" s="1"/>
  <c r="V369" i="544"/>
  <c r="W369" i="544" s="1"/>
  <c r="N369" i="544"/>
  <c r="K369" i="544" a="1"/>
  <c r="K369" i="544" s="1"/>
  <c r="M369" i="544" s="1"/>
  <c r="J369" i="544" a="1"/>
  <c r="J369" i="544" s="1"/>
  <c r="H369" i="544"/>
  <c r="V368" i="544"/>
  <c r="W368" i="544" s="1"/>
  <c r="N368" i="544"/>
  <c r="K368" i="544" a="1"/>
  <c r="K368" i="544" s="1"/>
  <c r="M368" i="544" s="1"/>
  <c r="J368" i="544"/>
  <c r="J368" i="544" a="1"/>
  <c r="H368" i="544"/>
  <c r="K367" i="544" a="1"/>
  <c r="K367" i="544" s="1"/>
  <c r="M367" i="544" s="1"/>
  <c r="H367" i="544"/>
  <c r="K366" i="544"/>
  <c r="M366" i="544" s="1"/>
  <c r="K366" i="544" a="1"/>
  <c r="H366" i="544"/>
  <c r="K365" i="544" a="1"/>
  <c r="K365" i="544" s="1"/>
  <c r="M365" i="544" s="1"/>
  <c r="H365" i="544"/>
  <c r="K364" i="544" a="1"/>
  <c r="K364" i="544" s="1"/>
  <c r="M364" i="544" s="1"/>
  <c r="H364" i="544"/>
  <c r="V363" i="544"/>
  <c r="W363" i="544" s="1"/>
  <c r="N363" i="544"/>
  <c r="K363" i="544"/>
  <c r="M363" i="544" s="1"/>
  <c r="K363" i="544" a="1"/>
  <c r="J363" i="544" a="1"/>
  <c r="J363" i="544" s="1"/>
  <c r="H363" i="544"/>
  <c r="V362" i="544"/>
  <c r="W362" i="544" s="1"/>
  <c r="N362" i="544"/>
  <c r="K362" i="544" a="1"/>
  <c r="K362" i="544" s="1"/>
  <c r="M362" i="544" s="1"/>
  <c r="J362" i="544" a="1"/>
  <c r="J362" i="544" s="1"/>
  <c r="H362" i="544"/>
  <c r="V361" i="544"/>
  <c r="W361" i="544" s="1"/>
  <c r="N361" i="544"/>
  <c r="K361" i="544"/>
  <c r="M361" i="544" s="1"/>
  <c r="K361" i="544" a="1"/>
  <c r="J361" i="544" a="1"/>
  <c r="J361" i="544" s="1"/>
  <c r="H361" i="544"/>
  <c r="H360" i="544"/>
  <c r="H359" i="544"/>
  <c r="W358" i="544"/>
  <c r="V358" i="544"/>
  <c r="N358" i="544"/>
  <c r="K358" i="544" a="1"/>
  <c r="K358" i="544" s="1"/>
  <c r="M358" i="544" s="1"/>
  <c r="J358" i="544" a="1"/>
  <c r="J358" i="544" s="1"/>
  <c r="H358" i="544"/>
  <c r="V357" i="544"/>
  <c r="W357" i="544" s="1"/>
  <c r="N357" i="544"/>
  <c r="K357" i="544"/>
  <c r="M357" i="544" s="1"/>
  <c r="K357" i="544" a="1"/>
  <c r="J357" i="544" a="1"/>
  <c r="J357" i="544" s="1"/>
  <c r="H357" i="544"/>
  <c r="K356" i="544" a="1"/>
  <c r="K356" i="544" s="1"/>
  <c r="M356" i="544" s="1"/>
  <c r="H356" i="544"/>
  <c r="K355" i="544" a="1"/>
  <c r="K355" i="544" s="1"/>
  <c r="M355" i="544" s="1"/>
  <c r="H355" i="544"/>
  <c r="W354" i="544"/>
  <c r="V354" i="544"/>
  <c r="N354" i="544"/>
  <c r="K354" i="544" a="1"/>
  <c r="K354" i="544" s="1"/>
  <c r="M354" i="544" s="1"/>
  <c r="J354" i="544" a="1"/>
  <c r="J354" i="544" s="1"/>
  <c r="H354" i="544"/>
  <c r="V353" i="544"/>
  <c r="W353" i="544" s="1"/>
  <c r="N353" i="544"/>
  <c r="K353" i="544" a="1"/>
  <c r="K353" i="544" s="1"/>
  <c r="M353" i="544" s="1"/>
  <c r="J353" i="544" a="1"/>
  <c r="J353" i="544" s="1"/>
  <c r="H353" i="544"/>
  <c r="V352" i="544"/>
  <c r="W352" i="544" s="1"/>
  <c r="N352" i="544"/>
  <c r="K352" i="544"/>
  <c r="M352" i="544" s="1"/>
  <c r="K352" i="544" a="1"/>
  <c r="J352" i="544"/>
  <c r="J352" i="544" a="1"/>
  <c r="H352" i="544"/>
  <c r="V351" i="544"/>
  <c r="W351" i="544" s="1"/>
  <c r="N351" i="544"/>
  <c r="K351" i="544" a="1"/>
  <c r="K351" i="544" s="1"/>
  <c r="M351" i="544" s="1"/>
  <c r="J351" i="544" a="1"/>
  <c r="J351" i="544" s="1"/>
  <c r="H351" i="544"/>
  <c r="V350" i="544"/>
  <c r="W350" i="544" s="1"/>
  <c r="N350" i="544"/>
  <c r="K350" i="544" a="1"/>
  <c r="K350" i="544" s="1"/>
  <c r="M350" i="544" s="1"/>
  <c r="J350" i="544" a="1"/>
  <c r="J350" i="544" s="1"/>
  <c r="H350" i="544"/>
  <c r="V349" i="544"/>
  <c r="N349" i="544"/>
  <c r="K349" i="544"/>
  <c r="K349" i="544" a="1"/>
  <c r="J349" i="544" a="1"/>
  <c r="J349" i="544" s="1"/>
  <c r="H349" i="544"/>
  <c r="X343" i="544"/>
  <c r="X342" i="544"/>
  <c r="X341" i="544"/>
  <c r="G341" i="544"/>
  <c r="C341" i="544"/>
  <c r="X340" i="544"/>
  <c r="I340" i="544"/>
  <c r="E340" i="544"/>
  <c r="K340" i="544" s="1"/>
  <c r="M340" i="544" s="1"/>
  <c r="I339" i="544"/>
  <c r="E339" i="544"/>
  <c r="K339" i="544" s="1"/>
  <c r="M339" i="544" s="1"/>
  <c r="I338" i="544"/>
  <c r="E338" i="544"/>
  <c r="K338" i="544" s="1"/>
  <c r="M338" i="544" s="1"/>
  <c r="X337" i="544"/>
  <c r="I337" i="544"/>
  <c r="I341" i="544" s="1"/>
  <c r="E337" i="544"/>
  <c r="E341" i="544" s="1"/>
  <c r="AA334" i="544"/>
  <c r="Z334" i="544"/>
  <c r="Y334" i="544"/>
  <c r="X334" i="544"/>
  <c r="U334" i="544"/>
  <c r="T334" i="544"/>
  <c r="S334" i="544"/>
  <c r="R334" i="544"/>
  <c r="Q334" i="544"/>
  <c r="P334" i="544"/>
  <c r="O334" i="544"/>
  <c r="R342" i="544" s="1"/>
  <c r="I334" i="544"/>
  <c r="G334" i="544"/>
  <c r="K333" i="544" a="1"/>
  <c r="K333" i="544" s="1"/>
  <c r="H333" i="544"/>
  <c r="K332" i="544" a="1"/>
  <c r="K332" i="544" s="1"/>
  <c r="H332" i="544"/>
  <c r="K331" i="544"/>
  <c r="K331" i="544" a="1"/>
  <c r="H331" i="544"/>
  <c r="V330" i="544"/>
  <c r="W330" i="544" s="1"/>
  <c r="N330" i="544"/>
  <c r="K330" i="544" a="1"/>
  <c r="K330" i="544" s="1"/>
  <c r="H330" i="544"/>
  <c r="D330" i="544"/>
  <c r="H329" i="544"/>
  <c r="K328" i="544" a="1"/>
  <c r="K328" i="544" s="1"/>
  <c r="H328" i="544"/>
  <c r="H327" i="544"/>
  <c r="V326" i="544"/>
  <c r="W326" i="544" s="1"/>
  <c r="N326" i="544"/>
  <c r="K326" i="544" a="1"/>
  <c r="K326" i="544" s="1"/>
  <c r="M326" i="544" s="1"/>
  <c r="J326" i="544" a="1"/>
  <c r="J326" i="544" s="1"/>
  <c r="H326" i="544"/>
  <c r="V325" i="544"/>
  <c r="W325" i="544" s="1"/>
  <c r="N325" i="544"/>
  <c r="K325" i="544" a="1"/>
  <c r="K325" i="544" s="1"/>
  <c r="M325" i="544" s="1"/>
  <c r="J325" i="544" a="1"/>
  <c r="J325" i="544" s="1"/>
  <c r="H325" i="544"/>
  <c r="H324" i="544"/>
  <c r="V323" i="544"/>
  <c r="W323" i="544" s="1"/>
  <c r="N323" i="544"/>
  <c r="K323" i="544"/>
  <c r="M323" i="544" s="1"/>
  <c r="K323" i="544" a="1"/>
  <c r="J323" i="544"/>
  <c r="J323" i="544" a="1"/>
  <c r="H323" i="544"/>
  <c r="V322" i="544"/>
  <c r="W322" i="544" s="1"/>
  <c r="N322" i="544"/>
  <c r="K322" i="544" a="1"/>
  <c r="K322" i="544" s="1"/>
  <c r="M322" i="544" s="1"/>
  <c r="J322" i="544" a="1"/>
  <c r="J322" i="544" s="1"/>
  <c r="H322" i="544"/>
  <c r="V321" i="544"/>
  <c r="W321" i="544" s="1"/>
  <c r="N321" i="544"/>
  <c r="K321" i="544" a="1"/>
  <c r="K321" i="544" s="1"/>
  <c r="M321" i="544" s="1"/>
  <c r="J321" i="544" a="1"/>
  <c r="J321" i="544" s="1"/>
  <c r="H321" i="544"/>
  <c r="V320" i="544"/>
  <c r="W320" i="544" s="1"/>
  <c r="N320" i="544"/>
  <c r="N334" i="544" s="1"/>
  <c r="K320" i="544" a="1"/>
  <c r="K320" i="544" s="1"/>
  <c r="J320" i="544" a="1"/>
  <c r="J320" i="544" s="1"/>
  <c r="H320" i="544"/>
  <c r="H334" i="544" s="1"/>
  <c r="AA319" i="544"/>
  <c r="Z319" i="544"/>
  <c r="Y319" i="544"/>
  <c r="X319" i="544"/>
  <c r="U319" i="544"/>
  <c r="T319" i="544"/>
  <c r="S319" i="544"/>
  <c r="Q319" i="544"/>
  <c r="P319" i="544"/>
  <c r="O319" i="544"/>
  <c r="I319" i="544"/>
  <c r="G319" i="544"/>
  <c r="V318" i="544"/>
  <c r="W318" i="544" s="1"/>
  <c r="N318" i="544"/>
  <c r="K318" i="544"/>
  <c r="M318" i="544" s="1"/>
  <c r="K318" i="544" a="1"/>
  <c r="J318" i="544"/>
  <c r="J318" i="544" a="1"/>
  <c r="H318" i="544"/>
  <c r="H316" i="544"/>
  <c r="H315" i="544"/>
  <c r="H314" i="544"/>
  <c r="W313" i="544"/>
  <c r="V313" i="544"/>
  <c r="N313" i="544"/>
  <c r="K313" i="544" a="1"/>
  <c r="K313" i="544" s="1"/>
  <c r="M313" i="544" s="1"/>
  <c r="J313" i="544" a="1"/>
  <c r="J313" i="544" s="1"/>
  <c r="H313" i="544"/>
  <c r="V312" i="544"/>
  <c r="W312" i="544" s="1"/>
  <c r="N312" i="544"/>
  <c r="K312" i="544"/>
  <c r="M312" i="544" s="1"/>
  <c r="K312" i="544" a="1"/>
  <c r="J312" i="544" a="1"/>
  <c r="J312" i="544" s="1"/>
  <c r="H312" i="544"/>
  <c r="W311" i="544"/>
  <c r="V311" i="544"/>
  <c r="N311" i="544"/>
  <c r="K311" i="544" a="1"/>
  <c r="K311" i="544" s="1"/>
  <c r="M311" i="544" s="1"/>
  <c r="J311" i="544" a="1"/>
  <c r="J311" i="544" s="1"/>
  <c r="H311" i="544"/>
  <c r="V310" i="544"/>
  <c r="W310" i="544" s="1"/>
  <c r="N310" i="544"/>
  <c r="K310" i="544" a="1"/>
  <c r="K310" i="544" s="1"/>
  <c r="M310" i="544" s="1"/>
  <c r="J310" i="544" a="1"/>
  <c r="J310" i="544" s="1"/>
  <c r="H310" i="544"/>
  <c r="V309" i="544"/>
  <c r="N309" i="544"/>
  <c r="K309" i="544" a="1"/>
  <c r="K309" i="544" s="1"/>
  <c r="M309" i="544" s="1"/>
  <c r="J309" i="544" a="1"/>
  <c r="J309" i="544" s="1"/>
  <c r="H309" i="544"/>
  <c r="AA308" i="544"/>
  <c r="Z308" i="544"/>
  <c r="Y308" i="544"/>
  <c r="X308" i="544"/>
  <c r="U308" i="544"/>
  <c r="T308" i="544"/>
  <c r="S308" i="544"/>
  <c r="Q308" i="544"/>
  <c r="P308" i="544"/>
  <c r="O308" i="544"/>
  <c r="I308" i="544"/>
  <c r="G308" i="544"/>
  <c r="V307" i="544"/>
  <c r="W307" i="544" s="1"/>
  <c r="N307" i="544"/>
  <c r="K307" i="544" a="1"/>
  <c r="K307" i="544" s="1"/>
  <c r="M307" i="544" s="1"/>
  <c r="J307" i="544" a="1"/>
  <c r="J307" i="544" s="1"/>
  <c r="H307" i="544"/>
  <c r="V306" i="544"/>
  <c r="W306" i="544" s="1"/>
  <c r="N306" i="544"/>
  <c r="K306" i="544" a="1"/>
  <c r="K306" i="544" s="1"/>
  <c r="M306" i="544" s="1"/>
  <c r="J306" i="544" a="1"/>
  <c r="J306" i="544" s="1"/>
  <c r="H306" i="544"/>
  <c r="V305" i="544"/>
  <c r="W305" i="544" s="1"/>
  <c r="N305" i="544"/>
  <c r="K305" i="544" a="1"/>
  <c r="K305" i="544" s="1"/>
  <c r="M305" i="544" s="1"/>
  <c r="J305" i="544" a="1"/>
  <c r="J305" i="544" s="1"/>
  <c r="H305" i="544"/>
  <c r="V304" i="544"/>
  <c r="W304" i="544" s="1"/>
  <c r="N304" i="544"/>
  <c r="K304" i="544"/>
  <c r="M304" i="544" s="1"/>
  <c r="K304" i="544" a="1"/>
  <c r="J304" i="544"/>
  <c r="J304" i="544" a="1"/>
  <c r="H304" i="544"/>
  <c r="V303" i="544"/>
  <c r="W303" i="544" s="1"/>
  <c r="N303" i="544"/>
  <c r="K303" i="544" a="1"/>
  <c r="K303" i="544" s="1"/>
  <c r="M303" i="544" s="1"/>
  <c r="J303" i="544" a="1"/>
  <c r="J303" i="544" s="1"/>
  <c r="H303" i="544"/>
  <c r="V302" i="544"/>
  <c r="W302" i="544" s="1"/>
  <c r="N302" i="544"/>
  <c r="K302" i="544" a="1"/>
  <c r="K302" i="544" s="1"/>
  <c r="M302" i="544" s="1"/>
  <c r="J302" i="544" a="1"/>
  <c r="J302" i="544" s="1"/>
  <c r="H302" i="544"/>
  <c r="V301" i="544"/>
  <c r="W301" i="544" s="1"/>
  <c r="N301" i="544"/>
  <c r="K301" i="544" a="1"/>
  <c r="K301" i="544" s="1"/>
  <c r="M301" i="544" s="1"/>
  <c r="J301" i="544" a="1"/>
  <c r="J301" i="544" s="1"/>
  <c r="H301" i="544"/>
  <c r="V300" i="544"/>
  <c r="W300" i="544" s="1"/>
  <c r="N300" i="544"/>
  <c r="K300" i="544"/>
  <c r="M300" i="544" s="1"/>
  <c r="K300" i="544" a="1"/>
  <c r="J300" i="544"/>
  <c r="J300" i="544" a="1"/>
  <c r="H300" i="544"/>
  <c r="V299" i="544"/>
  <c r="W299" i="544" s="1"/>
  <c r="N299" i="544"/>
  <c r="K299" i="544" a="1"/>
  <c r="K299" i="544" s="1"/>
  <c r="M299" i="544" s="1"/>
  <c r="J299" i="544" a="1"/>
  <c r="J299" i="544" s="1"/>
  <c r="H299" i="544"/>
  <c r="V298" i="544"/>
  <c r="W298" i="544" s="1"/>
  <c r="N298" i="544"/>
  <c r="K298" i="544" a="1"/>
  <c r="K298" i="544" s="1"/>
  <c r="M298" i="544" s="1"/>
  <c r="J298" i="544" a="1"/>
  <c r="J298" i="544" s="1"/>
  <c r="H298" i="544"/>
  <c r="V297" i="544"/>
  <c r="W297" i="544" s="1"/>
  <c r="N297" i="544"/>
  <c r="K297" i="544" a="1"/>
  <c r="K297" i="544" s="1"/>
  <c r="M297" i="544" s="1"/>
  <c r="J297" i="544" a="1"/>
  <c r="J297" i="544" s="1"/>
  <c r="H297" i="544"/>
  <c r="V296" i="544"/>
  <c r="W296" i="544" s="1"/>
  <c r="N296" i="544"/>
  <c r="K296" i="544"/>
  <c r="M296" i="544" s="1"/>
  <c r="K296" i="544" a="1"/>
  <c r="J296" i="544"/>
  <c r="J296" i="544" a="1"/>
  <c r="H296" i="544"/>
  <c r="V295" i="544"/>
  <c r="W295" i="544" s="1"/>
  <c r="N295" i="544"/>
  <c r="K295" i="544" a="1"/>
  <c r="K295" i="544" s="1"/>
  <c r="M295" i="544" s="1"/>
  <c r="J295" i="544" a="1"/>
  <c r="J295" i="544" s="1"/>
  <c r="H295" i="544"/>
  <c r="V294" i="544"/>
  <c r="W294" i="544" s="1"/>
  <c r="N294" i="544"/>
  <c r="K294" i="544" a="1"/>
  <c r="K294" i="544" s="1"/>
  <c r="M294" i="544" s="1"/>
  <c r="J294" i="544" a="1"/>
  <c r="J294" i="544" s="1"/>
  <c r="H294" i="544"/>
  <c r="V293" i="544"/>
  <c r="W293" i="544" s="1"/>
  <c r="N293" i="544"/>
  <c r="K293" i="544" a="1"/>
  <c r="K293" i="544" s="1"/>
  <c r="J293" i="544" a="1"/>
  <c r="J293" i="544" s="1"/>
  <c r="H293" i="544"/>
  <c r="AA292" i="544"/>
  <c r="Z292" i="544"/>
  <c r="Y292" i="544"/>
  <c r="X292" i="544"/>
  <c r="U292" i="544"/>
  <c r="T292" i="544"/>
  <c r="S292" i="544"/>
  <c r="R292" i="544"/>
  <c r="Q292" i="544"/>
  <c r="P292" i="544"/>
  <c r="O292" i="544"/>
  <c r="R339" i="544" s="1"/>
  <c r="I292" i="544"/>
  <c r="G292" i="544"/>
  <c r="V291" i="544"/>
  <c r="W291" i="544" s="1"/>
  <c r="N291" i="544"/>
  <c r="K291" i="544" a="1"/>
  <c r="K291" i="544" s="1"/>
  <c r="M291" i="544" s="1"/>
  <c r="J291" i="544" a="1"/>
  <c r="J291" i="544" s="1"/>
  <c r="H291" i="544"/>
  <c r="V290" i="544"/>
  <c r="W290" i="544" s="1"/>
  <c r="N290" i="544"/>
  <c r="K290" i="544" a="1"/>
  <c r="K290" i="544" s="1"/>
  <c r="M290" i="544" s="1"/>
  <c r="J290" i="544" a="1"/>
  <c r="J290" i="544" s="1"/>
  <c r="H290" i="544"/>
  <c r="V289" i="544"/>
  <c r="W289" i="544" s="1"/>
  <c r="N289" i="544"/>
  <c r="K289" i="544" a="1"/>
  <c r="K289" i="544" s="1"/>
  <c r="M289" i="544" s="1"/>
  <c r="J289" i="544" a="1"/>
  <c r="J289" i="544" s="1"/>
  <c r="H289" i="544"/>
  <c r="H288" i="544"/>
  <c r="H287" i="544"/>
  <c r="H286" i="544"/>
  <c r="V285" i="544"/>
  <c r="W285" i="544" s="1"/>
  <c r="N285" i="544"/>
  <c r="K285" i="544" a="1"/>
  <c r="K285" i="544" s="1"/>
  <c r="M285" i="544" s="1"/>
  <c r="H285" i="544"/>
  <c r="V284" i="544"/>
  <c r="W284" i="544" s="1"/>
  <c r="N284" i="544"/>
  <c r="K284" i="544" a="1"/>
  <c r="K284" i="544" s="1"/>
  <c r="M284" i="544" s="1"/>
  <c r="H284" i="544"/>
  <c r="N283" i="544"/>
  <c r="K283" i="544" a="1"/>
  <c r="K283" i="544" s="1"/>
  <c r="M283" i="544" s="1"/>
  <c r="H283" i="544"/>
  <c r="N282" i="544"/>
  <c r="K282" i="544" a="1"/>
  <c r="K282" i="544" s="1"/>
  <c r="M282" i="544" s="1"/>
  <c r="H282" i="544"/>
  <c r="N281" i="544"/>
  <c r="K281" i="544" a="1"/>
  <c r="K281" i="544" s="1"/>
  <c r="M281" i="544" s="1"/>
  <c r="H281" i="544"/>
  <c r="N280" i="544"/>
  <c r="K280" i="544" a="1"/>
  <c r="K280" i="544" s="1"/>
  <c r="M280" i="544" s="1"/>
  <c r="H280" i="544"/>
  <c r="N279" i="544"/>
  <c r="K279" i="544" a="1"/>
  <c r="K279" i="544" s="1"/>
  <c r="M279" i="544" s="1"/>
  <c r="H279" i="544"/>
  <c r="N278" i="544"/>
  <c r="K278" i="544" a="1"/>
  <c r="K278" i="544" s="1"/>
  <c r="M278" i="544" s="1"/>
  <c r="H278" i="544"/>
  <c r="V277" i="544"/>
  <c r="W277" i="544" s="1"/>
  <c r="N277" i="544"/>
  <c r="K277" i="544" a="1"/>
  <c r="K277" i="544" s="1"/>
  <c r="M277" i="544" s="1"/>
  <c r="J277" i="544" a="1"/>
  <c r="J277" i="544" s="1"/>
  <c r="H277" i="544"/>
  <c r="V276" i="544"/>
  <c r="W276" i="544" s="1"/>
  <c r="N276" i="544"/>
  <c r="K276" i="544"/>
  <c r="M276" i="544" s="1"/>
  <c r="K276" i="544" a="1"/>
  <c r="J276" i="544"/>
  <c r="J276" i="544" a="1"/>
  <c r="H276" i="544"/>
  <c r="V275" i="544"/>
  <c r="W275" i="544" s="1"/>
  <c r="N275" i="544"/>
  <c r="K275" i="544" a="1"/>
  <c r="K275" i="544" s="1"/>
  <c r="M275" i="544" s="1"/>
  <c r="J275" i="544" a="1"/>
  <c r="J275" i="544" s="1"/>
  <c r="H275" i="544"/>
  <c r="V274" i="544"/>
  <c r="W274" i="544" s="1"/>
  <c r="N274" i="544"/>
  <c r="K274" i="544" a="1"/>
  <c r="K274" i="544" s="1"/>
  <c r="M274" i="544" s="1"/>
  <c r="J274" i="544" a="1"/>
  <c r="J274" i="544" s="1"/>
  <c r="H274" i="544"/>
  <c r="V273" i="544"/>
  <c r="W273" i="544" s="1"/>
  <c r="N273" i="544"/>
  <c r="K273" i="544" a="1"/>
  <c r="K273" i="544" s="1"/>
  <c r="M273" i="544" s="1"/>
  <c r="J273" i="544" a="1"/>
  <c r="J273" i="544" s="1"/>
  <c r="H273" i="544"/>
  <c r="V272" i="544"/>
  <c r="W272" i="544" s="1"/>
  <c r="N272" i="544"/>
  <c r="K272" i="544"/>
  <c r="M272" i="544" s="1"/>
  <c r="K272" i="544" a="1"/>
  <c r="J272" i="544"/>
  <c r="J272" i="544" a="1"/>
  <c r="H272" i="544"/>
  <c r="V271" i="544"/>
  <c r="W271" i="544" s="1"/>
  <c r="N271" i="544"/>
  <c r="K271" i="544" a="1"/>
  <c r="K271" i="544" s="1"/>
  <c r="M271" i="544" s="1"/>
  <c r="J271" i="544" a="1"/>
  <c r="J271" i="544" s="1"/>
  <c r="H271" i="544"/>
  <c r="V270" i="544"/>
  <c r="W270" i="544" s="1"/>
  <c r="N270" i="544"/>
  <c r="K270" i="544"/>
  <c r="M270" i="544" s="1"/>
  <c r="K270" i="544" a="1"/>
  <c r="J270" i="544"/>
  <c r="J270" i="544" a="1"/>
  <c r="H270" i="544"/>
  <c r="V269" i="544"/>
  <c r="W269" i="544" s="1"/>
  <c r="N269" i="544"/>
  <c r="K269" i="544" a="1"/>
  <c r="K269" i="544" s="1"/>
  <c r="M269" i="544" s="1"/>
  <c r="J269" i="544" a="1"/>
  <c r="J269" i="544" s="1"/>
  <c r="H269" i="544"/>
  <c r="W268" i="544"/>
  <c r="V268" i="544"/>
  <c r="N268" i="544"/>
  <c r="K268" i="544" a="1"/>
  <c r="K268" i="544" s="1"/>
  <c r="M268" i="544" s="1"/>
  <c r="J268" i="544" a="1"/>
  <c r="J268" i="544" s="1"/>
  <c r="H268" i="544"/>
  <c r="V267" i="544"/>
  <c r="W267" i="544" s="1"/>
  <c r="N267" i="544"/>
  <c r="K267" i="544" a="1"/>
  <c r="K267" i="544" s="1"/>
  <c r="M267" i="544" s="1"/>
  <c r="J267" i="544" a="1"/>
  <c r="J267" i="544" s="1"/>
  <c r="H267" i="544"/>
  <c r="V266" i="544"/>
  <c r="W266" i="544" s="1"/>
  <c r="N266" i="544"/>
  <c r="K266" i="544"/>
  <c r="M266" i="544" s="1"/>
  <c r="K266" i="544" a="1"/>
  <c r="J266" i="544"/>
  <c r="J266" i="544" a="1"/>
  <c r="H266" i="544"/>
  <c r="N265" i="544"/>
  <c r="K265" i="544" a="1"/>
  <c r="K265" i="544" s="1"/>
  <c r="M265" i="544" s="1"/>
  <c r="H265" i="544"/>
  <c r="W264" i="544"/>
  <c r="V264" i="544"/>
  <c r="N264" i="544"/>
  <c r="K264" i="544" a="1"/>
  <c r="K264" i="544" s="1"/>
  <c r="M264" i="544" s="1"/>
  <c r="J264" i="544" a="1"/>
  <c r="J264" i="544" s="1"/>
  <c r="H264" i="544"/>
  <c r="V263" i="544"/>
  <c r="W263" i="544" s="1"/>
  <c r="N263" i="544"/>
  <c r="K263" i="544" a="1"/>
  <c r="K263" i="544" s="1"/>
  <c r="M263" i="544" s="1"/>
  <c r="J263" i="544" a="1"/>
  <c r="J263" i="544" s="1"/>
  <c r="H263" i="544"/>
  <c r="V262" i="544"/>
  <c r="W262" i="544" s="1"/>
  <c r="N262" i="544"/>
  <c r="K262" i="544"/>
  <c r="M262" i="544" s="1"/>
  <c r="K262" i="544" a="1"/>
  <c r="J262" i="544"/>
  <c r="J262" i="544" a="1"/>
  <c r="H262" i="544"/>
  <c r="V261" i="544"/>
  <c r="W261" i="544" s="1"/>
  <c r="N261" i="544"/>
  <c r="K261" i="544" a="1"/>
  <c r="K261" i="544" s="1"/>
  <c r="M261" i="544" s="1"/>
  <c r="J261" i="544" a="1"/>
  <c r="J261" i="544" s="1"/>
  <c r="H261" i="544"/>
  <c r="V260" i="544"/>
  <c r="W260" i="544" s="1"/>
  <c r="N260" i="544"/>
  <c r="K260" i="544" a="1"/>
  <c r="K260" i="544" s="1"/>
  <c r="M260" i="544" s="1"/>
  <c r="J260" i="544" a="1"/>
  <c r="J260" i="544" s="1"/>
  <c r="H260" i="544"/>
  <c r="V259" i="544"/>
  <c r="W259" i="544" s="1"/>
  <c r="N259" i="544"/>
  <c r="K259" i="544" a="1"/>
  <c r="K259" i="544" s="1"/>
  <c r="M259" i="544" s="1"/>
  <c r="J259" i="544" a="1"/>
  <c r="J259" i="544" s="1"/>
  <c r="H259" i="544"/>
  <c r="V258" i="544"/>
  <c r="N258" i="544"/>
  <c r="K258" i="544" a="1"/>
  <c r="K258" i="544" s="1"/>
  <c r="J258" i="544" a="1"/>
  <c r="J258" i="544" s="1"/>
  <c r="H258" i="544"/>
  <c r="AA257" i="544"/>
  <c r="Z257" i="544"/>
  <c r="Y257" i="544"/>
  <c r="X257" i="544"/>
  <c r="U257" i="544"/>
  <c r="T257" i="544"/>
  <c r="S257" i="544"/>
  <c r="R257" i="544"/>
  <c r="Q257" i="544"/>
  <c r="P257" i="544"/>
  <c r="O257" i="544"/>
  <c r="R338" i="544" s="1"/>
  <c r="I257" i="544"/>
  <c r="G257" i="544"/>
  <c r="H256" i="544"/>
  <c r="H255" i="544"/>
  <c r="H254" i="544"/>
  <c r="H253" i="544"/>
  <c r="H252" i="544"/>
  <c r="H251" i="544"/>
  <c r="K250" i="544" a="1"/>
  <c r="K250" i="544" s="1"/>
  <c r="M250" i="544" s="1"/>
  <c r="H250" i="544"/>
  <c r="K249" i="544" a="1"/>
  <c r="K249" i="544" s="1"/>
  <c r="M249" i="544" s="1"/>
  <c r="H249" i="544"/>
  <c r="K248" i="544" a="1"/>
  <c r="K248" i="544" s="1"/>
  <c r="M248" i="544" s="1"/>
  <c r="H248" i="544"/>
  <c r="K247" i="544" a="1"/>
  <c r="K247" i="544" s="1"/>
  <c r="M247" i="544" s="1"/>
  <c r="H247" i="544"/>
  <c r="V246" i="544"/>
  <c r="W246" i="544" s="1"/>
  <c r="N246" i="544"/>
  <c r="K246" i="544" a="1"/>
  <c r="K246" i="544" s="1"/>
  <c r="M246" i="544" s="1"/>
  <c r="J246" i="544" a="1"/>
  <c r="J246" i="544" s="1"/>
  <c r="H246" i="544"/>
  <c r="V245" i="544"/>
  <c r="W245" i="544" s="1"/>
  <c r="N245" i="544"/>
  <c r="K245" i="544" a="1"/>
  <c r="K245" i="544" s="1"/>
  <c r="M245" i="544" s="1"/>
  <c r="J245" i="544" a="1"/>
  <c r="J245" i="544" s="1"/>
  <c r="H245" i="544"/>
  <c r="V244" i="544"/>
  <c r="W244" i="544" s="1"/>
  <c r="N244" i="544"/>
  <c r="K244" i="544"/>
  <c r="M244" i="544" s="1"/>
  <c r="K244" i="544" a="1"/>
  <c r="J244" i="544"/>
  <c r="J244" i="544" a="1"/>
  <c r="H244" i="544"/>
  <c r="V243" i="544"/>
  <c r="W243" i="544" s="1"/>
  <c r="N243" i="544"/>
  <c r="K243" i="544" a="1"/>
  <c r="K243" i="544" s="1"/>
  <c r="M243" i="544" s="1"/>
  <c r="J243" i="544" a="1"/>
  <c r="J243" i="544" s="1"/>
  <c r="H243" i="544"/>
  <c r="M242" i="544"/>
  <c r="H242" i="544"/>
  <c r="V241" i="544"/>
  <c r="W241" i="544" s="1"/>
  <c r="N241" i="544"/>
  <c r="K241" i="544" a="1"/>
  <c r="K241" i="544" s="1"/>
  <c r="M241" i="544" s="1"/>
  <c r="J241" i="544" a="1"/>
  <c r="J241" i="544" s="1"/>
  <c r="H241" i="544"/>
  <c r="V240" i="544"/>
  <c r="W240" i="544" s="1"/>
  <c r="N240" i="544"/>
  <c r="K240" i="544" a="1"/>
  <c r="K240" i="544" s="1"/>
  <c r="M240" i="544" s="1"/>
  <c r="J240" i="544" a="1"/>
  <c r="J240" i="544" s="1"/>
  <c r="H240" i="544"/>
  <c r="K239" i="544" a="1"/>
  <c r="K239" i="544" s="1"/>
  <c r="M239" i="544" s="1"/>
  <c r="H239" i="544"/>
  <c r="H238" i="544"/>
  <c r="V237" i="544"/>
  <c r="W237" i="544" s="1"/>
  <c r="N237" i="544"/>
  <c r="K237" i="544" a="1"/>
  <c r="K237" i="544" s="1"/>
  <c r="M237" i="544" s="1"/>
  <c r="J237" i="544" a="1"/>
  <c r="J237" i="544" s="1"/>
  <c r="H237" i="544"/>
  <c r="V236" i="544"/>
  <c r="W236" i="544" s="1"/>
  <c r="N236" i="544"/>
  <c r="K236" i="544"/>
  <c r="M236" i="544" s="1"/>
  <c r="K236" i="544" a="1"/>
  <c r="J236" i="544"/>
  <c r="J236" i="544" a="1"/>
  <c r="H236" i="544"/>
  <c r="V235" i="544"/>
  <c r="W235" i="544" s="1"/>
  <c r="N235" i="544"/>
  <c r="K235" i="544" a="1"/>
  <c r="K235" i="544" s="1"/>
  <c r="M235" i="544" s="1"/>
  <c r="J235" i="544" a="1"/>
  <c r="J235" i="544" s="1"/>
  <c r="H235" i="544"/>
  <c r="V234" i="544"/>
  <c r="W234" i="544" s="1"/>
  <c r="N234" i="544"/>
  <c r="K234" i="544" a="1"/>
  <c r="K234" i="544" s="1"/>
  <c r="M234" i="544" s="1"/>
  <c r="J234" i="544" a="1"/>
  <c r="J234" i="544" s="1"/>
  <c r="H234" i="544"/>
  <c r="V233" i="544"/>
  <c r="W233" i="544" s="1"/>
  <c r="N233" i="544"/>
  <c r="K233" i="544" a="1"/>
  <c r="K233" i="544" s="1"/>
  <c r="M233" i="544" s="1"/>
  <c r="J233" i="544" a="1"/>
  <c r="J233" i="544" s="1"/>
  <c r="H233" i="544"/>
  <c r="V232" i="544"/>
  <c r="W232" i="544" s="1"/>
  <c r="N232" i="544"/>
  <c r="K232" i="544"/>
  <c r="M232" i="544" s="1"/>
  <c r="K232" i="544" a="1"/>
  <c r="J232" i="544"/>
  <c r="J232" i="544" a="1"/>
  <c r="H232" i="544"/>
  <c r="V231" i="544"/>
  <c r="W231" i="544" s="1"/>
  <c r="N231" i="544"/>
  <c r="K231" i="544" a="1"/>
  <c r="K231" i="544" s="1"/>
  <c r="M231" i="544" s="1"/>
  <c r="J231" i="544" a="1"/>
  <c r="J231" i="544" s="1"/>
  <c r="H231" i="544"/>
  <c r="V230" i="544"/>
  <c r="W230" i="544" s="1"/>
  <c r="N230" i="544"/>
  <c r="K230" i="544" a="1"/>
  <c r="K230" i="544" s="1"/>
  <c r="M230" i="544" s="1"/>
  <c r="J230" i="544" a="1"/>
  <c r="J230" i="544" s="1"/>
  <c r="H230" i="544"/>
  <c r="V229" i="544"/>
  <c r="W229" i="544" s="1"/>
  <c r="N229" i="544"/>
  <c r="K229" i="544" a="1"/>
  <c r="K229" i="544" s="1"/>
  <c r="M229" i="544" s="1"/>
  <c r="J229" i="544" a="1"/>
  <c r="J229" i="544" s="1"/>
  <c r="H229" i="544"/>
  <c r="V228" i="544"/>
  <c r="W228" i="544" s="1"/>
  <c r="N228" i="544"/>
  <c r="K228" i="544"/>
  <c r="M228" i="544" s="1"/>
  <c r="K228" i="544" a="1"/>
  <c r="J228" i="544"/>
  <c r="J228" i="544" a="1"/>
  <c r="H228" i="544"/>
  <c r="N227" i="544"/>
  <c r="K227" i="544" a="1"/>
  <c r="K227" i="544" s="1"/>
  <c r="M227" i="544" s="1"/>
  <c r="H227" i="544"/>
  <c r="N226" i="544"/>
  <c r="K226" i="544" a="1"/>
  <c r="K226" i="544" s="1"/>
  <c r="M226" i="544" s="1"/>
  <c r="H226" i="544"/>
  <c r="N225" i="544"/>
  <c r="K225" i="544" a="1"/>
  <c r="K225" i="544" s="1"/>
  <c r="M225" i="544" s="1"/>
  <c r="H225" i="544"/>
  <c r="N224" i="544"/>
  <c r="K224" i="544"/>
  <c r="M224" i="544" s="1"/>
  <c r="K224" i="544" a="1"/>
  <c r="H224" i="544"/>
  <c r="N223" i="544"/>
  <c r="K223" i="544" a="1"/>
  <c r="K223" i="544" s="1"/>
  <c r="M223" i="544" s="1"/>
  <c r="H223" i="544"/>
  <c r="N222" i="544"/>
  <c r="K222" i="544" a="1"/>
  <c r="K222" i="544" s="1"/>
  <c r="M222" i="544" s="1"/>
  <c r="H222" i="544"/>
  <c r="N221" i="544"/>
  <c r="K221" i="544" a="1"/>
  <c r="K221" i="544" s="1"/>
  <c r="M221" i="544" s="1"/>
  <c r="H221" i="544"/>
  <c r="N220" i="544"/>
  <c r="K220" i="544"/>
  <c r="M220" i="544" s="1"/>
  <c r="K220" i="544" a="1"/>
  <c r="H220" i="544"/>
  <c r="V219" i="544"/>
  <c r="W219" i="544" s="1"/>
  <c r="N219" i="544"/>
  <c r="K219" i="544" a="1"/>
  <c r="K219" i="544" s="1"/>
  <c r="M219" i="544" s="1"/>
  <c r="J219" i="544" a="1"/>
  <c r="J219" i="544" s="1"/>
  <c r="H219" i="544"/>
  <c r="V218" i="544"/>
  <c r="W218" i="544" s="1"/>
  <c r="N218" i="544"/>
  <c r="K218" i="544" a="1"/>
  <c r="K218" i="544" s="1"/>
  <c r="M218" i="544" s="1"/>
  <c r="J218" i="544" a="1"/>
  <c r="J218" i="544" s="1"/>
  <c r="H218" i="544"/>
  <c r="V217" i="544"/>
  <c r="W217" i="544" s="1"/>
  <c r="N217" i="544"/>
  <c r="K217" i="544" a="1"/>
  <c r="K217" i="544" s="1"/>
  <c r="M217" i="544" s="1"/>
  <c r="J217" i="544" a="1"/>
  <c r="J217" i="544" s="1"/>
  <c r="H217" i="544"/>
  <c r="V216" i="544"/>
  <c r="W216" i="544" s="1"/>
  <c r="N216" i="544"/>
  <c r="K216" i="544"/>
  <c r="M216" i="544" s="1"/>
  <c r="K216" i="544" a="1"/>
  <c r="J216" i="544"/>
  <c r="J216" i="544" a="1"/>
  <c r="H216" i="544"/>
  <c r="V215" i="544"/>
  <c r="W215" i="544" s="1"/>
  <c r="N215" i="544"/>
  <c r="K215" i="544" a="1"/>
  <c r="K215" i="544" s="1"/>
  <c r="M215" i="544" s="1"/>
  <c r="J215" i="544" a="1"/>
  <c r="J215" i="544" s="1"/>
  <c r="H215" i="544"/>
  <c r="V214" i="544"/>
  <c r="W214" i="544" s="1"/>
  <c r="N214" i="544"/>
  <c r="K214" i="544" a="1"/>
  <c r="K214" i="544" s="1"/>
  <c r="M214" i="544" s="1"/>
  <c r="J214" i="544" a="1"/>
  <c r="J214" i="544" s="1"/>
  <c r="H214" i="544"/>
  <c r="V213" i="544"/>
  <c r="W213" i="544" s="1"/>
  <c r="N213" i="544"/>
  <c r="K213" i="544" a="1"/>
  <c r="K213" i="544" s="1"/>
  <c r="M213" i="544" s="1"/>
  <c r="J213" i="544" a="1"/>
  <c r="J213" i="544" s="1"/>
  <c r="H213" i="544"/>
  <c r="V212" i="544"/>
  <c r="W212" i="544" s="1"/>
  <c r="N212" i="544"/>
  <c r="K212" i="544"/>
  <c r="M212" i="544" s="1"/>
  <c r="K212" i="544" a="1"/>
  <c r="J212" i="544"/>
  <c r="J212" i="544" a="1"/>
  <c r="H212" i="544"/>
  <c r="V211" i="544"/>
  <c r="W211" i="544" s="1"/>
  <c r="N211" i="544"/>
  <c r="K211" i="544" a="1"/>
  <c r="K211" i="544" s="1"/>
  <c r="M211" i="544" s="1"/>
  <c r="J211" i="544" a="1"/>
  <c r="J211" i="544" s="1"/>
  <c r="H211" i="544"/>
  <c r="V210" i="544"/>
  <c r="W210" i="544" s="1"/>
  <c r="N210" i="544"/>
  <c r="K210" i="544" a="1"/>
  <c r="K210" i="544" s="1"/>
  <c r="M210" i="544" s="1"/>
  <c r="J210" i="544" a="1"/>
  <c r="J210" i="544" s="1"/>
  <c r="H210" i="544"/>
  <c r="V209" i="544"/>
  <c r="W209" i="544" s="1"/>
  <c r="N209" i="544"/>
  <c r="K209" i="544" a="1"/>
  <c r="K209" i="544" s="1"/>
  <c r="M209" i="544" s="1"/>
  <c r="H209" i="544"/>
  <c r="V208" i="544"/>
  <c r="W208" i="544" s="1"/>
  <c r="N208" i="544"/>
  <c r="K208" i="544"/>
  <c r="M208" i="544" s="1"/>
  <c r="K208" i="544" a="1"/>
  <c r="H208" i="544"/>
  <c r="H207" i="544"/>
  <c r="H206" i="544"/>
  <c r="H205" i="544"/>
  <c r="W204" i="544"/>
  <c r="V204" i="544"/>
  <c r="N204" i="544"/>
  <c r="H204" i="544"/>
  <c r="V203" i="544"/>
  <c r="W203" i="544" s="1"/>
  <c r="N203" i="544"/>
  <c r="H203" i="544"/>
  <c r="V202" i="544"/>
  <c r="W202" i="544" s="1"/>
  <c r="N202" i="544"/>
  <c r="H202" i="544"/>
  <c r="H201" i="544"/>
  <c r="V200" i="544"/>
  <c r="N200" i="544"/>
  <c r="K200" i="544" a="1"/>
  <c r="K200" i="544" s="1"/>
  <c r="J200" i="544" a="1"/>
  <c r="J200" i="544" s="1"/>
  <c r="H200" i="544"/>
  <c r="AA199" i="544"/>
  <c r="AA335" i="544" s="1"/>
  <c r="Z199" i="544"/>
  <c r="Z335" i="544" s="1"/>
  <c r="Y199" i="544"/>
  <c r="Y335" i="544" s="1"/>
  <c r="X199" i="544"/>
  <c r="X335" i="544" s="1"/>
  <c r="U199" i="544"/>
  <c r="U335" i="544" s="1"/>
  <c r="T199" i="544"/>
  <c r="T335" i="544" s="1"/>
  <c r="S199" i="544"/>
  <c r="S335" i="544" s="1"/>
  <c r="R199" i="544"/>
  <c r="R335" i="544" s="1"/>
  <c r="Q199" i="544"/>
  <c r="Q335" i="544" s="1"/>
  <c r="P199" i="544"/>
  <c r="O199" i="544"/>
  <c r="I335" i="544"/>
  <c r="B343" i="544" s="1"/>
  <c r="G199" i="544"/>
  <c r="G335" i="544" s="1"/>
  <c r="V198" i="544"/>
  <c r="W198" i="544" s="1"/>
  <c r="N198" i="544"/>
  <c r="K198" i="544" a="1"/>
  <c r="K198" i="544" s="1"/>
  <c r="M198" i="544" s="1"/>
  <c r="J198" i="544" a="1"/>
  <c r="J198" i="544" s="1"/>
  <c r="H198" i="544"/>
  <c r="V197" i="544"/>
  <c r="W197" i="544" s="1"/>
  <c r="N197" i="544"/>
  <c r="K197" i="544" a="1"/>
  <c r="K197" i="544" s="1"/>
  <c r="M197" i="544" s="1"/>
  <c r="J197" i="544" a="1"/>
  <c r="J197" i="544" s="1"/>
  <c r="H197" i="544"/>
  <c r="K196" i="544"/>
  <c r="M196" i="544" s="1"/>
  <c r="K196" i="544" a="1"/>
  <c r="H196" i="544"/>
  <c r="K195" i="544" a="1"/>
  <c r="K195" i="544" s="1"/>
  <c r="M195" i="544" s="1"/>
  <c r="H195" i="544"/>
  <c r="K194" i="544"/>
  <c r="M194" i="544" s="1"/>
  <c r="K194" i="544" a="1"/>
  <c r="H194" i="544"/>
  <c r="K193" i="544" a="1"/>
  <c r="K193" i="544" s="1"/>
  <c r="M193" i="544" s="1"/>
  <c r="H193" i="544"/>
  <c r="V192" i="544"/>
  <c r="W192" i="544" s="1"/>
  <c r="N192" i="544"/>
  <c r="K192" i="544" a="1"/>
  <c r="K192" i="544" s="1"/>
  <c r="M192" i="544" s="1"/>
  <c r="J192" i="544" a="1"/>
  <c r="J192" i="544" s="1"/>
  <c r="H192" i="544"/>
  <c r="V191" i="544"/>
  <c r="W191" i="544" s="1"/>
  <c r="N191" i="544"/>
  <c r="K191" i="544"/>
  <c r="M191" i="544" s="1"/>
  <c r="K191" i="544" a="1"/>
  <c r="J191" i="544"/>
  <c r="J191" i="544" a="1"/>
  <c r="H191" i="544"/>
  <c r="V190" i="544"/>
  <c r="W190" i="544" s="1"/>
  <c r="N190" i="544"/>
  <c r="K190" i="544" a="1"/>
  <c r="K190" i="544" s="1"/>
  <c r="M190" i="544" s="1"/>
  <c r="J190" i="544" a="1"/>
  <c r="J190" i="544" s="1"/>
  <c r="H190" i="544"/>
  <c r="N189" i="544"/>
  <c r="K189" i="544"/>
  <c r="M189" i="544" s="1"/>
  <c r="K189" i="544" a="1"/>
  <c r="J189" i="544"/>
  <c r="J189" i="544" a="1"/>
  <c r="H189" i="544"/>
  <c r="N188" i="544"/>
  <c r="K188" i="544" a="1"/>
  <c r="K188" i="544" s="1"/>
  <c r="M188" i="544" s="1"/>
  <c r="J188" i="544" a="1"/>
  <c r="J188" i="544" s="1"/>
  <c r="H188" i="544"/>
  <c r="V187" i="544"/>
  <c r="W187" i="544" s="1"/>
  <c r="N187" i="544"/>
  <c r="K187" i="544"/>
  <c r="M187" i="544" s="1"/>
  <c r="K187" i="544" a="1"/>
  <c r="J187" i="544"/>
  <c r="J187" i="544" a="1"/>
  <c r="H187" i="544"/>
  <c r="V186" i="544"/>
  <c r="W186" i="544" s="1"/>
  <c r="N186" i="544"/>
  <c r="K186" i="544" a="1"/>
  <c r="K186" i="544" s="1"/>
  <c r="M186" i="544" s="1"/>
  <c r="J186" i="544" a="1"/>
  <c r="J186" i="544" s="1"/>
  <c r="H186" i="544"/>
  <c r="N185" i="544"/>
  <c r="K185" i="544"/>
  <c r="M185" i="544" s="1"/>
  <c r="K185" i="544" a="1"/>
  <c r="H185" i="544"/>
  <c r="N184" i="544"/>
  <c r="K184" i="544" a="1"/>
  <c r="K184" i="544" s="1"/>
  <c r="M184" i="544" s="1"/>
  <c r="H184" i="544"/>
  <c r="W183" i="544"/>
  <c r="V183" i="544"/>
  <c r="N183" i="544"/>
  <c r="K183" i="544" a="1"/>
  <c r="K183" i="544" s="1"/>
  <c r="M183" i="544" s="1"/>
  <c r="J183" i="544" a="1"/>
  <c r="J183" i="544" s="1"/>
  <c r="H183" i="544"/>
  <c r="V182" i="544"/>
  <c r="W182" i="544" s="1"/>
  <c r="N182" i="544"/>
  <c r="K182" i="544" a="1"/>
  <c r="K182" i="544" s="1"/>
  <c r="M182" i="544" s="1"/>
  <c r="J182" i="544" a="1"/>
  <c r="J182" i="544" s="1"/>
  <c r="H182" i="544"/>
  <c r="V181" i="544"/>
  <c r="W181" i="544" s="1"/>
  <c r="N181" i="544"/>
  <c r="K181" i="544" a="1"/>
  <c r="K181" i="544" s="1"/>
  <c r="M181" i="544" s="1"/>
  <c r="J181" i="544" a="1"/>
  <c r="J181" i="544" s="1"/>
  <c r="H181" i="544"/>
  <c r="V180" i="544"/>
  <c r="W180" i="544" s="1"/>
  <c r="N180" i="544"/>
  <c r="K180" i="544" a="1"/>
  <c r="K180" i="544" s="1"/>
  <c r="M180" i="544" s="1"/>
  <c r="J180" i="544" a="1"/>
  <c r="J180" i="544" s="1"/>
  <c r="H180" i="544"/>
  <c r="V179" i="544"/>
  <c r="W179" i="544" s="1"/>
  <c r="N179" i="544"/>
  <c r="K179" i="544"/>
  <c r="M179" i="544" s="1"/>
  <c r="K179" i="544" a="1"/>
  <c r="J179" i="544"/>
  <c r="J179" i="544" a="1"/>
  <c r="H179" i="544"/>
  <c r="V178" i="544"/>
  <c r="N178" i="544"/>
  <c r="N199" i="544" s="1"/>
  <c r="K178" i="544" a="1"/>
  <c r="K178" i="544" s="1"/>
  <c r="J178" i="544" a="1"/>
  <c r="J178" i="544" s="1"/>
  <c r="H178" i="544"/>
  <c r="X171" i="544"/>
  <c r="Q529" i="544" s="1"/>
  <c r="X170" i="544"/>
  <c r="Q528" i="544" s="1"/>
  <c r="G170" i="544"/>
  <c r="C170" i="544"/>
  <c r="X169" i="544"/>
  <c r="Q527" i="544" s="1"/>
  <c r="I169" i="544"/>
  <c r="E169" i="544"/>
  <c r="K169" i="544" s="1"/>
  <c r="M169" i="544" s="1"/>
  <c r="I168" i="544"/>
  <c r="E168" i="544"/>
  <c r="K168" i="544" s="1"/>
  <c r="M168" i="544" s="1"/>
  <c r="I167" i="544"/>
  <c r="E167" i="544"/>
  <c r="K167" i="544" s="1"/>
  <c r="M167" i="544" s="1"/>
  <c r="X166" i="544"/>
  <c r="Q524" i="544" s="1"/>
  <c r="I166" i="544"/>
  <c r="I170" i="544" s="1"/>
  <c r="E166" i="544"/>
  <c r="E170" i="544" s="1"/>
  <c r="AA163" i="544"/>
  <c r="Z163" i="544"/>
  <c r="Y163" i="544"/>
  <c r="X163" i="544"/>
  <c r="U163" i="544"/>
  <c r="T163" i="544"/>
  <c r="S163" i="544"/>
  <c r="R163" i="544"/>
  <c r="Q163" i="544"/>
  <c r="P163" i="544"/>
  <c r="O163" i="544"/>
  <c r="R171" i="544" s="1"/>
  <c r="I163" i="544"/>
  <c r="G163" i="544"/>
  <c r="C529" i="544" s="1"/>
  <c r="H162" i="544"/>
  <c r="H161" i="544"/>
  <c r="H160" i="544"/>
  <c r="V159" i="544"/>
  <c r="W159" i="544" s="1"/>
  <c r="N159" i="544"/>
  <c r="K159" i="544"/>
  <c r="K159" i="544" a="1"/>
  <c r="J159" i="544" a="1"/>
  <c r="J159" i="544" s="1"/>
  <c r="H159" i="544"/>
  <c r="D159" i="544"/>
  <c r="V158" i="544"/>
  <c r="W158" i="544" s="1"/>
  <c r="N158" i="544"/>
  <c r="K158" i="544" a="1"/>
  <c r="K158" i="544" s="1"/>
  <c r="M158" i="544" s="1"/>
  <c r="J158" i="544" a="1"/>
  <c r="J158" i="544" s="1"/>
  <c r="H158" i="544"/>
  <c r="H157" i="544"/>
  <c r="H156" i="544"/>
  <c r="V155" i="544"/>
  <c r="W155" i="544" s="1"/>
  <c r="N155" i="544"/>
  <c r="K155" i="544" a="1"/>
  <c r="K155" i="544" s="1"/>
  <c r="M155" i="544" s="1"/>
  <c r="J155" i="544" a="1"/>
  <c r="J155" i="544" s="1"/>
  <c r="H155" i="544"/>
  <c r="V154" i="544"/>
  <c r="W154" i="544" s="1"/>
  <c r="N154" i="544"/>
  <c r="K154" i="544"/>
  <c r="M154" i="544" s="1"/>
  <c r="K154" i="544" a="1"/>
  <c r="J154" i="544"/>
  <c r="J154" i="544" a="1"/>
  <c r="H154" i="544"/>
  <c r="H153" i="544"/>
  <c r="V152" i="544"/>
  <c r="W152" i="544" s="1"/>
  <c r="N152" i="544"/>
  <c r="K152" i="544" a="1"/>
  <c r="K152" i="544" s="1"/>
  <c r="M152" i="544" s="1"/>
  <c r="J152" i="544" a="1"/>
  <c r="J152" i="544" s="1"/>
  <c r="H152" i="544"/>
  <c r="V151" i="544"/>
  <c r="W151" i="544" s="1"/>
  <c r="N151" i="544"/>
  <c r="K151" i="544" a="1"/>
  <c r="K151" i="544" s="1"/>
  <c r="M151" i="544" s="1"/>
  <c r="J151" i="544" a="1"/>
  <c r="J151" i="544" s="1"/>
  <c r="H151" i="544"/>
  <c r="V150" i="544"/>
  <c r="W150" i="544" s="1"/>
  <c r="N150" i="544"/>
  <c r="K150" i="544"/>
  <c r="M150" i="544" s="1"/>
  <c r="K150" i="544" a="1"/>
  <c r="J150" i="544"/>
  <c r="J150" i="544" a="1"/>
  <c r="H150" i="544"/>
  <c r="V149" i="544"/>
  <c r="W149" i="544" s="1"/>
  <c r="N149" i="544"/>
  <c r="N163" i="544" s="1"/>
  <c r="K149" i="544" a="1"/>
  <c r="K149" i="544" s="1"/>
  <c r="J149" i="544" a="1"/>
  <c r="J149" i="544" s="1"/>
  <c r="H149" i="544"/>
  <c r="AA148" i="544"/>
  <c r="Z148" i="544"/>
  <c r="Y148" i="544"/>
  <c r="X148" i="544"/>
  <c r="U148" i="544"/>
  <c r="T148" i="544"/>
  <c r="S148" i="544"/>
  <c r="Q148" i="544"/>
  <c r="P148" i="544"/>
  <c r="O148" i="544"/>
  <c r="I148" i="544"/>
  <c r="G148" i="544"/>
  <c r="C528" i="544" s="1"/>
  <c r="V147" i="544"/>
  <c r="W147" i="544" s="1"/>
  <c r="N147" i="544"/>
  <c r="K147" i="544" a="1"/>
  <c r="K147" i="544" s="1"/>
  <c r="M147" i="544" s="1"/>
  <c r="J147" i="544" a="1"/>
  <c r="J147" i="544" s="1"/>
  <c r="H147" i="544"/>
  <c r="K145" i="544" a="1"/>
  <c r="K145" i="544" s="1"/>
  <c r="H145" i="544"/>
  <c r="K144" i="544" a="1"/>
  <c r="K144" i="544" s="1"/>
  <c r="H144" i="544"/>
  <c r="K143" i="544" a="1"/>
  <c r="K143" i="544" s="1"/>
  <c r="H143" i="544"/>
  <c r="V142" i="544"/>
  <c r="W142" i="544" s="1"/>
  <c r="N142" i="544"/>
  <c r="K142" i="544" a="1"/>
  <c r="K142" i="544" s="1"/>
  <c r="M142" i="544" s="1"/>
  <c r="J142" i="544" a="1"/>
  <c r="J142" i="544" s="1"/>
  <c r="H142" i="544"/>
  <c r="V141" i="544"/>
  <c r="W141" i="544" s="1"/>
  <c r="N141" i="544"/>
  <c r="K141" i="544" a="1"/>
  <c r="K141" i="544" s="1"/>
  <c r="M141" i="544" s="1"/>
  <c r="J141" i="544" a="1"/>
  <c r="J141" i="544" s="1"/>
  <c r="H141" i="544"/>
  <c r="V140" i="544"/>
  <c r="W140" i="544" s="1"/>
  <c r="N140" i="544"/>
  <c r="K140" i="544" a="1"/>
  <c r="K140" i="544" s="1"/>
  <c r="M140" i="544" s="1"/>
  <c r="J140" i="544" a="1"/>
  <c r="J140" i="544" s="1"/>
  <c r="H140" i="544"/>
  <c r="V139" i="544"/>
  <c r="W139" i="544" s="1"/>
  <c r="N139" i="544"/>
  <c r="K139" i="544"/>
  <c r="M139" i="544" s="1"/>
  <c r="K139" i="544" a="1"/>
  <c r="J139" i="544" a="1"/>
  <c r="J139" i="544" s="1"/>
  <c r="H139" i="544"/>
  <c r="V138" i="544"/>
  <c r="V148" i="544" s="1"/>
  <c r="W148" i="544" s="1"/>
  <c r="N138" i="544"/>
  <c r="N148" i="544" s="1"/>
  <c r="K138" i="544" a="1"/>
  <c r="K138" i="544" s="1"/>
  <c r="M138" i="544" s="1"/>
  <c r="J138" i="544" a="1"/>
  <c r="J138" i="544" s="1"/>
  <c r="H138" i="544"/>
  <c r="AA137" i="544"/>
  <c r="Z137" i="544"/>
  <c r="Y137" i="544"/>
  <c r="X137" i="544"/>
  <c r="U137" i="544"/>
  <c r="T137" i="544"/>
  <c r="S137" i="544"/>
  <c r="Q137" i="544"/>
  <c r="P137" i="544"/>
  <c r="O137" i="544"/>
  <c r="R169" i="544" s="1"/>
  <c r="I137" i="544"/>
  <c r="G137" i="544"/>
  <c r="C527" i="544" s="1"/>
  <c r="V136" i="544"/>
  <c r="W136" i="544" s="1"/>
  <c r="N136" i="544"/>
  <c r="K136" i="544" a="1"/>
  <c r="K136" i="544" s="1"/>
  <c r="M136" i="544" s="1"/>
  <c r="J136" i="544" a="1"/>
  <c r="J136" i="544" s="1"/>
  <c r="H136" i="544"/>
  <c r="V135" i="544"/>
  <c r="W135" i="544" s="1"/>
  <c r="N135" i="544"/>
  <c r="K135" i="544"/>
  <c r="M135" i="544" s="1"/>
  <c r="K135" i="544" a="1"/>
  <c r="J135" i="544" a="1"/>
  <c r="J135" i="544" s="1"/>
  <c r="H135" i="544"/>
  <c r="V134" i="544"/>
  <c r="W134" i="544" s="1"/>
  <c r="N134" i="544"/>
  <c r="K134" i="544" a="1"/>
  <c r="K134" i="544" s="1"/>
  <c r="M134" i="544" s="1"/>
  <c r="J134" i="544" a="1"/>
  <c r="J134" i="544" s="1"/>
  <c r="H134" i="544"/>
  <c r="V133" i="544"/>
  <c r="W133" i="544" s="1"/>
  <c r="N133" i="544"/>
  <c r="K133" i="544"/>
  <c r="M133" i="544" s="1"/>
  <c r="K133" i="544" a="1"/>
  <c r="J133" i="544"/>
  <c r="J133" i="544" a="1"/>
  <c r="H133" i="544"/>
  <c r="V132" i="544"/>
  <c r="W132" i="544" s="1"/>
  <c r="N132" i="544"/>
  <c r="K132" i="544" a="1"/>
  <c r="K132" i="544" s="1"/>
  <c r="M132" i="544" s="1"/>
  <c r="J132" i="544" a="1"/>
  <c r="J132" i="544" s="1"/>
  <c r="H132" i="544"/>
  <c r="V131" i="544"/>
  <c r="W131" i="544" s="1"/>
  <c r="N131" i="544"/>
  <c r="K131" i="544" a="1"/>
  <c r="K131" i="544" s="1"/>
  <c r="M131" i="544" s="1"/>
  <c r="J131" i="544" a="1"/>
  <c r="J131" i="544" s="1"/>
  <c r="H131" i="544"/>
  <c r="V130" i="544"/>
  <c r="W130" i="544" s="1"/>
  <c r="N130" i="544"/>
  <c r="K130" i="544" a="1"/>
  <c r="K130" i="544" s="1"/>
  <c r="M130" i="544" s="1"/>
  <c r="J130" i="544" a="1"/>
  <c r="J130" i="544" s="1"/>
  <c r="H130" i="544"/>
  <c r="V129" i="544"/>
  <c r="W129" i="544" s="1"/>
  <c r="N129" i="544"/>
  <c r="K129" i="544"/>
  <c r="M129" i="544" s="1"/>
  <c r="K129" i="544" a="1"/>
  <c r="J129" i="544"/>
  <c r="J129" i="544" a="1"/>
  <c r="H129" i="544"/>
  <c r="V128" i="544"/>
  <c r="W128" i="544" s="1"/>
  <c r="N128" i="544"/>
  <c r="K128" i="544" a="1"/>
  <c r="K128" i="544" s="1"/>
  <c r="M128" i="544" s="1"/>
  <c r="J128" i="544" a="1"/>
  <c r="J128" i="544" s="1"/>
  <c r="H128" i="544"/>
  <c r="V127" i="544"/>
  <c r="W127" i="544" s="1"/>
  <c r="N127" i="544"/>
  <c r="K127" i="544" a="1"/>
  <c r="K127" i="544" s="1"/>
  <c r="M127" i="544" s="1"/>
  <c r="J127" i="544" a="1"/>
  <c r="J127" i="544" s="1"/>
  <c r="H127" i="544"/>
  <c r="V126" i="544"/>
  <c r="W126" i="544" s="1"/>
  <c r="N126" i="544"/>
  <c r="K126" i="544" a="1"/>
  <c r="K126" i="544" s="1"/>
  <c r="M126" i="544" s="1"/>
  <c r="J126" i="544" a="1"/>
  <c r="J126" i="544" s="1"/>
  <c r="H126" i="544"/>
  <c r="V125" i="544"/>
  <c r="W125" i="544" s="1"/>
  <c r="N125" i="544"/>
  <c r="K125" i="544"/>
  <c r="M125" i="544" s="1"/>
  <c r="K125" i="544" a="1"/>
  <c r="J125" i="544"/>
  <c r="J125" i="544" a="1"/>
  <c r="H125" i="544"/>
  <c r="V124" i="544"/>
  <c r="W124" i="544" s="1"/>
  <c r="N124" i="544"/>
  <c r="K124" i="544" a="1"/>
  <c r="K124" i="544" s="1"/>
  <c r="M124" i="544" s="1"/>
  <c r="J124" i="544" a="1"/>
  <c r="J124" i="544" s="1"/>
  <c r="H124" i="544"/>
  <c r="V123" i="544"/>
  <c r="W123" i="544" s="1"/>
  <c r="N123" i="544"/>
  <c r="K123" i="544" a="1"/>
  <c r="K123" i="544" s="1"/>
  <c r="M123" i="544" s="1"/>
  <c r="J123" i="544" a="1"/>
  <c r="J123" i="544" s="1"/>
  <c r="H123" i="544"/>
  <c r="V122" i="544"/>
  <c r="W122" i="544" s="1"/>
  <c r="N122" i="544"/>
  <c r="K122" i="544" a="1"/>
  <c r="K122" i="544" s="1"/>
  <c r="J122" i="544" a="1"/>
  <c r="J122" i="544" s="1"/>
  <c r="H122" i="544"/>
  <c r="AA121" i="544"/>
  <c r="Z121" i="544"/>
  <c r="Y121" i="544"/>
  <c r="X121" i="544"/>
  <c r="U121" i="544"/>
  <c r="T121" i="544"/>
  <c r="S121" i="544"/>
  <c r="R121" i="544"/>
  <c r="Q121" i="544"/>
  <c r="P121" i="544"/>
  <c r="O121" i="544"/>
  <c r="R168" i="544" s="1"/>
  <c r="I121" i="544"/>
  <c r="G121" i="544"/>
  <c r="C526" i="544" s="1"/>
  <c r="V120" i="544"/>
  <c r="W120" i="544" s="1"/>
  <c r="N120" i="544"/>
  <c r="K120" i="544" a="1"/>
  <c r="K120" i="544" s="1"/>
  <c r="M120" i="544" s="1"/>
  <c r="J120" i="544" a="1"/>
  <c r="J120" i="544" s="1"/>
  <c r="H120" i="544"/>
  <c r="V119" i="544"/>
  <c r="W119" i="544" s="1"/>
  <c r="N119" i="544"/>
  <c r="K119" i="544"/>
  <c r="M119" i="544" s="1"/>
  <c r="K119" i="544" a="1"/>
  <c r="J119" i="544"/>
  <c r="J119" i="544" a="1"/>
  <c r="H119" i="544"/>
  <c r="V118" i="544"/>
  <c r="W118" i="544" s="1"/>
  <c r="N118" i="544"/>
  <c r="K118" i="544" a="1"/>
  <c r="K118" i="544" s="1"/>
  <c r="M118" i="544" s="1"/>
  <c r="J118" i="544" a="1"/>
  <c r="J118" i="544" s="1"/>
  <c r="H118" i="544"/>
  <c r="K117" i="544" a="1"/>
  <c r="K117" i="544" s="1"/>
  <c r="H117" i="544"/>
  <c r="K116" i="544" a="1"/>
  <c r="K116" i="544" s="1"/>
  <c r="H116" i="544"/>
  <c r="K115" i="544"/>
  <c r="K115" i="544" a="1"/>
  <c r="H115" i="544"/>
  <c r="V114" i="544"/>
  <c r="W114" i="544" s="1"/>
  <c r="N114" i="544"/>
  <c r="K114" i="544" a="1"/>
  <c r="K114" i="544" s="1"/>
  <c r="M114" i="544" s="1"/>
  <c r="H114" i="544"/>
  <c r="V113" i="544"/>
  <c r="W113" i="544" s="1"/>
  <c r="N113" i="544"/>
  <c r="K113" i="544" a="1"/>
  <c r="K113" i="544" s="1"/>
  <c r="M113" i="544" s="1"/>
  <c r="H113" i="544"/>
  <c r="N112" i="544"/>
  <c r="K112" i="544" a="1"/>
  <c r="K112" i="544" s="1"/>
  <c r="M112" i="544" s="1"/>
  <c r="H112" i="544"/>
  <c r="N111" i="544"/>
  <c r="K111" i="544" a="1"/>
  <c r="K111" i="544" s="1"/>
  <c r="M111" i="544" s="1"/>
  <c r="H111" i="544"/>
  <c r="N110" i="544"/>
  <c r="K110" i="544" a="1"/>
  <c r="K110" i="544" s="1"/>
  <c r="M110" i="544" s="1"/>
  <c r="H110" i="544"/>
  <c r="N109" i="544"/>
  <c r="K109" i="544" a="1"/>
  <c r="K109" i="544" s="1"/>
  <c r="M109" i="544" s="1"/>
  <c r="H109" i="544"/>
  <c r="N108" i="544"/>
  <c r="K108" i="544" a="1"/>
  <c r="K108" i="544" s="1"/>
  <c r="M108" i="544" s="1"/>
  <c r="H108" i="544"/>
  <c r="N107" i="544"/>
  <c r="K107" i="544" a="1"/>
  <c r="K107" i="544" s="1"/>
  <c r="M107" i="544" s="1"/>
  <c r="H107" i="544"/>
  <c r="V106" i="544"/>
  <c r="W106" i="544" s="1"/>
  <c r="N106" i="544"/>
  <c r="K106" i="544" a="1"/>
  <c r="K106" i="544" s="1"/>
  <c r="M106" i="544" s="1"/>
  <c r="H106" i="544"/>
  <c r="V105" i="544"/>
  <c r="W105" i="544" s="1"/>
  <c r="N105" i="544"/>
  <c r="K105" i="544"/>
  <c r="M105" i="544" s="1"/>
  <c r="K105" i="544" a="1"/>
  <c r="H105" i="544"/>
  <c r="V104" i="544"/>
  <c r="W104" i="544" s="1"/>
  <c r="N104" i="544"/>
  <c r="K104" i="544" a="1"/>
  <c r="K104" i="544" s="1"/>
  <c r="M104" i="544" s="1"/>
  <c r="H104" i="544"/>
  <c r="V103" i="544"/>
  <c r="W103" i="544" s="1"/>
  <c r="N103" i="544"/>
  <c r="K103" i="544"/>
  <c r="M103" i="544" s="1"/>
  <c r="K103" i="544" a="1"/>
  <c r="H103" i="544"/>
  <c r="V102" i="544"/>
  <c r="W102" i="544" s="1"/>
  <c r="N102" i="544"/>
  <c r="K102" i="544" a="1"/>
  <c r="K102" i="544" s="1"/>
  <c r="M102" i="544" s="1"/>
  <c r="H102" i="544"/>
  <c r="V101" i="544"/>
  <c r="W101" i="544" s="1"/>
  <c r="N101" i="544"/>
  <c r="K101" i="544"/>
  <c r="M101" i="544" s="1"/>
  <c r="K101" i="544" a="1"/>
  <c r="H101" i="544"/>
  <c r="V100" i="544"/>
  <c r="W100" i="544" s="1"/>
  <c r="N100" i="544"/>
  <c r="K100" i="544" a="1"/>
  <c r="K100" i="544" s="1"/>
  <c r="M100" i="544" s="1"/>
  <c r="H100" i="544"/>
  <c r="V99" i="544"/>
  <c r="W99" i="544" s="1"/>
  <c r="N99" i="544"/>
  <c r="K99" i="544" a="1"/>
  <c r="K99" i="544" s="1"/>
  <c r="M99" i="544" s="1"/>
  <c r="H99" i="544"/>
  <c r="V98" i="544"/>
  <c r="W98" i="544" s="1"/>
  <c r="N98" i="544"/>
  <c r="K98" i="544" a="1"/>
  <c r="K98" i="544" s="1"/>
  <c r="M98" i="544" s="1"/>
  <c r="H98" i="544"/>
  <c r="V97" i="544"/>
  <c r="W97" i="544" s="1"/>
  <c r="N97" i="544"/>
  <c r="K97" i="544"/>
  <c r="M97" i="544" s="1"/>
  <c r="K97" i="544" a="1"/>
  <c r="H97" i="544"/>
  <c r="V96" i="544"/>
  <c r="W96" i="544" s="1"/>
  <c r="N96" i="544"/>
  <c r="K96" i="544" a="1"/>
  <c r="K96" i="544" s="1"/>
  <c r="M96" i="544" s="1"/>
  <c r="H96" i="544"/>
  <c r="V95" i="544"/>
  <c r="W95" i="544" s="1"/>
  <c r="N95" i="544"/>
  <c r="K95" i="544" a="1"/>
  <c r="K95" i="544" s="1"/>
  <c r="M95" i="544" s="1"/>
  <c r="H95" i="544"/>
  <c r="K94" i="544" a="1"/>
  <c r="K94" i="544" s="1"/>
  <c r="M94" i="544" s="1"/>
  <c r="H94" i="544"/>
  <c r="V93" i="544"/>
  <c r="W93" i="544" s="1"/>
  <c r="N93" i="544"/>
  <c r="K93" i="544" a="1"/>
  <c r="K93" i="544" s="1"/>
  <c r="M93" i="544" s="1"/>
  <c r="J93" i="544" a="1"/>
  <c r="J93" i="544" s="1"/>
  <c r="H93" i="544"/>
  <c r="V92" i="544"/>
  <c r="W92" i="544" s="1"/>
  <c r="N92" i="544"/>
  <c r="K92" i="544"/>
  <c r="M92" i="544" s="1"/>
  <c r="K92" i="544" a="1"/>
  <c r="J92" i="544"/>
  <c r="J92" i="544" a="1"/>
  <c r="H92" i="544"/>
  <c r="V91" i="544"/>
  <c r="W91" i="544" s="1"/>
  <c r="N91" i="544"/>
  <c r="K91" i="544" a="1"/>
  <c r="K91" i="544" s="1"/>
  <c r="M91" i="544" s="1"/>
  <c r="J91" i="544" a="1"/>
  <c r="J91" i="544" s="1"/>
  <c r="H91" i="544"/>
  <c r="V90" i="544"/>
  <c r="W90" i="544" s="1"/>
  <c r="N90" i="544"/>
  <c r="K90" i="544" a="1"/>
  <c r="K90" i="544" s="1"/>
  <c r="M90" i="544" s="1"/>
  <c r="J90" i="544" a="1"/>
  <c r="J90" i="544" s="1"/>
  <c r="H90" i="544"/>
  <c r="V89" i="544"/>
  <c r="W89" i="544" s="1"/>
  <c r="N89" i="544"/>
  <c r="K89" i="544" a="1"/>
  <c r="K89" i="544" s="1"/>
  <c r="M89" i="544" s="1"/>
  <c r="J89" i="544" a="1"/>
  <c r="J89" i="544" s="1"/>
  <c r="H89" i="544"/>
  <c r="V88" i="544"/>
  <c r="W88" i="544" s="1"/>
  <c r="N88" i="544"/>
  <c r="K88" i="544"/>
  <c r="M88" i="544" s="1"/>
  <c r="K88" i="544" a="1"/>
  <c r="J88" i="544"/>
  <c r="J88" i="544" a="1"/>
  <c r="H88" i="544"/>
  <c r="V87" i="544"/>
  <c r="N87" i="544"/>
  <c r="K87" i="544" a="1"/>
  <c r="K87" i="544" s="1"/>
  <c r="J87" i="544" a="1"/>
  <c r="J87" i="544" s="1"/>
  <c r="H87" i="544"/>
  <c r="AA86" i="544"/>
  <c r="Z86" i="544"/>
  <c r="Y86" i="544"/>
  <c r="X86" i="544"/>
  <c r="U86" i="544"/>
  <c r="T86" i="544"/>
  <c r="S86" i="544"/>
  <c r="R86" i="544"/>
  <c r="Q86" i="544"/>
  <c r="P86" i="544"/>
  <c r="O86" i="544"/>
  <c r="R167" i="544" s="1"/>
  <c r="I86" i="544"/>
  <c r="G86" i="544"/>
  <c r="C525" i="544" s="1"/>
  <c r="K85" i="544" a="1"/>
  <c r="K85" i="544" s="1"/>
  <c r="H85" i="544"/>
  <c r="K84" i="544" a="1"/>
  <c r="K84" i="544" s="1"/>
  <c r="H84" i="544"/>
  <c r="K83" i="544" a="1"/>
  <c r="K83" i="544" s="1"/>
  <c r="H83" i="544"/>
  <c r="K82" i="544" a="1"/>
  <c r="K82" i="544" s="1"/>
  <c r="H82" i="544"/>
  <c r="K81" i="544" a="1"/>
  <c r="K81" i="544" s="1"/>
  <c r="H81" i="544"/>
  <c r="K80" i="544"/>
  <c r="K80" i="544" a="1"/>
  <c r="H80" i="544"/>
  <c r="K79" i="544" a="1"/>
  <c r="K79" i="544" s="1"/>
  <c r="M79" i="544" s="1"/>
  <c r="H79" i="544"/>
  <c r="K78" i="544" a="1"/>
  <c r="K78" i="544" s="1"/>
  <c r="M78" i="544" s="1"/>
  <c r="H78" i="544"/>
  <c r="K77" i="544" a="1"/>
  <c r="K77" i="544" s="1"/>
  <c r="M77" i="544" s="1"/>
  <c r="H77" i="544"/>
  <c r="K76" i="544" a="1"/>
  <c r="K76" i="544" s="1"/>
  <c r="M76" i="544" s="1"/>
  <c r="H76" i="544"/>
  <c r="V75" i="544"/>
  <c r="W75" i="544" s="1"/>
  <c r="N75" i="544"/>
  <c r="K75" i="544" a="1"/>
  <c r="K75" i="544" s="1"/>
  <c r="M75" i="544" s="1"/>
  <c r="J75" i="544" a="1"/>
  <c r="J75" i="544" s="1"/>
  <c r="H75" i="544"/>
  <c r="V74" i="544"/>
  <c r="W74" i="544" s="1"/>
  <c r="N74" i="544"/>
  <c r="K74" i="544"/>
  <c r="M74" i="544" s="1"/>
  <c r="K74" i="544" a="1"/>
  <c r="J74" i="544" a="1"/>
  <c r="J74" i="544" s="1"/>
  <c r="H74" i="544"/>
  <c r="V73" i="544"/>
  <c r="W73" i="544" s="1"/>
  <c r="N73" i="544"/>
  <c r="K73" i="544" a="1"/>
  <c r="K73" i="544" s="1"/>
  <c r="M73" i="544" s="1"/>
  <c r="J73" i="544" a="1"/>
  <c r="J73" i="544" s="1"/>
  <c r="H73" i="544"/>
  <c r="V72" i="544"/>
  <c r="W72" i="544" s="1"/>
  <c r="N72" i="544"/>
  <c r="K72" i="544"/>
  <c r="M72" i="544" s="1"/>
  <c r="K72" i="544" a="1"/>
  <c r="J72" i="544" a="1"/>
  <c r="J72" i="544" s="1"/>
  <c r="H72" i="544"/>
  <c r="H71" i="544"/>
  <c r="V70" i="544"/>
  <c r="W70" i="544" s="1"/>
  <c r="N70" i="544"/>
  <c r="K70" i="544" a="1"/>
  <c r="K70" i="544" s="1"/>
  <c r="M70" i="544" s="1"/>
  <c r="J70" i="544" a="1"/>
  <c r="J70" i="544" s="1"/>
  <c r="H70" i="544"/>
  <c r="V69" i="544"/>
  <c r="W69" i="544" s="1"/>
  <c r="N69" i="544"/>
  <c r="K69" i="544" a="1"/>
  <c r="K69" i="544" s="1"/>
  <c r="M69" i="544" s="1"/>
  <c r="J69" i="544" a="1"/>
  <c r="J69" i="544" s="1"/>
  <c r="H69" i="544"/>
  <c r="K68" i="544" a="1"/>
  <c r="K68" i="544" s="1"/>
  <c r="H68" i="544"/>
  <c r="K67" i="544"/>
  <c r="K67" i="544" a="1"/>
  <c r="H67" i="544"/>
  <c r="V66" i="544"/>
  <c r="W66" i="544" s="1"/>
  <c r="N66" i="544"/>
  <c r="K66" i="544" a="1"/>
  <c r="K66" i="544" s="1"/>
  <c r="M66" i="544" s="1"/>
  <c r="J66" i="544" a="1"/>
  <c r="J66" i="544" s="1"/>
  <c r="H66" i="544"/>
  <c r="V65" i="544"/>
  <c r="W65" i="544" s="1"/>
  <c r="N65" i="544"/>
  <c r="K65" i="544" a="1"/>
  <c r="K65" i="544" s="1"/>
  <c r="M65" i="544" s="1"/>
  <c r="J65" i="544" a="1"/>
  <c r="J65" i="544" s="1"/>
  <c r="H65" i="544"/>
  <c r="V64" i="544"/>
  <c r="W64" i="544" s="1"/>
  <c r="N64" i="544"/>
  <c r="K64" i="544" a="1"/>
  <c r="K64" i="544" s="1"/>
  <c r="M64" i="544" s="1"/>
  <c r="J64" i="544" a="1"/>
  <c r="J64" i="544" s="1"/>
  <c r="H64" i="544"/>
  <c r="V63" i="544"/>
  <c r="W63" i="544" s="1"/>
  <c r="N63" i="544"/>
  <c r="K63" i="544"/>
  <c r="M63" i="544" s="1"/>
  <c r="K63" i="544" a="1"/>
  <c r="J63" i="544"/>
  <c r="J63" i="544" a="1"/>
  <c r="H63" i="544"/>
  <c r="V62" i="544"/>
  <c r="W62" i="544" s="1"/>
  <c r="N62" i="544"/>
  <c r="K62" i="544" a="1"/>
  <c r="K62" i="544" s="1"/>
  <c r="M62" i="544" s="1"/>
  <c r="J62" i="544" a="1"/>
  <c r="J62" i="544" s="1"/>
  <c r="H62" i="544"/>
  <c r="V61" i="544"/>
  <c r="W61" i="544" s="1"/>
  <c r="N61" i="544"/>
  <c r="K61" i="544" a="1"/>
  <c r="K61" i="544" s="1"/>
  <c r="M61" i="544" s="1"/>
  <c r="J61" i="544" a="1"/>
  <c r="J61" i="544" s="1"/>
  <c r="H61" i="544"/>
  <c r="V60" i="544"/>
  <c r="W60" i="544" s="1"/>
  <c r="N60" i="544"/>
  <c r="K60" i="544" a="1"/>
  <c r="K60" i="544" s="1"/>
  <c r="M60" i="544" s="1"/>
  <c r="J60" i="544" a="1"/>
  <c r="J60" i="544" s="1"/>
  <c r="H60" i="544"/>
  <c r="V59" i="544"/>
  <c r="W59" i="544" s="1"/>
  <c r="N59" i="544"/>
  <c r="K59" i="544"/>
  <c r="M59" i="544" s="1"/>
  <c r="K59" i="544" a="1"/>
  <c r="J59" i="544"/>
  <c r="J59" i="544" a="1"/>
  <c r="H59" i="544"/>
  <c r="V58" i="544"/>
  <c r="W58" i="544" s="1"/>
  <c r="N58" i="544"/>
  <c r="K58" i="544" a="1"/>
  <c r="K58" i="544" s="1"/>
  <c r="M58" i="544" s="1"/>
  <c r="J58" i="544" a="1"/>
  <c r="J58" i="544" s="1"/>
  <c r="H58" i="544"/>
  <c r="V57" i="544"/>
  <c r="W57" i="544" s="1"/>
  <c r="N57" i="544"/>
  <c r="K57" i="544" a="1"/>
  <c r="K57" i="544" s="1"/>
  <c r="M57" i="544" s="1"/>
  <c r="J57" i="544" a="1"/>
  <c r="J57" i="544" s="1"/>
  <c r="H57" i="544"/>
  <c r="K56" i="544" a="1"/>
  <c r="K56" i="544" s="1"/>
  <c r="M56" i="544" s="1"/>
  <c r="H56" i="544"/>
  <c r="K55" i="544" a="1"/>
  <c r="K55" i="544" s="1"/>
  <c r="M55" i="544" s="1"/>
  <c r="H55" i="544"/>
  <c r="K54" i="544" a="1"/>
  <c r="K54" i="544" s="1"/>
  <c r="M54" i="544" s="1"/>
  <c r="H54" i="544"/>
  <c r="K53" i="544" a="1"/>
  <c r="K53" i="544" s="1"/>
  <c r="M53" i="544" s="1"/>
  <c r="H53" i="544"/>
  <c r="N52" i="544"/>
  <c r="K52" i="544" a="1"/>
  <c r="K52" i="544" s="1"/>
  <c r="M52" i="544" s="1"/>
  <c r="H52" i="544"/>
  <c r="N51" i="544"/>
  <c r="K51" i="544" a="1"/>
  <c r="K51" i="544" s="1"/>
  <c r="M51" i="544" s="1"/>
  <c r="H51" i="544"/>
  <c r="N50" i="544"/>
  <c r="K50" i="544"/>
  <c r="M50" i="544" s="1"/>
  <c r="K50" i="544" a="1"/>
  <c r="H50" i="544"/>
  <c r="N49" i="544"/>
  <c r="K49" i="544" a="1"/>
  <c r="K49" i="544" s="1"/>
  <c r="M49" i="544" s="1"/>
  <c r="H49" i="544"/>
  <c r="V48" i="544"/>
  <c r="W48" i="544" s="1"/>
  <c r="N48" i="544"/>
  <c r="K48" i="544" a="1"/>
  <c r="K48" i="544" s="1"/>
  <c r="M48" i="544" s="1"/>
  <c r="J48" i="544" a="1"/>
  <c r="J48" i="544" s="1"/>
  <c r="H48" i="544"/>
  <c r="V47" i="544"/>
  <c r="W47" i="544" s="1"/>
  <c r="N47" i="544"/>
  <c r="K47" i="544" a="1"/>
  <c r="K47" i="544" s="1"/>
  <c r="M47" i="544" s="1"/>
  <c r="J47" i="544" a="1"/>
  <c r="J47" i="544" s="1"/>
  <c r="H47" i="544"/>
  <c r="V46" i="544"/>
  <c r="W46" i="544" s="1"/>
  <c r="N46" i="544"/>
  <c r="K46" i="544" a="1"/>
  <c r="K46" i="544" s="1"/>
  <c r="M46" i="544" s="1"/>
  <c r="J46" i="544" a="1"/>
  <c r="J46" i="544" s="1"/>
  <c r="H46" i="544"/>
  <c r="V45" i="544"/>
  <c r="W45" i="544" s="1"/>
  <c r="N45" i="544"/>
  <c r="K45" i="544" a="1"/>
  <c r="K45" i="544" s="1"/>
  <c r="M45" i="544" s="1"/>
  <c r="J45" i="544" a="1"/>
  <c r="J45" i="544" s="1"/>
  <c r="H45" i="544"/>
  <c r="V44" i="544"/>
  <c r="W44" i="544" s="1"/>
  <c r="N44" i="544"/>
  <c r="K44" i="544"/>
  <c r="M44" i="544" s="1"/>
  <c r="K44" i="544" a="1"/>
  <c r="J44" i="544"/>
  <c r="J44" i="544" a="1"/>
  <c r="H44" i="544"/>
  <c r="V43" i="544"/>
  <c r="W43" i="544" s="1"/>
  <c r="N43" i="544"/>
  <c r="K43" i="544" a="1"/>
  <c r="K43" i="544" s="1"/>
  <c r="M43" i="544" s="1"/>
  <c r="J43" i="544" a="1"/>
  <c r="J43" i="544" s="1"/>
  <c r="H43" i="544"/>
  <c r="V42" i="544"/>
  <c r="W42" i="544" s="1"/>
  <c r="N42" i="544"/>
  <c r="K42" i="544" a="1"/>
  <c r="K42" i="544" s="1"/>
  <c r="M42" i="544" s="1"/>
  <c r="J42" i="544" a="1"/>
  <c r="J42" i="544" s="1"/>
  <c r="H42" i="544"/>
  <c r="V41" i="544"/>
  <c r="W41" i="544" s="1"/>
  <c r="N41" i="544"/>
  <c r="K41" i="544" a="1"/>
  <c r="K41" i="544" s="1"/>
  <c r="M41" i="544" s="1"/>
  <c r="J41" i="544" a="1"/>
  <c r="J41" i="544" s="1"/>
  <c r="H41" i="544"/>
  <c r="V40" i="544"/>
  <c r="W40" i="544" s="1"/>
  <c r="N40" i="544"/>
  <c r="K40" i="544"/>
  <c r="M40" i="544" s="1"/>
  <c r="K40" i="544" a="1"/>
  <c r="J40" i="544"/>
  <c r="J40" i="544" a="1"/>
  <c r="H40" i="544"/>
  <c r="V39" i="544"/>
  <c r="W39" i="544" s="1"/>
  <c r="N39" i="544"/>
  <c r="K39" i="544" a="1"/>
  <c r="K39" i="544" s="1"/>
  <c r="M39" i="544" s="1"/>
  <c r="J39" i="544" a="1"/>
  <c r="J39" i="544" s="1"/>
  <c r="H39" i="544"/>
  <c r="V38" i="544"/>
  <c r="W38" i="544" s="1"/>
  <c r="N38" i="544"/>
  <c r="K38" i="544" a="1"/>
  <c r="K38" i="544" s="1"/>
  <c r="M38" i="544" s="1"/>
  <c r="J38" i="544" a="1"/>
  <c r="J38" i="544" s="1"/>
  <c r="H38" i="544"/>
  <c r="V37" i="544"/>
  <c r="W37" i="544" s="1"/>
  <c r="N37" i="544"/>
  <c r="K37" i="544" a="1"/>
  <c r="K37" i="544" s="1"/>
  <c r="M37" i="544" s="1"/>
  <c r="J37" i="544" a="1"/>
  <c r="J37" i="544" s="1"/>
  <c r="H37" i="544"/>
  <c r="H36" i="544"/>
  <c r="H35" i="544"/>
  <c r="H34" i="544"/>
  <c r="V33" i="544"/>
  <c r="W33" i="544" s="1"/>
  <c r="N33" i="544"/>
  <c r="K33" i="544" a="1"/>
  <c r="K33" i="544" s="1"/>
  <c r="M33" i="544" s="1"/>
  <c r="J33" i="544" a="1"/>
  <c r="J33" i="544" s="1"/>
  <c r="H33" i="544"/>
  <c r="V32" i="544"/>
  <c r="W32" i="544" s="1"/>
  <c r="N32" i="544"/>
  <c r="K32" i="544"/>
  <c r="M32" i="544" s="1"/>
  <c r="K32" i="544" a="1"/>
  <c r="J32" i="544"/>
  <c r="J32" i="544" a="1"/>
  <c r="H32" i="544"/>
  <c r="V31" i="544"/>
  <c r="W31" i="544" s="1"/>
  <c r="N31" i="544"/>
  <c r="K31" i="544" a="1"/>
  <c r="K31" i="544" s="1"/>
  <c r="M31" i="544" s="1"/>
  <c r="J31" i="544" a="1"/>
  <c r="J31" i="544" s="1"/>
  <c r="H31" i="544"/>
  <c r="K30" i="544" a="1"/>
  <c r="K30" i="544" s="1"/>
  <c r="H30" i="544"/>
  <c r="V29" i="544"/>
  <c r="N29" i="544"/>
  <c r="N86" i="544" s="1"/>
  <c r="K29" i="544" a="1"/>
  <c r="K29" i="544" s="1"/>
  <c r="J29" i="544" a="1"/>
  <c r="J29" i="544" s="1"/>
  <c r="H29" i="544"/>
  <c r="AA28" i="544"/>
  <c r="AA164" i="544" s="1"/>
  <c r="Z28" i="544"/>
  <c r="Z164" i="544" s="1"/>
  <c r="Y28" i="544"/>
  <c r="Y164" i="544" s="1"/>
  <c r="X28" i="544"/>
  <c r="X164" i="544" s="1"/>
  <c r="U28" i="544"/>
  <c r="U164" i="544" s="1"/>
  <c r="T28" i="544"/>
  <c r="T164" i="544" s="1"/>
  <c r="S28" i="544"/>
  <c r="S164" i="544" s="1"/>
  <c r="R28" i="544"/>
  <c r="R164" i="544" s="1"/>
  <c r="Q28" i="544"/>
  <c r="Q164" i="544" s="1"/>
  <c r="P28" i="544"/>
  <c r="X167" i="544" s="1"/>
  <c r="O28" i="544"/>
  <c r="O164" i="544" s="1"/>
  <c r="I28" i="544"/>
  <c r="I164" i="544" s="1"/>
  <c r="B172" i="544" s="1"/>
  <c r="G28" i="544"/>
  <c r="C524" i="544" s="1"/>
  <c r="V27" i="544"/>
  <c r="W27" i="544" s="1"/>
  <c r="N27" i="544"/>
  <c r="K27" i="544" a="1"/>
  <c r="K27" i="544" s="1"/>
  <c r="M27" i="544" s="1"/>
  <c r="J27" i="544" a="1"/>
  <c r="J27" i="544" s="1"/>
  <c r="H27" i="544"/>
  <c r="V26" i="544"/>
  <c r="W26" i="544" s="1"/>
  <c r="N26" i="544"/>
  <c r="K26" i="544"/>
  <c r="M26" i="544" s="1"/>
  <c r="K26" i="544" a="1"/>
  <c r="J26" i="544"/>
  <c r="J26" i="544" a="1"/>
  <c r="H26" i="544"/>
  <c r="K25" i="544" a="1"/>
  <c r="K25" i="544" s="1"/>
  <c r="M25" i="544" s="1"/>
  <c r="J25" i="544" a="1"/>
  <c r="J25" i="544" s="1"/>
  <c r="H25" i="544"/>
  <c r="K24" i="544"/>
  <c r="M24" i="544" s="1"/>
  <c r="K24" i="544" a="1"/>
  <c r="J24" i="544"/>
  <c r="J24" i="544" a="1"/>
  <c r="H24" i="544"/>
  <c r="K23" i="544" a="1"/>
  <c r="K23" i="544" s="1"/>
  <c r="M23" i="544" s="1"/>
  <c r="J23" i="544" a="1"/>
  <c r="J23" i="544" s="1"/>
  <c r="H23" i="544"/>
  <c r="K22" i="544" a="1"/>
  <c r="K22" i="544" s="1"/>
  <c r="M22" i="544" s="1"/>
  <c r="J22" i="544" a="1"/>
  <c r="J22" i="544" s="1"/>
  <c r="H22" i="544"/>
  <c r="V21" i="544"/>
  <c r="W21" i="544" s="1"/>
  <c r="N21" i="544"/>
  <c r="K21" i="544"/>
  <c r="M21" i="544" s="1"/>
  <c r="K21" i="544" a="1"/>
  <c r="J21" i="544"/>
  <c r="J21" i="544" a="1"/>
  <c r="H21" i="544"/>
  <c r="V20" i="544"/>
  <c r="W20" i="544" s="1"/>
  <c r="N20" i="544"/>
  <c r="K20" i="544" a="1"/>
  <c r="K20" i="544" s="1"/>
  <c r="M20" i="544" s="1"/>
  <c r="J20" i="544" a="1"/>
  <c r="J20" i="544" s="1"/>
  <c r="H20" i="544"/>
  <c r="V19" i="544"/>
  <c r="W19" i="544" s="1"/>
  <c r="N19" i="544"/>
  <c r="K19" i="544" a="1"/>
  <c r="K19" i="544" s="1"/>
  <c r="M19" i="544" s="1"/>
  <c r="J19" i="544" a="1"/>
  <c r="J19" i="544" s="1"/>
  <c r="H19" i="544"/>
  <c r="N18" i="544"/>
  <c r="K18" i="544" a="1"/>
  <c r="K18" i="544" s="1"/>
  <c r="M18" i="544" s="1"/>
  <c r="J18" i="544" a="1"/>
  <c r="J18" i="544" s="1"/>
  <c r="H18" i="544"/>
  <c r="N17" i="544"/>
  <c r="K17" i="544" a="1"/>
  <c r="K17" i="544" s="1"/>
  <c r="M17" i="544" s="1"/>
  <c r="J17" i="544" a="1"/>
  <c r="J17" i="544" s="1"/>
  <c r="H17" i="544"/>
  <c r="V16" i="544"/>
  <c r="W16" i="544" s="1"/>
  <c r="N16" i="544"/>
  <c r="K16" i="544" a="1"/>
  <c r="K16" i="544" s="1"/>
  <c r="M16" i="544" s="1"/>
  <c r="J16" i="544" a="1"/>
  <c r="J16" i="544" s="1"/>
  <c r="H16" i="544"/>
  <c r="V15" i="544"/>
  <c r="W15" i="544" s="1"/>
  <c r="N15" i="544"/>
  <c r="K15" i="544"/>
  <c r="M15" i="544" s="1"/>
  <c r="K15" i="544" a="1"/>
  <c r="J15" i="544"/>
  <c r="J15" i="544" a="1"/>
  <c r="H15" i="544"/>
  <c r="N14" i="544"/>
  <c r="K14" i="544" a="1"/>
  <c r="K14" i="544" s="1"/>
  <c r="M14" i="544" s="1"/>
  <c r="H14" i="544"/>
  <c r="N13" i="544"/>
  <c r="K13" i="544" a="1"/>
  <c r="K13" i="544" s="1"/>
  <c r="M13" i="544" s="1"/>
  <c r="H13" i="544"/>
  <c r="V12" i="544"/>
  <c r="W12" i="544" s="1"/>
  <c r="N12" i="544"/>
  <c r="K12" i="544" a="1"/>
  <c r="K12" i="544" s="1"/>
  <c r="M12" i="544" s="1"/>
  <c r="J12" i="544" a="1"/>
  <c r="J12" i="544" s="1"/>
  <c r="H12" i="544"/>
  <c r="V11" i="544"/>
  <c r="W11" i="544" s="1"/>
  <c r="N11" i="544"/>
  <c r="K11" i="544" a="1"/>
  <c r="K11" i="544" s="1"/>
  <c r="M11" i="544" s="1"/>
  <c r="J11" i="544" a="1"/>
  <c r="J11" i="544" s="1"/>
  <c r="H11" i="544"/>
  <c r="V10" i="544"/>
  <c r="W10" i="544" s="1"/>
  <c r="N10" i="544"/>
  <c r="K10" i="544" a="1"/>
  <c r="K10" i="544" s="1"/>
  <c r="M10" i="544" s="1"/>
  <c r="J10" i="544" a="1"/>
  <c r="J10" i="544" s="1"/>
  <c r="H10" i="544"/>
  <c r="V9" i="544"/>
  <c r="W9" i="544" s="1"/>
  <c r="N9" i="544"/>
  <c r="K9" i="544"/>
  <c r="M9" i="544" s="1"/>
  <c r="K9" i="544" a="1"/>
  <c r="J9" i="544"/>
  <c r="J9" i="544" a="1"/>
  <c r="H9" i="544"/>
  <c r="V8" i="544"/>
  <c r="W8" i="544" s="1"/>
  <c r="N8" i="544"/>
  <c r="K8" i="544" a="1"/>
  <c r="K8" i="544" s="1"/>
  <c r="M8" i="544" s="1"/>
  <c r="J8" i="544" a="1"/>
  <c r="J8" i="544" s="1"/>
  <c r="H8" i="544"/>
  <c r="V7" i="544"/>
  <c r="V28" i="544" s="1"/>
  <c r="N7" i="544"/>
  <c r="K7" i="544" a="1"/>
  <c r="K7" i="544" s="1"/>
  <c r="J7" i="544" a="1"/>
  <c r="J7" i="544" s="1"/>
  <c r="H7" i="544"/>
  <c r="H28" i="544" s="1"/>
  <c r="H257" i="544" l="1"/>
  <c r="V257" i="544"/>
  <c r="W257" i="544" s="1"/>
  <c r="H292" i="544"/>
  <c r="V292" i="544"/>
  <c r="W292" i="544" s="1"/>
  <c r="M319" i="544"/>
  <c r="V319" i="544"/>
  <c r="V370" i="544"/>
  <c r="W138" i="544"/>
  <c r="H137" i="544"/>
  <c r="H308" i="544"/>
  <c r="N319" i="544"/>
  <c r="W309" i="544"/>
  <c r="J308" i="544" a="1"/>
  <c r="J308" i="544" s="1"/>
  <c r="J319" i="544" a="1"/>
  <c r="J319" i="544" s="1"/>
  <c r="J292" i="544" a="1"/>
  <c r="J292" i="544" s="1"/>
  <c r="J257" i="544" a="1"/>
  <c r="J257" i="544" s="1"/>
  <c r="H370" i="544"/>
  <c r="N370" i="544"/>
  <c r="H428" i="544"/>
  <c r="V428" i="544"/>
  <c r="W428" i="544" s="1"/>
  <c r="H463" i="544"/>
  <c r="V463" i="544"/>
  <c r="W463" i="544" s="1"/>
  <c r="J463" i="544" a="1"/>
  <c r="J463" i="544" s="1"/>
  <c r="R511" i="544"/>
  <c r="N479" i="544"/>
  <c r="R512" i="544"/>
  <c r="H490" i="544"/>
  <c r="K506" i="544"/>
  <c r="R341" i="544"/>
  <c r="R340" i="544"/>
  <c r="N308" i="544"/>
  <c r="N292" i="544"/>
  <c r="W258" i="544"/>
  <c r="N257" i="544"/>
  <c r="N335" i="544" s="1"/>
  <c r="B344" i="544" s="1"/>
  <c r="H199" i="544"/>
  <c r="V199" i="544"/>
  <c r="H319" i="544"/>
  <c r="W319" i="544"/>
  <c r="H335" i="544"/>
  <c r="E342" i="544" s="1"/>
  <c r="H163" i="544"/>
  <c r="J163" i="544" a="1"/>
  <c r="J163" i="544" s="1"/>
  <c r="R170" i="544"/>
  <c r="M148" i="544"/>
  <c r="N137" i="544"/>
  <c r="N121" i="544"/>
  <c r="V121" i="544"/>
  <c r="W121" i="544" s="1"/>
  <c r="H86" i="544"/>
  <c r="V86" i="544"/>
  <c r="W86" i="544" s="1"/>
  <c r="N28" i="544"/>
  <c r="N164" i="544" s="1"/>
  <c r="B173" i="544" s="1"/>
  <c r="E173" i="544" s="1"/>
  <c r="W7" i="544"/>
  <c r="K28" i="544"/>
  <c r="J148" i="544" a="1"/>
  <c r="J148" i="544" s="1"/>
  <c r="H148" i="544"/>
  <c r="H121" i="544"/>
  <c r="K121" i="544"/>
  <c r="M87" i="544"/>
  <c r="M121" i="544" s="1"/>
  <c r="K137" i="544"/>
  <c r="M122" i="544"/>
  <c r="M137" i="544" s="1"/>
  <c r="K527" i="544"/>
  <c r="K199" i="544"/>
  <c r="M178" i="544"/>
  <c r="M199" i="544" s="1"/>
  <c r="K292" i="544"/>
  <c r="M258" i="544"/>
  <c r="M292" i="544" s="1"/>
  <c r="W28" i="544"/>
  <c r="C520" i="544"/>
  <c r="Q525" i="544"/>
  <c r="K86" i="544"/>
  <c r="M29" i="544"/>
  <c r="M86" i="544" s="1"/>
  <c r="K525" i="544"/>
  <c r="K526" i="544"/>
  <c r="K528" i="544"/>
  <c r="K163" i="544"/>
  <c r="M149" i="544"/>
  <c r="M163" i="544" s="1"/>
  <c r="K529" i="544"/>
  <c r="K257" i="544"/>
  <c r="M200" i="544"/>
  <c r="M257" i="544" s="1"/>
  <c r="M7" i="544"/>
  <c r="M28" i="544" s="1"/>
  <c r="C530" i="544"/>
  <c r="E524" i="544" s="1"/>
  <c r="V137" i="544"/>
  <c r="W137" i="544" s="1"/>
  <c r="K148" i="544"/>
  <c r="V163" i="544"/>
  <c r="W163" i="544" s="1"/>
  <c r="P164" i="544"/>
  <c r="X168" i="544" s="1"/>
  <c r="X173" i="544" s="1"/>
  <c r="K166" i="544"/>
  <c r="R166" i="544"/>
  <c r="J335" i="544" a="1"/>
  <c r="J335" i="544" s="1"/>
  <c r="M342" i="544" s="1"/>
  <c r="B342" i="544"/>
  <c r="O335" i="544"/>
  <c r="R337" i="544"/>
  <c r="K308" i="544"/>
  <c r="M293" i="544"/>
  <c r="M308" i="544" s="1"/>
  <c r="K334" i="544"/>
  <c r="M320" i="544"/>
  <c r="M334" i="544" s="1"/>
  <c r="W334" i="544"/>
  <c r="J28" i="544" a="1"/>
  <c r="J28" i="544" s="1"/>
  <c r="W29" i="544"/>
  <c r="J86" i="544" a="1"/>
  <c r="J86" i="544" s="1"/>
  <c r="W87" i="544"/>
  <c r="J121" i="544" a="1"/>
  <c r="J121" i="544" s="1"/>
  <c r="J137" i="544" a="1"/>
  <c r="J137" i="544" s="1"/>
  <c r="W178" i="544"/>
  <c r="W199" i="544" s="1"/>
  <c r="J199" i="544" a="1"/>
  <c r="J199" i="544" s="1"/>
  <c r="X338" i="544"/>
  <c r="P335" i="544"/>
  <c r="X339" i="544" s="1"/>
  <c r="X344" i="544" s="1"/>
  <c r="W200" i="544"/>
  <c r="V308" i="544"/>
  <c r="W308" i="544" s="1"/>
  <c r="K319" i="544"/>
  <c r="V334" i="544"/>
  <c r="K337" i="544"/>
  <c r="K370" i="544"/>
  <c r="W349" i="544"/>
  <c r="W370" i="544" s="1"/>
  <c r="M464" i="544"/>
  <c r="M479" i="544" s="1"/>
  <c r="K479" i="544"/>
  <c r="M349" i="544"/>
  <c r="M370" i="544" s="1"/>
  <c r="K428" i="544"/>
  <c r="M429" i="544"/>
  <c r="M463" i="544" s="1"/>
  <c r="K463" i="544"/>
  <c r="J507" i="544" a="1"/>
  <c r="J507" i="544" s="1"/>
  <c r="M514" i="544" s="1"/>
  <c r="B514" i="544"/>
  <c r="X509" i="544"/>
  <c r="O507" i="544"/>
  <c r="X510" i="544" s="1"/>
  <c r="R509" i="544"/>
  <c r="M371" i="544"/>
  <c r="M428" i="544" s="1"/>
  <c r="W429" i="544"/>
  <c r="V479" i="544"/>
  <c r="W479" i="544" s="1"/>
  <c r="J370" i="544" a="1"/>
  <c r="J370" i="544" s="1"/>
  <c r="K490" i="544"/>
  <c r="M480" i="544"/>
  <c r="M490" i="544" s="1"/>
  <c r="V490" i="544"/>
  <c r="W490" i="544" s="1"/>
  <c r="W506" i="544"/>
  <c r="V506" i="544"/>
  <c r="K509" i="544"/>
  <c r="M491" i="544"/>
  <c r="M506" i="544" s="1"/>
  <c r="J115" i="542" a="1"/>
  <c r="J115" i="542" s="1"/>
  <c r="M115" i="542"/>
  <c r="M68" i="542"/>
  <c r="J68" i="542" a="1"/>
  <c r="J68" i="542" s="1"/>
  <c r="I19" i="542"/>
  <c r="I135" i="542"/>
  <c r="I45" i="542"/>
  <c r="I48" i="542"/>
  <c r="I37" i="542"/>
  <c r="I115" i="542"/>
  <c r="I92" i="542"/>
  <c r="I21" i="542"/>
  <c r="I11" i="542"/>
  <c r="J286" i="542" a="1"/>
  <c r="J286" i="542" s="1"/>
  <c r="J316" i="542" a="1"/>
  <c r="J316" i="542" s="1"/>
  <c r="J315" i="542" a="1"/>
  <c r="J315" i="542" s="1"/>
  <c r="J314" i="542" a="1"/>
  <c r="J314" i="542" s="1"/>
  <c r="M316" i="542"/>
  <c r="M315" i="542"/>
  <c r="M314" i="542"/>
  <c r="M286" i="542"/>
  <c r="K316" i="542" a="1"/>
  <c r="K316" i="542" s="1"/>
  <c r="K315" i="542" a="1"/>
  <c r="K315" i="542" s="1"/>
  <c r="K314" i="542" a="1"/>
  <c r="K314" i="542" s="1"/>
  <c r="I286" i="542"/>
  <c r="K286" i="542" a="1"/>
  <c r="K286" i="542" s="1"/>
  <c r="I217" i="542"/>
  <c r="I216" i="542"/>
  <c r="I209" i="542"/>
  <c r="I208" i="542"/>
  <c r="I181" i="542"/>
  <c r="I182" i="542"/>
  <c r="I306" i="542"/>
  <c r="I263" i="542"/>
  <c r="I192" i="542"/>
  <c r="I190" i="542"/>
  <c r="I429" i="542"/>
  <c r="I434" i="542"/>
  <c r="N507" i="544" l="1"/>
  <c r="B516" i="544" s="1"/>
  <c r="E516" i="544" s="1"/>
  <c r="H507" i="544"/>
  <c r="E514" i="544" s="1"/>
  <c r="E344" i="544"/>
  <c r="C521" i="544"/>
  <c r="E529" i="544"/>
  <c r="E528" i="544"/>
  <c r="K164" i="544"/>
  <c r="E172" i="544" s="1"/>
  <c r="I172" i="544" s="1"/>
  <c r="M172" i="544" s="1"/>
  <c r="Z167" i="544"/>
  <c r="Z169" i="544"/>
  <c r="Z171" i="544"/>
  <c r="Z170" i="544"/>
  <c r="H164" i="544"/>
  <c r="E171" i="544" s="1"/>
  <c r="G519" i="544" s="1"/>
  <c r="E526" i="544"/>
  <c r="M164" i="544"/>
  <c r="E527" i="544"/>
  <c r="E525" i="544"/>
  <c r="Z337" i="544" a="1"/>
  <c r="Z337" i="544" s="1"/>
  <c r="Z340" i="544"/>
  <c r="Z341" i="544"/>
  <c r="Z342" i="544"/>
  <c r="Z343" i="544"/>
  <c r="T509" i="544" a="1"/>
  <c r="T509" i="544" s="1"/>
  <c r="R516" i="544"/>
  <c r="X516" i="544"/>
  <c r="Z509" i="544" s="1" a="1"/>
  <c r="Z509" i="544" s="1"/>
  <c r="V507" i="544"/>
  <c r="M337" i="544"/>
  <c r="K341" i="544"/>
  <c r="M341" i="544" s="1"/>
  <c r="Z338" i="544"/>
  <c r="W335" i="544"/>
  <c r="M166" i="544"/>
  <c r="K170" i="544"/>
  <c r="M170" i="544" s="1"/>
  <c r="J164" i="544" a="1"/>
  <c r="J164" i="544" s="1"/>
  <c r="M171" i="544" s="1"/>
  <c r="B171" i="544"/>
  <c r="C519" i="544" s="1"/>
  <c r="W164" i="544"/>
  <c r="V335" i="544"/>
  <c r="I344" i="544" s="1"/>
  <c r="M344" i="544" s="1" a="1"/>
  <c r="M344" i="544" s="1"/>
  <c r="K335" i="544"/>
  <c r="G521" i="544"/>
  <c r="M509" i="544"/>
  <c r="K513" i="544"/>
  <c r="M513" i="544" s="1"/>
  <c r="M507" i="544"/>
  <c r="K507" i="544"/>
  <c r="Z339" i="544"/>
  <c r="R344" i="544"/>
  <c r="T337" i="544" s="1" a="1"/>
  <c r="T337" i="544" s="1"/>
  <c r="Z172" i="544"/>
  <c r="Z166" i="544" a="1"/>
  <c r="Z166" i="544" s="1"/>
  <c r="K524" i="544"/>
  <c r="R173" i="544"/>
  <c r="T166" i="544" s="1" a="1"/>
  <c r="T166" i="544" s="1"/>
  <c r="Q526" i="544"/>
  <c r="Z168" i="544"/>
  <c r="V164" i="544"/>
  <c r="I173" i="544" s="1"/>
  <c r="M335" i="544"/>
  <c r="J19" i="542" a="1"/>
  <c r="J19" i="542" s="1"/>
  <c r="M286" i="543"/>
  <c r="K286" i="543" a="1"/>
  <c r="K286" i="543" s="1"/>
  <c r="J239" i="543" a="1"/>
  <c r="J239" i="543" s="1"/>
  <c r="J286" i="543" a="1"/>
  <c r="J286" i="543" s="1"/>
  <c r="I286" i="543"/>
  <c r="I197" i="543"/>
  <c r="I208" i="543"/>
  <c r="I239" i="543"/>
  <c r="I190" i="543"/>
  <c r="G209" i="542"/>
  <c r="L164" i="544" l="1"/>
  <c r="I171" i="544" s="1"/>
  <c r="Z510" i="544"/>
  <c r="E530" i="544"/>
  <c r="M173" i="544" a="1"/>
  <c r="M173" i="544" s="1"/>
  <c r="E515" i="544"/>
  <c r="I515" i="544" s="1"/>
  <c r="M515" i="544" s="1"/>
  <c r="L507" i="544"/>
  <c r="I514" i="544" s="1"/>
  <c r="T515" i="544"/>
  <c r="T511" i="544"/>
  <c r="T514" i="544"/>
  <c r="T513" i="544"/>
  <c r="T510" i="544"/>
  <c r="T512" i="544"/>
  <c r="Q530" i="544"/>
  <c r="S526" i="544" s="1"/>
  <c r="K530" i="544"/>
  <c r="T172" i="544"/>
  <c r="T169" i="544"/>
  <c r="T167" i="544"/>
  <c r="T168" i="544"/>
  <c r="T170" i="544"/>
  <c r="T171" i="544"/>
  <c r="T343" i="544"/>
  <c r="T340" i="544"/>
  <c r="T339" i="544"/>
  <c r="T338" i="544"/>
  <c r="T341" i="544"/>
  <c r="T342" i="544"/>
  <c r="E343" i="544"/>
  <c r="L335" i="544"/>
  <c r="I342" i="544" s="1"/>
  <c r="O519" i="544" a="1"/>
  <c r="O519" i="544" s="1"/>
  <c r="I516" i="544"/>
  <c r="M516" i="544" s="1" a="1"/>
  <c r="M516" i="544" s="1"/>
  <c r="W507" i="544"/>
  <c r="Z515" i="544"/>
  <c r="Z513" i="544"/>
  <c r="Z512" i="544"/>
  <c r="Z511" i="544"/>
  <c r="Z514" i="544"/>
  <c r="G37" i="542"/>
  <c r="G208" i="542"/>
  <c r="G219" i="543"/>
  <c r="G197" i="543"/>
  <c r="D535" i="542"/>
  <c r="D533" i="542"/>
  <c r="M528" i="544" l="1"/>
  <c r="M525" i="544"/>
  <c r="M527" i="544"/>
  <c r="M529" i="544"/>
  <c r="M526" i="544"/>
  <c r="I343" i="544"/>
  <c r="M343" i="544" s="1"/>
  <c r="G520" i="544"/>
  <c r="S528" i="544"/>
  <c r="S524" i="544" a="1"/>
  <c r="S524" i="544" s="1"/>
  <c r="S527" i="544"/>
  <c r="S529" i="544"/>
  <c r="S525" i="544"/>
  <c r="M524" i="544" a="1"/>
  <c r="M524" i="544" s="1"/>
  <c r="K521" i="544"/>
  <c r="O521" i="544" s="1" a="1"/>
  <c r="O521" i="544" s="1"/>
  <c r="G306" i="542"/>
  <c r="G286" i="542"/>
  <c r="G190" i="542"/>
  <c r="G182" i="542"/>
  <c r="G216" i="542"/>
  <c r="G181" i="542"/>
  <c r="G197" i="542"/>
  <c r="G192" i="542"/>
  <c r="G429" i="542"/>
  <c r="G434" i="542"/>
  <c r="G45" i="542"/>
  <c r="G115" i="542"/>
  <c r="G92" i="542"/>
  <c r="G11" i="542"/>
  <c r="G48" i="542"/>
  <c r="G135" i="542"/>
  <c r="G68" i="542"/>
  <c r="G19" i="542"/>
  <c r="G21" i="542"/>
  <c r="P536" i="543"/>
  <c r="O536" i="543"/>
  <c r="N536" i="543"/>
  <c r="M536" i="543"/>
  <c r="L536" i="543"/>
  <c r="K536" i="543"/>
  <c r="I536" i="543"/>
  <c r="H536" i="543"/>
  <c r="G536" i="543"/>
  <c r="F536" i="543"/>
  <c r="E536" i="543"/>
  <c r="D536" i="543"/>
  <c r="C535" i="543"/>
  <c r="J535" i="543" s="1"/>
  <c r="Q535" i="543" s="1"/>
  <c r="C534" i="543"/>
  <c r="C533" i="543"/>
  <c r="J533" i="543" s="1"/>
  <c r="G517" i="543"/>
  <c r="N517" i="543" s="1"/>
  <c r="X515" i="543"/>
  <c r="X514" i="543"/>
  <c r="X513" i="543"/>
  <c r="G513" i="543"/>
  <c r="C513" i="543"/>
  <c r="X512" i="543"/>
  <c r="I512" i="543"/>
  <c r="E512" i="543"/>
  <c r="K512" i="543" s="1"/>
  <c r="M512" i="543" s="1"/>
  <c r="X511" i="543"/>
  <c r="I511" i="543"/>
  <c r="E511" i="543"/>
  <c r="K511" i="543" s="1"/>
  <c r="M511" i="543" s="1"/>
  <c r="I510" i="543"/>
  <c r="E510" i="543"/>
  <c r="K510" i="543" s="1"/>
  <c r="M510" i="543" s="1"/>
  <c r="I509" i="543"/>
  <c r="I513" i="543" s="1"/>
  <c r="E509" i="543"/>
  <c r="E513" i="543" s="1"/>
  <c r="AA506" i="543"/>
  <c r="Z506" i="543"/>
  <c r="Y506" i="543"/>
  <c r="X506" i="543"/>
  <c r="U506" i="543"/>
  <c r="T506" i="543"/>
  <c r="S506" i="543"/>
  <c r="R506" i="543"/>
  <c r="Q506" i="543"/>
  <c r="P506" i="543"/>
  <c r="O506" i="543"/>
  <c r="R514" i="543" s="1"/>
  <c r="I506" i="543"/>
  <c r="G506" i="543"/>
  <c r="J506" i="543" s="1" a="1"/>
  <c r="J506" i="543" s="1"/>
  <c r="H505" i="543"/>
  <c r="H504" i="543"/>
  <c r="H503" i="543"/>
  <c r="D502" i="543"/>
  <c r="H502" i="543" s="1"/>
  <c r="V501" i="543"/>
  <c r="W501" i="543" s="1"/>
  <c r="N501" i="543"/>
  <c r="K501" i="543" a="1"/>
  <c r="K501" i="543" s="1"/>
  <c r="M501" i="543" s="1"/>
  <c r="J501" i="543" a="1"/>
  <c r="J501" i="543" s="1"/>
  <c r="H501" i="543"/>
  <c r="H500" i="543"/>
  <c r="H499" i="543"/>
  <c r="V498" i="543"/>
  <c r="W498" i="543" s="1"/>
  <c r="N498" i="543"/>
  <c r="K498" i="543"/>
  <c r="M498" i="543" s="1"/>
  <c r="K498" i="543" a="1"/>
  <c r="J498" i="543"/>
  <c r="J498" i="543" a="1"/>
  <c r="H498" i="543"/>
  <c r="V497" i="543"/>
  <c r="W497" i="543" s="1"/>
  <c r="N497" i="543"/>
  <c r="K497" i="543" a="1"/>
  <c r="K497" i="543" s="1"/>
  <c r="M497" i="543" s="1"/>
  <c r="J497" i="543" a="1"/>
  <c r="J497" i="543" s="1"/>
  <c r="H497" i="543"/>
  <c r="H496" i="543"/>
  <c r="H495" i="543"/>
  <c r="V494" i="543"/>
  <c r="W494" i="543" s="1"/>
  <c r="N494" i="543"/>
  <c r="K494" i="543" a="1"/>
  <c r="K494" i="543" s="1"/>
  <c r="M494" i="543" s="1"/>
  <c r="J494" i="543" a="1"/>
  <c r="J494" i="543" s="1"/>
  <c r="H494" i="543"/>
  <c r="V493" i="543"/>
  <c r="W493" i="543" s="1"/>
  <c r="N493" i="543"/>
  <c r="K493" i="543" a="1"/>
  <c r="K493" i="543" s="1"/>
  <c r="M493" i="543" s="1"/>
  <c r="J493" i="543" a="1"/>
  <c r="J493" i="543" s="1"/>
  <c r="H493" i="543"/>
  <c r="V492" i="543"/>
  <c r="W492" i="543" s="1"/>
  <c r="N492" i="543"/>
  <c r="K492" i="543"/>
  <c r="M492" i="543" s="1"/>
  <c r="K492" i="543" a="1"/>
  <c r="J492" i="543"/>
  <c r="J492" i="543" a="1"/>
  <c r="H492" i="543"/>
  <c r="V491" i="543"/>
  <c r="V506" i="543" s="1"/>
  <c r="N491" i="543"/>
  <c r="N506" i="543" s="1"/>
  <c r="K491" i="543" a="1"/>
  <c r="K491" i="543" s="1"/>
  <c r="J491" i="543" a="1"/>
  <c r="J491" i="543" s="1"/>
  <c r="H491" i="543"/>
  <c r="H506" i="543" s="1"/>
  <c r="AA490" i="543"/>
  <c r="Z490" i="543"/>
  <c r="Y490" i="543"/>
  <c r="X490" i="543"/>
  <c r="U490" i="543"/>
  <c r="T490" i="543"/>
  <c r="S490" i="543"/>
  <c r="Q490" i="543"/>
  <c r="P490" i="543"/>
  <c r="O490" i="543"/>
  <c r="I490" i="543"/>
  <c r="G490" i="543"/>
  <c r="J490" i="543" s="1" a="1"/>
  <c r="J490" i="543" s="1"/>
  <c r="V489" i="543"/>
  <c r="W489" i="543" s="1"/>
  <c r="N489" i="543"/>
  <c r="K489" i="543" a="1"/>
  <c r="K489" i="543" s="1"/>
  <c r="M489" i="543" s="1"/>
  <c r="J489" i="543" a="1"/>
  <c r="J489" i="543" s="1"/>
  <c r="H489" i="543"/>
  <c r="H487" i="543"/>
  <c r="H486" i="543"/>
  <c r="H485" i="543"/>
  <c r="V484" i="543"/>
  <c r="W484" i="543" s="1"/>
  <c r="N484" i="543"/>
  <c r="K484" i="543"/>
  <c r="M484" i="543" s="1"/>
  <c r="K484" i="543" a="1"/>
  <c r="J484" i="543"/>
  <c r="J484" i="543" a="1"/>
  <c r="H484" i="543"/>
  <c r="V483" i="543"/>
  <c r="W483" i="543" s="1"/>
  <c r="N483" i="543"/>
  <c r="K483" i="543" a="1"/>
  <c r="K483" i="543" s="1"/>
  <c r="M483" i="543" s="1"/>
  <c r="J483" i="543" a="1"/>
  <c r="J483" i="543" s="1"/>
  <c r="H483" i="543"/>
  <c r="V482" i="543"/>
  <c r="W482" i="543" s="1"/>
  <c r="N482" i="543"/>
  <c r="K482" i="543" a="1"/>
  <c r="K482" i="543" s="1"/>
  <c r="M482" i="543" s="1"/>
  <c r="J482" i="543" a="1"/>
  <c r="J482" i="543" s="1"/>
  <c r="H482" i="543"/>
  <c r="V481" i="543"/>
  <c r="W481" i="543" s="1"/>
  <c r="N481" i="543"/>
  <c r="K481" i="543" a="1"/>
  <c r="K481" i="543" s="1"/>
  <c r="M481" i="543" s="1"/>
  <c r="J481" i="543" a="1"/>
  <c r="J481" i="543" s="1"/>
  <c r="H481" i="543"/>
  <c r="V480" i="543"/>
  <c r="V490" i="543" s="1"/>
  <c r="W490" i="543" s="1"/>
  <c r="N480" i="543"/>
  <c r="N490" i="543" s="1"/>
  <c r="K480" i="543"/>
  <c r="M480" i="543" s="1"/>
  <c r="K480" i="543" a="1"/>
  <c r="J480" i="543"/>
  <c r="J480" i="543" a="1"/>
  <c r="H480" i="543"/>
  <c r="H490" i="543" s="1"/>
  <c r="AA479" i="543"/>
  <c r="Z479" i="543"/>
  <c r="Y479" i="543"/>
  <c r="X479" i="543"/>
  <c r="U479" i="543"/>
  <c r="T479" i="543"/>
  <c r="S479" i="543"/>
  <c r="Q479" i="543"/>
  <c r="P479" i="543"/>
  <c r="O479" i="543"/>
  <c r="R512" i="543" s="1"/>
  <c r="I479" i="543"/>
  <c r="G479" i="543"/>
  <c r="J479" i="543" s="1" a="1"/>
  <c r="J479" i="543" s="1"/>
  <c r="V478" i="543"/>
  <c r="W478" i="543" s="1"/>
  <c r="N478" i="543"/>
  <c r="K478" i="543" a="1"/>
  <c r="K478" i="543" s="1"/>
  <c r="M478" i="543" s="1"/>
  <c r="J478" i="543" a="1"/>
  <c r="J478" i="543" s="1"/>
  <c r="H478" i="543"/>
  <c r="W477" i="543"/>
  <c r="V477" i="543"/>
  <c r="N477" i="543"/>
  <c r="K477" i="543" a="1"/>
  <c r="K477" i="543" s="1"/>
  <c r="M477" i="543" s="1"/>
  <c r="J477" i="543" a="1"/>
  <c r="J477" i="543" s="1"/>
  <c r="H477" i="543"/>
  <c r="V476" i="543"/>
  <c r="W476" i="543" s="1"/>
  <c r="N476" i="543"/>
  <c r="K476" i="543" a="1"/>
  <c r="K476" i="543" s="1"/>
  <c r="M476" i="543" s="1"/>
  <c r="J476" i="543" a="1"/>
  <c r="J476" i="543" s="1"/>
  <c r="H476" i="543"/>
  <c r="V475" i="543"/>
  <c r="W475" i="543" s="1"/>
  <c r="N475" i="543"/>
  <c r="K475" i="543"/>
  <c r="M475" i="543" s="1"/>
  <c r="K475" i="543" a="1"/>
  <c r="J475" i="543"/>
  <c r="J475" i="543" a="1"/>
  <c r="H475" i="543"/>
  <c r="V474" i="543"/>
  <c r="W474" i="543" s="1"/>
  <c r="N474" i="543"/>
  <c r="K474" i="543" a="1"/>
  <c r="K474" i="543" s="1"/>
  <c r="M474" i="543" s="1"/>
  <c r="J474" i="543" a="1"/>
  <c r="J474" i="543" s="1"/>
  <c r="H474" i="543"/>
  <c r="V473" i="543"/>
  <c r="W473" i="543" s="1"/>
  <c r="N473" i="543"/>
  <c r="K473" i="543" a="1"/>
  <c r="K473" i="543" s="1"/>
  <c r="M473" i="543" s="1"/>
  <c r="J473" i="543" a="1"/>
  <c r="J473" i="543" s="1"/>
  <c r="H473" i="543"/>
  <c r="V472" i="543"/>
  <c r="W472" i="543" s="1"/>
  <c r="N472" i="543"/>
  <c r="K472" i="543" a="1"/>
  <c r="K472" i="543" s="1"/>
  <c r="M472" i="543" s="1"/>
  <c r="J472" i="543" a="1"/>
  <c r="J472" i="543" s="1"/>
  <c r="H472" i="543"/>
  <c r="V471" i="543"/>
  <c r="W471" i="543" s="1"/>
  <c r="N471" i="543"/>
  <c r="K471" i="543"/>
  <c r="M471" i="543" s="1"/>
  <c r="K471" i="543" a="1"/>
  <c r="J471" i="543"/>
  <c r="J471" i="543" a="1"/>
  <c r="H471" i="543"/>
  <c r="V470" i="543"/>
  <c r="W470" i="543" s="1"/>
  <c r="N470" i="543"/>
  <c r="K470" i="543" a="1"/>
  <c r="K470" i="543" s="1"/>
  <c r="M470" i="543" s="1"/>
  <c r="J470" i="543" a="1"/>
  <c r="J470" i="543" s="1"/>
  <c r="H470" i="543"/>
  <c r="W469" i="543"/>
  <c r="V469" i="543"/>
  <c r="N469" i="543"/>
  <c r="K469" i="543" a="1"/>
  <c r="K469" i="543" s="1"/>
  <c r="M469" i="543" s="1"/>
  <c r="J469" i="543" a="1"/>
  <c r="J469" i="543" s="1"/>
  <c r="H469" i="543"/>
  <c r="V468" i="543"/>
  <c r="W468" i="543" s="1"/>
  <c r="N468" i="543"/>
  <c r="M468" i="543"/>
  <c r="K468" i="543" a="1"/>
  <c r="K468" i="543" s="1"/>
  <c r="J468" i="543" a="1"/>
  <c r="J468" i="543" s="1"/>
  <c r="H468" i="543"/>
  <c r="W467" i="543"/>
  <c r="V467" i="543"/>
  <c r="N467" i="543"/>
  <c r="K467" i="543" a="1"/>
  <c r="K467" i="543" s="1"/>
  <c r="M467" i="543" s="1"/>
  <c r="J467" i="543" a="1"/>
  <c r="J467" i="543" s="1"/>
  <c r="H467" i="543"/>
  <c r="V466" i="543"/>
  <c r="W466" i="543" s="1"/>
  <c r="N466" i="543"/>
  <c r="M466" i="543"/>
  <c r="K466" i="543" a="1"/>
  <c r="K466" i="543" s="1"/>
  <c r="J466" i="543" a="1"/>
  <c r="J466" i="543" s="1"/>
  <c r="H466" i="543"/>
  <c r="W465" i="543"/>
  <c r="V465" i="543"/>
  <c r="N465" i="543"/>
  <c r="K465" i="543" a="1"/>
  <c r="K465" i="543" s="1"/>
  <c r="M465" i="543" s="1"/>
  <c r="J465" i="543" a="1"/>
  <c r="J465" i="543" s="1"/>
  <c r="H465" i="543"/>
  <c r="V464" i="543"/>
  <c r="N464" i="543"/>
  <c r="M464" i="543"/>
  <c r="K464" i="543" a="1"/>
  <c r="K464" i="543" s="1"/>
  <c r="J464" i="543" a="1"/>
  <c r="J464" i="543" s="1"/>
  <c r="H464" i="543"/>
  <c r="AA463" i="543"/>
  <c r="Z463" i="543"/>
  <c r="Y463" i="543"/>
  <c r="X463" i="543"/>
  <c r="U463" i="543"/>
  <c r="T463" i="543"/>
  <c r="S463" i="543"/>
  <c r="R463" i="543"/>
  <c r="Q463" i="543"/>
  <c r="P463" i="543"/>
  <c r="O463" i="543"/>
  <c r="R511" i="543" s="1"/>
  <c r="I463" i="543"/>
  <c r="G463" i="543"/>
  <c r="V462" i="543"/>
  <c r="W462" i="543" s="1"/>
  <c r="N462" i="543"/>
  <c r="K462" i="543" a="1"/>
  <c r="K462" i="543" s="1"/>
  <c r="M462" i="543" s="1"/>
  <c r="J462" i="543" a="1"/>
  <c r="J462" i="543" s="1"/>
  <c r="H462" i="543"/>
  <c r="V461" i="543"/>
  <c r="W461" i="543" s="1"/>
  <c r="N461" i="543"/>
  <c r="K461" i="543" a="1"/>
  <c r="K461" i="543" s="1"/>
  <c r="M461" i="543" s="1"/>
  <c r="J461" i="543" a="1"/>
  <c r="J461" i="543" s="1"/>
  <c r="H461" i="543"/>
  <c r="V460" i="543"/>
  <c r="W460" i="543" s="1"/>
  <c r="N460" i="543"/>
  <c r="K460" i="543" a="1"/>
  <c r="K460" i="543" s="1"/>
  <c r="M460" i="543" s="1"/>
  <c r="J460" i="543" a="1"/>
  <c r="J460" i="543" s="1"/>
  <c r="H460" i="543"/>
  <c r="K459" i="543" a="1"/>
  <c r="K459" i="543" s="1"/>
  <c r="M459" i="543" s="1"/>
  <c r="H459" i="543"/>
  <c r="K458" i="543" a="1"/>
  <c r="K458" i="543" s="1"/>
  <c r="M458" i="543" s="1"/>
  <c r="H458" i="543"/>
  <c r="K457" i="543" a="1"/>
  <c r="K457" i="543" s="1"/>
  <c r="M457" i="543" s="1"/>
  <c r="H457" i="543"/>
  <c r="V456" i="543"/>
  <c r="W456" i="543" s="1"/>
  <c r="N456" i="543"/>
  <c r="K456" i="543"/>
  <c r="M456" i="543" s="1"/>
  <c r="K456" i="543" a="1"/>
  <c r="J456" i="543"/>
  <c r="J456" i="543" a="1"/>
  <c r="H456" i="543"/>
  <c r="V455" i="543"/>
  <c r="W455" i="543" s="1"/>
  <c r="N455" i="543"/>
  <c r="K455" i="543" a="1"/>
  <c r="K455" i="543" s="1"/>
  <c r="M455" i="543" s="1"/>
  <c r="J455" i="543" a="1"/>
  <c r="J455" i="543" s="1"/>
  <c r="H455" i="543"/>
  <c r="N454" i="543"/>
  <c r="K454" i="543" a="1"/>
  <c r="K454" i="543" s="1"/>
  <c r="M454" i="543" s="1"/>
  <c r="H454" i="543"/>
  <c r="N453" i="543"/>
  <c r="K453" i="543" a="1"/>
  <c r="K453" i="543" s="1"/>
  <c r="M453" i="543" s="1"/>
  <c r="H453" i="543"/>
  <c r="N452" i="543"/>
  <c r="K452" i="543"/>
  <c r="M452" i="543" s="1"/>
  <c r="K452" i="543" a="1"/>
  <c r="H452" i="543"/>
  <c r="N451" i="543"/>
  <c r="K451" i="543" a="1"/>
  <c r="K451" i="543" s="1"/>
  <c r="M451" i="543" s="1"/>
  <c r="H451" i="543"/>
  <c r="N450" i="543"/>
  <c r="K450" i="543" a="1"/>
  <c r="K450" i="543" s="1"/>
  <c r="M450" i="543" s="1"/>
  <c r="H450" i="543"/>
  <c r="N449" i="543"/>
  <c r="K449" i="543" a="1"/>
  <c r="K449" i="543" s="1"/>
  <c r="M449" i="543" s="1"/>
  <c r="H449" i="543"/>
  <c r="V448" i="543"/>
  <c r="W448" i="543" s="1"/>
  <c r="N448" i="543"/>
  <c r="K448" i="543"/>
  <c r="M448" i="543" s="1"/>
  <c r="K448" i="543" a="1"/>
  <c r="J448" i="543"/>
  <c r="J448" i="543" a="1"/>
  <c r="H448" i="543"/>
  <c r="V447" i="543"/>
  <c r="W447" i="543" s="1"/>
  <c r="N447" i="543"/>
  <c r="K447" i="543" a="1"/>
  <c r="K447" i="543" s="1"/>
  <c r="M447" i="543" s="1"/>
  <c r="J447" i="543" a="1"/>
  <c r="J447" i="543" s="1"/>
  <c r="H447" i="543"/>
  <c r="V446" i="543"/>
  <c r="W446" i="543" s="1"/>
  <c r="N446" i="543"/>
  <c r="K446" i="543" a="1"/>
  <c r="K446" i="543" s="1"/>
  <c r="M446" i="543" s="1"/>
  <c r="J446" i="543" a="1"/>
  <c r="J446" i="543" s="1"/>
  <c r="H446" i="543"/>
  <c r="V445" i="543"/>
  <c r="W445" i="543" s="1"/>
  <c r="N445" i="543"/>
  <c r="K445" i="543" a="1"/>
  <c r="K445" i="543" s="1"/>
  <c r="M445" i="543" s="1"/>
  <c r="J445" i="543" a="1"/>
  <c r="J445" i="543" s="1"/>
  <c r="H445" i="543"/>
  <c r="V444" i="543"/>
  <c r="W444" i="543" s="1"/>
  <c r="N444" i="543"/>
  <c r="K444" i="543"/>
  <c r="M444" i="543" s="1"/>
  <c r="K444" i="543" a="1"/>
  <c r="J444" i="543"/>
  <c r="J444" i="543" a="1"/>
  <c r="H444" i="543"/>
  <c r="V443" i="543"/>
  <c r="W443" i="543" s="1"/>
  <c r="N443" i="543"/>
  <c r="K443" i="543" a="1"/>
  <c r="K443" i="543" s="1"/>
  <c r="M443" i="543" s="1"/>
  <c r="J443" i="543" a="1"/>
  <c r="J443" i="543" s="1"/>
  <c r="H443" i="543"/>
  <c r="V442" i="543"/>
  <c r="W442" i="543" s="1"/>
  <c r="N442" i="543"/>
  <c r="K442" i="543" a="1"/>
  <c r="K442" i="543" s="1"/>
  <c r="M442" i="543" s="1"/>
  <c r="J442" i="543" a="1"/>
  <c r="J442" i="543" s="1"/>
  <c r="H442" i="543"/>
  <c r="V441" i="543"/>
  <c r="W441" i="543" s="1"/>
  <c r="N441" i="543"/>
  <c r="K441" i="543" a="1"/>
  <c r="K441" i="543" s="1"/>
  <c r="M441" i="543" s="1"/>
  <c r="J441" i="543" a="1"/>
  <c r="J441" i="543" s="1"/>
  <c r="H441" i="543"/>
  <c r="V440" i="543"/>
  <c r="W440" i="543" s="1"/>
  <c r="N440" i="543"/>
  <c r="K440" i="543"/>
  <c r="M440" i="543" s="1"/>
  <c r="K440" i="543" a="1"/>
  <c r="J440" i="543"/>
  <c r="J440" i="543" a="1"/>
  <c r="H440" i="543"/>
  <c r="V439" i="543"/>
  <c r="W439" i="543" s="1"/>
  <c r="N439" i="543"/>
  <c r="K439" i="543" a="1"/>
  <c r="K439" i="543" s="1"/>
  <c r="M439" i="543" s="1"/>
  <c r="J439" i="543" a="1"/>
  <c r="J439" i="543" s="1"/>
  <c r="H439" i="543"/>
  <c r="W438" i="543"/>
  <c r="V438" i="543"/>
  <c r="N438" i="543"/>
  <c r="K438" i="543" a="1"/>
  <c r="K438" i="543" s="1"/>
  <c r="M438" i="543" s="1"/>
  <c r="J438" i="543" a="1"/>
  <c r="J438" i="543" s="1"/>
  <c r="H438" i="543"/>
  <c r="V437" i="543"/>
  <c r="W437" i="543" s="1"/>
  <c r="N437" i="543"/>
  <c r="K437" i="543" a="1"/>
  <c r="K437" i="543" s="1"/>
  <c r="M437" i="543" s="1"/>
  <c r="J437" i="543" a="1"/>
  <c r="J437" i="543" s="1"/>
  <c r="H437" i="543"/>
  <c r="N436" i="543"/>
  <c r="K436" i="543"/>
  <c r="M436" i="543" s="1"/>
  <c r="K436" i="543" a="1"/>
  <c r="H436" i="543"/>
  <c r="V435" i="543"/>
  <c r="W435" i="543" s="1"/>
  <c r="N435" i="543"/>
  <c r="K435" i="543" a="1"/>
  <c r="K435" i="543" s="1"/>
  <c r="M435" i="543" s="1"/>
  <c r="J435" i="543" a="1"/>
  <c r="J435" i="543" s="1"/>
  <c r="H435" i="543"/>
  <c r="V434" i="543"/>
  <c r="W434" i="543" s="1"/>
  <c r="N434" i="543"/>
  <c r="K434" i="543" a="1"/>
  <c r="K434" i="543" s="1"/>
  <c r="M434" i="543" s="1"/>
  <c r="J434" i="543" a="1"/>
  <c r="J434" i="543" s="1"/>
  <c r="H434" i="543"/>
  <c r="V433" i="543"/>
  <c r="W433" i="543" s="1"/>
  <c r="N433" i="543"/>
  <c r="K433" i="543" a="1"/>
  <c r="K433" i="543" s="1"/>
  <c r="M433" i="543" s="1"/>
  <c r="J433" i="543" a="1"/>
  <c r="J433" i="543" s="1"/>
  <c r="H433" i="543"/>
  <c r="V432" i="543"/>
  <c r="W432" i="543" s="1"/>
  <c r="N432" i="543"/>
  <c r="K432" i="543"/>
  <c r="M432" i="543" s="1"/>
  <c r="K432" i="543" a="1"/>
  <c r="J432" i="543"/>
  <c r="J432" i="543" a="1"/>
  <c r="H432" i="543"/>
  <c r="V431" i="543"/>
  <c r="W431" i="543" s="1"/>
  <c r="N431" i="543"/>
  <c r="K431" i="543" a="1"/>
  <c r="K431" i="543" s="1"/>
  <c r="M431" i="543" s="1"/>
  <c r="J431" i="543" a="1"/>
  <c r="J431" i="543" s="1"/>
  <c r="H431" i="543"/>
  <c r="V430" i="543"/>
  <c r="W430" i="543" s="1"/>
  <c r="N430" i="543"/>
  <c r="K430" i="543" a="1"/>
  <c r="K430" i="543" s="1"/>
  <c r="M430" i="543" s="1"/>
  <c r="J430" i="543" a="1"/>
  <c r="J430" i="543" s="1"/>
  <c r="H430" i="543"/>
  <c r="V429" i="543"/>
  <c r="N429" i="543"/>
  <c r="K429" i="543" a="1"/>
  <c r="K429" i="543" s="1"/>
  <c r="J429" i="543" a="1"/>
  <c r="J429" i="543" s="1"/>
  <c r="H429" i="543"/>
  <c r="AA428" i="543"/>
  <c r="Z428" i="543"/>
  <c r="Y428" i="543"/>
  <c r="X428" i="543"/>
  <c r="U428" i="543"/>
  <c r="T428" i="543"/>
  <c r="S428" i="543"/>
  <c r="R428" i="543"/>
  <c r="Q428" i="543"/>
  <c r="P428" i="543"/>
  <c r="O428" i="543"/>
  <c r="I428" i="543"/>
  <c r="G428" i="543"/>
  <c r="K427" i="543"/>
  <c r="M427" i="543" s="1"/>
  <c r="K427" i="543" a="1"/>
  <c r="H427" i="543"/>
  <c r="K426" i="543" a="1"/>
  <c r="K426" i="543" s="1"/>
  <c r="M426" i="543" s="1"/>
  <c r="H426" i="543"/>
  <c r="K425" i="543"/>
  <c r="M425" i="543" s="1"/>
  <c r="K425" i="543" a="1"/>
  <c r="H425" i="543"/>
  <c r="K424" i="543" a="1"/>
  <c r="K424" i="543" s="1"/>
  <c r="M424" i="543" s="1"/>
  <c r="H424" i="543"/>
  <c r="K423" i="543"/>
  <c r="M423" i="543" s="1"/>
  <c r="K423" i="543" a="1"/>
  <c r="H423" i="543"/>
  <c r="K422" i="543" a="1"/>
  <c r="K422" i="543" s="1"/>
  <c r="M422" i="543" s="1"/>
  <c r="H422" i="543"/>
  <c r="K421" i="543"/>
  <c r="M421" i="543" s="1"/>
  <c r="K421" i="543" a="1"/>
  <c r="H421" i="543"/>
  <c r="K420" i="543" a="1"/>
  <c r="K420" i="543" s="1"/>
  <c r="M420" i="543" s="1"/>
  <c r="H420" i="543"/>
  <c r="K419" i="543"/>
  <c r="M419" i="543" s="1"/>
  <c r="K419" i="543" a="1"/>
  <c r="H419" i="543"/>
  <c r="K418" i="543" a="1"/>
  <c r="K418" i="543" s="1"/>
  <c r="M418" i="543" s="1"/>
  <c r="H418" i="543"/>
  <c r="V417" i="543"/>
  <c r="W417" i="543" s="1"/>
  <c r="N417" i="543"/>
  <c r="K417" i="543"/>
  <c r="M417" i="543" s="1"/>
  <c r="K417" i="543" a="1"/>
  <c r="J417" i="543" a="1"/>
  <c r="J417" i="543" s="1"/>
  <c r="H417" i="543"/>
  <c r="W416" i="543"/>
  <c r="V416" i="543"/>
  <c r="N416" i="543"/>
  <c r="K416" i="543" a="1"/>
  <c r="K416" i="543" s="1"/>
  <c r="M416" i="543" s="1"/>
  <c r="J416" i="543" a="1"/>
  <c r="J416" i="543" s="1"/>
  <c r="H416" i="543"/>
  <c r="V415" i="543"/>
  <c r="W415" i="543" s="1"/>
  <c r="N415" i="543"/>
  <c r="K415" i="543"/>
  <c r="M415" i="543" s="1"/>
  <c r="K415" i="543" a="1"/>
  <c r="J415" i="543" a="1"/>
  <c r="J415" i="543" s="1"/>
  <c r="H415" i="543"/>
  <c r="W414" i="543"/>
  <c r="V414" i="543"/>
  <c r="N414" i="543"/>
  <c r="K414" i="543" a="1"/>
  <c r="K414" i="543" s="1"/>
  <c r="M414" i="543" s="1"/>
  <c r="J414" i="543" a="1"/>
  <c r="J414" i="543" s="1"/>
  <c r="H414" i="543"/>
  <c r="H413" i="543"/>
  <c r="V412" i="543"/>
  <c r="W412" i="543" s="1"/>
  <c r="N412" i="543"/>
  <c r="K412" i="543" a="1"/>
  <c r="K412" i="543" s="1"/>
  <c r="M412" i="543" s="1"/>
  <c r="J412" i="543" a="1"/>
  <c r="J412" i="543" s="1"/>
  <c r="H412" i="543"/>
  <c r="V411" i="543"/>
  <c r="W411" i="543" s="1"/>
  <c r="N411" i="543"/>
  <c r="K411" i="543"/>
  <c r="M411" i="543" s="1"/>
  <c r="K411" i="543" a="1"/>
  <c r="J411" i="543"/>
  <c r="J411" i="543" a="1"/>
  <c r="H411" i="543"/>
  <c r="H410" i="543"/>
  <c r="K409" i="543" a="1"/>
  <c r="K409" i="543" s="1"/>
  <c r="H409" i="543"/>
  <c r="V408" i="543"/>
  <c r="W408" i="543" s="1"/>
  <c r="N408" i="543"/>
  <c r="K408" i="543" a="1"/>
  <c r="K408" i="543" s="1"/>
  <c r="M408" i="543" s="1"/>
  <c r="J408" i="543" a="1"/>
  <c r="J408" i="543" s="1"/>
  <c r="H408" i="543"/>
  <c r="V407" i="543"/>
  <c r="W407" i="543" s="1"/>
  <c r="N407" i="543"/>
  <c r="K407" i="543"/>
  <c r="M407" i="543" s="1"/>
  <c r="K407" i="543" a="1"/>
  <c r="J407" i="543"/>
  <c r="J407" i="543" a="1"/>
  <c r="H407" i="543"/>
  <c r="V406" i="543"/>
  <c r="W406" i="543" s="1"/>
  <c r="N406" i="543"/>
  <c r="K406" i="543" a="1"/>
  <c r="K406" i="543" s="1"/>
  <c r="M406" i="543" s="1"/>
  <c r="J406" i="543" a="1"/>
  <c r="J406" i="543" s="1"/>
  <c r="H406" i="543"/>
  <c r="V405" i="543"/>
  <c r="W405" i="543" s="1"/>
  <c r="N405" i="543"/>
  <c r="K405" i="543" a="1"/>
  <c r="K405" i="543" s="1"/>
  <c r="M405" i="543" s="1"/>
  <c r="J405" i="543" a="1"/>
  <c r="J405" i="543" s="1"/>
  <c r="H405" i="543"/>
  <c r="V404" i="543"/>
  <c r="W404" i="543" s="1"/>
  <c r="N404" i="543"/>
  <c r="K404" i="543" a="1"/>
  <c r="K404" i="543" s="1"/>
  <c r="M404" i="543" s="1"/>
  <c r="J404" i="543" a="1"/>
  <c r="J404" i="543" s="1"/>
  <c r="H404" i="543"/>
  <c r="V403" i="543"/>
  <c r="W403" i="543" s="1"/>
  <c r="N403" i="543"/>
  <c r="K403" i="543"/>
  <c r="M403" i="543" s="1"/>
  <c r="K403" i="543" a="1"/>
  <c r="J403" i="543"/>
  <c r="J403" i="543" a="1"/>
  <c r="H403" i="543"/>
  <c r="V402" i="543"/>
  <c r="W402" i="543" s="1"/>
  <c r="N402" i="543"/>
  <c r="K402" i="543" a="1"/>
  <c r="K402" i="543" s="1"/>
  <c r="M402" i="543" s="1"/>
  <c r="J402" i="543" a="1"/>
  <c r="J402" i="543" s="1"/>
  <c r="H402" i="543"/>
  <c r="V401" i="543"/>
  <c r="W401" i="543" s="1"/>
  <c r="N401" i="543"/>
  <c r="K401" i="543" a="1"/>
  <c r="K401" i="543" s="1"/>
  <c r="M401" i="543" s="1"/>
  <c r="J401" i="543" a="1"/>
  <c r="J401" i="543" s="1"/>
  <c r="H401" i="543"/>
  <c r="V400" i="543"/>
  <c r="W400" i="543" s="1"/>
  <c r="N400" i="543"/>
  <c r="K400" i="543" a="1"/>
  <c r="K400" i="543" s="1"/>
  <c r="M400" i="543" s="1"/>
  <c r="J400" i="543" a="1"/>
  <c r="J400" i="543" s="1"/>
  <c r="H400" i="543"/>
  <c r="V399" i="543"/>
  <c r="W399" i="543" s="1"/>
  <c r="N399" i="543"/>
  <c r="K399" i="543"/>
  <c r="M399" i="543" s="1"/>
  <c r="K399" i="543" a="1"/>
  <c r="J399" i="543"/>
  <c r="J399" i="543" a="1"/>
  <c r="H399" i="543"/>
  <c r="K398" i="543" a="1"/>
  <c r="K398" i="543" s="1"/>
  <c r="M398" i="543" s="1"/>
  <c r="H398" i="543"/>
  <c r="K397" i="543" a="1"/>
  <c r="K397" i="543" s="1"/>
  <c r="M397" i="543" s="1"/>
  <c r="H397" i="543"/>
  <c r="K396" i="543" a="1"/>
  <c r="K396" i="543" s="1"/>
  <c r="M396" i="543" s="1"/>
  <c r="H396" i="543"/>
  <c r="K395" i="543" a="1"/>
  <c r="K395" i="543" s="1"/>
  <c r="M395" i="543" s="1"/>
  <c r="H395" i="543"/>
  <c r="N394" i="543"/>
  <c r="K394" i="543" a="1"/>
  <c r="K394" i="543" s="1"/>
  <c r="M394" i="543" s="1"/>
  <c r="H394" i="543"/>
  <c r="N393" i="543"/>
  <c r="K393" i="543" a="1"/>
  <c r="K393" i="543" s="1"/>
  <c r="M393" i="543" s="1"/>
  <c r="H393" i="543"/>
  <c r="N392" i="543"/>
  <c r="K392" i="543"/>
  <c r="M392" i="543" s="1"/>
  <c r="K392" i="543" a="1"/>
  <c r="H392" i="543"/>
  <c r="N391" i="543"/>
  <c r="K391" i="543" a="1"/>
  <c r="K391" i="543" s="1"/>
  <c r="M391" i="543" s="1"/>
  <c r="H391" i="543"/>
  <c r="W390" i="543"/>
  <c r="V390" i="543"/>
  <c r="N390" i="543"/>
  <c r="K390" i="543" a="1"/>
  <c r="K390" i="543" s="1"/>
  <c r="M390" i="543" s="1"/>
  <c r="J390" i="543" a="1"/>
  <c r="J390" i="543" s="1"/>
  <c r="H390" i="543"/>
  <c r="V389" i="543"/>
  <c r="W389" i="543" s="1"/>
  <c r="N389" i="543"/>
  <c r="K389" i="543" a="1"/>
  <c r="K389" i="543" s="1"/>
  <c r="M389" i="543" s="1"/>
  <c r="J389" i="543" a="1"/>
  <c r="J389" i="543" s="1"/>
  <c r="H389" i="543"/>
  <c r="V388" i="543"/>
  <c r="W388" i="543" s="1"/>
  <c r="N388" i="543"/>
  <c r="K388" i="543"/>
  <c r="M388" i="543" s="1"/>
  <c r="K388" i="543" a="1"/>
  <c r="J388" i="543"/>
  <c r="J388" i="543" a="1"/>
  <c r="H388" i="543"/>
  <c r="V387" i="543"/>
  <c r="W387" i="543" s="1"/>
  <c r="N387" i="543"/>
  <c r="K387" i="543" a="1"/>
  <c r="K387" i="543" s="1"/>
  <c r="M387" i="543" s="1"/>
  <c r="J387" i="543" a="1"/>
  <c r="J387" i="543" s="1"/>
  <c r="H387" i="543"/>
  <c r="V386" i="543"/>
  <c r="W386" i="543" s="1"/>
  <c r="N386" i="543"/>
  <c r="K386" i="543" a="1"/>
  <c r="K386" i="543" s="1"/>
  <c r="M386" i="543" s="1"/>
  <c r="J386" i="543" a="1"/>
  <c r="J386" i="543" s="1"/>
  <c r="H386" i="543"/>
  <c r="V385" i="543"/>
  <c r="W385" i="543" s="1"/>
  <c r="N385" i="543"/>
  <c r="K385" i="543" a="1"/>
  <c r="K385" i="543" s="1"/>
  <c r="M385" i="543" s="1"/>
  <c r="J385" i="543" a="1"/>
  <c r="J385" i="543" s="1"/>
  <c r="H385" i="543"/>
  <c r="V384" i="543"/>
  <c r="W384" i="543" s="1"/>
  <c r="N384" i="543"/>
  <c r="K384" i="543"/>
  <c r="M384" i="543" s="1"/>
  <c r="K384" i="543" a="1"/>
  <c r="J384" i="543"/>
  <c r="J384" i="543" a="1"/>
  <c r="H384" i="543"/>
  <c r="V383" i="543"/>
  <c r="W383" i="543" s="1"/>
  <c r="N383" i="543"/>
  <c r="K383" i="543" a="1"/>
  <c r="K383" i="543" s="1"/>
  <c r="M383" i="543" s="1"/>
  <c r="J383" i="543" a="1"/>
  <c r="J383" i="543" s="1"/>
  <c r="H383" i="543"/>
  <c r="V382" i="543"/>
  <c r="W382" i="543" s="1"/>
  <c r="N382" i="543"/>
  <c r="K382" i="543" a="1"/>
  <c r="K382" i="543" s="1"/>
  <c r="M382" i="543" s="1"/>
  <c r="J382" i="543" a="1"/>
  <c r="J382" i="543" s="1"/>
  <c r="H382" i="543"/>
  <c r="V381" i="543"/>
  <c r="W381" i="543" s="1"/>
  <c r="N381" i="543"/>
  <c r="K381" i="543" a="1"/>
  <c r="K381" i="543" s="1"/>
  <c r="M381" i="543" s="1"/>
  <c r="J381" i="543" a="1"/>
  <c r="J381" i="543" s="1"/>
  <c r="H381" i="543"/>
  <c r="V380" i="543"/>
  <c r="W380" i="543" s="1"/>
  <c r="N380" i="543"/>
  <c r="K380" i="543"/>
  <c r="M380" i="543" s="1"/>
  <c r="K380" i="543" a="1"/>
  <c r="J380" i="543"/>
  <c r="J380" i="543" a="1"/>
  <c r="H380" i="543"/>
  <c r="V379" i="543"/>
  <c r="W379" i="543" s="1"/>
  <c r="N379" i="543"/>
  <c r="K379" i="543" a="1"/>
  <c r="K379" i="543" s="1"/>
  <c r="M379" i="543" s="1"/>
  <c r="J379" i="543" a="1"/>
  <c r="J379" i="543" s="1"/>
  <c r="H379" i="543"/>
  <c r="K378" i="543" a="1"/>
  <c r="K378" i="543" s="1"/>
  <c r="M378" i="543" s="1"/>
  <c r="H378" i="543"/>
  <c r="K377" i="543" a="1"/>
  <c r="K377" i="543" s="1"/>
  <c r="M377" i="543" s="1"/>
  <c r="H377" i="543"/>
  <c r="K376" i="543" a="1"/>
  <c r="K376" i="543" s="1"/>
  <c r="M376" i="543" s="1"/>
  <c r="H376" i="543"/>
  <c r="V375" i="543"/>
  <c r="W375" i="543" s="1"/>
  <c r="N375" i="543"/>
  <c r="K375" i="543" a="1"/>
  <c r="K375" i="543" s="1"/>
  <c r="M375" i="543" s="1"/>
  <c r="J375" i="543" a="1"/>
  <c r="J375" i="543" s="1"/>
  <c r="H375" i="543"/>
  <c r="V374" i="543"/>
  <c r="W374" i="543" s="1"/>
  <c r="N374" i="543"/>
  <c r="K374" i="543" a="1"/>
  <c r="K374" i="543" s="1"/>
  <c r="M374" i="543" s="1"/>
  <c r="J374" i="543" a="1"/>
  <c r="J374" i="543" s="1"/>
  <c r="H374" i="543"/>
  <c r="V373" i="543"/>
  <c r="W373" i="543" s="1"/>
  <c r="N373" i="543"/>
  <c r="K373" i="543"/>
  <c r="M373" i="543" s="1"/>
  <c r="K373" i="543" a="1"/>
  <c r="J373" i="543"/>
  <c r="J373" i="543" a="1"/>
  <c r="H373" i="543"/>
  <c r="K372" i="543" a="1"/>
  <c r="K372" i="543" s="1"/>
  <c r="H372" i="543"/>
  <c r="V371" i="543"/>
  <c r="V428" i="543" s="1"/>
  <c r="W428" i="543" s="1"/>
  <c r="N371" i="543"/>
  <c r="K371" i="543"/>
  <c r="K371" i="543" a="1"/>
  <c r="J371" i="543"/>
  <c r="J371" i="543" a="1"/>
  <c r="H371" i="543"/>
  <c r="H428" i="543" s="1"/>
  <c r="AA370" i="543"/>
  <c r="AA507" i="543" s="1"/>
  <c r="Z370" i="543"/>
  <c r="Z507" i="543" s="1"/>
  <c r="Y370" i="543"/>
  <c r="Y507" i="543" s="1"/>
  <c r="X370" i="543"/>
  <c r="X507" i="543" s="1"/>
  <c r="U370" i="543"/>
  <c r="U507" i="543" s="1"/>
  <c r="T370" i="543"/>
  <c r="T507" i="543" s="1"/>
  <c r="S370" i="543"/>
  <c r="S507" i="543" s="1"/>
  <c r="R370" i="543"/>
  <c r="R507" i="543" s="1"/>
  <c r="Q370" i="543"/>
  <c r="Q507" i="543" s="1"/>
  <c r="P370" i="543"/>
  <c r="P507" i="543" s="1"/>
  <c r="O370" i="543"/>
  <c r="I370" i="543"/>
  <c r="I507" i="543" s="1"/>
  <c r="B515" i="543" s="1"/>
  <c r="G370" i="543"/>
  <c r="G507" i="543" s="1"/>
  <c r="V369" i="543"/>
  <c r="W369" i="543" s="1"/>
  <c r="N369" i="543"/>
  <c r="K369" i="543" a="1"/>
  <c r="K369" i="543" s="1"/>
  <c r="M369" i="543" s="1"/>
  <c r="J369" i="543" a="1"/>
  <c r="J369" i="543" s="1"/>
  <c r="H369" i="543"/>
  <c r="V368" i="543"/>
  <c r="W368" i="543" s="1"/>
  <c r="N368" i="543"/>
  <c r="K368" i="543"/>
  <c r="M368" i="543" s="1"/>
  <c r="K368" i="543" a="1"/>
  <c r="J368" i="543"/>
  <c r="J368" i="543" a="1"/>
  <c r="H368" i="543"/>
  <c r="K367" i="543" a="1"/>
  <c r="K367" i="543" s="1"/>
  <c r="M367" i="543" s="1"/>
  <c r="H367" i="543"/>
  <c r="K366" i="543"/>
  <c r="M366" i="543" s="1"/>
  <c r="K366" i="543" a="1"/>
  <c r="H366" i="543"/>
  <c r="K365" i="543" a="1"/>
  <c r="K365" i="543" s="1"/>
  <c r="M365" i="543" s="1"/>
  <c r="H365" i="543"/>
  <c r="K364" i="543" a="1"/>
  <c r="K364" i="543" s="1"/>
  <c r="M364" i="543" s="1"/>
  <c r="H364" i="543"/>
  <c r="V363" i="543"/>
  <c r="W363" i="543" s="1"/>
  <c r="N363" i="543"/>
  <c r="K363" i="543" a="1"/>
  <c r="K363" i="543" s="1"/>
  <c r="M363" i="543" s="1"/>
  <c r="J363" i="543" a="1"/>
  <c r="J363" i="543" s="1"/>
  <c r="H363" i="543"/>
  <c r="V362" i="543"/>
  <c r="W362" i="543" s="1"/>
  <c r="N362" i="543"/>
  <c r="K362" i="543"/>
  <c r="M362" i="543" s="1"/>
  <c r="K362" i="543" a="1"/>
  <c r="J362" i="543"/>
  <c r="J362" i="543" a="1"/>
  <c r="H362" i="543"/>
  <c r="V361" i="543"/>
  <c r="W361" i="543" s="1"/>
  <c r="N361" i="543"/>
  <c r="K361" i="543" a="1"/>
  <c r="K361" i="543" s="1"/>
  <c r="M361" i="543" s="1"/>
  <c r="J361" i="543" a="1"/>
  <c r="J361" i="543" s="1"/>
  <c r="H361" i="543"/>
  <c r="H360" i="543"/>
  <c r="H359" i="543"/>
  <c r="W358" i="543"/>
  <c r="V358" i="543"/>
  <c r="N358" i="543"/>
  <c r="K358" i="543" a="1"/>
  <c r="K358" i="543" s="1"/>
  <c r="M358" i="543" s="1"/>
  <c r="J358" i="543" a="1"/>
  <c r="J358" i="543" s="1"/>
  <c r="H358" i="543"/>
  <c r="V357" i="543"/>
  <c r="W357" i="543" s="1"/>
  <c r="N357" i="543"/>
  <c r="K357" i="543" a="1"/>
  <c r="K357" i="543" s="1"/>
  <c r="M357" i="543" s="1"/>
  <c r="J357" i="543" a="1"/>
  <c r="J357" i="543" s="1"/>
  <c r="H357" i="543"/>
  <c r="K356" i="543" a="1"/>
  <c r="K356" i="543" s="1"/>
  <c r="M356" i="543" s="1"/>
  <c r="H356" i="543"/>
  <c r="K355" i="543" a="1"/>
  <c r="K355" i="543" s="1"/>
  <c r="M355" i="543" s="1"/>
  <c r="H355" i="543"/>
  <c r="V354" i="543"/>
  <c r="W354" i="543" s="1"/>
  <c r="N354" i="543"/>
  <c r="K354" i="543"/>
  <c r="M354" i="543" s="1"/>
  <c r="K354" i="543" a="1"/>
  <c r="J354" i="543"/>
  <c r="J354" i="543" a="1"/>
  <c r="H354" i="543"/>
  <c r="V353" i="543"/>
  <c r="W353" i="543" s="1"/>
  <c r="N353" i="543"/>
  <c r="K353" i="543" a="1"/>
  <c r="K353" i="543" s="1"/>
  <c r="M353" i="543" s="1"/>
  <c r="J353" i="543" a="1"/>
  <c r="J353" i="543" s="1"/>
  <c r="H353" i="543"/>
  <c r="W352" i="543"/>
  <c r="V352" i="543"/>
  <c r="N352" i="543"/>
  <c r="K352" i="543" a="1"/>
  <c r="K352" i="543" s="1"/>
  <c r="M352" i="543" s="1"/>
  <c r="J352" i="543" a="1"/>
  <c r="J352" i="543" s="1"/>
  <c r="H352" i="543"/>
  <c r="V351" i="543"/>
  <c r="W351" i="543" s="1"/>
  <c r="N351" i="543"/>
  <c r="K351" i="543" a="1"/>
  <c r="K351" i="543" s="1"/>
  <c r="M351" i="543" s="1"/>
  <c r="J351" i="543" a="1"/>
  <c r="J351" i="543" s="1"/>
  <c r="H351" i="543"/>
  <c r="V350" i="543"/>
  <c r="W350" i="543" s="1"/>
  <c r="N350" i="543"/>
  <c r="K350" i="543"/>
  <c r="M350" i="543" s="1"/>
  <c r="K350" i="543" a="1"/>
  <c r="J350" i="543"/>
  <c r="J350" i="543" a="1"/>
  <c r="H350" i="543"/>
  <c r="V349" i="543"/>
  <c r="V370" i="543" s="1"/>
  <c r="N349" i="543"/>
  <c r="N370" i="543" s="1"/>
  <c r="K349" i="543" a="1"/>
  <c r="K349" i="543" s="1"/>
  <c r="J349" i="543" a="1"/>
  <c r="J349" i="543" s="1"/>
  <c r="H349" i="543"/>
  <c r="H370" i="543" s="1"/>
  <c r="X343" i="543"/>
  <c r="X342" i="543"/>
  <c r="X341" i="543"/>
  <c r="G341" i="543"/>
  <c r="C341" i="543"/>
  <c r="X340" i="543"/>
  <c r="I340" i="543"/>
  <c r="E340" i="543"/>
  <c r="K340" i="543" s="1"/>
  <c r="M340" i="543" s="1"/>
  <c r="I339" i="543"/>
  <c r="E339" i="543"/>
  <c r="K339" i="543" s="1"/>
  <c r="M339" i="543" s="1"/>
  <c r="I338" i="543"/>
  <c r="E338" i="543"/>
  <c r="K338" i="543" s="1"/>
  <c r="M338" i="543" s="1"/>
  <c r="X337" i="543"/>
  <c r="I337" i="543"/>
  <c r="I341" i="543" s="1"/>
  <c r="E337" i="543"/>
  <c r="AA334" i="543"/>
  <c r="Z334" i="543"/>
  <c r="Y334" i="543"/>
  <c r="X334" i="543"/>
  <c r="U334" i="543"/>
  <c r="T334" i="543"/>
  <c r="S334" i="543"/>
  <c r="R334" i="543"/>
  <c r="Q334" i="543"/>
  <c r="P334" i="543"/>
  <c r="O334" i="543"/>
  <c r="R342" i="543" s="1"/>
  <c r="I334" i="543"/>
  <c r="G334" i="543"/>
  <c r="K333" i="543" a="1"/>
  <c r="K333" i="543" s="1"/>
  <c r="H333" i="543"/>
  <c r="K332" i="543"/>
  <c r="K332" i="543" a="1"/>
  <c r="H332" i="543"/>
  <c r="K331" i="543" a="1"/>
  <c r="K331" i="543" s="1"/>
  <c r="H331" i="543"/>
  <c r="V330" i="543"/>
  <c r="W330" i="543" s="1"/>
  <c r="N330" i="543"/>
  <c r="K330" i="543" a="1"/>
  <c r="K330" i="543" s="1"/>
  <c r="D330" i="543"/>
  <c r="H330" i="543" s="1"/>
  <c r="H329" i="543"/>
  <c r="K328" i="543" a="1"/>
  <c r="K328" i="543" s="1"/>
  <c r="H328" i="543"/>
  <c r="H327" i="543"/>
  <c r="V326" i="543"/>
  <c r="W326" i="543" s="1"/>
  <c r="N326" i="543"/>
  <c r="K326" i="543" a="1"/>
  <c r="K326" i="543" s="1"/>
  <c r="M326" i="543" s="1"/>
  <c r="J326" i="543" a="1"/>
  <c r="J326" i="543" s="1"/>
  <c r="H326" i="543"/>
  <c r="V325" i="543"/>
  <c r="W325" i="543" s="1"/>
  <c r="N325" i="543"/>
  <c r="K325" i="543" a="1"/>
  <c r="K325" i="543" s="1"/>
  <c r="M325" i="543" s="1"/>
  <c r="J325" i="543" a="1"/>
  <c r="J325" i="543" s="1"/>
  <c r="H325" i="543"/>
  <c r="H324" i="543"/>
  <c r="V323" i="543"/>
  <c r="W323" i="543" s="1"/>
  <c r="N323" i="543"/>
  <c r="K323" i="543" a="1"/>
  <c r="K323" i="543" s="1"/>
  <c r="M323" i="543" s="1"/>
  <c r="J323" i="543" a="1"/>
  <c r="J323" i="543" s="1"/>
  <c r="H323" i="543"/>
  <c r="V322" i="543"/>
  <c r="W322" i="543" s="1"/>
  <c r="N322" i="543"/>
  <c r="K322" i="543"/>
  <c r="M322" i="543" s="1"/>
  <c r="K322" i="543" a="1"/>
  <c r="J322" i="543"/>
  <c r="J322" i="543" a="1"/>
  <c r="H322" i="543"/>
  <c r="V321" i="543"/>
  <c r="W321" i="543" s="1"/>
  <c r="N321" i="543"/>
  <c r="K321" i="543" a="1"/>
  <c r="K321" i="543" s="1"/>
  <c r="M321" i="543" s="1"/>
  <c r="J321" i="543" a="1"/>
  <c r="J321" i="543" s="1"/>
  <c r="H321" i="543"/>
  <c r="V320" i="543"/>
  <c r="V334" i="543" s="1"/>
  <c r="N320" i="543"/>
  <c r="N334" i="543" s="1"/>
  <c r="K320" i="543" a="1"/>
  <c r="K320" i="543" s="1"/>
  <c r="J320" i="543" a="1"/>
  <c r="J320" i="543" s="1"/>
  <c r="H320" i="543"/>
  <c r="H334" i="543" s="1"/>
  <c r="AA319" i="543"/>
  <c r="Z319" i="543"/>
  <c r="Y319" i="543"/>
  <c r="X319" i="543"/>
  <c r="U319" i="543"/>
  <c r="T319" i="543"/>
  <c r="S319" i="543"/>
  <c r="Q319" i="543"/>
  <c r="P319" i="543"/>
  <c r="O319" i="543"/>
  <c r="R341" i="543" s="1"/>
  <c r="I319" i="543"/>
  <c r="G319" i="543"/>
  <c r="J319" i="543" s="1" a="1"/>
  <c r="J319" i="543" s="1"/>
  <c r="V318" i="543"/>
  <c r="W318" i="543" s="1"/>
  <c r="N318" i="543"/>
  <c r="K318" i="543" a="1"/>
  <c r="K318" i="543" s="1"/>
  <c r="M318" i="543" s="1"/>
  <c r="J318" i="543" a="1"/>
  <c r="J318" i="543" s="1"/>
  <c r="H318" i="543"/>
  <c r="H316" i="543"/>
  <c r="H315" i="543"/>
  <c r="H314" i="543"/>
  <c r="V313" i="543"/>
  <c r="W313" i="543" s="1"/>
  <c r="N313" i="543"/>
  <c r="K313" i="543" a="1"/>
  <c r="K313" i="543" s="1"/>
  <c r="M313" i="543" s="1"/>
  <c r="J313" i="543" a="1"/>
  <c r="J313" i="543" s="1"/>
  <c r="H313" i="543"/>
  <c r="V312" i="543"/>
  <c r="W312" i="543" s="1"/>
  <c r="N312" i="543"/>
  <c r="K312" i="543"/>
  <c r="M312" i="543" s="1"/>
  <c r="K312" i="543" a="1"/>
  <c r="J312" i="543"/>
  <c r="J312" i="543" a="1"/>
  <c r="H312" i="543"/>
  <c r="V311" i="543"/>
  <c r="W311" i="543" s="1"/>
  <c r="N311" i="543"/>
  <c r="K311" i="543" a="1"/>
  <c r="K311" i="543" s="1"/>
  <c r="M311" i="543" s="1"/>
  <c r="J311" i="543" a="1"/>
  <c r="J311" i="543" s="1"/>
  <c r="H311" i="543"/>
  <c r="V310" i="543"/>
  <c r="W310" i="543" s="1"/>
  <c r="N310" i="543"/>
  <c r="K310" i="543" a="1"/>
  <c r="K310" i="543" s="1"/>
  <c r="M310" i="543" s="1"/>
  <c r="J310" i="543" a="1"/>
  <c r="J310" i="543" s="1"/>
  <c r="H310" i="543"/>
  <c r="V309" i="543"/>
  <c r="V319" i="543" s="1"/>
  <c r="W319" i="543" s="1"/>
  <c r="N309" i="543"/>
  <c r="N319" i="543" s="1"/>
  <c r="K309" i="543" a="1"/>
  <c r="K309" i="543" s="1"/>
  <c r="J309" i="543" a="1"/>
  <c r="J309" i="543" s="1"/>
  <c r="H309" i="543"/>
  <c r="H319" i="543" s="1"/>
  <c r="AA308" i="543"/>
  <c r="Z308" i="543"/>
  <c r="Y308" i="543"/>
  <c r="X308" i="543"/>
  <c r="U308" i="543"/>
  <c r="T308" i="543"/>
  <c r="S308" i="543"/>
  <c r="Q308" i="543"/>
  <c r="P308" i="543"/>
  <c r="O308" i="543"/>
  <c r="I308" i="543"/>
  <c r="V307" i="543"/>
  <c r="W307" i="543" s="1"/>
  <c r="N307" i="543"/>
  <c r="K307" i="543" a="1"/>
  <c r="K307" i="543" s="1"/>
  <c r="M307" i="543" s="1"/>
  <c r="J307" i="543" a="1"/>
  <c r="J307" i="543" s="1"/>
  <c r="H307" i="543"/>
  <c r="V306" i="543"/>
  <c r="W306" i="543" s="1"/>
  <c r="N306" i="543"/>
  <c r="G306" i="543"/>
  <c r="K306" i="543" s="1" a="1"/>
  <c r="K306" i="543" s="1"/>
  <c r="M306" i="543" s="1"/>
  <c r="V305" i="543"/>
  <c r="W305" i="543" s="1"/>
  <c r="N305" i="543"/>
  <c r="K305" i="543" a="1"/>
  <c r="K305" i="543" s="1"/>
  <c r="M305" i="543" s="1"/>
  <c r="J305" i="543" a="1"/>
  <c r="J305" i="543" s="1"/>
  <c r="H305" i="543"/>
  <c r="V304" i="543"/>
  <c r="W304" i="543" s="1"/>
  <c r="N304" i="543"/>
  <c r="K304" i="543"/>
  <c r="M304" i="543" s="1"/>
  <c r="K304" i="543" a="1"/>
  <c r="J304" i="543"/>
  <c r="J304" i="543" a="1"/>
  <c r="H304" i="543"/>
  <c r="V303" i="543"/>
  <c r="W303" i="543" s="1"/>
  <c r="N303" i="543"/>
  <c r="K303" i="543" a="1"/>
  <c r="K303" i="543" s="1"/>
  <c r="M303" i="543" s="1"/>
  <c r="J303" i="543" a="1"/>
  <c r="J303" i="543" s="1"/>
  <c r="H303" i="543"/>
  <c r="V302" i="543"/>
  <c r="W302" i="543" s="1"/>
  <c r="N302" i="543"/>
  <c r="K302" i="543" a="1"/>
  <c r="K302" i="543" s="1"/>
  <c r="M302" i="543" s="1"/>
  <c r="J302" i="543" a="1"/>
  <c r="J302" i="543" s="1"/>
  <c r="H302" i="543"/>
  <c r="V301" i="543"/>
  <c r="W301" i="543" s="1"/>
  <c r="N301" i="543"/>
  <c r="K301" i="543" a="1"/>
  <c r="K301" i="543" s="1"/>
  <c r="M301" i="543" s="1"/>
  <c r="J301" i="543" a="1"/>
  <c r="J301" i="543" s="1"/>
  <c r="H301" i="543"/>
  <c r="V300" i="543"/>
  <c r="W300" i="543" s="1"/>
  <c r="N300" i="543"/>
  <c r="K300" i="543"/>
  <c r="M300" i="543" s="1"/>
  <c r="K300" i="543" a="1"/>
  <c r="J300" i="543"/>
  <c r="J300" i="543" a="1"/>
  <c r="H300" i="543"/>
  <c r="V299" i="543"/>
  <c r="W299" i="543" s="1"/>
  <c r="N299" i="543"/>
  <c r="K299" i="543" a="1"/>
  <c r="K299" i="543" s="1"/>
  <c r="M299" i="543" s="1"/>
  <c r="J299" i="543" a="1"/>
  <c r="J299" i="543" s="1"/>
  <c r="H299" i="543"/>
  <c r="V298" i="543"/>
  <c r="W298" i="543" s="1"/>
  <c r="N298" i="543"/>
  <c r="K298" i="543" a="1"/>
  <c r="K298" i="543" s="1"/>
  <c r="M298" i="543" s="1"/>
  <c r="J298" i="543" a="1"/>
  <c r="J298" i="543" s="1"/>
  <c r="H298" i="543"/>
  <c r="V297" i="543"/>
  <c r="W297" i="543" s="1"/>
  <c r="N297" i="543"/>
  <c r="K297" i="543" a="1"/>
  <c r="K297" i="543" s="1"/>
  <c r="M297" i="543" s="1"/>
  <c r="J297" i="543" a="1"/>
  <c r="J297" i="543" s="1"/>
  <c r="H297" i="543"/>
  <c r="V296" i="543"/>
  <c r="W296" i="543" s="1"/>
  <c r="N296" i="543"/>
  <c r="K296" i="543"/>
  <c r="M296" i="543" s="1"/>
  <c r="K296" i="543" a="1"/>
  <c r="J296" i="543"/>
  <c r="J296" i="543" a="1"/>
  <c r="H296" i="543"/>
  <c r="V295" i="543"/>
  <c r="W295" i="543" s="1"/>
  <c r="N295" i="543"/>
  <c r="K295" i="543" a="1"/>
  <c r="K295" i="543" s="1"/>
  <c r="M295" i="543" s="1"/>
  <c r="J295" i="543" a="1"/>
  <c r="J295" i="543" s="1"/>
  <c r="H295" i="543"/>
  <c r="V294" i="543"/>
  <c r="W294" i="543" s="1"/>
  <c r="N294" i="543"/>
  <c r="K294" i="543" a="1"/>
  <c r="K294" i="543" s="1"/>
  <c r="M294" i="543" s="1"/>
  <c r="J294" i="543" a="1"/>
  <c r="J294" i="543" s="1"/>
  <c r="H294" i="543"/>
  <c r="V293" i="543"/>
  <c r="N293" i="543"/>
  <c r="K293" i="543" a="1"/>
  <c r="K293" i="543" s="1"/>
  <c r="J293" i="543" a="1"/>
  <c r="J293" i="543" s="1"/>
  <c r="H293" i="543"/>
  <c r="AA292" i="543"/>
  <c r="Z292" i="543"/>
  <c r="Y292" i="543"/>
  <c r="X292" i="543"/>
  <c r="U292" i="543"/>
  <c r="T292" i="543"/>
  <c r="S292" i="543"/>
  <c r="R292" i="543"/>
  <c r="Q292" i="543"/>
  <c r="P292" i="543"/>
  <c r="O292" i="543"/>
  <c r="R339" i="543" s="1"/>
  <c r="I292" i="543"/>
  <c r="G292" i="543"/>
  <c r="V291" i="543"/>
  <c r="W291" i="543" s="1"/>
  <c r="N291" i="543"/>
  <c r="K291" i="543" a="1"/>
  <c r="K291" i="543" s="1"/>
  <c r="M291" i="543" s="1"/>
  <c r="J291" i="543" a="1"/>
  <c r="J291" i="543" s="1"/>
  <c r="H291" i="543"/>
  <c r="V290" i="543"/>
  <c r="W290" i="543" s="1"/>
  <c r="N290" i="543"/>
  <c r="K290" i="543" a="1"/>
  <c r="K290" i="543" s="1"/>
  <c r="M290" i="543" s="1"/>
  <c r="J290" i="543" a="1"/>
  <c r="J290" i="543" s="1"/>
  <c r="H290" i="543"/>
  <c r="V289" i="543"/>
  <c r="W289" i="543" s="1"/>
  <c r="N289" i="543"/>
  <c r="K289" i="543" a="1"/>
  <c r="K289" i="543" s="1"/>
  <c r="M289" i="543" s="1"/>
  <c r="J289" i="543" a="1"/>
  <c r="J289" i="543" s="1"/>
  <c r="H289" i="543"/>
  <c r="H288" i="543"/>
  <c r="H287" i="543"/>
  <c r="H286" i="543"/>
  <c r="G286" i="543"/>
  <c r="V285" i="543"/>
  <c r="W285" i="543" s="1"/>
  <c r="N285" i="543"/>
  <c r="K285" i="543"/>
  <c r="M285" i="543" s="1"/>
  <c r="K285" i="543" a="1"/>
  <c r="J285" i="543"/>
  <c r="J285" i="543" a="1"/>
  <c r="H285" i="543"/>
  <c r="V284" i="543"/>
  <c r="W284" i="543" s="1"/>
  <c r="N284" i="543"/>
  <c r="K284" i="543" a="1"/>
  <c r="K284" i="543" s="1"/>
  <c r="M284" i="543" s="1"/>
  <c r="J284" i="543" a="1"/>
  <c r="J284" i="543" s="1"/>
  <c r="H284" i="543"/>
  <c r="N283" i="543"/>
  <c r="K283" i="543" a="1"/>
  <c r="K283" i="543" s="1"/>
  <c r="M283" i="543" s="1"/>
  <c r="H283" i="543"/>
  <c r="N282" i="543"/>
  <c r="K282" i="543" a="1"/>
  <c r="K282" i="543" s="1"/>
  <c r="M282" i="543" s="1"/>
  <c r="H282" i="543"/>
  <c r="N281" i="543"/>
  <c r="K281" i="543"/>
  <c r="M281" i="543" s="1"/>
  <c r="K281" i="543" a="1"/>
  <c r="H281" i="543"/>
  <c r="N280" i="543"/>
  <c r="K280" i="543" a="1"/>
  <c r="K280" i="543" s="1"/>
  <c r="M280" i="543" s="1"/>
  <c r="H280" i="543"/>
  <c r="N279" i="543"/>
  <c r="K279" i="543" a="1"/>
  <c r="K279" i="543" s="1"/>
  <c r="M279" i="543" s="1"/>
  <c r="H279" i="543"/>
  <c r="N278" i="543"/>
  <c r="K278" i="543" a="1"/>
  <c r="K278" i="543" s="1"/>
  <c r="M278" i="543" s="1"/>
  <c r="H278" i="543"/>
  <c r="V277" i="543"/>
  <c r="W277" i="543" s="1"/>
  <c r="N277" i="543"/>
  <c r="K277" i="543"/>
  <c r="M277" i="543" s="1"/>
  <c r="K277" i="543" a="1"/>
  <c r="J277" i="543"/>
  <c r="J277" i="543" a="1"/>
  <c r="H277" i="543"/>
  <c r="V276" i="543"/>
  <c r="W276" i="543" s="1"/>
  <c r="N276" i="543"/>
  <c r="K276" i="543" a="1"/>
  <c r="K276" i="543" s="1"/>
  <c r="M276" i="543" s="1"/>
  <c r="J276" i="543" a="1"/>
  <c r="J276" i="543" s="1"/>
  <c r="H276" i="543"/>
  <c r="V275" i="543"/>
  <c r="W275" i="543" s="1"/>
  <c r="N275" i="543"/>
  <c r="K275" i="543" a="1"/>
  <c r="K275" i="543" s="1"/>
  <c r="M275" i="543" s="1"/>
  <c r="J275" i="543" a="1"/>
  <c r="J275" i="543" s="1"/>
  <c r="H275" i="543"/>
  <c r="V274" i="543"/>
  <c r="W274" i="543" s="1"/>
  <c r="N274" i="543"/>
  <c r="K274" i="543" a="1"/>
  <c r="K274" i="543" s="1"/>
  <c r="M274" i="543" s="1"/>
  <c r="J274" i="543" a="1"/>
  <c r="J274" i="543" s="1"/>
  <c r="H274" i="543"/>
  <c r="V273" i="543"/>
  <c r="W273" i="543" s="1"/>
  <c r="N273" i="543"/>
  <c r="K273" i="543"/>
  <c r="M273" i="543" s="1"/>
  <c r="K273" i="543" a="1"/>
  <c r="J273" i="543"/>
  <c r="J273" i="543" a="1"/>
  <c r="H273" i="543"/>
  <c r="V272" i="543"/>
  <c r="W272" i="543" s="1"/>
  <c r="N272" i="543"/>
  <c r="K272" i="543" a="1"/>
  <c r="K272" i="543" s="1"/>
  <c r="M272" i="543" s="1"/>
  <c r="J272" i="543" a="1"/>
  <c r="J272" i="543" s="1"/>
  <c r="H272" i="543"/>
  <c r="V271" i="543"/>
  <c r="W271" i="543" s="1"/>
  <c r="N271" i="543"/>
  <c r="K271" i="543" a="1"/>
  <c r="K271" i="543" s="1"/>
  <c r="M271" i="543" s="1"/>
  <c r="J271" i="543" a="1"/>
  <c r="J271" i="543" s="1"/>
  <c r="H271" i="543"/>
  <c r="V270" i="543"/>
  <c r="W270" i="543" s="1"/>
  <c r="N270" i="543"/>
  <c r="K270" i="543" a="1"/>
  <c r="K270" i="543" s="1"/>
  <c r="M270" i="543" s="1"/>
  <c r="J270" i="543" a="1"/>
  <c r="J270" i="543" s="1"/>
  <c r="H270" i="543"/>
  <c r="V269" i="543"/>
  <c r="W269" i="543" s="1"/>
  <c r="N269" i="543"/>
  <c r="K269" i="543"/>
  <c r="M269" i="543" s="1"/>
  <c r="K269" i="543" a="1"/>
  <c r="J269" i="543"/>
  <c r="J269" i="543" a="1"/>
  <c r="H269" i="543"/>
  <c r="V268" i="543"/>
  <c r="W268" i="543" s="1"/>
  <c r="N268" i="543"/>
  <c r="K268" i="543" a="1"/>
  <c r="K268" i="543" s="1"/>
  <c r="M268" i="543" s="1"/>
  <c r="J268" i="543" a="1"/>
  <c r="J268" i="543" s="1"/>
  <c r="H268" i="543"/>
  <c r="W267" i="543"/>
  <c r="V267" i="543"/>
  <c r="N267" i="543"/>
  <c r="K267" i="543" a="1"/>
  <c r="K267" i="543" s="1"/>
  <c r="M267" i="543" s="1"/>
  <c r="J267" i="543" a="1"/>
  <c r="J267" i="543" s="1"/>
  <c r="H267" i="543"/>
  <c r="V266" i="543"/>
  <c r="W266" i="543" s="1"/>
  <c r="N266" i="543"/>
  <c r="K266" i="543" a="1"/>
  <c r="K266" i="543" s="1"/>
  <c r="M266" i="543" s="1"/>
  <c r="J266" i="543" a="1"/>
  <c r="J266" i="543" s="1"/>
  <c r="H266" i="543"/>
  <c r="N265" i="543"/>
  <c r="K265" i="543"/>
  <c r="M265" i="543" s="1"/>
  <c r="K265" i="543" a="1"/>
  <c r="H265" i="543"/>
  <c r="V264" i="543"/>
  <c r="W264" i="543" s="1"/>
  <c r="N264" i="543"/>
  <c r="K264" i="543" a="1"/>
  <c r="K264" i="543" s="1"/>
  <c r="M264" i="543" s="1"/>
  <c r="J264" i="543" a="1"/>
  <c r="J264" i="543" s="1"/>
  <c r="H264" i="543"/>
  <c r="V263" i="543"/>
  <c r="W263" i="543" s="1"/>
  <c r="N263" i="543"/>
  <c r="K263" i="543" a="1"/>
  <c r="K263" i="543" s="1"/>
  <c r="M263" i="543" s="1"/>
  <c r="J263" i="543" a="1"/>
  <c r="J263" i="543" s="1"/>
  <c r="H263" i="543"/>
  <c r="V262" i="543"/>
  <c r="W262" i="543" s="1"/>
  <c r="N262" i="543"/>
  <c r="K262" i="543" a="1"/>
  <c r="K262" i="543" s="1"/>
  <c r="M262" i="543" s="1"/>
  <c r="J262" i="543" a="1"/>
  <c r="J262" i="543" s="1"/>
  <c r="H262" i="543"/>
  <c r="V261" i="543"/>
  <c r="W261" i="543" s="1"/>
  <c r="N261" i="543"/>
  <c r="K261" i="543"/>
  <c r="M261" i="543" s="1"/>
  <c r="K261" i="543" a="1"/>
  <c r="J261" i="543" a="1"/>
  <c r="J261" i="543" s="1"/>
  <c r="H261" i="543"/>
  <c r="V260" i="543"/>
  <c r="W260" i="543" s="1"/>
  <c r="N260" i="543"/>
  <c r="K260" i="543" a="1"/>
  <c r="K260" i="543" s="1"/>
  <c r="M260" i="543" s="1"/>
  <c r="J260" i="543" a="1"/>
  <c r="J260" i="543" s="1"/>
  <c r="H260" i="543"/>
  <c r="V259" i="543"/>
  <c r="W259" i="543" s="1"/>
  <c r="N259" i="543"/>
  <c r="K259" i="543" a="1"/>
  <c r="K259" i="543" s="1"/>
  <c r="M259" i="543" s="1"/>
  <c r="J259" i="543" a="1"/>
  <c r="J259" i="543" s="1"/>
  <c r="H259" i="543"/>
  <c r="V258" i="543"/>
  <c r="V292" i="543" s="1"/>
  <c r="W292" i="543" s="1"/>
  <c r="N258" i="543"/>
  <c r="N292" i="543" s="1"/>
  <c r="K258" i="543" a="1"/>
  <c r="K258" i="543" s="1"/>
  <c r="J258" i="543" a="1"/>
  <c r="J258" i="543" s="1"/>
  <c r="H258" i="543"/>
  <c r="H292" i="543" s="1"/>
  <c r="AA257" i="543"/>
  <c r="Z257" i="543"/>
  <c r="Y257" i="543"/>
  <c r="X257" i="543"/>
  <c r="U257" i="543"/>
  <c r="T257" i="543"/>
  <c r="S257" i="543"/>
  <c r="R257" i="543"/>
  <c r="Q257" i="543"/>
  <c r="P257" i="543"/>
  <c r="O257" i="543"/>
  <c r="R338" i="543" s="1"/>
  <c r="I257" i="543"/>
  <c r="H256" i="543"/>
  <c r="H255" i="543"/>
  <c r="H254" i="543"/>
  <c r="H253" i="543"/>
  <c r="H252" i="543"/>
  <c r="H251" i="543"/>
  <c r="K250" i="543" a="1"/>
  <c r="K250" i="543" s="1"/>
  <c r="M250" i="543" s="1"/>
  <c r="H250" i="543"/>
  <c r="K249" i="543"/>
  <c r="M249" i="543" s="1"/>
  <c r="K249" i="543" a="1"/>
  <c r="H249" i="543"/>
  <c r="K248" i="543" a="1"/>
  <c r="K248" i="543" s="1"/>
  <c r="M248" i="543" s="1"/>
  <c r="H248" i="543"/>
  <c r="K247" i="543"/>
  <c r="M247" i="543" s="1"/>
  <c r="K247" i="543" a="1"/>
  <c r="H247" i="543"/>
  <c r="V246" i="543"/>
  <c r="W246" i="543" s="1"/>
  <c r="N246" i="543"/>
  <c r="K246" i="543" a="1"/>
  <c r="K246" i="543" s="1"/>
  <c r="M246" i="543" s="1"/>
  <c r="J246" i="543" a="1"/>
  <c r="J246" i="543" s="1"/>
  <c r="H246" i="543"/>
  <c r="V245" i="543"/>
  <c r="W245" i="543" s="1"/>
  <c r="N245" i="543"/>
  <c r="K245" i="543"/>
  <c r="M245" i="543" s="1"/>
  <c r="K245" i="543" a="1"/>
  <c r="J245" i="543"/>
  <c r="J245" i="543" a="1"/>
  <c r="H245" i="543"/>
  <c r="V244" i="543"/>
  <c r="W244" i="543" s="1"/>
  <c r="N244" i="543"/>
  <c r="K244" i="543" a="1"/>
  <c r="K244" i="543" s="1"/>
  <c r="M244" i="543" s="1"/>
  <c r="J244" i="543" a="1"/>
  <c r="J244" i="543" s="1"/>
  <c r="H244" i="543"/>
  <c r="V243" i="543"/>
  <c r="W243" i="543" s="1"/>
  <c r="N243" i="543"/>
  <c r="K243" i="543" a="1"/>
  <c r="K243" i="543" s="1"/>
  <c r="M243" i="543" s="1"/>
  <c r="J243" i="543" a="1"/>
  <c r="J243" i="543" s="1"/>
  <c r="H243" i="543"/>
  <c r="M242" i="543"/>
  <c r="H242" i="543"/>
  <c r="V241" i="543"/>
  <c r="W241" i="543" s="1"/>
  <c r="N241" i="543"/>
  <c r="K241" i="543" a="1"/>
  <c r="K241" i="543" s="1"/>
  <c r="M241" i="543" s="1"/>
  <c r="J241" i="543" a="1"/>
  <c r="J241" i="543" s="1"/>
  <c r="H241" i="543"/>
  <c r="V240" i="543"/>
  <c r="W240" i="543" s="1"/>
  <c r="N240" i="543"/>
  <c r="K240" i="543"/>
  <c r="M240" i="543" s="1"/>
  <c r="K240" i="543" a="1"/>
  <c r="J240" i="543"/>
  <c r="J240" i="543" a="1"/>
  <c r="H240" i="543"/>
  <c r="H239" i="543"/>
  <c r="G239" i="543"/>
  <c r="K239" i="543" s="1" a="1"/>
  <c r="K239" i="543" s="1"/>
  <c r="M239" i="543" s="1"/>
  <c r="H238" i="543"/>
  <c r="V237" i="543"/>
  <c r="W237" i="543" s="1"/>
  <c r="N237" i="543"/>
  <c r="K237" i="543" a="1"/>
  <c r="K237" i="543" s="1"/>
  <c r="M237" i="543" s="1"/>
  <c r="J237" i="543" a="1"/>
  <c r="J237" i="543" s="1"/>
  <c r="H237" i="543"/>
  <c r="V236" i="543"/>
  <c r="W236" i="543" s="1"/>
  <c r="N236" i="543"/>
  <c r="K236" i="543"/>
  <c r="M236" i="543" s="1"/>
  <c r="K236" i="543" a="1"/>
  <c r="J236" i="543" a="1"/>
  <c r="J236" i="543" s="1"/>
  <c r="H236" i="543"/>
  <c r="V235" i="543"/>
  <c r="W235" i="543" s="1"/>
  <c r="N235" i="543"/>
  <c r="K235" i="543" a="1"/>
  <c r="K235" i="543" s="1"/>
  <c r="M235" i="543" s="1"/>
  <c r="J235" i="543" a="1"/>
  <c r="J235" i="543" s="1"/>
  <c r="H235" i="543"/>
  <c r="V234" i="543"/>
  <c r="W234" i="543" s="1"/>
  <c r="N234" i="543"/>
  <c r="K234" i="543" a="1"/>
  <c r="K234" i="543" s="1"/>
  <c r="M234" i="543" s="1"/>
  <c r="J234" i="543" a="1"/>
  <c r="J234" i="543" s="1"/>
  <c r="H234" i="543"/>
  <c r="V233" i="543"/>
  <c r="W233" i="543" s="1"/>
  <c r="N233" i="543"/>
  <c r="K233" i="543" a="1"/>
  <c r="K233" i="543" s="1"/>
  <c r="M233" i="543" s="1"/>
  <c r="J233" i="543" a="1"/>
  <c r="J233" i="543" s="1"/>
  <c r="H233" i="543"/>
  <c r="V232" i="543"/>
  <c r="W232" i="543" s="1"/>
  <c r="N232" i="543"/>
  <c r="K232" i="543"/>
  <c r="M232" i="543" s="1"/>
  <c r="K232" i="543" a="1"/>
  <c r="J232" i="543"/>
  <c r="J232" i="543" a="1"/>
  <c r="H232" i="543"/>
  <c r="V231" i="543"/>
  <c r="W231" i="543" s="1"/>
  <c r="N231" i="543"/>
  <c r="K231" i="543" a="1"/>
  <c r="K231" i="543" s="1"/>
  <c r="M231" i="543" s="1"/>
  <c r="J231" i="543" a="1"/>
  <c r="J231" i="543" s="1"/>
  <c r="H231" i="543"/>
  <c r="V230" i="543"/>
  <c r="W230" i="543" s="1"/>
  <c r="N230" i="543"/>
  <c r="K230" i="543" a="1"/>
  <c r="K230" i="543" s="1"/>
  <c r="M230" i="543" s="1"/>
  <c r="J230" i="543" a="1"/>
  <c r="J230" i="543" s="1"/>
  <c r="H230" i="543"/>
  <c r="V229" i="543"/>
  <c r="W229" i="543" s="1"/>
  <c r="N229" i="543"/>
  <c r="K229" i="543" a="1"/>
  <c r="K229" i="543" s="1"/>
  <c r="M229" i="543" s="1"/>
  <c r="J229" i="543" a="1"/>
  <c r="J229" i="543" s="1"/>
  <c r="H229" i="543"/>
  <c r="V228" i="543"/>
  <c r="W228" i="543" s="1"/>
  <c r="N228" i="543"/>
  <c r="K228" i="543"/>
  <c r="M228" i="543" s="1"/>
  <c r="K228" i="543" a="1"/>
  <c r="J228" i="543"/>
  <c r="J228" i="543" a="1"/>
  <c r="H228" i="543"/>
  <c r="N227" i="543"/>
  <c r="K227" i="543" a="1"/>
  <c r="K227" i="543" s="1"/>
  <c r="M227" i="543" s="1"/>
  <c r="H227" i="543"/>
  <c r="N226" i="543"/>
  <c r="K226" i="543" a="1"/>
  <c r="K226" i="543" s="1"/>
  <c r="M226" i="543" s="1"/>
  <c r="H226" i="543"/>
  <c r="N225" i="543"/>
  <c r="K225" i="543" a="1"/>
  <c r="K225" i="543" s="1"/>
  <c r="M225" i="543" s="1"/>
  <c r="H225" i="543"/>
  <c r="N224" i="543"/>
  <c r="K224" i="543" a="1"/>
  <c r="K224" i="543" s="1"/>
  <c r="M224" i="543" s="1"/>
  <c r="H224" i="543"/>
  <c r="N223" i="543"/>
  <c r="K223" i="543" a="1"/>
  <c r="K223" i="543" s="1"/>
  <c r="M223" i="543" s="1"/>
  <c r="H223" i="543"/>
  <c r="N222" i="543"/>
  <c r="K222" i="543" a="1"/>
  <c r="K222" i="543" s="1"/>
  <c r="M222" i="543" s="1"/>
  <c r="H222" i="543"/>
  <c r="N221" i="543"/>
  <c r="K221" i="543" a="1"/>
  <c r="K221" i="543" s="1"/>
  <c r="M221" i="543" s="1"/>
  <c r="H221" i="543"/>
  <c r="N220" i="543"/>
  <c r="K220" i="543" a="1"/>
  <c r="K220" i="543" s="1"/>
  <c r="M220" i="543" s="1"/>
  <c r="H220" i="543"/>
  <c r="V219" i="543"/>
  <c r="W219" i="543" s="1"/>
  <c r="N219" i="543"/>
  <c r="H219" i="543"/>
  <c r="V218" i="543"/>
  <c r="W218" i="543" s="1"/>
  <c r="N218" i="543"/>
  <c r="K218" i="543" a="1"/>
  <c r="K218" i="543" s="1"/>
  <c r="M218" i="543" s="1"/>
  <c r="J218" i="543" a="1"/>
  <c r="J218" i="543" s="1"/>
  <c r="H218" i="543"/>
  <c r="V217" i="543"/>
  <c r="W217" i="543" s="1"/>
  <c r="N217" i="543"/>
  <c r="K217" i="543" a="1"/>
  <c r="K217" i="543" s="1"/>
  <c r="M217" i="543" s="1"/>
  <c r="J217" i="543" a="1"/>
  <c r="J217" i="543" s="1"/>
  <c r="H217" i="543"/>
  <c r="V216" i="543"/>
  <c r="W216" i="543" s="1"/>
  <c r="N216" i="543"/>
  <c r="K216" i="543" a="1"/>
  <c r="K216" i="543" s="1"/>
  <c r="M216" i="543" s="1"/>
  <c r="J216" i="543" a="1"/>
  <c r="J216" i="543" s="1"/>
  <c r="H216" i="543"/>
  <c r="V215" i="543"/>
  <c r="W215" i="543" s="1"/>
  <c r="N215" i="543"/>
  <c r="K215" i="543"/>
  <c r="M215" i="543" s="1"/>
  <c r="K215" i="543" a="1"/>
  <c r="J215" i="543"/>
  <c r="J215" i="543" a="1"/>
  <c r="H215" i="543"/>
  <c r="V214" i="543"/>
  <c r="W214" i="543" s="1"/>
  <c r="N214" i="543"/>
  <c r="K214" i="543" a="1"/>
  <c r="K214" i="543" s="1"/>
  <c r="M214" i="543" s="1"/>
  <c r="J214" i="543" a="1"/>
  <c r="J214" i="543" s="1"/>
  <c r="H214" i="543"/>
  <c r="V213" i="543"/>
  <c r="W213" i="543" s="1"/>
  <c r="N213" i="543"/>
  <c r="K213" i="543" a="1"/>
  <c r="K213" i="543" s="1"/>
  <c r="M213" i="543" s="1"/>
  <c r="J213" i="543" a="1"/>
  <c r="J213" i="543" s="1"/>
  <c r="H213" i="543"/>
  <c r="V212" i="543"/>
  <c r="W212" i="543" s="1"/>
  <c r="N212" i="543"/>
  <c r="K212" i="543" a="1"/>
  <c r="K212" i="543" s="1"/>
  <c r="M212" i="543" s="1"/>
  <c r="J212" i="543" a="1"/>
  <c r="J212" i="543" s="1"/>
  <c r="H212" i="543"/>
  <c r="V211" i="543"/>
  <c r="W211" i="543" s="1"/>
  <c r="N211" i="543"/>
  <c r="K211" i="543"/>
  <c r="M211" i="543" s="1"/>
  <c r="K211" i="543" a="1"/>
  <c r="J211" i="543"/>
  <c r="J211" i="543" a="1"/>
  <c r="H211" i="543"/>
  <c r="V210" i="543"/>
  <c r="W210" i="543" s="1"/>
  <c r="N210" i="543"/>
  <c r="K210" i="543" a="1"/>
  <c r="K210" i="543" s="1"/>
  <c r="M210" i="543" s="1"/>
  <c r="J210" i="543" a="1"/>
  <c r="J210" i="543" s="1"/>
  <c r="H210" i="543"/>
  <c r="V209" i="543"/>
  <c r="W209" i="543" s="1"/>
  <c r="N209" i="543"/>
  <c r="K209" i="543" a="1"/>
  <c r="K209" i="543" s="1"/>
  <c r="M209" i="543" s="1"/>
  <c r="J209" i="543" a="1"/>
  <c r="J209" i="543" s="1"/>
  <c r="H209" i="543"/>
  <c r="V208" i="543"/>
  <c r="W208" i="543" s="1"/>
  <c r="N208" i="543"/>
  <c r="G208" i="543"/>
  <c r="G257" i="543" s="1"/>
  <c r="J257" i="543" s="1" a="1"/>
  <c r="J257" i="543" s="1"/>
  <c r="H207" i="543"/>
  <c r="H206" i="543"/>
  <c r="H205" i="543"/>
  <c r="V204" i="543"/>
  <c r="W204" i="543" s="1"/>
  <c r="N204" i="543"/>
  <c r="K204" i="543" a="1"/>
  <c r="K204" i="543" s="1"/>
  <c r="M204" i="543" s="1"/>
  <c r="J204" i="543" a="1"/>
  <c r="J204" i="543" s="1"/>
  <c r="H204" i="543"/>
  <c r="V203" i="543"/>
  <c r="W203" i="543" s="1"/>
  <c r="N203" i="543"/>
  <c r="K203" i="543" a="1"/>
  <c r="K203" i="543" s="1"/>
  <c r="M203" i="543" s="1"/>
  <c r="J203" i="543" a="1"/>
  <c r="J203" i="543" s="1"/>
  <c r="H203" i="543"/>
  <c r="V202" i="543"/>
  <c r="W202" i="543" s="1"/>
  <c r="N202" i="543"/>
  <c r="K202" i="543"/>
  <c r="M202" i="543" s="1"/>
  <c r="K202" i="543" a="1"/>
  <c r="J202" i="543"/>
  <c r="J202" i="543" a="1"/>
  <c r="H202" i="543"/>
  <c r="H201" i="543"/>
  <c r="W200" i="543"/>
  <c r="V200" i="543"/>
  <c r="N200" i="543"/>
  <c r="N257" i="543" s="1"/>
  <c r="K200" i="543" a="1"/>
  <c r="K200" i="543" s="1"/>
  <c r="J200" i="543" a="1"/>
  <c r="J200" i="543" s="1"/>
  <c r="H200" i="543"/>
  <c r="AA199" i="543"/>
  <c r="AA335" i="543" s="1"/>
  <c r="Z199" i="543"/>
  <c r="Z335" i="543" s="1"/>
  <c r="Y199" i="543"/>
  <c r="Y335" i="543" s="1"/>
  <c r="X199" i="543"/>
  <c r="X335" i="543" s="1"/>
  <c r="U199" i="543"/>
  <c r="U335" i="543" s="1"/>
  <c r="T199" i="543"/>
  <c r="T335" i="543" s="1"/>
  <c r="S199" i="543"/>
  <c r="S335" i="543" s="1"/>
  <c r="R199" i="543"/>
  <c r="R335" i="543" s="1"/>
  <c r="Q199" i="543"/>
  <c r="Q335" i="543" s="1"/>
  <c r="P199" i="543"/>
  <c r="O199" i="543"/>
  <c r="I199" i="543"/>
  <c r="I335" i="543" s="1"/>
  <c r="B343" i="543" s="1"/>
  <c r="V198" i="543"/>
  <c r="N198" i="543"/>
  <c r="H198" i="543"/>
  <c r="K198" i="543" a="1"/>
  <c r="K198" i="543" s="1"/>
  <c r="M198" i="543" s="1"/>
  <c r="V197" i="543"/>
  <c r="W197" i="543" s="1"/>
  <c r="N197" i="543"/>
  <c r="K197" i="543" a="1"/>
  <c r="K197" i="543" s="1"/>
  <c r="M197" i="543" s="1"/>
  <c r="J197" i="543" a="1"/>
  <c r="J197" i="543" s="1"/>
  <c r="H197" i="543"/>
  <c r="K196" i="543" a="1"/>
  <c r="K196" i="543" s="1"/>
  <c r="M196" i="543" s="1"/>
  <c r="H196" i="543"/>
  <c r="K195" i="543" a="1"/>
  <c r="K195" i="543" s="1"/>
  <c r="M195" i="543" s="1"/>
  <c r="H195" i="543"/>
  <c r="K194" i="543" a="1"/>
  <c r="K194" i="543" s="1"/>
  <c r="M194" i="543" s="1"/>
  <c r="H194" i="543"/>
  <c r="K193" i="543" a="1"/>
  <c r="K193" i="543" s="1"/>
  <c r="M193" i="543" s="1"/>
  <c r="H193" i="543"/>
  <c r="V192" i="543"/>
  <c r="W192" i="543" s="1"/>
  <c r="N192" i="543"/>
  <c r="K192" i="543" a="1"/>
  <c r="K192" i="543" s="1"/>
  <c r="M192" i="543" s="1"/>
  <c r="J192" i="543" a="1"/>
  <c r="J192" i="543" s="1"/>
  <c r="H192" i="543"/>
  <c r="V191" i="543"/>
  <c r="W191" i="543" s="1"/>
  <c r="N191" i="543"/>
  <c r="K191" i="543" a="1"/>
  <c r="K191" i="543" s="1"/>
  <c r="M191" i="543" s="1"/>
  <c r="J191" i="543" a="1"/>
  <c r="J191" i="543" s="1"/>
  <c r="H191" i="543"/>
  <c r="V190" i="543"/>
  <c r="N190" i="543"/>
  <c r="H190" i="543"/>
  <c r="G190" i="543"/>
  <c r="G199" i="543" s="1"/>
  <c r="N189" i="543"/>
  <c r="K189" i="543" a="1"/>
  <c r="K189" i="543" s="1"/>
  <c r="M189" i="543" s="1"/>
  <c r="J189" i="543" a="1"/>
  <c r="J189" i="543" s="1"/>
  <c r="H189" i="543"/>
  <c r="N188" i="543"/>
  <c r="K188" i="543" a="1"/>
  <c r="K188" i="543" s="1"/>
  <c r="M188" i="543" s="1"/>
  <c r="J188" i="543" a="1"/>
  <c r="J188" i="543" s="1"/>
  <c r="H188" i="543"/>
  <c r="V187" i="543"/>
  <c r="W187" i="543" s="1"/>
  <c r="N187" i="543"/>
  <c r="K187" i="543"/>
  <c r="M187" i="543" s="1"/>
  <c r="K187" i="543" a="1"/>
  <c r="J187" i="543" a="1"/>
  <c r="J187" i="543" s="1"/>
  <c r="H187" i="543"/>
  <c r="V186" i="543"/>
  <c r="W186" i="543" s="1"/>
  <c r="N186" i="543"/>
  <c r="K186" i="543" a="1"/>
  <c r="K186" i="543" s="1"/>
  <c r="M186" i="543" s="1"/>
  <c r="J186" i="543" a="1"/>
  <c r="J186" i="543" s="1"/>
  <c r="H186" i="543"/>
  <c r="N185" i="543"/>
  <c r="K185" i="543"/>
  <c r="M185" i="543" s="1"/>
  <c r="K185" i="543" a="1"/>
  <c r="H185" i="543"/>
  <c r="N184" i="543"/>
  <c r="K184" i="543" a="1"/>
  <c r="K184" i="543" s="1"/>
  <c r="M184" i="543" s="1"/>
  <c r="H184" i="543"/>
  <c r="V183" i="543"/>
  <c r="W183" i="543" s="1"/>
  <c r="N183" i="543"/>
  <c r="K183" i="543" a="1"/>
  <c r="K183" i="543" s="1"/>
  <c r="M183" i="543" s="1"/>
  <c r="J183" i="543" a="1"/>
  <c r="J183" i="543" s="1"/>
  <c r="H183" i="543"/>
  <c r="V182" i="543"/>
  <c r="W182" i="543" s="1"/>
  <c r="N182" i="543"/>
  <c r="K182" i="543" a="1"/>
  <c r="K182" i="543" s="1"/>
  <c r="M182" i="543" s="1"/>
  <c r="J182" i="543" a="1"/>
  <c r="J182" i="543" s="1"/>
  <c r="H182" i="543"/>
  <c r="V181" i="543"/>
  <c r="W181" i="543" s="1"/>
  <c r="N181" i="543"/>
  <c r="K181" i="543"/>
  <c r="M181" i="543" s="1"/>
  <c r="K181" i="543" a="1"/>
  <c r="J181" i="543"/>
  <c r="J181" i="543" a="1"/>
  <c r="H181" i="543"/>
  <c r="V180" i="543"/>
  <c r="W180" i="543" s="1"/>
  <c r="N180" i="543"/>
  <c r="K180" i="543" a="1"/>
  <c r="K180" i="543" s="1"/>
  <c r="M180" i="543" s="1"/>
  <c r="J180" i="543" a="1"/>
  <c r="J180" i="543" s="1"/>
  <c r="H180" i="543"/>
  <c r="V179" i="543"/>
  <c r="W179" i="543" s="1"/>
  <c r="N179" i="543"/>
  <c r="K179" i="543" a="1"/>
  <c r="K179" i="543" s="1"/>
  <c r="M179" i="543" s="1"/>
  <c r="J179" i="543" a="1"/>
  <c r="J179" i="543" s="1"/>
  <c r="H179" i="543"/>
  <c r="V178" i="543"/>
  <c r="V199" i="543" s="1"/>
  <c r="N178" i="543"/>
  <c r="K178" i="543" a="1"/>
  <c r="K178" i="543" s="1"/>
  <c r="J178" i="543" a="1"/>
  <c r="J178" i="543" s="1"/>
  <c r="H178" i="543"/>
  <c r="H199" i="543" s="1"/>
  <c r="X171" i="543"/>
  <c r="Q529" i="543" s="1"/>
  <c r="X170" i="543"/>
  <c r="Q528" i="543" s="1"/>
  <c r="G170" i="543"/>
  <c r="C170" i="543"/>
  <c r="X169" i="543"/>
  <c r="Q527" i="543" s="1"/>
  <c r="I169" i="543"/>
  <c r="E169" i="543"/>
  <c r="K169" i="543" s="1"/>
  <c r="M169" i="543" s="1"/>
  <c r="I168" i="543"/>
  <c r="E168" i="543"/>
  <c r="K168" i="543" s="1"/>
  <c r="M168" i="543" s="1"/>
  <c r="I167" i="543"/>
  <c r="E167" i="543"/>
  <c r="K167" i="543" s="1"/>
  <c r="M167" i="543" s="1"/>
  <c r="X166" i="543"/>
  <c r="Q524" i="543" s="1"/>
  <c r="I166" i="543"/>
  <c r="I170" i="543" s="1"/>
  <c r="E166" i="543"/>
  <c r="K166" i="543" s="1"/>
  <c r="AA163" i="543"/>
  <c r="Z163" i="543"/>
  <c r="Y163" i="543"/>
  <c r="X163" i="543"/>
  <c r="U163" i="543"/>
  <c r="T163" i="543"/>
  <c r="S163" i="543"/>
  <c r="R163" i="543"/>
  <c r="Q163" i="543"/>
  <c r="P163" i="543"/>
  <c r="O163" i="543"/>
  <c r="R171" i="543" s="1"/>
  <c r="I163" i="543"/>
  <c r="G163" i="543"/>
  <c r="C529" i="543" s="1"/>
  <c r="H162" i="543"/>
  <c r="H161" i="543"/>
  <c r="H160" i="543"/>
  <c r="V159" i="543"/>
  <c r="W159" i="543" s="1"/>
  <c r="N159" i="543"/>
  <c r="K159" i="543"/>
  <c r="K159" i="543" a="1"/>
  <c r="J159" i="543" a="1"/>
  <c r="J159" i="543" s="1"/>
  <c r="H159" i="543"/>
  <c r="D159" i="543"/>
  <c r="V158" i="543"/>
  <c r="W158" i="543" s="1"/>
  <c r="N158" i="543"/>
  <c r="K158" i="543" a="1"/>
  <c r="K158" i="543" s="1"/>
  <c r="M158" i="543" s="1"/>
  <c r="J158" i="543" a="1"/>
  <c r="J158" i="543" s="1"/>
  <c r="H158" i="543"/>
  <c r="H157" i="543"/>
  <c r="H156" i="543"/>
  <c r="V155" i="543"/>
  <c r="W155" i="543" s="1"/>
  <c r="N155" i="543"/>
  <c r="K155" i="543" a="1"/>
  <c r="K155" i="543" s="1"/>
  <c r="M155" i="543" s="1"/>
  <c r="J155" i="543" a="1"/>
  <c r="J155" i="543" s="1"/>
  <c r="H155" i="543"/>
  <c r="V154" i="543"/>
  <c r="W154" i="543" s="1"/>
  <c r="N154" i="543"/>
  <c r="K154" i="543"/>
  <c r="M154" i="543" s="1"/>
  <c r="K154" i="543" a="1"/>
  <c r="J154" i="543"/>
  <c r="J154" i="543" a="1"/>
  <c r="H154" i="543"/>
  <c r="H153" i="543"/>
  <c r="V152" i="543"/>
  <c r="W152" i="543" s="1"/>
  <c r="N152" i="543"/>
  <c r="K152" i="543" a="1"/>
  <c r="K152" i="543" s="1"/>
  <c r="M152" i="543" s="1"/>
  <c r="J152" i="543" a="1"/>
  <c r="J152" i="543" s="1"/>
  <c r="H152" i="543"/>
  <c r="V151" i="543"/>
  <c r="W151" i="543" s="1"/>
  <c r="N151" i="543"/>
  <c r="K151" i="543"/>
  <c r="M151" i="543" s="1"/>
  <c r="K151" i="543" a="1"/>
  <c r="J151" i="543"/>
  <c r="J151" i="543" a="1"/>
  <c r="H151" i="543"/>
  <c r="V150" i="543"/>
  <c r="W150" i="543" s="1"/>
  <c r="N150" i="543"/>
  <c r="K150" i="543" a="1"/>
  <c r="K150" i="543" s="1"/>
  <c r="M150" i="543" s="1"/>
  <c r="J150" i="543" a="1"/>
  <c r="J150" i="543" s="1"/>
  <c r="H150" i="543"/>
  <c r="V149" i="543"/>
  <c r="V163" i="543" s="1"/>
  <c r="W163" i="543" s="1"/>
  <c r="N149" i="543"/>
  <c r="K149" i="543"/>
  <c r="K149" i="543" a="1"/>
  <c r="J149" i="543"/>
  <c r="J149" i="543" a="1"/>
  <c r="H149" i="543"/>
  <c r="AA148" i="543"/>
  <c r="Z148" i="543"/>
  <c r="Y148" i="543"/>
  <c r="X148" i="543"/>
  <c r="U148" i="543"/>
  <c r="T148" i="543"/>
  <c r="S148" i="543"/>
  <c r="Q148" i="543"/>
  <c r="P148" i="543"/>
  <c r="O148" i="543"/>
  <c r="R170" i="543" s="1"/>
  <c r="I148" i="543"/>
  <c r="G148" i="543"/>
  <c r="C528" i="543" s="1"/>
  <c r="V147" i="543"/>
  <c r="W147" i="543" s="1"/>
  <c r="N147" i="543"/>
  <c r="K147" i="543" a="1"/>
  <c r="K147" i="543" s="1"/>
  <c r="M147" i="543" s="1"/>
  <c r="J147" i="543" a="1"/>
  <c r="J147" i="543" s="1"/>
  <c r="H147" i="543"/>
  <c r="K145" i="543"/>
  <c r="K145" i="543" a="1"/>
  <c r="H145" i="543"/>
  <c r="K144" i="543" a="1"/>
  <c r="K144" i="543" s="1"/>
  <c r="H144" i="543"/>
  <c r="K143" i="543" a="1"/>
  <c r="K143" i="543" s="1"/>
  <c r="H143" i="543"/>
  <c r="V142" i="543"/>
  <c r="W142" i="543" s="1"/>
  <c r="N142" i="543"/>
  <c r="K142" i="543" a="1"/>
  <c r="K142" i="543" s="1"/>
  <c r="M142" i="543" s="1"/>
  <c r="J142" i="543" a="1"/>
  <c r="J142" i="543" s="1"/>
  <c r="H142" i="543"/>
  <c r="V141" i="543"/>
  <c r="W141" i="543" s="1"/>
  <c r="N141" i="543"/>
  <c r="K141" i="543"/>
  <c r="M141" i="543" s="1"/>
  <c r="K141" i="543" a="1"/>
  <c r="J141" i="543"/>
  <c r="J141" i="543" a="1"/>
  <c r="H141" i="543"/>
  <c r="V140" i="543"/>
  <c r="W140" i="543" s="1"/>
  <c r="N140" i="543"/>
  <c r="K140" i="543" a="1"/>
  <c r="K140" i="543" s="1"/>
  <c r="M140" i="543" s="1"/>
  <c r="J140" i="543" a="1"/>
  <c r="J140" i="543" s="1"/>
  <c r="H140" i="543"/>
  <c r="V139" i="543"/>
  <c r="W139" i="543" s="1"/>
  <c r="N139" i="543"/>
  <c r="K139" i="543" a="1"/>
  <c r="K139" i="543" s="1"/>
  <c r="M139" i="543" s="1"/>
  <c r="J139" i="543" a="1"/>
  <c r="J139" i="543" s="1"/>
  <c r="H139" i="543"/>
  <c r="V138" i="543"/>
  <c r="W138" i="543" s="1"/>
  <c r="N138" i="543"/>
  <c r="K138" i="543" a="1"/>
  <c r="K138" i="543" s="1"/>
  <c r="J138" i="543" a="1"/>
  <c r="J138" i="543" s="1"/>
  <c r="H138" i="543"/>
  <c r="AA137" i="543"/>
  <c r="Z137" i="543"/>
  <c r="Y137" i="543"/>
  <c r="X137" i="543"/>
  <c r="U137" i="543"/>
  <c r="T137" i="543"/>
  <c r="S137" i="543"/>
  <c r="Q137" i="543"/>
  <c r="P137" i="543"/>
  <c r="O137" i="543"/>
  <c r="R169" i="543" s="1"/>
  <c r="I137" i="543"/>
  <c r="G137" i="543"/>
  <c r="J137" i="543" s="1" a="1"/>
  <c r="J137" i="543" s="1"/>
  <c r="V136" i="543"/>
  <c r="W136" i="543" s="1"/>
  <c r="N136" i="543"/>
  <c r="K136" i="543" a="1"/>
  <c r="K136" i="543" s="1"/>
  <c r="M136" i="543" s="1"/>
  <c r="J136" i="543" a="1"/>
  <c r="J136" i="543" s="1"/>
  <c r="H136" i="543"/>
  <c r="V135" i="543"/>
  <c r="W135" i="543" s="1"/>
  <c r="N135" i="543"/>
  <c r="K135" i="543" a="1"/>
  <c r="K135" i="543" s="1"/>
  <c r="M135" i="543" s="1"/>
  <c r="J135" i="543" a="1"/>
  <c r="J135" i="543" s="1"/>
  <c r="H135" i="543"/>
  <c r="V134" i="543"/>
  <c r="W134" i="543" s="1"/>
  <c r="N134" i="543"/>
  <c r="K134" i="543"/>
  <c r="M134" i="543" s="1"/>
  <c r="K134" i="543" a="1"/>
  <c r="J134" i="543"/>
  <c r="J134" i="543" a="1"/>
  <c r="H134" i="543"/>
  <c r="V133" i="543"/>
  <c r="W133" i="543" s="1"/>
  <c r="N133" i="543"/>
  <c r="K133" i="543" a="1"/>
  <c r="K133" i="543" s="1"/>
  <c r="M133" i="543" s="1"/>
  <c r="J133" i="543" a="1"/>
  <c r="J133" i="543" s="1"/>
  <c r="H133" i="543"/>
  <c r="V132" i="543"/>
  <c r="W132" i="543" s="1"/>
  <c r="N132" i="543"/>
  <c r="K132" i="543" a="1"/>
  <c r="K132" i="543" s="1"/>
  <c r="M132" i="543" s="1"/>
  <c r="J132" i="543" a="1"/>
  <c r="J132" i="543" s="1"/>
  <c r="H132" i="543"/>
  <c r="V131" i="543"/>
  <c r="W131" i="543" s="1"/>
  <c r="N131" i="543"/>
  <c r="K131" i="543" a="1"/>
  <c r="K131" i="543" s="1"/>
  <c r="M131" i="543" s="1"/>
  <c r="J131" i="543" a="1"/>
  <c r="J131" i="543" s="1"/>
  <c r="H131" i="543"/>
  <c r="V130" i="543"/>
  <c r="W130" i="543" s="1"/>
  <c r="N130" i="543"/>
  <c r="K130" i="543"/>
  <c r="M130" i="543" s="1"/>
  <c r="K130" i="543" a="1"/>
  <c r="J130" i="543"/>
  <c r="J130" i="543" a="1"/>
  <c r="H130" i="543"/>
  <c r="V129" i="543"/>
  <c r="W129" i="543" s="1"/>
  <c r="N129" i="543"/>
  <c r="K129" i="543" a="1"/>
  <c r="K129" i="543" s="1"/>
  <c r="M129" i="543" s="1"/>
  <c r="J129" i="543" a="1"/>
  <c r="J129" i="543" s="1"/>
  <c r="H129" i="543"/>
  <c r="W128" i="543"/>
  <c r="V128" i="543"/>
  <c r="N128" i="543"/>
  <c r="K128" i="543" a="1"/>
  <c r="K128" i="543" s="1"/>
  <c r="M128" i="543" s="1"/>
  <c r="J128" i="543" a="1"/>
  <c r="J128" i="543" s="1"/>
  <c r="H128" i="543"/>
  <c r="V127" i="543"/>
  <c r="W127" i="543" s="1"/>
  <c r="N127" i="543"/>
  <c r="K127" i="543" a="1"/>
  <c r="K127" i="543" s="1"/>
  <c r="M127" i="543" s="1"/>
  <c r="J127" i="543" a="1"/>
  <c r="J127" i="543" s="1"/>
  <c r="H127" i="543"/>
  <c r="V126" i="543"/>
  <c r="W126" i="543" s="1"/>
  <c r="N126" i="543"/>
  <c r="K126" i="543"/>
  <c r="M126" i="543" s="1"/>
  <c r="K126" i="543" a="1"/>
  <c r="J126" i="543"/>
  <c r="J126" i="543" a="1"/>
  <c r="H126" i="543"/>
  <c r="V125" i="543"/>
  <c r="W125" i="543" s="1"/>
  <c r="N125" i="543"/>
  <c r="K125" i="543" a="1"/>
  <c r="K125" i="543" s="1"/>
  <c r="M125" i="543" s="1"/>
  <c r="J125" i="543" a="1"/>
  <c r="J125" i="543" s="1"/>
  <c r="H125" i="543"/>
  <c r="V124" i="543"/>
  <c r="W124" i="543" s="1"/>
  <c r="N124" i="543"/>
  <c r="K124" i="543" a="1"/>
  <c r="K124" i="543" s="1"/>
  <c r="M124" i="543" s="1"/>
  <c r="J124" i="543" a="1"/>
  <c r="J124" i="543" s="1"/>
  <c r="H124" i="543"/>
  <c r="V123" i="543"/>
  <c r="W123" i="543" s="1"/>
  <c r="N123" i="543"/>
  <c r="K123" i="543" a="1"/>
  <c r="K123" i="543" s="1"/>
  <c r="M123" i="543" s="1"/>
  <c r="J123" i="543" a="1"/>
  <c r="J123" i="543" s="1"/>
  <c r="H123" i="543"/>
  <c r="V122" i="543"/>
  <c r="N122" i="543"/>
  <c r="K122" i="543"/>
  <c r="M122" i="543" s="1"/>
  <c r="K122" i="543" a="1"/>
  <c r="J122" i="543"/>
  <c r="J122" i="543" a="1"/>
  <c r="H122" i="543"/>
  <c r="AA121" i="543"/>
  <c r="Z121" i="543"/>
  <c r="Y121" i="543"/>
  <c r="X121" i="543"/>
  <c r="U121" i="543"/>
  <c r="T121" i="543"/>
  <c r="S121" i="543"/>
  <c r="R121" i="543"/>
  <c r="Q121" i="543"/>
  <c r="P121" i="543"/>
  <c r="O121" i="543"/>
  <c r="I121" i="543"/>
  <c r="G121" i="543"/>
  <c r="C526" i="543" s="1"/>
  <c r="V120" i="543"/>
  <c r="W120" i="543" s="1"/>
  <c r="N120" i="543"/>
  <c r="K120" i="543" a="1"/>
  <c r="K120" i="543" s="1"/>
  <c r="M120" i="543" s="1"/>
  <c r="J120" i="543" a="1"/>
  <c r="J120" i="543" s="1"/>
  <c r="H120" i="543"/>
  <c r="V119" i="543"/>
  <c r="W119" i="543" s="1"/>
  <c r="N119" i="543"/>
  <c r="K119" i="543"/>
  <c r="M119" i="543" s="1"/>
  <c r="K119" i="543" a="1"/>
  <c r="J119" i="543"/>
  <c r="J119" i="543" a="1"/>
  <c r="H119" i="543"/>
  <c r="V118" i="543"/>
  <c r="W118" i="543" s="1"/>
  <c r="N118" i="543"/>
  <c r="K118" i="543" a="1"/>
  <c r="K118" i="543" s="1"/>
  <c r="M118" i="543" s="1"/>
  <c r="J118" i="543" a="1"/>
  <c r="J118" i="543" s="1"/>
  <c r="H118" i="543"/>
  <c r="K117" i="543"/>
  <c r="K117" i="543" a="1"/>
  <c r="H117" i="543"/>
  <c r="K116" i="543" a="1"/>
  <c r="K116" i="543" s="1"/>
  <c r="H116" i="543"/>
  <c r="K115" i="543" a="1"/>
  <c r="K115" i="543" s="1"/>
  <c r="H115" i="543"/>
  <c r="V114" i="543"/>
  <c r="W114" i="543" s="1"/>
  <c r="N114" i="543"/>
  <c r="K114" i="543" a="1"/>
  <c r="K114" i="543" s="1"/>
  <c r="M114" i="543" s="1"/>
  <c r="J114" i="543" a="1"/>
  <c r="J114" i="543" s="1"/>
  <c r="H114" i="543"/>
  <c r="V113" i="543"/>
  <c r="W113" i="543" s="1"/>
  <c r="N113" i="543"/>
  <c r="K113" i="543"/>
  <c r="M113" i="543" s="1"/>
  <c r="K113" i="543" a="1"/>
  <c r="J113" i="543"/>
  <c r="J113" i="543" a="1"/>
  <c r="H113" i="543"/>
  <c r="N112" i="543"/>
  <c r="K112" i="543" a="1"/>
  <c r="K112" i="543" s="1"/>
  <c r="M112" i="543" s="1"/>
  <c r="H112" i="543"/>
  <c r="N111" i="543"/>
  <c r="K111" i="543" a="1"/>
  <c r="K111" i="543" s="1"/>
  <c r="M111" i="543" s="1"/>
  <c r="H111" i="543"/>
  <c r="N110" i="543"/>
  <c r="K110" i="543" a="1"/>
  <c r="K110" i="543" s="1"/>
  <c r="M110" i="543" s="1"/>
  <c r="H110" i="543"/>
  <c r="N109" i="543"/>
  <c r="K109" i="543"/>
  <c r="M109" i="543" s="1"/>
  <c r="K109" i="543" a="1"/>
  <c r="H109" i="543"/>
  <c r="N108" i="543"/>
  <c r="K108" i="543" a="1"/>
  <c r="K108" i="543" s="1"/>
  <c r="M108" i="543" s="1"/>
  <c r="H108" i="543"/>
  <c r="N107" i="543"/>
  <c r="K107" i="543" a="1"/>
  <c r="K107" i="543" s="1"/>
  <c r="M107" i="543" s="1"/>
  <c r="H107" i="543"/>
  <c r="V106" i="543"/>
  <c r="W106" i="543" s="1"/>
  <c r="N106" i="543"/>
  <c r="K106" i="543" a="1"/>
  <c r="K106" i="543" s="1"/>
  <c r="M106" i="543" s="1"/>
  <c r="J106" i="543" a="1"/>
  <c r="J106" i="543" s="1"/>
  <c r="H106" i="543"/>
  <c r="V105" i="543"/>
  <c r="W105" i="543" s="1"/>
  <c r="N105" i="543"/>
  <c r="K105" i="543"/>
  <c r="M105" i="543" s="1"/>
  <c r="K105" i="543" a="1"/>
  <c r="J105" i="543"/>
  <c r="J105" i="543" a="1"/>
  <c r="H105" i="543"/>
  <c r="V104" i="543"/>
  <c r="W104" i="543" s="1"/>
  <c r="N104" i="543"/>
  <c r="K104" i="543" a="1"/>
  <c r="K104" i="543" s="1"/>
  <c r="M104" i="543" s="1"/>
  <c r="J104" i="543" a="1"/>
  <c r="J104" i="543" s="1"/>
  <c r="H104" i="543"/>
  <c r="V103" i="543"/>
  <c r="W103" i="543" s="1"/>
  <c r="N103" i="543"/>
  <c r="K103" i="543" a="1"/>
  <c r="K103" i="543" s="1"/>
  <c r="M103" i="543" s="1"/>
  <c r="J103" i="543" a="1"/>
  <c r="J103" i="543" s="1"/>
  <c r="H103" i="543"/>
  <c r="V102" i="543"/>
  <c r="W102" i="543" s="1"/>
  <c r="N102" i="543"/>
  <c r="K102" i="543" a="1"/>
  <c r="K102" i="543" s="1"/>
  <c r="M102" i="543" s="1"/>
  <c r="J102" i="543" a="1"/>
  <c r="J102" i="543" s="1"/>
  <c r="H102" i="543"/>
  <c r="V101" i="543"/>
  <c r="W101" i="543" s="1"/>
  <c r="N101" i="543"/>
  <c r="K101" i="543"/>
  <c r="M101" i="543" s="1"/>
  <c r="K101" i="543" a="1"/>
  <c r="J101" i="543"/>
  <c r="J101" i="543" a="1"/>
  <c r="H101" i="543"/>
  <c r="V100" i="543"/>
  <c r="W100" i="543" s="1"/>
  <c r="N100" i="543"/>
  <c r="K100" i="543" a="1"/>
  <c r="K100" i="543" s="1"/>
  <c r="M100" i="543" s="1"/>
  <c r="J100" i="543" a="1"/>
  <c r="J100" i="543" s="1"/>
  <c r="H100" i="543"/>
  <c r="V99" i="543"/>
  <c r="W99" i="543" s="1"/>
  <c r="N99" i="543"/>
  <c r="K99" i="543" a="1"/>
  <c r="K99" i="543" s="1"/>
  <c r="M99" i="543" s="1"/>
  <c r="J99" i="543" a="1"/>
  <c r="J99" i="543" s="1"/>
  <c r="H99" i="543"/>
  <c r="V98" i="543"/>
  <c r="W98" i="543" s="1"/>
  <c r="N98" i="543"/>
  <c r="K98" i="543" a="1"/>
  <c r="K98" i="543" s="1"/>
  <c r="M98" i="543" s="1"/>
  <c r="J98" i="543" a="1"/>
  <c r="J98" i="543" s="1"/>
  <c r="H98" i="543"/>
  <c r="V97" i="543"/>
  <c r="W97" i="543" s="1"/>
  <c r="N97" i="543"/>
  <c r="K97" i="543"/>
  <c r="M97" i="543" s="1"/>
  <c r="K97" i="543" a="1"/>
  <c r="J97" i="543"/>
  <c r="J97" i="543" a="1"/>
  <c r="H97" i="543"/>
  <c r="V96" i="543"/>
  <c r="W96" i="543" s="1"/>
  <c r="N96" i="543"/>
  <c r="K96" i="543" a="1"/>
  <c r="K96" i="543" s="1"/>
  <c r="M96" i="543" s="1"/>
  <c r="J96" i="543" a="1"/>
  <c r="J96" i="543" s="1"/>
  <c r="H96" i="543"/>
  <c r="V95" i="543"/>
  <c r="W95" i="543" s="1"/>
  <c r="N95" i="543"/>
  <c r="K95" i="543" a="1"/>
  <c r="K95" i="543" s="1"/>
  <c r="M95" i="543" s="1"/>
  <c r="J95" i="543" a="1"/>
  <c r="J95" i="543" s="1"/>
  <c r="H95" i="543"/>
  <c r="K94" i="543"/>
  <c r="M94" i="543" s="1"/>
  <c r="K94" i="543" a="1"/>
  <c r="H94" i="543"/>
  <c r="V93" i="543"/>
  <c r="W93" i="543" s="1"/>
  <c r="N93" i="543"/>
  <c r="K93" i="543" a="1"/>
  <c r="K93" i="543" s="1"/>
  <c r="M93" i="543" s="1"/>
  <c r="J93" i="543" a="1"/>
  <c r="J93" i="543" s="1"/>
  <c r="H93" i="543"/>
  <c r="V92" i="543"/>
  <c r="W92" i="543" s="1"/>
  <c r="N92" i="543"/>
  <c r="K92" i="543" a="1"/>
  <c r="K92" i="543" s="1"/>
  <c r="M92" i="543" s="1"/>
  <c r="J92" i="543" a="1"/>
  <c r="J92" i="543" s="1"/>
  <c r="H92" i="543"/>
  <c r="V91" i="543"/>
  <c r="W91" i="543" s="1"/>
  <c r="N91" i="543"/>
  <c r="K91" i="543" a="1"/>
  <c r="K91" i="543" s="1"/>
  <c r="M91" i="543" s="1"/>
  <c r="J91" i="543" a="1"/>
  <c r="J91" i="543" s="1"/>
  <c r="H91" i="543"/>
  <c r="V90" i="543"/>
  <c r="W90" i="543" s="1"/>
  <c r="N90" i="543"/>
  <c r="K90" i="543"/>
  <c r="M90" i="543" s="1"/>
  <c r="K90" i="543" a="1"/>
  <c r="J90" i="543" a="1"/>
  <c r="J90" i="543" s="1"/>
  <c r="H90" i="543"/>
  <c r="V89" i="543"/>
  <c r="W89" i="543" s="1"/>
  <c r="N89" i="543"/>
  <c r="K89" i="543" a="1"/>
  <c r="K89" i="543" s="1"/>
  <c r="M89" i="543" s="1"/>
  <c r="J89" i="543" a="1"/>
  <c r="J89" i="543" s="1"/>
  <c r="H89" i="543"/>
  <c r="V88" i="543"/>
  <c r="W88" i="543" s="1"/>
  <c r="N88" i="543"/>
  <c r="K88" i="543"/>
  <c r="M88" i="543" s="1"/>
  <c r="K88" i="543" a="1"/>
  <c r="J88" i="543"/>
  <c r="J88" i="543" a="1"/>
  <c r="H88" i="543"/>
  <c r="V87" i="543"/>
  <c r="N87" i="543"/>
  <c r="K87" i="543" a="1"/>
  <c r="K87" i="543" s="1"/>
  <c r="J87" i="543" a="1"/>
  <c r="J87" i="543" s="1"/>
  <c r="H87" i="543"/>
  <c r="AA86" i="543"/>
  <c r="Z86" i="543"/>
  <c r="Y86" i="543"/>
  <c r="X86" i="543"/>
  <c r="U86" i="543"/>
  <c r="T86" i="543"/>
  <c r="S86" i="543"/>
  <c r="R86" i="543"/>
  <c r="Q86" i="543"/>
  <c r="P86" i="543"/>
  <c r="O86" i="543"/>
  <c r="R167" i="543" s="1"/>
  <c r="I86" i="543"/>
  <c r="G86" i="543"/>
  <c r="C525" i="543" s="1"/>
  <c r="K85" i="543" a="1"/>
  <c r="K85" i="543" s="1"/>
  <c r="H85" i="543"/>
  <c r="K84" i="543" a="1"/>
  <c r="K84" i="543" s="1"/>
  <c r="H84" i="543"/>
  <c r="K83" i="543" a="1"/>
  <c r="K83" i="543" s="1"/>
  <c r="H83" i="543"/>
  <c r="K82" i="543"/>
  <c r="K82" i="543" a="1"/>
  <c r="H82" i="543"/>
  <c r="K81" i="543" a="1"/>
  <c r="K81" i="543" s="1"/>
  <c r="H81" i="543"/>
  <c r="K80" i="543" a="1"/>
  <c r="K80" i="543" s="1"/>
  <c r="H80" i="543"/>
  <c r="K79" i="543"/>
  <c r="M79" i="543" s="1"/>
  <c r="K79" i="543" a="1"/>
  <c r="H79" i="543"/>
  <c r="K78" i="543" a="1"/>
  <c r="K78" i="543" s="1"/>
  <c r="M78" i="543" s="1"/>
  <c r="H78" i="543"/>
  <c r="K77" i="543" a="1"/>
  <c r="K77" i="543" s="1"/>
  <c r="M77" i="543" s="1"/>
  <c r="H77" i="543"/>
  <c r="K76" i="543" a="1"/>
  <c r="K76" i="543" s="1"/>
  <c r="M76" i="543" s="1"/>
  <c r="H76" i="543"/>
  <c r="V75" i="543"/>
  <c r="W75" i="543" s="1"/>
  <c r="N75" i="543"/>
  <c r="K75" i="543" a="1"/>
  <c r="K75" i="543" s="1"/>
  <c r="M75" i="543" s="1"/>
  <c r="J75" i="543" a="1"/>
  <c r="J75" i="543" s="1"/>
  <c r="H75" i="543"/>
  <c r="V74" i="543"/>
  <c r="W74" i="543" s="1"/>
  <c r="N74" i="543"/>
  <c r="K74" i="543"/>
  <c r="M74" i="543" s="1"/>
  <c r="K74" i="543" a="1"/>
  <c r="J74" i="543" a="1"/>
  <c r="J74" i="543" s="1"/>
  <c r="H74" i="543"/>
  <c r="V73" i="543"/>
  <c r="W73" i="543" s="1"/>
  <c r="N73" i="543"/>
  <c r="K73" i="543" a="1"/>
  <c r="K73" i="543" s="1"/>
  <c r="M73" i="543" s="1"/>
  <c r="J73" i="543" a="1"/>
  <c r="J73" i="543" s="1"/>
  <c r="H73" i="543"/>
  <c r="V72" i="543"/>
  <c r="W72" i="543" s="1"/>
  <c r="N72" i="543"/>
  <c r="K72" i="543"/>
  <c r="M72" i="543" s="1"/>
  <c r="K72" i="543" a="1"/>
  <c r="J72" i="543" a="1"/>
  <c r="J72" i="543" s="1"/>
  <c r="H72" i="543"/>
  <c r="H71" i="543"/>
  <c r="V70" i="543"/>
  <c r="W70" i="543" s="1"/>
  <c r="N70" i="543"/>
  <c r="K70" i="543" a="1"/>
  <c r="K70" i="543" s="1"/>
  <c r="M70" i="543" s="1"/>
  <c r="J70" i="543" a="1"/>
  <c r="J70" i="543" s="1"/>
  <c r="H70" i="543"/>
  <c r="V69" i="543"/>
  <c r="W69" i="543" s="1"/>
  <c r="N69" i="543"/>
  <c r="K69" i="543" a="1"/>
  <c r="K69" i="543" s="1"/>
  <c r="M69" i="543" s="1"/>
  <c r="J69" i="543" a="1"/>
  <c r="J69" i="543" s="1"/>
  <c r="H69" i="543"/>
  <c r="K68" i="543" a="1"/>
  <c r="K68" i="543" s="1"/>
  <c r="H68" i="543"/>
  <c r="K67" i="543"/>
  <c r="K67" i="543" a="1"/>
  <c r="H67" i="543"/>
  <c r="V66" i="543"/>
  <c r="W66" i="543" s="1"/>
  <c r="N66" i="543"/>
  <c r="K66" i="543" a="1"/>
  <c r="K66" i="543" s="1"/>
  <c r="M66" i="543" s="1"/>
  <c r="J66" i="543" a="1"/>
  <c r="J66" i="543" s="1"/>
  <c r="H66" i="543"/>
  <c r="V65" i="543"/>
  <c r="W65" i="543" s="1"/>
  <c r="N65" i="543"/>
  <c r="K65" i="543" a="1"/>
  <c r="K65" i="543" s="1"/>
  <c r="M65" i="543" s="1"/>
  <c r="J65" i="543" a="1"/>
  <c r="J65" i="543" s="1"/>
  <c r="H65" i="543"/>
  <c r="V64" i="543"/>
  <c r="W64" i="543" s="1"/>
  <c r="N64" i="543"/>
  <c r="K64" i="543" a="1"/>
  <c r="K64" i="543" s="1"/>
  <c r="M64" i="543" s="1"/>
  <c r="J64" i="543" a="1"/>
  <c r="J64" i="543" s="1"/>
  <c r="H64" i="543"/>
  <c r="V63" i="543"/>
  <c r="W63" i="543" s="1"/>
  <c r="N63" i="543"/>
  <c r="K63" i="543"/>
  <c r="M63" i="543" s="1"/>
  <c r="K63" i="543" a="1"/>
  <c r="J63" i="543"/>
  <c r="J63" i="543" a="1"/>
  <c r="H63" i="543"/>
  <c r="V62" i="543"/>
  <c r="W62" i="543" s="1"/>
  <c r="N62" i="543"/>
  <c r="K62" i="543" a="1"/>
  <c r="K62" i="543" s="1"/>
  <c r="M62" i="543" s="1"/>
  <c r="J62" i="543" a="1"/>
  <c r="J62" i="543" s="1"/>
  <c r="H62" i="543"/>
  <c r="V61" i="543"/>
  <c r="W61" i="543" s="1"/>
  <c r="N61" i="543"/>
  <c r="K61" i="543" a="1"/>
  <c r="K61" i="543" s="1"/>
  <c r="M61" i="543" s="1"/>
  <c r="J61" i="543" a="1"/>
  <c r="J61" i="543" s="1"/>
  <c r="H61" i="543"/>
  <c r="V60" i="543"/>
  <c r="W60" i="543" s="1"/>
  <c r="N60" i="543"/>
  <c r="K60" i="543" a="1"/>
  <c r="K60" i="543" s="1"/>
  <c r="M60" i="543" s="1"/>
  <c r="J60" i="543" a="1"/>
  <c r="J60" i="543" s="1"/>
  <c r="H60" i="543"/>
  <c r="V59" i="543"/>
  <c r="W59" i="543" s="1"/>
  <c r="N59" i="543"/>
  <c r="K59" i="543"/>
  <c r="M59" i="543" s="1"/>
  <c r="K59" i="543" a="1"/>
  <c r="J59" i="543"/>
  <c r="J59" i="543" a="1"/>
  <c r="H59" i="543"/>
  <c r="V58" i="543"/>
  <c r="W58" i="543" s="1"/>
  <c r="N58" i="543"/>
  <c r="K58" i="543" a="1"/>
  <c r="K58" i="543" s="1"/>
  <c r="M58" i="543" s="1"/>
  <c r="J58" i="543" a="1"/>
  <c r="J58" i="543" s="1"/>
  <c r="H58" i="543"/>
  <c r="V57" i="543"/>
  <c r="W57" i="543" s="1"/>
  <c r="N57" i="543"/>
  <c r="K57" i="543" a="1"/>
  <c r="K57" i="543" s="1"/>
  <c r="M57" i="543" s="1"/>
  <c r="J57" i="543" a="1"/>
  <c r="J57" i="543" s="1"/>
  <c r="H57" i="543"/>
  <c r="K56" i="543"/>
  <c r="M56" i="543" s="1"/>
  <c r="K56" i="543" a="1"/>
  <c r="H56" i="543"/>
  <c r="K55" i="543" a="1"/>
  <c r="K55" i="543" s="1"/>
  <c r="M55" i="543" s="1"/>
  <c r="H55" i="543"/>
  <c r="K54" i="543" a="1"/>
  <c r="K54" i="543" s="1"/>
  <c r="M54" i="543" s="1"/>
  <c r="H54" i="543"/>
  <c r="K53" i="543" a="1"/>
  <c r="K53" i="543" s="1"/>
  <c r="M53" i="543" s="1"/>
  <c r="H53" i="543"/>
  <c r="N52" i="543"/>
  <c r="K52" i="543" a="1"/>
  <c r="K52" i="543" s="1"/>
  <c r="M52" i="543" s="1"/>
  <c r="H52" i="543"/>
  <c r="N51" i="543"/>
  <c r="K51" i="543" a="1"/>
  <c r="K51" i="543" s="1"/>
  <c r="M51" i="543" s="1"/>
  <c r="H51" i="543"/>
  <c r="N50" i="543"/>
  <c r="K50" i="543" a="1"/>
  <c r="K50" i="543" s="1"/>
  <c r="M50" i="543" s="1"/>
  <c r="H50" i="543"/>
  <c r="N49" i="543"/>
  <c r="K49" i="543" a="1"/>
  <c r="K49" i="543" s="1"/>
  <c r="M49" i="543" s="1"/>
  <c r="H49" i="543"/>
  <c r="W48" i="543"/>
  <c r="V48" i="543"/>
  <c r="N48" i="543"/>
  <c r="K48" i="543" a="1"/>
  <c r="K48" i="543" s="1"/>
  <c r="M48" i="543" s="1"/>
  <c r="J48" i="543" a="1"/>
  <c r="J48" i="543" s="1"/>
  <c r="H48" i="543"/>
  <c r="V47" i="543"/>
  <c r="W47" i="543" s="1"/>
  <c r="N47" i="543"/>
  <c r="K47" i="543"/>
  <c r="M47" i="543" s="1"/>
  <c r="K47" i="543" a="1"/>
  <c r="J47" i="543"/>
  <c r="J47" i="543" a="1"/>
  <c r="H47" i="543"/>
  <c r="V46" i="543"/>
  <c r="W46" i="543" s="1"/>
  <c r="N46" i="543"/>
  <c r="K46" i="543" a="1"/>
  <c r="K46" i="543" s="1"/>
  <c r="M46" i="543" s="1"/>
  <c r="J46" i="543" a="1"/>
  <c r="J46" i="543" s="1"/>
  <c r="H46" i="543"/>
  <c r="V45" i="543"/>
  <c r="W45" i="543" s="1"/>
  <c r="N45" i="543"/>
  <c r="K45" i="543" a="1"/>
  <c r="K45" i="543" s="1"/>
  <c r="M45" i="543" s="1"/>
  <c r="J45" i="543" a="1"/>
  <c r="J45" i="543" s="1"/>
  <c r="H45" i="543"/>
  <c r="V44" i="543"/>
  <c r="W44" i="543" s="1"/>
  <c r="N44" i="543"/>
  <c r="K44" i="543" a="1"/>
  <c r="K44" i="543" s="1"/>
  <c r="M44" i="543" s="1"/>
  <c r="J44" i="543" a="1"/>
  <c r="J44" i="543" s="1"/>
  <c r="H44" i="543"/>
  <c r="V43" i="543"/>
  <c r="W43" i="543" s="1"/>
  <c r="N43" i="543"/>
  <c r="K43" i="543"/>
  <c r="M43" i="543" s="1"/>
  <c r="K43" i="543" a="1"/>
  <c r="J43" i="543"/>
  <c r="J43" i="543" a="1"/>
  <c r="H43" i="543"/>
  <c r="V42" i="543"/>
  <c r="W42" i="543" s="1"/>
  <c r="N42" i="543"/>
  <c r="K42" i="543" a="1"/>
  <c r="K42" i="543" s="1"/>
  <c r="M42" i="543" s="1"/>
  <c r="J42" i="543" a="1"/>
  <c r="J42" i="543" s="1"/>
  <c r="H42" i="543"/>
  <c r="V41" i="543"/>
  <c r="W41" i="543" s="1"/>
  <c r="N41" i="543"/>
  <c r="K41" i="543" a="1"/>
  <c r="K41" i="543" s="1"/>
  <c r="M41" i="543" s="1"/>
  <c r="J41" i="543" a="1"/>
  <c r="J41" i="543" s="1"/>
  <c r="H41" i="543"/>
  <c r="V40" i="543"/>
  <c r="W40" i="543" s="1"/>
  <c r="N40" i="543"/>
  <c r="K40" i="543" a="1"/>
  <c r="K40" i="543" s="1"/>
  <c r="M40" i="543" s="1"/>
  <c r="J40" i="543" a="1"/>
  <c r="J40" i="543" s="1"/>
  <c r="H40" i="543"/>
  <c r="V39" i="543"/>
  <c r="W39" i="543" s="1"/>
  <c r="N39" i="543"/>
  <c r="K39" i="543"/>
  <c r="M39" i="543" s="1"/>
  <c r="K39" i="543" a="1"/>
  <c r="J39" i="543"/>
  <c r="J39" i="543" a="1"/>
  <c r="H39" i="543"/>
  <c r="V38" i="543"/>
  <c r="W38" i="543" s="1"/>
  <c r="N38" i="543"/>
  <c r="K38" i="543" a="1"/>
  <c r="K38" i="543" s="1"/>
  <c r="M38" i="543" s="1"/>
  <c r="J38" i="543" a="1"/>
  <c r="J38" i="543" s="1"/>
  <c r="H38" i="543"/>
  <c r="V37" i="543"/>
  <c r="W37" i="543" s="1"/>
  <c r="N37" i="543"/>
  <c r="K37" i="543" a="1"/>
  <c r="K37" i="543" s="1"/>
  <c r="M37" i="543" s="1"/>
  <c r="J37" i="543" a="1"/>
  <c r="J37" i="543" s="1"/>
  <c r="H37" i="543"/>
  <c r="H36" i="543"/>
  <c r="H35" i="543"/>
  <c r="H34" i="543"/>
  <c r="V33" i="543"/>
  <c r="W33" i="543" s="1"/>
  <c r="N33" i="543"/>
  <c r="K33" i="543"/>
  <c r="M33" i="543" s="1"/>
  <c r="K33" i="543" a="1"/>
  <c r="J33" i="543"/>
  <c r="J33" i="543" a="1"/>
  <c r="H33" i="543"/>
  <c r="V32" i="543"/>
  <c r="W32" i="543" s="1"/>
  <c r="N32" i="543"/>
  <c r="K32" i="543" a="1"/>
  <c r="K32" i="543" s="1"/>
  <c r="M32" i="543" s="1"/>
  <c r="J32" i="543" a="1"/>
  <c r="J32" i="543" s="1"/>
  <c r="H32" i="543"/>
  <c r="V31" i="543"/>
  <c r="W31" i="543" s="1"/>
  <c r="N31" i="543"/>
  <c r="K31" i="543" a="1"/>
  <c r="K31" i="543" s="1"/>
  <c r="M31" i="543" s="1"/>
  <c r="J31" i="543" a="1"/>
  <c r="J31" i="543" s="1"/>
  <c r="H31" i="543"/>
  <c r="K30" i="543" a="1"/>
  <c r="K30" i="543" s="1"/>
  <c r="H30" i="543"/>
  <c r="W29" i="543"/>
  <c r="V29" i="543"/>
  <c r="N29" i="543"/>
  <c r="N86" i="543" s="1"/>
  <c r="K29" i="543" a="1"/>
  <c r="K29" i="543" s="1"/>
  <c r="M29" i="543" s="1"/>
  <c r="J29" i="543" a="1"/>
  <c r="J29" i="543" s="1"/>
  <c r="H29" i="543"/>
  <c r="AA28" i="543"/>
  <c r="AA164" i="543" s="1"/>
  <c r="Z28" i="543"/>
  <c r="Z164" i="543" s="1"/>
  <c r="Y28" i="543"/>
  <c r="Y164" i="543" s="1"/>
  <c r="X28" i="543"/>
  <c r="X164" i="543" s="1"/>
  <c r="U28" i="543"/>
  <c r="U164" i="543" s="1"/>
  <c r="T28" i="543"/>
  <c r="T164" i="543" s="1"/>
  <c r="S28" i="543"/>
  <c r="S164" i="543" s="1"/>
  <c r="R28" i="543"/>
  <c r="R164" i="543" s="1"/>
  <c r="Q28" i="543"/>
  <c r="Q164" i="543" s="1"/>
  <c r="P28" i="543"/>
  <c r="X167" i="543" s="1"/>
  <c r="O28" i="543"/>
  <c r="R166" i="543" s="1"/>
  <c r="I28" i="543"/>
  <c r="I164" i="543" s="1"/>
  <c r="B172" i="543" s="1"/>
  <c r="G28" i="543"/>
  <c r="J28" i="543" s="1" a="1"/>
  <c r="J28" i="543" s="1"/>
  <c r="V27" i="543"/>
  <c r="W27" i="543" s="1"/>
  <c r="N27" i="543"/>
  <c r="K27" i="543" a="1"/>
  <c r="K27" i="543" s="1"/>
  <c r="M27" i="543" s="1"/>
  <c r="J27" i="543" a="1"/>
  <c r="J27" i="543" s="1"/>
  <c r="H27" i="543"/>
  <c r="V26" i="543"/>
  <c r="W26" i="543" s="1"/>
  <c r="N26" i="543"/>
  <c r="K26" i="543" a="1"/>
  <c r="K26" i="543" s="1"/>
  <c r="M26" i="543" s="1"/>
  <c r="J26" i="543" a="1"/>
  <c r="J26" i="543" s="1"/>
  <c r="H26" i="543"/>
  <c r="K25" i="543"/>
  <c r="M25" i="543" s="1"/>
  <c r="K25" i="543" a="1"/>
  <c r="J25" i="543" a="1"/>
  <c r="J25" i="543" s="1"/>
  <c r="H25" i="543"/>
  <c r="K24" i="543" a="1"/>
  <c r="K24" i="543" s="1"/>
  <c r="M24" i="543" s="1"/>
  <c r="J24" i="543" a="1"/>
  <c r="J24" i="543" s="1"/>
  <c r="H24" i="543"/>
  <c r="K23" i="543" a="1"/>
  <c r="K23" i="543" s="1"/>
  <c r="M23" i="543" s="1"/>
  <c r="J23" i="543" a="1"/>
  <c r="J23" i="543" s="1"/>
  <c r="H23" i="543"/>
  <c r="K22" i="543" a="1"/>
  <c r="K22" i="543" s="1"/>
  <c r="M22" i="543" s="1"/>
  <c r="J22" i="543" a="1"/>
  <c r="J22" i="543" s="1"/>
  <c r="H22" i="543"/>
  <c r="V21" i="543"/>
  <c r="W21" i="543" s="1"/>
  <c r="N21" i="543"/>
  <c r="K21" i="543"/>
  <c r="M21" i="543" s="1"/>
  <c r="K21" i="543" a="1"/>
  <c r="J21" i="543"/>
  <c r="J21" i="543" a="1"/>
  <c r="H21" i="543"/>
  <c r="V20" i="543"/>
  <c r="W20" i="543" s="1"/>
  <c r="N20" i="543"/>
  <c r="K20" i="543" a="1"/>
  <c r="K20" i="543" s="1"/>
  <c r="M20" i="543" s="1"/>
  <c r="J20" i="543" a="1"/>
  <c r="J20" i="543" s="1"/>
  <c r="H20" i="543"/>
  <c r="V19" i="543"/>
  <c r="W19" i="543" s="1"/>
  <c r="N19" i="543"/>
  <c r="K19" i="543" a="1"/>
  <c r="K19" i="543" s="1"/>
  <c r="M19" i="543" s="1"/>
  <c r="J19" i="543" a="1"/>
  <c r="J19" i="543" s="1"/>
  <c r="H19" i="543"/>
  <c r="N18" i="543"/>
  <c r="K18" i="543" a="1"/>
  <c r="K18" i="543" s="1"/>
  <c r="M18" i="543" s="1"/>
  <c r="J18" i="543" a="1"/>
  <c r="J18" i="543" s="1"/>
  <c r="H18" i="543"/>
  <c r="N17" i="543"/>
  <c r="K17" i="543" a="1"/>
  <c r="K17" i="543" s="1"/>
  <c r="M17" i="543" s="1"/>
  <c r="J17" i="543" a="1"/>
  <c r="J17" i="543" s="1"/>
  <c r="H17" i="543"/>
  <c r="V16" i="543"/>
  <c r="W16" i="543" s="1"/>
  <c r="N16" i="543"/>
  <c r="K16" i="543" a="1"/>
  <c r="K16" i="543" s="1"/>
  <c r="M16" i="543" s="1"/>
  <c r="J16" i="543" a="1"/>
  <c r="J16" i="543" s="1"/>
  <c r="H16" i="543"/>
  <c r="V15" i="543"/>
  <c r="W15" i="543" s="1"/>
  <c r="N15" i="543"/>
  <c r="K15" i="543"/>
  <c r="M15" i="543" s="1"/>
  <c r="K15" i="543" a="1"/>
  <c r="J15" i="543"/>
  <c r="J15" i="543" a="1"/>
  <c r="H15" i="543"/>
  <c r="N14" i="543"/>
  <c r="K14" i="543" a="1"/>
  <c r="K14" i="543" s="1"/>
  <c r="M14" i="543" s="1"/>
  <c r="H14" i="543"/>
  <c r="N13" i="543"/>
  <c r="K13" i="543" a="1"/>
  <c r="K13" i="543" s="1"/>
  <c r="M13" i="543" s="1"/>
  <c r="H13" i="543"/>
  <c r="V12" i="543"/>
  <c r="W12" i="543" s="1"/>
  <c r="N12" i="543"/>
  <c r="K12" i="543" a="1"/>
  <c r="K12" i="543" s="1"/>
  <c r="M12" i="543" s="1"/>
  <c r="J12" i="543" a="1"/>
  <c r="J12" i="543" s="1"/>
  <c r="H12" i="543"/>
  <c r="V11" i="543"/>
  <c r="W11" i="543" s="1"/>
  <c r="N11" i="543"/>
  <c r="K11" i="543"/>
  <c r="M11" i="543" s="1"/>
  <c r="K11" i="543" a="1"/>
  <c r="J11" i="543"/>
  <c r="J11" i="543" a="1"/>
  <c r="H11" i="543"/>
  <c r="V10" i="543"/>
  <c r="W10" i="543" s="1"/>
  <c r="N10" i="543"/>
  <c r="K10" i="543" a="1"/>
  <c r="K10" i="543" s="1"/>
  <c r="M10" i="543" s="1"/>
  <c r="J10" i="543" a="1"/>
  <c r="J10" i="543" s="1"/>
  <c r="H10" i="543"/>
  <c r="V9" i="543"/>
  <c r="W9" i="543" s="1"/>
  <c r="N9" i="543"/>
  <c r="K9" i="543" a="1"/>
  <c r="K9" i="543" s="1"/>
  <c r="M9" i="543" s="1"/>
  <c r="J9" i="543" a="1"/>
  <c r="J9" i="543" s="1"/>
  <c r="H9" i="543"/>
  <c r="V8" i="543"/>
  <c r="W8" i="543" s="1"/>
  <c r="N8" i="543"/>
  <c r="K8" i="543" a="1"/>
  <c r="K8" i="543" s="1"/>
  <c r="M8" i="543" s="1"/>
  <c r="J8" i="543" a="1"/>
  <c r="J8" i="543" s="1"/>
  <c r="H8" i="543"/>
  <c r="V7" i="543"/>
  <c r="N7" i="543"/>
  <c r="N28" i="543" s="1"/>
  <c r="K7" i="543" a="1"/>
  <c r="K7" i="543" s="1"/>
  <c r="J7" i="543" a="1"/>
  <c r="J7" i="543" s="1"/>
  <c r="H7" i="543"/>
  <c r="V463" i="543" l="1"/>
  <c r="W463" i="543" s="1"/>
  <c r="V137" i="543"/>
  <c r="W137" i="543" s="1"/>
  <c r="N121" i="543"/>
  <c r="H137" i="543"/>
  <c r="H148" i="543"/>
  <c r="N163" i="543"/>
  <c r="V308" i="543"/>
  <c r="N148" i="543"/>
  <c r="H163" i="543"/>
  <c r="S530" i="544"/>
  <c r="K520" i="544"/>
  <c r="O520" i="544" s="1"/>
  <c r="K519" i="544"/>
  <c r="J292" i="543" a="1"/>
  <c r="J292" i="543" s="1"/>
  <c r="J534" i="543"/>
  <c r="Q534" i="543" s="1"/>
  <c r="D534" i="542"/>
  <c r="H28" i="543"/>
  <c r="V28" i="543"/>
  <c r="H86" i="543"/>
  <c r="V86" i="543"/>
  <c r="W86" i="543" s="1"/>
  <c r="H121" i="543"/>
  <c r="V121" i="543"/>
  <c r="W121" i="543" s="1"/>
  <c r="R168" i="543"/>
  <c r="N137" i="543"/>
  <c r="N164" i="543" s="1"/>
  <c r="B173" i="543" s="1"/>
  <c r="E173" i="543" s="1"/>
  <c r="W122" i="543"/>
  <c r="W149" i="543"/>
  <c r="J163" i="543" a="1"/>
  <c r="J163" i="543" s="1"/>
  <c r="M137" i="543"/>
  <c r="K163" i="543"/>
  <c r="N428" i="543"/>
  <c r="W371" i="543"/>
  <c r="J428" i="543" a="1"/>
  <c r="J428" i="543" s="1"/>
  <c r="R510" i="543"/>
  <c r="H479" i="543"/>
  <c r="K479" i="543"/>
  <c r="W480" i="543"/>
  <c r="K428" i="543"/>
  <c r="M490" i="543"/>
  <c r="W320" i="543"/>
  <c r="W334" i="543" s="1"/>
  <c r="N308" i="543"/>
  <c r="N199" i="543"/>
  <c r="K28" i="543"/>
  <c r="M7" i="543"/>
  <c r="M28" i="543" s="1"/>
  <c r="W28" i="543"/>
  <c r="K524" i="543"/>
  <c r="R173" i="543"/>
  <c r="K525" i="543"/>
  <c r="K527" i="543"/>
  <c r="K148" i="543"/>
  <c r="M138" i="543"/>
  <c r="M148" i="543" s="1"/>
  <c r="K528" i="543"/>
  <c r="T170" i="543"/>
  <c r="K529" i="543"/>
  <c r="T171" i="543"/>
  <c r="J199" i="543" a="1"/>
  <c r="J199" i="543" s="1"/>
  <c r="W7" i="543"/>
  <c r="C520" i="543"/>
  <c r="Q525" i="543"/>
  <c r="M86" i="543"/>
  <c r="M87" i="543"/>
  <c r="M121" i="543" s="1"/>
  <c r="K121" i="543"/>
  <c r="K526" i="543"/>
  <c r="T168" i="543"/>
  <c r="K170" i="543"/>
  <c r="M166" i="543"/>
  <c r="M178" i="543"/>
  <c r="J86" i="543" a="1"/>
  <c r="J86" i="543" s="1"/>
  <c r="K86" i="543"/>
  <c r="W87" i="543"/>
  <c r="J121" i="543" a="1"/>
  <c r="J121" i="543" s="1"/>
  <c r="K137" i="543"/>
  <c r="V148" i="543"/>
  <c r="W148" i="543" s="1"/>
  <c r="O164" i="543"/>
  <c r="E170" i="543"/>
  <c r="W178" i="543"/>
  <c r="J190" i="543" a="1"/>
  <c r="J190" i="543" s="1"/>
  <c r="K190" i="543" a="1"/>
  <c r="K190" i="543" s="1"/>
  <c r="M190" i="543" s="1"/>
  <c r="W198" i="543"/>
  <c r="X338" i="543"/>
  <c r="P335" i="543"/>
  <c r="X339" i="543" s="1"/>
  <c r="J208" i="543" a="1"/>
  <c r="J208" i="543" s="1"/>
  <c r="K208" i="543" a="1"/>
  <c r="K208" i="543" s="1"/>
  <c r="M208" i="543" s="1"/>
  <c r="J219" i="543" a="1"/>
  <c r="J219" i="543" s="1"/>
  <c r="K219" i="543" a="1"/>
  <c r="K219" i="543" s="1"/>
  <c r="M219" i="543" s="1"/>
  <c r="M258" i="543"/>
  <c r="M292" i="543" s="1"/>
  <c r="K292" i="543"/>
  <c r="M309" i="543"/>
  <c r="M319" i="543" s="1"/>
  <c r="K319" i="543"/>
  <c r="C524" i="543"/>
  <c r="J148" i="543" a="1"/>
  <c r="J148" i="543" s="1"/>
  <c r="M149" i="543"/>
  <c r="M163" i="543" s="1"/>
  <c r="G164" i="543"/>
  <c r="P164" i="543"/>
  <c r="X168" i="543" s="1"/>
  <c r="X173" i="543" s="1"/>
  <c r="W190" i="543"/>
  <c r="J198" i="543" a="1"/>
  <c r="J198" i="543" s="1"/>
  <c r="O335" i="543"/>
  <c r="R337" i="543"/>
  <c r="M200" i="543"/>
  <c r="V257" i="543"/>
  <c r="W257" i="543" s="1"/>
  <c r="H208" i="543"/>
  <c r="H257" i="543" s="1"/>
  <c r="K308" i="543"/>
  <c r="M293" i="543"/>
  <c r="M308" i="543" s="1"/>
  <c r="K334" i="543"/>
  <c r="W258" i="543"/>
  <c r="W293" i="543"/>
  <c r="H306" i="543"/>
  <c r="H308" i="543" s="1"/>
  <c r="G308" i="543"/>
  <c r="J308" i="543" s="1" a="1"/>
  <c r="J308" i="543" s="1"/>
  <c r="R340" i="543"/>
  <c r="W309" i="543"/>
  <c r="M320" i="543"/>
  <c r="M334" i="543" s="1"/>
  <c r="E341" i="543"/>
  <c r="K337" i="543"/>
  <c r="M349" i="543"/>
  <c r="M370" i="543" s="1"/>
  <c r="K370" i="543"/>
  <c r="J306" i="543" a="1"/>
  <c r="J306" i="543" s="1"/>
  <c r="K463" i="543"/>
  <c r="M429" i="543"/>
  <c r="M463" i="543" s="1"/>
  <c r="W349" i="543"/>
  <c r="W370" i="543" s="1"/>
  <c r="J370" i="543" a="1"/>
  <c r="J370" i="543" s="1"/>
  <c r="M479" i="543"/>
  <c r="W464" i="543"/>
  <c r="V479" i="543"/>
  <c r="W479" i="543" s="1"/>
  <c r="B514" i="543"/>
  <c r="J507" i="543" a="1"/>
  <c r="J507" i="543" s="1"/>
  <c r="M514" i="543" s="1"/>
  <c r="X509" i="543"/>
  <c r="O507" i="543"/>
  <c r="X510" i="543" s="1"/>
  <c r="R509" i="543"/>
  <c r="M371" i="543"/>
  <c r="M428" i="543" s="1"/>
  <c r="H463" i="543"/>
  <c r="H507" i="543" s="1"/>
  <c r="E514" i="543" s="1"/>
  <c r="N463" i="543"/>
  <c r="N507" i="543" s="1"/>
  <c r="B516" i="543" s="1"/>
  <c r="W429" i="543"/>
  <c r="J463" i="543" a="1"/>
  <c r="J463" i="543" s="1"/>
  <c r="N479" i="543"/>
  <c r="K506" i="543"/>
  <c r="M491" i="543"/>
  <c r="M506" i="543" s="1"/>
  <c r="K490" i="543"/>
  <c r="R534" i="543"/>
  <c r="S534" i="543" a="1"/>
  <c r="S534" i="543" s="1"/>
  <c r="R513" i="543"/>
  <c r="W491" i="543"/>
  <c r="W506" i="543" s="1"/>
  <c r="K509" i="543"/>
  <c r="J536" i="543"/>
  <c r="Q533" i="543"/>
  <c r="R535" i="543"/>
  <c r="S535" i="543" a="1"/>
  <c r="S535" i="543" s="1"/>
  <c r="T533" i="543" a="1"/>
  <c r="T533" i="543" s="1"/>
  <c r="T534" i="543" a="1"/>
  <c r="T534" i="543" s="1"/>
  <c r="T535" i="543" a="1"/>
  <c r="T535" i="543" s="1"/>
  <c r="C536" i="543"/>
  <c r="T536" i="543" s="1" a="1"/>
  <c r="T536" i="543" s="1"/>
  <c r="N335" i="543" l="1"/>
  <c r="B344" i="543" s="1"/>
  <c r="E344" i="543" s="1"/>
  <c r="X344" i="543"/>
  <c r="Z342" i="543" s="1"/>
  <c r="H164" i="543"/>
  <c r="E171" i="543" s="1"/>
  <c r="M257" i="543"/>
  <c r="E516" i="543"/>
  <c r="C521" i="543"/>
  <c r="G521" i="543" s="1"/>
  <c r="H335" i="543"/>
  <c r="E342" i="543" s="1"/>
  <c r="R533" i="543"/>
  <c r="R536" i="543" s="1"/>
  <c r="Q536" i="543"/>
  <c r="S536" i="543" s="1" a="1"/>
  <c r="S536" i="543" s="1"/>
  <c r="S533" i="543" a="1"/>
  <c r="S533" i="543" s="1"/>
  <c r="K513" i="543"/>
  <c r="M513" i="543" s="1"/>
  <c r="M509" i="543"/>
  <c r="K507" i="543"/>
  <c r="K341" i="543"/>
  <c r="M341" i="543" s="1"/>
  <c r="M337" i="543"/>
  <c r="Z166" i="543" a="1"/>
  <c r="Z166" i="543" s="1"/>
  <c r="Z172" i="543"/>
  <c r="Q526" i="543"/>
  <c r="Z168" i="543"/>
  <c r="C527" i="543"/>
  <c r="Z338" i="543"/>
  <c r="W199" i="543"/>
  <c r="Z170" i="543"/>
  <c r="Z169" i="543"/>
  <c r="V335" i="543"/>
  <c r="I344" i="543" s="1"/>
  <c r="M199" i="543"/>
  <c r="M335" i="543" s="1"/>
  <c r="G335" i="543"/>
  <c r="K530" i="543"/>
  <c r="M529" i="543" s="1"/>
  <c r="T172" i="543"/>
  <c r="W164" i="543"/>
  <c r="M164" i="543"/>
  <c r="R516" i="543"/>
  <c r="T509" i="543" s="1" a="1"/>
  <c r="T509" i="543" s="1"/>
  <c r="X516" i="543"/>
  <c r="Z510" i="543" s="1"/>
  <c r="V507" i="543"/>
  <c r="M507" i="543"/>
  <c r="Z340" i="543"/>
  <c r="Z337" i="543" a="1"/>
  <c r="Z337" i="543" s="1"/>
  <c r="W308" i="543"/>
  <c r="R344" i="543"/>
  <c r="T337" i="543" s="1" a="1"/>
  <c r="T337" i="543" s="1"/>
  <c r="B171" i="543"/>
  <c r="J164" i="543" a="1"/>
  <c r="J164" i="543" s="1"/>
  <c r="M171" i="543" s="1"/>
  <c r="C530" i="543"/>
  <c r="E524" i="543" s="1"/>
  <c r="K257" i="543"/>
  <c r="Z339" i="543"/>
  <c r="Z171" i="543"/>
  <c r="K199" i="543"/>
  <c r="M170" i="543"/>
  <c r="Z167" i="543"/>
  <c r="T169" i="543"/>
  <c r="T167" i="543"/>
  <c r="T166" i="543" a="1"/>
  <c r="T166" i="543" s="1"/>
  <c r="M524" i="543" a="1"/>
  <c r="M524" i="543" s="1"/>
  <c r="V164" i="543"/>
  <c r="I173" i="543" s="1"/>
  <c r="K164" i="543"/>
  <c r="E172" i="543" s="1"/>
  <c r="AA505" i="489"/>
  <c r="Z505" i="489"/>
  <c r="Y505" i="489"/>
  <c r="X505" i="489"/>
  <c r="U505" i="489"/>
  <c r="T505" i="489"/>
  <c r="S505" i="489"/>
  <c r="R505" i="489"/>
  <c r="Q505" i="489"/>
  <c r="P505" i="489"/>
  <c r="O505" i="489"/>
  <c r="I505" i="489"/>
  <c r="G505" i="489"/>
  <c r="AA504" i="489"/>
  <c r="Z504" i="489"/>
  <c r="Y504" i="489"/>
  <c r="X504" i="489"/>
  <c r="U504" i="489"/>
  <c r="T504" i="489"/>
  <c r="S504" i="489"/>
  <c r="R504" i="489"/>
  <c r="Q504" i="489"/>
  <c r="P504" i="489"/>
  <c r="O504" i="489"/>
  <c r="I504" i="489"/>
  <c r="G504" i="489"/>
  <c r="I503" i="489"/>
  <c r="G503" i="489"/>
  <c r="AA502" i="489"/>
  <c r="Z502" i="489"/>
  <c r="Y502" i="489"/>
  <c r="X502" i="489"/>
  <c r="U502" i="489"/>
  <c r="T502" i="489"/>
  <c r="S502" i="489"/>
  <c r="R502" i="489"/>
  <c r="Q502" i="489"/>
  <c r="P502" i="489"/>
  <c r="O502" i="489"/>
  <c r="I502" i="489"/>
  <c r="G502" i="489"/>
  <c r="AA501" i="489"/>
  <c r="Z501" i="489"/>
  <c r="Y501" i="489"/>
  <c r="X501" i="489"/>
  <c r="U501" i="489"/>
  <c r="T501" i="489"/>
  <c r="S501" i="489"/>
  <c r="R501" i="489"/>
  <c r="Q501" i="489"/>
  <c r="P501" i="489"/>
  <c r="O501" i="489"/>
  <c r="I501" i="489"/>
  <c r="G501" i="489"/>
  <c r="G500" i="489"/>
  <c r="G499" i="489"/>
  <c r="AA498" i="489"/>
  <c r="Z498" i="489"/>
  <c r="Y498" i="489"/>
  <c r="X498" i="489"/>
  <c r="U498" i="489"/>
  <c r="T498" i="489"/>
  <c r="S498" i="489"/>
  <c r="R498" i="489"/>
  <c r="Q498" i="489"/>
  <c r="P498" i="489"/>
  <c r="O498" i="489"/>
  <c r="I498" i="489"/>
  <c r="G498" i="489"/>
  <c r="AA497" i="489"/>
  <c r="Z497" i="489"/>
  <c r="Y497" i="489"/>
  <c r="X497" i="489"/>
  <c r="U497" i="489"/>
  <c r="T497" i="489"/>
  <c r="S497" i="489"/>
  <c r="R497" i="489"/>
  <c r="Q497" i="489"/>
  <c r="P497" i="489"/>
  <c r="O497" i="489"/>
  <c r="I497" i="489"/>
  <c r="G497" i="489"/>
  <c r="AA496" i="489"/>
  <c r="Z496" i="489"/>
  <c r="Y496" i="489"/>
  <c r="X496" i="489"/>
  <c r="U496" i="489"/>
  <c r="T496" i="489"/>
  <c r="S496" i="489"/>
  <c r="R496" i="489"/>
  <c r="Q496" i="489"/>
  <c r="P496" i="489"/>
  <c r="O496" i="489"/>
  <c r="I496" i="489"/>
  <c r="G496" i="489"/>
  <c r="AA495" i="489"/>
  <c r="Z495" i="489"/>
  <c r="Y495" i="489"/>
  <c r="X495" i="489"/>
  <c r="U495" i="489"/>
  <c r="T495" i="489"/>
  <c r="S495" i="489"/>
  <c r="R495" i="489"/>
  <c r="Q495" i="489"/>
  <c r="P495" i="489"/>
  <c r="O495" i="489"/>
  <c r="I495" i="489"/>
  <c r="G495" i="489"/>
  <c r="AA494" i="489"/>
  <c r="Z494" i="489"/>
  <c r="Y494" i="489"/>
  <c r="X494" i="489"/>
  <c r="U494" i="489"/>
  <c r="T494" i="489"/>
  <c r="S494" i="489"/>
  <c r="R494" i="489"/>
  <c r="Q494" i="489"/>
  <c r="P494" i="489"/>
  <c r="O494" i="489"/>
  <c r="I494" i="489"/>
  <c r="G494" i="489"/>
  <c r="AA493" i="489"/>
  <c r="Z493" i="489"/>
  <c r="Y493" i="489"/>
  <c r="X493" i="489"/>
  <c r="U493" i="489"/>
  <c r="T493" i="489"/>
  <c r="S493" i="489"/>
  <c r="R493" i="489"/>
  <c r="Q493" i="489"/>
  <c r="P493" i="489"/>
  <c r="O493" i="489"/>
  <c r="I493" i="489"/>
  <c r="G493" i="489"/>
  <c r="AA492" i="489"/>
  <c r="Z492" i="489"/>
  <c r="Y492" i="489"/>
  <c r="X492" i="489"/>
  <c r="U492" i="489"/>
  <c r="T492" i="489"/>
  <c r="S492" i="489"/>
  <c r="R492" i="489"/>
  <c r="Q492" i="489"/>
  <c r="P492" i="489"/>
  <c r="O492" i="489"/>
  <c r="I492" i="489"/>
  <c r="G492" i="489"/>
  <c r="AA491" i="489"/>
  <c r="Z491" i="489"/>
  <c r="Y491" i="489"/>
  <c r="X491" i="489"/>
  <c r="U491" i="489"/>
  <c r="T491" i="489"/>
  <c r="S491" i="489"/>
  <c r="R491" i="489"/>
  <c r="Q491" i="489"/>
  <c r="P491" i="489"/>
  <c r="O491" i="489"/>
  <c r="I491" i="489"/>
  <c r="G491" i="489"/>
  <c r="AA489" i="489"/>
  <c r="Z489" i="489"/>
  <c r="Y489" i="489"/>
  <c r="X489" i="489"/>
  <c r="U489" i="489"/>
  <c r="T489" i="489"/>
  <c r="S489" i="489"/>
  <c r="R489" i="489"/>
  <c r="Q489" i="489"/>
  <c r="P489" i="489"/>
  <c r="O489" i="489"/>
  <c r="I489" i="489"/>
  <c r="G489" i="489"/>
  <c r="G487" i="489"/>
  <c r="G486" i="489"/>
  <c r="G485" i="489"/>
  <c r="AA484" i="489"/>
  <c r="Z484" i="489"/>
  <c r="Y484" i="489"/>
  <c r="X484" i="489"/>
  <c r="U484" i="489"/>
  <c r="T484" i="489"/>
  <c r="S484" i="489"/>
  <c r="R484" i="489"/>
  <c r="Q484" i="489"/>
  <c r="P484" i="489"/>
  <c r="O484" i="489"/>
  <c r="I484" i="489"/>
  <c r="G484" i="489"/>
  <c r="AA483" i="489"/>
  <c r="Z483" i="489"/>
  <c r="Y483" i="489"/>
  <c r="X483" i="489"/>
  <c r="U483" i="489"/>
  <c r="T483" i="489"/>
  <c r="S483" i="489"/>
  <c r="R483" i="489"/>
  <c r="Q483" i="489"/>
  <c r="P483" i="489"/>
  <c r="O483" i="489"/>
  <c r="I483" i="489"/>
  <c r="G483" i="489"/>
  <c r="AA482" i="489"/>
  <c r="Z482" i="489"/>
  <c r="Y482" i="489"/>
  <c r="X482" i="489"/>
  <c r="U482" i="489"/>
  <c r="T482" i="489"/>
  <c r="S482" i="489"/>
  <c r="R482" i="489"/>
  <c r="Q482" i="489"/>
  <c r="P482" i="489"/>
  <c r="O482" i="489"/>
  <c r="I482" i="489"/>
  <c r="G482" i="489"/>
  <c r="AA481" i="489"/>
  <c r="Z481" i="489"/>
  <c r="Y481" i="489"/>
  <c r="X481" i="489"/>
  <c r="U481" i="489"/>
  <c r="T481" i="489"/>
  <c r="S481" i="489"/>
  <c r="R481" i="489"/>
  <c r="Q481" i="489"/>
  <c r="P481" i="489"/>
  <c r="O481" i="489"/>
  <c r="I481" i="489"/>
  <c r="G481" i="489"/>
  <c r="AA480" i="489"/>
  <c r="Z480" i="489"/>
  <c r="Y480" i="489"/>
  <c r="X480" i="489"/>
  <c r="U480" i="489"/>
  <c r="T480" i="489"/>
  <c r="S480" i="489"/>
  <c r="R480" i="489"/>
  <c r="Q480" i="489"/>
  <c r="P480" i="489"/>
  <c r="O480" i="489"/>
  <c r="I480" i="489"/>
  <c r="G480" i="489"/>
  <c r="AA478" i="489"/>
  <c r="Z478" i="489"/>
  <c r="Y478" i="489"/>
  <c r="X478" i="489"/>
  <c r="U478" i="489"/>
  <c r="T478" i="489"/>
  <c r="S478" i="489"/>
  <c r="R478" i="489"/>
  <c r="Q478" i="489"/>
  <c r="P478" i="489"/>
  <c r="O478" i="489"/>
  <c r="I478" i="489"/>
  <c r="G478" i="489"/>
  <c r="AA477" i="489"/>
  <c r="Z477" i="489"/>
  <c r="Y477" i="489"/>
  <c r="X477" i="489"/>
  <c r="U477" i="489"/>
  <c r="T477" i="489"/>
  <c r="S477" i="489"/>
  <c r="R477" i="489"/>
  <c r="Q477" i="489"/>
  <c r="P477" i="489"/>
  <c r="O477" i="489"/>
  <c r="I477" i="489"/>
  <c r="G477" i="489"/>
  <c r="AA476" i="489"/>
  <c r="Z476" i="489"/>
  <c r="Y476" i="489"/>
  <c r="X476" i="489"/>
  <c r="U476" i="489"/>
  <c r="T476" i="489"/>
  <c r="S476" i="489"/>
  <c r="R476" i="489"/>
  <c r="Q476" i="489"/>
  <c r="P476" i="489"/>
  <c r="O476" i="489"/>
  <c r="I476" i="489"/>
  <c r="G476" i="489"/>
  <c r="AA475" i="489"/>
  <c r="Z475" i="489"/>
  <c r="Y475" i="489"/>
  <c r="X475" i="489"/>
  <c r="U475" i="489"/>
  <c r="T475" i="489"/>
  <c r="S475" i="489"/>
  <c r="R475" i="489"/>
  <c r="Q475" i="489"/>
  <c r="P475" i="489"/>
  <c r="O475" i="489"/>
  <c r="I475" i="489"/>
  <c r="G475" i="489"/>
  <c r="AA474" i="489"/>
  <c r="Z474" i="489"/>
  <c r="Y474" i="489"/>
  <c r="X474" i="489"/>
  <c r="U474" i="489"/>
  <c r="T474" i="489"/>
  <c r="S474" i="489"/>
  <c r="R474" i="489"/>
  <c r="Q474" i="489"/>
  <c r="P474" i="489"/>
  <c r="O474" i="489"/>
  <c r="I474" i="489"/>
  <c r="G474" i="489"/>
  <c r="AA473" i="489"/>
  <c r="Z473" i="489"/>
  <c r="Y473" i="489"/>
  <c r="X473" i="489"/>
  <c r="U473" i="489"/>
  <c r="T473" i="489"/>
  <c r="S473" i="489"/>
  <c r="R473" i="489"/>
  <c r="Q473" i="489"/>
  <c r="P473" i="489"/>
  <c r="O473" i="489"/>
  <c r="I473" i="489"/>
  <c r="G473" i="489"/>
  <c r="AA472" i="489"/>
  <c r="Z472" i="489"/>
  <c r="Y472" i="489"/>
  <c r="X472" i="489"/>
  <c r="U472" i="489"/>
  <c r="T472" i="489"/>
  <c r="S472" i="489"/>
  <c r="R472" i="489"/>
  <c r="Q472" i="489"/>
  <c r="P472" i="489"/>
  <c r="O472" i="489"/>
  <c r="I472" i="489"/>
  <c r="G472" i="489"/>
  <c r="AA471" i="489"/>
  <c r="Z471" i="489"/>
  <c r="Y471" i="489"/>
  <c r="X471" i="489"/>
  <c r="U471" i="489"/>
  <c r="T471" i="489"/>
  <c r="S471" i="489"/>
  <c r="R471" i="489"/>
  <c r="Q471" i="489"/>
  <c r="P471" i="489"/>
  <c r="O471" i="489"/>
  <c r="I471" i="489"/>
  <c r="G471" i="489"/>
  <c r="AA470" i="489"/>
  <c r="Z470" i="489"/>
  <c r="Y470" i="489"/>
  <c r="X470" i="489"/>
  <c r="U470" i="489"/>
  <c r="T470" i="489"/>
  <c r="S470" i="489"/>
  <c r="R470" i="489"/>
  <c r="Q470" i="489"/>
  <c r="P470" i="489"/>
  <c r="O470" i="489"/>
  <c r="I470" i="489"/>
  <c r="G470" i="489"/>
  <c r="AA469" i="489"/>
  <c r="Z469" i="489"/>
  <c r="Y469" i="489"/>
  <c r="X469" i="489"/>
  <c r="U469" i="489"/>
  <c r="T469" i="489"/>
  <c r="S469" i="489"/>
  <c r="R469" i="489"/>
  <c r="Q469" i="489"/>
  <c r="P469" i="489"/>
  <c r="O469" i="489"/>
  <c r="I469" i="489"/>
  <c r="G469" i="489"/>
  <c r="AA468" i="489"/>
  <c r="Z468" i="489"/>
  <c r="Y468" i="489"/>
  <c r="X468" i="489"/>
  <c r="U468" i="489"/>
  <c r="T468" i="489"/>
  <c r="S468" i="489"/>
  <c r="R468" i="489"/>
  <c r="Q468" i="489"/>
  <c r="P468" i="489"/>
  <c r="O468" i="489"/>
  <c r="I468" i="489"/>
  <c r="G468" i="489"/>
  <c r="AA467" i="489"/>
  <c r="Z467" i="489"/>
  <c r="Y467" i="489"/>
  <c r="X467" i="489"/>
  <c r="U467" i="489"/>
  <c r="T467" i="489"/>
  <c r="S467" i="489"/>
  <c r="R467" i="489"/>
  <c r="Q467" i="489"/>
  <c r="P467" i="489"/>
  <c r="O467" i="489"/>
  <c r="I467" i="489"/>
  <c r="G467" i="489"/>
  <c r="AA466" i="489"/>
  <c r="Z466" i="489"/>
  <c r="Y466" i="489"/>
  <c r="X466" i="489"/>
  <c r="U466" i="489"/>
  <c r="T466" i="489"/>
  <c r="S466" i="489"/>
  <c r="R466" i="489"/>
  <c r="Q466" i="489"/>
  <c r="P466" i="489"/>
  <c r="O466" i="489"/>
  <c r="I466" i="489"/>
  <c r="G466" i="489"/>
  <c r="AA465" i="489"/>
  <c r="Z465" i="489"/>
  <c r="Y465" i="489"/>
  <c r="X465" i="489"/>
  <c r="U465" i="489"/>
  <c r="T465" i="489"/>
  <c r="S465" i="489"/>
  <c r="R465" i="489"/>
  <c r="Q465" i="489"/>
  <c r="P465" i="489"/>
  <c r="O465" i="489"/>
  <c r="I465" i="489"/>
  <c r="G465" i="489"/>
  <c r="AA464" i="489"/>
  <c r="Z464" i="489"/>
  <c r="Y464" i="489"/>
  <c r="X464" i="489"/>
  <c r="U464" i="489"/>
  <c r="T464" i="489"/>
  <c r="S464" i="489"/>
  <c r="R464" i="489"/>
  <c r="Q464" i="489"/>
  <c r="P464" i="489"/>
  <c r="O464" i="489"/>
  <c r="I464" i="489"/>
  <c r="G464" i="489"/>
  <c r="AA462" i="489"/>
  <c r="Z462" i="489"/>
  <c r="Y462" i="489"/>
  <c r="X462" i="489"/>
  <c r="U462" i="489"/>
  <c r="T462" i="489"/>
  <c r="S462" i="489"/>
  <c r="R462" i="489"/>
  <c r="Q462" i="489"/>
  <c r="P462" i="489"/>
  <c r="O462" i="489"/>
  <c r="I462" i="489"/>
  <c r="G462" i="489"/>
  <c r="AA461" i="489"/>
  <c r="Z461" i="489"/>
  <c r="Y461" i="489"/>
  <c r="X461" i="489"/>
  <c r="U461" i="489"/>
  <c r="T461" i="489"/>
  <c r="S461" i="489"/>
  <c r="R461" i="489"/>
  <c r="Q461" i="489"/>
  <c r="P461" i="489"/>
  <c r="O461" i="489"/>
  <c r="I461" i="489"/>
  <c r="G461" i="489"/>
  <c r="AA460" i="489"/>
  <c r="Z460" i="489"/>
  <c r="Y460" i="489"/>
  <c r="X460" i="489"/>
  <c r="U460" i="489"/>
  <c r="T460" i="489"/>
  <c r="S460" i="489"/>
  <c r="R460" i="489"/>
  <c r="Q460" i="489"/>
  <c r="P460" i="489"/>
  <c r="O460" i="489"/>
  <c r="I460" i="489"/>
  <c r="G460" i="489"/>
  <c r="I459" i="489"/>
  <c r="G459" i="489"/>
  <c r="I458" i="489"/>
  <c r="G458" i="489"/>
  <c r="I457" i="489"/>
  <c r="G457" i="489"/>
  <c r="AA456" i="489"/>
  <c r="Z456" i="489"/>
  <c r="Y456" i="489"/>
  <c r="X456" i="489"/>
  <c r="U456" i="489"/>
  <c r="T456" i="489"/>
  <c r="S456" i="489"/>
  <c r="R456" i="489"/>
  <c r="Q456" i="489"/>
  <c r="P456" i="489"/>
  <c r="O456" i="489"/>
  <c r="I456" i="489"/>
  <c r="G456" i="489"/>
  <c r="AA455" i="489"/>
  <c r="Z455" i="489"/>
  <c r="Y455" i="489"/>
  <c r="X455" i="489"/>
  <c r="U455" i="489"/>
  <c r="T455" i="489"/>
  <c r="S455" i="489"/>
  <c r="R455" i="489"/>
  <c r="Q455" i="489"/>
  <c r="P455" i="489"/>
  <c r="O455" i="489"/>
  <c r="I455" i="489"/>
  <c r="G455" i="489"/>
  <c r="AA454" i="489"/>
  <c r="Z454" i="489"/>
  <c r="Y454" i="489"/>
  <c r="X454" i="489"/>
  <c r="U454" i="489"/>
  <c r="T454" i="489"/>
  <c r="S454" i="489"/>
  <c r="R454" i="489"/>
  <c r="Q454" i="489"/>
  <c r="P454" i="489"/>
  <c r="O454" i="489"/>
  <c r="I454" i="489"/>
  <c r="G454" i="489"/>
  <c r="AA453" i="489"/>
  <c r="Z453" i="489"/>
  <c r="Y453" i="489"/>
  <c r="X453" i="489"/>
  <c r="U453" i="489"/>
  <c r="T453" i="489"/>
  <c r="S453" i="489"/>
  <c r="R453" i="489"/>
  <c r="Q453" i="489"/>
  <c r="P453" i="489"/>
  <c r="O453" i="489"/>
  <c r="I453" i="489"/>
  <c r="G453" i="489"/>
  <c r="AA452" i="489"/>
  <c r="Z452" i="489"/>
  <c r="Y452" i="489"/>
  <c r="X452" i="489"/>
  <c r="U452" i="489"/>
  <c r="T452" i="489"/>
  <c r="S452" i="489"/>
  <c r="R452" i="489"/>
  <c r="Q452" i="489"/>
  <c r="P452" i="489"/>
  <c r="O452" i="489"/>
  <c r="I452" i="489"/>
  <c r="G452" i="489"/>
  <c r="AA451" i="489"/>
  <c r="Z451" i="489"/>
  <c r="Y451" i="489"/>
  <c r="X451" i="489"/>
  <c r="U451" i="489"/>
  <c r="T451" i="489"/>
  <c r="S451" i="489"/>
  <c r="R451" i="489"/>
  <c r="Q451" i="489"/>
  <c r="P451" i="489"/>
  <c r="O451" i="489"/>
  <c r="I451" i="489"/>
  <c r="G451" i="489"/>
  <c r="AA450" i="489"/>
  <c r="Z450" i="489"/>
  <c r="Y450" i="489"/>
  <c r="X450" i="489"/>
  <c r="U450" i="489"/>
  <c r="T450" i="489"/>
  <c r="S450" i="489"/>
  <c r="R450" i="489"/>
  <c r="Q450" i="489"/>
  <c r="P450" i="489"/>
  <c r="O450" i="489"/>
  <c r="I450" i="489"/>
  <c r="G450" i="489"/>
  <c r="AA449" i="489"/>
  <c r="Z449" i="489"/>
  <c r="Y449" i="489"/>
  <c r="X449" i="489"/>
  <c r="U449" i="489"/>
  <c r="T449" i="489"/>
  <c r="S449" i="489"/>
  <c r="R449" i="489"/>
  <c r="Q449" i="489"/>
  <c r="P449" i="489"/>
  <c r="O449" i="489"/>
  <c r="I449" i="489"/>
  <c r="G449" i="489"/>
  <c r="AA448" i="489"/>
  <c r="Z448" i="489"/>
  <c r="Y448" i="489"/>
  <c r="X448" i="489"/>
  <c r="U448" i="489"/>
  <c r="T448" i="489"/>
  <c r="S448" i="489"/>
  <c r="R448" i="489"/>
  <c r="Q448" i="489"/>
  <c r="P448" i="489"/>
  <c r="O448" i="489"/>
  <c r="I448" i="489"/>
  <c r="G448" i="489"/>
  <c r="AA447" i="489"/>
  <c r="Z447" i="489"/>
  <c r="Y447" i="489"/>
  <c r="X447" i="489"/>
  <c r="U447" i="489"/>
  <c r="T447" i="489"/>
  <c r="S447" i="489"/>
  <c r="R447" i="489"/>
  <c r="Q447" i="489"/>
  <c r="P447" i="489"/>
  <c r="O447" i="489"/>
  <c r="I447" i="489"/>
  <c r="G447" i="489"/>
  <c r="AA446" i="489"/>
  <c r="Z446" i="489"/>
  <c r="Y446" i="489"/>
  <c r="X446" i="489"/>
  <c r="U446" i="489"/>
  <c r="T446" i="489"/>
  <c r="S446" i="489"/>
  <c r="R446" i="489"/>
  <c r="Q446" i="489"/>
  <c r="P446" i="489"/>
  <c r="O446" i="489"/>
  <c r="I446" i="489"/>
  <c r="G446" i="489"/>
  <c r="AA445" i="489"/>
  <c r="Z445" i="489"/>
  <c r="Y445" i="489"/>
  <c r="X445" i="489"/>
  <c r="U445" i="489"/>
  <c r="T445" i="489"/>
  <c r="S445" i="489"/>
  <c r="R445" i="489"/>
  <c r="Q445" i="489"/>
  <c r="P445" i="489"/>
  <c r="O445" i="489"/>
  <c r="I445" i="489"/>
  <c r="G445" i="489"/>
  <c r="AA444" i="489"/>
  <c r="Z444" i="489"/>
  <c r="Y444" i="489"/>
  <c r="X444" i="489"/>
  <c r="U444" i="489"/>
  <c r="T444" i="489"/>
  <c r="S444" i="489"/>
  <c r="R444" i="489"/>
  <c r="Q444" i="489"/>
  <c r="P444" i="489"/>
  <c r="O444" i="489"/>
  <c r="I444" i="489"/>
  <c r="G444" i="489"/>
  <c r="AA443" i="489"/>
  <c r="Z443" i="489"/>
  <c r="Y443" i="489"/>
  <c r="X443" i="489"/>
  <c r="U443" i="489"/>
  <c r="T443" i="489"/>
  <c r="S443" i="489"/>
  <c r="R443" i="489"/>
  <c r="Q443" i="489"/>
  <c r="P443" i="489"/>
  <c r="O443" i="489"/>
  <c r="I443" i="489"/>
  <c r="G443" i="489"/>
  <c r="AA442" i="489"/>
  <c r="Z442" i="489"/>
  <c r="Y442" i="489"/>
  <c r="X442" i="489"/>
  <c r="U442" i="489"/>
  <c r="T442" i="489"/>
  <c r="S442" i="489"/>
  <c r="R442" i="489"/>
  <c r="Q442" i="489"/>
  <c r="P442" i="489"/>
  <c r="O442" i="489"/>
  <c r="I442" i="489"/>
  <c r="G442" i="489"/>
  <c r="AA441" i="489"/>
  <c r="Z441" i="489"/>
  <c r="Y441" i="489"/>
  <c r="X441" i="489"/>
  <c r="U441" i="489"/>
  <c r="T441" i="489"/>
  <c r="S441" i="489"/>
  <c r="R441" i="489"/>
  <c r="Q441" i="489"/>
  <c r="P441" i="489"/>
  <c r="O441" i="489"/>
  <c r="I441" i="489"/>
  <c r="G441" i="489"/>
  <c r="AA440" i="489"/>
  <c r="Z440" i="489"/>
  <c r="Y440" i="489"/>
  <c r="X440" i="489"/>
  <c r="U440" i="489"/>
  <c r="T440" i="489"/>
  <c r="S440" i="489"/>
  <c r="R440" i="489"/>
  <c r="Q440" i="489"/>
  <c r="P440" i="489"/>
  <c r="O440" i="489"/>
  <c r="I440" i="489"/>
  <c r="G440" i="489"/>
  <c r="AA439" i="489"/>
  <c r="Z439" i="489"/>
  <c r="Y439" i="489"/>
  <c r="X439" i="489"/>
  <c r="U439" i="489"/>
  <c r="T439" i="489"/>
  <c r="S439" i="489"/>
  <c r="R439" i="489"/>
  <c r="Q439" i="489"/>
  <c r="P439" i="489"/>
  <c r="O439" i="489"/>
  <c r="I439" i="489"/>
  <c r="G439" i="489"/>
  <c r="AA438" i="489"/>
  <c r="Z438" i="489"/>
  <c r="Y438" i="489"/>
  <c r="X438" i="489"/>
  <c r="U438" i="489"/>
  <c r="T438" i="489"/>
  <c r="S438" i="489"/>
  <c r="R438" i="489"/>
  <c r="Q438" i="489"/>
  <c r="P438" i="489"/>
  <c r="O438" i="489"/>
  <c r="I438" i="489"/>
  <c r="G438" i="489"/>
  <c r="AA437" i="489"/>
  <c r="Z437" i="489"/>
  <c r="Y437" i="489"/>
  <c r="X437" i="489"/>
  <c r="U437" i="489"/>
  <c r="T437" i="489"/>
  <c r="S437" i="489"/>
  <c r="R437" i="489"/>
  <c r="Q437" i="489"/>
  <c r="P437" i="489"/>
  <c r="O437" i="489"/>
  <c r="I437" i="489"/>
  <c r="G437" i="489"/>
  <c r="AA436" i="489"/>
  <c r="Z436" i="489"/>
  <c r="Y436" i="489"/>
  <c r="X436" i="489"/>
  <c r="U436" i="489"/>
  <c r="T436" i="489"/>
  <c r="S436" i="489"/>
  <c r="R436" i="489"/>
  <c r="Q436" i="489"/>
  <c r="P436" i="489"/>
  <c r="O436" i="489"/>
  <c r="I436" i="489"/>
  <c r="G436" i="489"/>
  <c r="AA435" i="489"/>
  <c r="Z435" i="489"/>
  <c r="Y435" i="489"/>
  <c r="X435" i="489"/>
  <c r="U435" i="489"/>
  <c r="T435" i="489"/>
  <c r="S435" i="489"/>
  <c r="R435" i="489"/>
  <c r="Q435" i="489"/>
  <c r="P435" i="489"/>
  <c r="O435" i="489"/>
  <c r="I435" i="489"/>
  <c r="G435" i="489"/>
  <c r="AA434" i="489"/>
  <c r="Z434" i="489"/>
  <c r="Y434" i="489"/>
  <c r="X434" i="489"/>
  <c r="U434" i="489"/>
  <c r="T434" i="489"/>
  <c r="S434" i="489"/>
  <c r="R434" i="489"/>
  <c r="Q434" i="489"/>
  <c r="P434" i="489"/>
  <c r="O434" i="489"/>
  <c r="I434" i="489"/>
  <c r="G434" i="489"/>
  <c r="AA433" i="489"/>
  <c r="Z433" i="489"/>
  <c r="Y433" i="489"/>
  <c r="X433" i="489"/>
  <c r="U433" i="489"/>
  <c r="T433" i="489"/>
  <c r="S433" i="489"/>
  <c r="R433" i="489"/>
  <c r="Q433" i="489"/>
  <c r="P433" i="489"/>
  <c r="O433" i="489"/>
  <c r="I433" i="489"/>
  <c r="G433" i="489"/>
  <c r="AA432" i="489"/>
  <c r="Z432" i="489"/>
  <c r="Y432" i="489"/>
  <c r="X432" i="489"/>
  <c r="U432" i="489"/>
  <c r="T432" i="489"/>
  <c r="S432" i="489"/>
  <c r="R432" i="489"/>
  <c r="Q432" i="489"/>
  <c r="P432" i="489"/>
  <c r="O432" i="489"/>
  <c r="I432" i="489"/>
  <c r="G432" i="489"/>
  <c r="AA431" i="489"/>
  <c r="Z431" i="489"/>
  <c r="Y431" i="489"/>
  <c r="X431" i="489"/>
  <c r="U431" i="489"/>
  <c r="T431" i="489"/>
  <c r="S431" i="489"/>
  <c r="R431" i="489"/>
  <c r="Q431" i="489"/>
  <c r="P431" i="489"/>
  <c r="O431" i="489"/>
  <c r="I431" i="489"/>
  <c r="G431" i="489"/>
  <c r="AA430" i="489"/>
  <c r="Z430" i="489"/>
  <c r="Y430" i="489"/>
  <c r="X430" i="489"/>
  <c r="U430" i="489"/>
  <c r="T430" i="489"/>
  <c r="S430" i="489"/>
  <c r="R430" i="489"/>
  <c r="Q430" i="489"/>
  <c r="P430" i="489"/>
  <c r="O430" i="489"/>
  <c r="I430" i="489"/>
  <c r="G430" i="489"/>
  <c r="AA429" i="489"/>
  <c r="Z429" i="489"/>
  <c r="Y429" i="489"/>
  <c r="X429" i="489"/>
  <c r="U429" i="489"/>
  <c r="T429" i="489"/>
  <c r="S429" i="489"/>
  <c r="R429" i="489"/>
  <c r="Q429" i="489"/>
  <c r="P429" i="489"/>
  <c r="O429" i="489"/>
  <c r="I429" i="489"/>
  <c r="G429" i="489"/>
  <c r="AA427" i="489"/>
  <c r="Z427" i="489"/>
  <c r="Y427" i="489"/>
  <c r="X427" i="489"/>
  <c r="U427" i="489"/>
  <c r="T427" i="489"/>
  <c r="S427" i="489"/>
  <c r="R427" i="489"/>
  <c r="Q427" i="489"/>
  <c r="P427" i="489"/>
  <c r="O427" i="489"/>
  <c r="I427" i="489"/>
  <c r="G427" i="489"/>
  <c r="AA426" i="489"/>
  <c r="Z426" i="489"/>
  <c r="Y426" i="489"/>
  <c r="X426" i="489"/>
  <c r="U426" i="489"/>
  <c r="T426" i="489"/>
  <c r="S426" i="489"/>
  <c r="R426" i="489"/>
  <c r="Q426" i="489"/>
  <c r="P426" i="489"/>
  <c r="O426" i="489"/>
  <c r="I426" i="489"/>
  <c r="G426" i="489"/>
  <c r="AA425" i="489"/>
  <c r="Z425" i="489"/>
  <c r="Y425" i="489"/>
  <c r="X425" i="489"/>
  <c r="U425" i="489"/>
  <c r="T425" i="489"/>
  <c r="S425" i="489"/>
  <c r="R425" i="489"/>
  <c r="Q425" i="489"/>
  <c r="P425" i="489"/>
  <c r="O425" i="489"/>
  <c r="I425" i="489"/>
  <c r="G425" i="489"/>
  <c r="I424" i="489"/>
  <c r="G424" i="489"/>
  <c r="I423" i="489"/>
  <c r="G423" i="489"/>
  <c r="I422" i="489"/>
  <c r="G422" i="489"/>
  <c r="AA421" i="489"/>
  <c r="Z421" i="489"/>
  <c r="Y421" i="489"/>
  <c r="X421" i="489"/>
  <c r="U421" i="489"/>
  <c r="T421" i="489"/>
  <c r="S421" i="489"/>
  <c r="R421" i="489"/>
  <c r="Q421" i="489"/>
  <c r="P421" i="489"/>
  <c r="O421" i="489"/>
  <c r="I421" i="489"/>
  <c r="G421" i="489"/>
  <c r="AA420" i="489"/>
  <c r="Z420" i="489"/>
  <c r="Y420" i="489"/>
  <c r="X420" i="489"/>
  <c r="U420" i="489"/>
  <c r="T420" i="489"/>
  <c r="S420" i="489"/>
  <c r="R420" i="489"/>
  <c r="Q420" i="489"/>
  <c r="P420" i="489"/>
  <c r="O420" i="489"/>
  <c r="I420" i="489"/>
  <c r="G420" i="489"/>
  <c r="AA419" i="489"/>
  <c r="Z419" i="489"/>
  <c r="Y419" i="489"/>
  <c r="X419" i="489"/>
  <c r="U419" i="489"/>
  <c r="T419" i="489"/>
  <c r="S419" i="489"/>
  <c r="R419" i="489"/>
  <c r="Q419" i="489"/>
  <c r="P419" i="489"/>
  <c r="O419" i="489"/>
  <c r="I419" i="489"/>
  <c r="G419" i="489"/>
  <c r="AA418" i="489"/>
  <c r="Z418" i="489"/>
  <c r="Y418" i="489"/>
  <c r="X418" i="489"/>
  <c r="U418" i="489"/>
  <c r="T418" i="489"/>
  <c r="S418" i="489"/>
  <c r="R418" i="489"/>
  <c r="Q418" i="489"/>
  <c r="P418" i="489"/>
  <c r="O418" i="489"/>
  <c r="I418" i="489"/>
  <c r="G418" i="489"/>
  <c r="AA417" i="489"/>
  <c r="Z417" i="489"/>
  <c r="Y417" i="489"/>
  <c r="X417" i="489"/>
  <c r="U417" i="489"/>
  <c r="T417" i="489"/>
  <c r="S417" i="489"/>
  <c r="R417" i="489"/>
  <c r="Q417" i="489"/>
  <c r="P417" i="489"/>
  <c r="O417" i="489"/>
  <c r="I417" i="489"/>
  <c r="G417" i="489"/>
  <c r="AA416" i="489"/>
  <c r="Z416" i="489"/>
  <c r="Y416" i="489"/>
  <c r="X416" i="489"/>
  <c r="U416" i="489"/>
  <c r="T416" i="489"/>
  <c r="S416" i="489"/>
  <c r="R416" i="489"/>
  <c r="Q416" i="489"/>
  <c r="P416" i="489"/>
  <c r="O416" i="489"/>
  <c r="I416" i="489"/>
  <c r="G416" i="489"/>
  <c r="AA415" i="489"/>
  <c r="Z415" i="489"/>
  <c r="Y415" i="489"/>
  <c r="X415" i="489"/>
  <c r="U415" i="489"/>
  <c r="T415" i="489"/>
  <c r="S415" i="489"/>
  <c r="R415" i="489"/>
  <c r="Q415" i="489"/>
  <c r="P415" i="489"/>
  <c r="O415" i="489"/>
  <c r="I415" i="489"/>
  <c r="G415" i="489"/>
  <c r="AA414" i="489"/>
  <c r="Z414" i="489"/>
  <c r="Y414" i="489"/>
  <c r="X414" i="489"/>
  <c r="U414" i="489"/>
  <c r="T414" i="489"/>
  <c r="S414" i="489"/>
  <c r="R414" i="489"/>
  <c r="Q414" i="489"/>
  <c r="P414" i="489"/>
  <c r="O414" i="489"/>
  <c r="I414" i="489"/>
  <c r="G414" i="489"/>
  <c r="AA413" i="489"/>
  <c r="Z413" i="489"/>
  <c r="Y413" i="489"/>
  <c r="X413" i="489"/>
  <c r="U413" i="489"/>
  <c r="T413" i="489"/>
  <c r="S413" i="489"/>
  <c r="R413" i="489"/>
  <c r="Q413" i="489"/>
  <c r="P413" i="489"/>
  <c r="O413" i="489"/>
  <c r="I413" i="489"/>
  <c r="G413" i="489"/>
  <c r="AA412" i="489"/>
  <c r="Z412" i="489"/>
  <c r="Y412" i="489"/>
  <c r="X412" i="489"/>
  <c r="U412" i="489"/>
  <c r="T412" i="489"/>
  <c r="S412" i="489"/>
  <c r="R412" i="489"/>
  <c r="Q412" i="489"/>
  <c r="P412" i="489"/>
  <c r="O412" i="489"/>
  <c r="I412" i="489"/>
  <c r="G412" i="489"/>
  <c r="AA411" i="489"/>
  <c r="Z411" i="489"/>
  <c r="Y411" i="489"/>
  <c r="X411" i="489"/>
  <c r="U411" i="489"/>
  <c r="T411" i="489"/>
  <c r="S411" i="489"/>
  <c r="R411" i="489"/>
  <c r="Q411" i="489"/>
  <c r="P411" i="489"/>
  <c r="O411" i="489"/>
  <c r="I411" i="489"/>
  <c r="G411" i="489"/>
  <c r="AA410" i="489"/>
  <c r="Z410" i="489"/>
  <c r="Y410" i="489"/>
  <c r="X410" i="489"/>
  <c r="U410" i="489"/>
  <c r="T410" i="489"/>
  <c r="S410" i="489"/>
  <c r="R410" i="489"/>
  <c r="Q410" i="489"/>
  <c r="P410" i="489"/>
  <c r="O410" i="489"/>
  <c r="I410" i="489"/>
  <c r="G410" i="489"/>
  <c r="AA408" i="489"/>
  <c r="Z408" i="489"/>
  <c r="Y408" i="489"/>
  <c r="X408" i="489"/>
  <c r="U408" i="489"/>
  <c r="T408" i="489"/>
  <c r="S408" i="489"/>
  <c r="R408" i="489"/>
  <c r="Q408" i="489"/>
  <c r="P408" i="489"/>
  <c r="O408" i="489"/>
  <c r="I408" i="489"/>
  <c r="G408" i="489"/>
  <c r="AA407" i="489"/>
  <c r="Z407" i="489"/>
  <c r="Y407" i="489"/>
  <c r="X407" i="489"/>
  <c r="U407" i="489"/>
  <c r="T407" i="489"/>
  <c r="S407" i="489"/>
  <c r="R407" i="489"/>
  <c r="Q407" i="489"/>
  <c r="P407" i="489"/>
  <c r="O407" i="489"/>
  <c r="I407" i="489"/>
  <c r="G407" i="489"/>
  <c r="AA406" i="489"/>
  <c r="Z406" i="489"/>
  <c r="Y406" i="489"/>
  <c r="X406" i="489"/>
  <c r="U406" i="489"/>
  <c r="T406" i="489"/>
  <c r="S406" i="489"/>
  <c r="R406" i="489"/>
  <c r="Q406" i="489"/>
  <c r="P406" i="489"/>
  <c r="O406" i="489"/>
  <c r="I406" i="489"/>
  <c r="G406" i="489"/>
  <c r="AA405" i="489"/>
  <c r="Z405" i="489"/>
  <c r="Y405" i="489"/>
  <c r="X405" i="489"/>
  <c r="U405" i="489"/>
  <c r="T405" i="489"/>
  <c r="S405" i="489"/>
  <c r="R405" i="489"/>
  <c r="Q405" i="489"/>
  <c r="P405" i="489"/>
  <c r="O405" i="489"/>
  <c r="I405" i="489"/>
  <c r="G405" i="489"/>
  <c r="AA404" i="489"/>
  <c r="Z404" i="489"/>
  <c r="Y404" i="489"/>
  <c r="X404" i="489"/>
  <c r="U404" i="489"/>
  <c r="T404" i="489"/>
  <c r="S404" i="489"/>
  <c r="R404" i="489"/>
  <c r="Q404" i="489"/>
  <c r="P404" i="489"/>
  <c r="O404" i="489"/>
  <c r="I404" i="489"/>
  <c r="G404" i="489"/>
  <c r="AA403" i="489"/>
  <c r="Z403" i="489"/>
  <c r="Y403" i="489"/>
  <c r="X403" i="489"/>
  <c r="U403" i="489"/>
  <c r="T403" i="489"/>
  <c r="S403" i="489"/>
  <c r="R403" i="489"/>
  <c r="Q403" i="489"/>
  <c r="P403" i="489"/>
  <c r="O403" i="489"/>
  <c r="I403" i="489"/>
  <c r="G403" i="489"/>
  <c r="AA402" i="489"/>
  <c r="Z402" i="489"/>
  <c r="Y402" i="489"/>
  <c r="X402" i="489"/>
  <c r="U402" i="489"/>
  <c r="T402" i="489"/>
  <c r="S402" i="489"/>
  <c r="R402" i="489"/>
  <c r="Q402" i="489"/>
  <c r="P402" i="489"/>
  <c r="O402" i="489"/>
  <c r="I402" i="489"/>
  <c r="G402" i="489"/>
  <c r="AA401" i="489"/>
  <c r="Z401" i="489"/>
  <c r="Y401" i="489"/>
  <c r="X401" i="489"/>
  <c r="U401" i="489"/>
  <c r="T401" i="489"/>
  <c r="S401" i="489"/>
  <c r="R401" i="489"/>
  <c r="Q401" i="489"/>
  <c r="P401" i="489"/>
  <c r="O401" i="489"/>
  <c r="I401" i="489"/>
  <c r="G401" i="489"/>
  <c r="AA400" i="489"/>
  <c r="Z400" i="489"/>
  <c r="Y400" i="489"/>
  <c r="X400" i="489"/>
  <c r="U400" i="489"/>
  <c r="T400" i="489"/>
  <c r="S400" i="489"/>
  <c r="R400" i="489"/>
  <c r="Q400" i="489"/>
  <c r="P400" i="489"/>
  <c r="O400" i="489"/>
  <c r="I400" i="489"/>
  <c r="G400" i="489"/>
  <c r="AA399" i="489"/>
  <c r="Z399" i="489"/>
  <c r="Y399" i="489"/>
  <c r="X399" i="489"/>
  <c r="U399" i="489"/>
  <c r="T399" i="489"/>
  <c r="S399" i="489"/>
  <c r="R399" i="489"/>
  <c r="Q399" i="489"/>
  <c r="P399" i="489"/>
  <c r="O399" i="489"/>
  <c r="I399" i="489"/>
  <c r="G399" i="489"/>
  <c r="AA398" i="489"/>
  <c r="Z398" i="489"/>
  <c r="Y398" i="489"/>
  <c r="X398" i="489"/>
  <c r="U398" i="489"/>
  <c r="T398" i="489"/>
  <c r="S398" i="489"/>
  <c r="R398" i="489"/>
  <c r="Q398" i="489"/>
  <c r="P398" i="489"/>
  <c r="O398" i="489"/>
  <c r="I398" i="489"/>
  <c r="G398" i="489"/>
  <c r="AA397" i="489"/>
  <c r="Z397" i="489"/>
  <c r="Y397" i="489"/>
  <c r="X397" i="489"/>
  <c r="U397" i="489"/>
  <c r="T397" i="489"/>
  <c r="S397" i="489"/>
  <c r="R397" i="489"/>
  <c r="Q397" i="489"/>
  <c r="P397" i="489"/>
  <c r="O397" i="489"/>
  <c r="I397" i="489"/>
  <c r="G397" i="489"/>
  <c r="AA396" i="489"/>
  <c r="Z396" i="489"/>
  <c r="Y396" i="489"/>
  <c r="X396" i="489"/>
  <c r="U396" i="489"/>
  <c r="T396" i="489"/>
  <c r="S396" i="489"/>
  <c r="R396" i="489"/>
  <c r="Q396" i="489"/>
  <c r="P396" i="489"/>
  <c r="O396" i="489"/>
  <c r="I396" i="489"/>
  <c r="G396" i="489"/>
  <c r="AA395" i="489"/>
  <c r="Z395" i="489"/>
  <c r="Y395" i="489"/>
  <c r="X395" i="489"/>
  <c r="U395" i="489"/>
  <c r="T395" i="489"/>
  <c r="S395" i="489"/>
  <c r="R395" i="489"/>
  <c r="Q395" i="489"/>
  <c r="P395" i="489"/>
  <c r="O395" i="489"/>
  <c r="I395" i="489"/>
  <c r="G395" i="489"/>
  <c r="AA394" i="489"/>
  <c r="Z394" i="489"/>
  <c r="Y394" i="489"/>
  <c r="X394" i="489"/>
  <c r="U394" i="489"/>
  <c r="T394" i="489"/>
  <c r="S394" i="489"/>
  <c r="R394" i="489"/>
  <c r="Q394" i="489"/>
  <c r="P394" i="489"/>
  <c r="O394" i="489"/>
  <c r="I394" i="489"/>
  <c r="G394" i="489"/>
  <c r="AA393" i="489"/>
  <c r="Z393" i="489"/>
  <c r="Y393" i="489"/>
  <c r="X393" i="489"/>
  <c r="U393" i="489"/>
  <c r="T393" i="489"/>
  <c r="S393" i="489"/>
  <c r="R393" i="489"/>
  <c r="Q393" i="489"/>
  <c r="P393" i="489"/>
  <c r="O393" i="489"/>
  <c r="I393" i="489"/>
  <c r="G393" i="489"/>
  <c r="AA392" i="489"/>
  <c r="Z392" i="489"/>
  <c r="Y392" i="489"/>
  <c r="X392" i="489"/>
  <c r="U392" i="489"/>
  <c r="T392" i="489"/>
  <c r="S392" i="489"/>
  <c r="R392" i="489"/>
  <c r="Q392" i="489"/>
  <c r="P392" i="489"/>
  <c r="O392" i="489"/>
  <c r="I392" i="489"/>
  <c r="G392" i="489"/>
  <c r="AA391" i="489"/>
  <c r="Z391" i="489"/>
  <c r="Y391" i="489"/>
  <c r="X391" i="489"/>
  <c r="U391" i="489"/>
  <c r="T391" i="489"/>
  <c r="S391" i="489"/>
  <c r="R391" i="489"/>
  <c r="Q391" i="489"/>
  <c r="P391" i="489"/>
  <c r="O391" i="489"/>
  <c r="I391" i="489"/>
  <c r="G391" i="489"/>
  <c r="AA390" i="489"/>
  <c r="Z390" i="489"/>
  <c r="Y390" i="489"/>
  <c r="X390" i="489"/>
  <c r="U390" i="489"/>
  <c r="T390" i="489"/>
  <c r="S390" i="489"/>
  <c r="R390" i="489"/>
  <c r="Q390" i="489"/>
  <c r="P390" i="489"/>
  <c r="O390" i="489"/>
  <c r="I390" i="489"/>
  <c r="G390" i="489"/>
  <c r="AA389" i="489"/>
  <c r="Z389" i="489"/>
  <c r="Y389" i="489"/>
  <c r="X389" i="489"/>
  <c r="U389" i="489"/>
  <c r="T389" i="489"/>
  <c r="S389" i="489"/>
  <c r="R389" i="489"/>
  <c r="Q389" i="489"/>
  <c r="P389" i="489"/>
  <c r="O389" i="489"/>
  <c r="I389" i="489"/>
  <c r="G389" i="489"/>
  <c r="AA388" i="489"/>
  <c r="Z388" i="489"/>
  <c r="Y388" i="489"/>
  <c r="X388" i="489"/>
  <c r="U388" i="489"/>
  <c r="T388" i="489"/>
  <c r="S388" i="489"/>
  <c r="R388" i="489"/>
  <c r="Q388" i="489"/>
  <c r="P388" i="489"/>
  <c r="O388" i="489"/>
  <c r="I388" i="489"/>
  <c r="G388" i="489"/>
  <c r="AA387" i="489"/>
  <c r="Z387" i="489"/>
  <c r="Y387" i="489"/>
  <c r="X387" i="489"/>
  <c r="U387" i="489"/>
  <c r="T387" i="489"/>
  <c r="S387" i="489"/>
  <c r="R387" i="489"/>
  <c r="Q387" i="489"/>
  <c r="P387" i="489"/>
  <c r="O387" i="489"/>
  <c r="I387" i="489"/>
  <c r="G387" i="489"/>
  <c r="AA386" i="489"/>
  <c r="Z386" i="489"/>
  <c r="Y386" i="489"/>
  <c r="X386" i="489"/>
  <c r="U386" i="489"/>
  <c r="T386" i="489"/>
  <c r="S386" i="489"/>
  <c r="R386" i="489"/>
  <c r="Q386" i="489"/>
  <c r="P386" i="489"/>
  <c r="O386" i="489"/>
  <c r="I386" i="489"/>
  <c r="G386" i="489"/>
  <c r="AA385" i="489"/>
  <c r="Z385" i="489"/>
  <c r="Y385" i="489"/>
  <c r="X385" i="489"/>
  <c r="U385" i="489"/>
  <c r="T385" i="489"/>
  <c r="S385" i="489"/>
  <c r="R385" i="489"/>
  <c r="Q385" i="489"/>
  <c r="P385" i="489"/>
  <c r="O385" i="489"/>
  <c r="I385" i="489"/>
  <c r="G385" i="489"/>
  <c r="AA384" i="489"/>
  <c r="Z384" i="489"/>
  <c r="Y384" i="489"/>
  <c r="X384" i="489"/>
  <c r="U384" i="489"/>
  <c r="T384" i="489"/>
  <c r="S384" i="489"/>
  <c r="R384" i="489"/>
  <c r="Q384" i="489"/>
  <c r="P384" i="489"/>
  <c r="O384" i="489"/>
  <c r="I384" i="489"/>
  <c r="G384" i="489"/>
  <c r="AA383" i="489"/>
  <c r="Z383" i="489"/>
  <c r="Y383" i="489"/>
  <c r="X383" i="489"/>
  <c r="U383" i="489"/>
  <c r="T383" i="489"/>
  <c r="S383" i="489"/>
  <c r="R383" i="489"/>
  <c r="Q383" i="489"/>
  <c r="P383" i="489"/>
  <c r="O383" i="489"/>
  <c r="I383" i="489"/>
  <c r="G383" i="489"/>
  <c r="AA382" i="489"/>
  <c r="Z382" i="489"/>
  <c r="Y382" i="489"/>
  <c r="X382" i="489"/>
  <c r="U382" i="489"/>
  <c r="T382" i="489"/>
  <c r="S382" i="489"/>
  <c r="R382" i="489"/>
  <c r="Q382" i="489"/>
  <c r="P382" i="489"/>
  <c r="O382" i="489"/>
  <c r="I382" i="489"/>
  <c r="G382" i="489"/>
  <c r="AA381" i="489"/>
  <c r="Z381" i="489"/>
  <c r="Y381" i="489"/>
  <c r="X381" i="489"/>
  <c r="U381" i="489"/>
  <c r="T381" i="489"/>
  <c r="S381" i="489"/>
  <c r="R381" i="489"/>
  <c r="Q381" i="489"/>
  <c r="P381" i="489"/>
  <c r="O381" i="489"/>
  <c r="I381" i="489"/>
  <c r="G381" i="489"/>
  <c r="AA380" i="489"/>
  <c r="Z380" i="489"/>
  <c r="Y380" i="489"/>
  <c r="X380" i="489"/>
  <c r="U380" i="489"/>
  <c r="T380" i="489"/>
  <c r="S380" i="489"/>
  <c r="R380" i="489"/>
  <c r="Q380" i="489"/>
  <c r="P380" i="489"/>
  <c r="O380" i="489"/>
  <c r="I380" i="489"/>
  <c r="G380" i="489"/>
  <c r="AA379" i="489"/>
  <c r="Z379" i="489"/>
  <c r="Y379" i="489"/>
  <c r="X379" i="489"/>
  <c r="U379" i="489"/>
  <c r="T379" i="489"/>
  <c r="S379" i="489"/>
  <c r="R379" i="489"/>
  <c r="Q379" i="489"/>
  <c r="P379" i="489"/>
  <c r="O379" i="489"/>
  <c r="I379" i="489"/>
  <c r="G379" i="489"/>
  <c r="I378" i="489"/>
  <c r="G378" i="489"/>
  <c r="I377" i="489"/>
  <c r="G377" i="489"/>
  <c r="I376" i="489"/>
  <c r="G376" i="489"/>
  <c r="AA375" i="489"/>
  <c r="Z375" i="489"/>
  <c r="Y375" i="489"/>
  <c r="X375" i="489"/>
  <c r="U375" i="489"/>
  <c r="T375" i="489"/>
  <c r="S375" i="489"/>
  <c r="R375" i="489"/>
  <c r="Q375" i="489"/>
  <c r="P375" i="489"/>
  <c r="O375" i="489"/>
  <c r="I375" i="489"/>
  <c r="G375" i="489"/>
  <c r="AA374" i="489"/>
  <c r="Z374" i="489"/>
  <c r="Y374" i="489"/>
  <c r="X374" i="489"/>
  <c r="U374" i="489"/>
  <c r="T374" i="489"/>
  <c r="S374" i="489"/>
  <c r="R374" i="489"/>
  <c r="Q374" i="489"/>
  <c r="P374" i="489"/>
  <c r="O374" i="489"/>
  <c r="I374" i="489"/>
  <c r="G374" i="489"/>
  <c r="AA373" i="489"/>
  <c r="Z373" i="489"/>
  <c r="Y373" i="489"/>
  <c r="X373" i="489"/>
  <c r="U373" i="489"/>
  <c r="T373" i="489"/>
  <c r="S373" i="489"/>
  <c r="R373" i="489"/>
  <c r="Q373" i="489"/>
  <c r="P373" i="489"/>
  <c r="O373" i="489"/>
  <c r="I373" i="489"/>
  <c r="G373" i="489"/>
  <c r="AA371" i="489"/>
  <c r="Z371" i="489"/>
  <c r="Y371" i="489"/>
  <c r="X371" i="489"/>
  <c r="U371" i="489"/>
  <c r="T371" i="489"/>
  <c r="S371" i="489"/>
  <c r="R371" i="489"/>
  <c r="Q371" i="489"/>
  <c r="P371" i="489"/>
  <c r="O371" i="489"/>
  <c r="I371" i="489"/>
  <c r="G371" i="489"/>
  <c r="AA369" i="489"/>
  <c r="Z369" i="489"/>
  <c r="Y369" i="489"/>
  <c r="X369" i="489"/>
  <c r="U369" i="489"/>
  <c r="T369" i="489"/>
  <c r="S369" i="489"/>
  <c r="R369" i="489"/>
  <c r="Q369" i="489"/>
  <c r="P369" i="489"/>
  <c r="O369" i="489"/>
  <c r="I369" i="489"/>
  <c r="G369" i="489"/>
  <c r="AA368" i="489"/>
  <c r="Z368" i="489"/>
  <c r="Y368" i="489"/>
  <c r="X368" i="489"/>
  <c r="U368" i="489"/>
  <c r="T368" i="489"/>
  <c r="S368" i="489"/>
  <c r="R368" i="489"/>
  <c r="Q368" i="489"/>
  <c r="P368" i="489"/>
  <c r="O368" i="489"/>
  <c r="I368" i="489"/>
  <c r="G368" i="489"/>
  <c r="AA367" i="489"/>
  <c r="Z367" i="489"/>
  <c r="Y367" i="489"/>
  <c r="X367" i="489"/>
  <c r="U367" i="489"/>
  <c r="T367" i="489"/>
  <c r="S367" i="489"/>
  <c r="R367" i="489"/>
  <c r="Q367" i="489"/>
  <c r="P367" i="489"/>
  <c r="O367" i="489"/>
  <c r="I367" i="489"/>
  <c r="G367" i="489"/>
  <c r="AA366" i="489"/>
  <c r="Z366" i="489"/>
  <c r="Y366" i="489"/>
  <c r="X366" i="489"/>
  <c r="U366" i="489"/>
  <c r="T366" i="489"/>
  <c r="S366" i="489"/>
  <c r="R366" i="489"/>
  <c r="Q366" i="489"/>
  <c r="P366" i="489"/>
  <c r="O366" i="489"/>
  <c r="I366" i="489"/>
  <c r="G366" i="489"/>
  <c r="AA365" i="489"/>
  <c r="Z365" i="489"/>
  <c r="Y365" i="489"/>
  <c r="X365" i="489"/>
  <c r="U365" i="489"/>
  <c r="T365" i="489"/>
  <c r="S365" i="489"/>
  <c r="R365" i="489"/>
  <c r="Q365" i="489"/>
  <c r="P365" i="489"/>
  <c r="O365" i="489"/>
  <c r="I365" i="489"/>
  <c r="G365" i="489"/>
  <c r="AA364" i="489"/>
  <c r="Z364" i="489"/>
  <c r="Y364" i="489"/>
  <c r="X364" i="489"/>
  <c r="U364" i="489"/>
  <c r="T364" i="489"/>
  <c r="S364" i="489"/>
  <c r="R364" i="489"/>
  <c r="Q364" i="489"/>
  <c r="P364" i="489"/>
  <c r="O364" i="489"/>
  <c r="I364" i="489"/>
  <c r="G364" i="489"/>
  <c r="AA363" i="489"/>
  <c r="Z363" i="489"/>
  <c r="Y363" i="489"/>
  <c r="X363" i="489"/>
  <c r="U363" i="489"/>
  <c r="T363" i="489"/>
  <c r="S363" i="489"/>
  <c r="R363" i="489"/>
  <c r="Q363" i="489"/>
  <c r="P363" i="489"/>
  <c r="O363" i="489"/>
  <c r="I363" i="489"/>
  <c r="G363" i="489"/>
  <c r="AA362" i="489"/>
  <c r="Z362" i="489"/>
  <c r="Y362" i="489"/>
  <c r="X362" i="489"/>
  <c r="U362" i="489"/>
  <c r="T362" i="489"/>
  <c r="S362" i="489"/>
  <c r="R362" i="489"/>
  <c r="Q362" i="489"/>
  <c r="P362" i="489"/>
  <c r="O362" i="489"/>
  <c r="I362" i="489"/>
  <c r="G362" i="489"/>
  <c r="AA361" i="489"/>
  <c r="Z361" i="489"/>
  <c r="Y361" i="489"/>
  <c r="X361" i="489"/>
  <c r="U361" i="489"/>
  <c r="T361" i="489"/>
  <c r="S361" i="489"/>
  <c r="R361" i="489"/>
  <c r="Q361" i="489"/>
  <c r="P361" i="489"/>
  <c r="O361" i="489"/>
  <c r="I361" i="489"/>
  <c r="G361" i="489"/>
  <c r="G360" i="489"/>
  <c r="G359" i="489"/>
  <c r="AA358" i="489"/>
  <c r="Z358" i="489"/>
  <c r="Y358" i="489"/>
  <c r="X358" i="489"/>
  <c r="U358" i="489"/>
  <c r="T358" i="489"/>
  <c r="S358" i="489"/>
  <c r="R358" i="489"/>
  <c r="Q358" i="489"/>
  <c r="P358" i="489"/>
  <c r="O358" i="489"/>
  <c r="I358" i="489"/>
  <c r="G358" i="489"/>
  <c r="AA357" i="489"/>
  <c r="Z357" i="489"/>
  <c r="Y357" i="489"/>
  <c r="X357" i="489"/>
  <c r="U357" i="489"/>
  <c r="T357" i="489"/>
  <c r="S357" i="489"/>
  <c r="R357" i="489"/>
  <c r="Q357" i="489"/>
  <c r="P357" i="489"/>
  <c r="O357" i="489"/>
  <c r="I357" i="489"/>
  <c r="G357" i="489"/>
  <c r="AA356" i="489"/>
  <c r="Z356" i="489"/>
  <c r="Y356" i="489"/>
  <c r="X356" i="489"/>
  <c r="U356" i="489"/>
  <c r="T356" i="489"/>
  <c r="S356" i="489"/>
  <c r="R356" i="489"/>
  <c r="Q356" i="489"/>
  <c r="P356" i="489"/>
  <c r="O356" i="489"/>
  <c r="I356" i="489"/>
  <c r="G356" i="489"/>
  <c r="AA355" i="489"/>
  <c r="Z355" i="489"/>
  <c r="Y355" i="489"/>
  <c r="X355" i="489"/>
  <c r="U355" i="489"/>
  <c r="T355" i="489"/>
  <c r="S355" i="489"/>
  <c r="R355" i="489"/>
  <c r="Q355" i="489"/>
  <c r="P355" i="489"/>
  <c r="O355" i="489"/>
  <c r="I355" i="489"/>
  <c r="G355" i="489"/>
  <c r="AA354" i="489"/>
  <c r="Z354" i="489"/>
  <c r="Y354" i="489"/>
  <c r="X354" i="489"/>
  <c r="U354" i="489"/>
  <c r="T354" i="489"/>
  <c r="S354" i="489"/>
  <c r="R354" i="489"/>
  <c r="Q354" i="489"/>
  <c r="P354" i="489"/>
  <c r="O354" i="489"/>
  <c r="I354" i="489"/>
  <c r="G354" i="489"/>
  <c r="AA353" i="489"/>
  <c r="Z353" i="489"/>
  <c r="Y353" i="489"/>
  <c r="X353" i="489"/>
  <c r="U353" i="489"/>
  <c r="T353" i="489"/>
  <c r="S353" i="489"/>
  <c r="R353" i="489"/>
  <c r="Q353" i="489"/>
  <c r="P353" i="489"/>
  <c r="O353" i="489"/>
  <c r="I353" i="489"/>
  <c r="G353" i="489"/>
  <c r="AA352" i="489"/>
  <c r="Z352" i="489"/>
  <c r="Y352" i="489"/>
  <c r="X352" i="489"/>
  <c r="U352" i="489"/>
  <c r="T352" i="489"/>
  <c r="S352" i="489"/>
  <c r="R352" i="489"/>
  <c r="Q352" i="489"/>
  <c r="P352" i="489"/>
  <c r="O352" i="489"/>
  <c r="I352" i="489"/>
  <c r="G352" i="489"/>
  <c r="AA351" i="489"/>
  <c r="Z351" i="489"/>
  <c r="Y351" i="489"/>
  <c r="X351" i="489"/>
  <c r="U351" i="489"/>
  <c r="T351" i="489"/>
  <c r="S351" i="489"/>
  <c r="R351" i="489"/>
  <c r="Q351" i="489"/>
  <c r="P351" i="489"/>
  <c r="O351" i="489"/>
  <c r="I351" i="489"/>
  <c r="G351" i="489"/>
  <c r="AA350" i="489"/>
  <c r="Z350" i="489"/>
  <c r="Y350" i="489"/>
  <c r="X350" i="489"/>
  <c r="U350" i="489"/>
  <c r="T350" i="489"/>
  <c r="S350" i="489"/>
  <c r="R350" i="489"/>
  <c r="Q350" i="489"/>
  <c r="P350" i="489"/>
  <c r="O350" i="489"/>
  <c r="I350" i="489"/>
  <c r="G350" i="489"/>
  <c r="AA349" i="489"/>
  <c r="Z349" i="489"/>
  <c r="Y349" i="489"/>
  <c r="X349" i="489"/>
  <c r="U349" i="489"/>
  <c r="T349" i="489"/>
  <c r="S349" i="489"/>
  <c r="R349" i="489"/>
  <c r="Q349" i="489"/>
  <c r="P349" i="489"/>
  <c r="O349" i="489"/>
  <c r="I349" i="489"/>
  <c r="G349" i="489"/>
  <c r="G340" i="489"/>
  <c r="C340" i="489"/>
  <c r="G339" i="489"/>
  <c r="C339" i="489"/>
  <c r="G338" i="489"/>
  <c r="C338" i="489"/>
  <c r="G337" i="489"/>
  <c r="C337" i="489"/>
  <c r="AA333" i="489"/>
  <c r="Z333" i="489"/>
  <c r="Y333" i="489"/>
  <c r="X333" i="489"/>
  <c r="U333" i="489"/>
  <c r="T333" i="489"/>
  <c r="S333" i="489"/>
  <c r="R333" i="489"/>
  <c r="Q333" i="489"/>
  <c r="P333" i="489"/>
  <c r="O333" i="489"/>
  <c r="I333" i="489"/>
  <c r="G333" i="489"/>
  <c r="AA332" i="489"/>
  <c r="Z332" i="489"/>
  <c r="Y332" i="489"/>
  <c r="X332" i="489"/>
  <c r="U332" i="489"/>
  <c r="T332" i="489"/>
  <c r="S332" i="489"/>
  <c r="R332" i="489"/>
  <c r="Q332" i="489"/>
  <c r="P332" i="489"/>
  <c r="O332" i="489"/>
  <c r="I332" i="489"/>
  <c r="G332" i="489"/>
  <c r="AA331" i="489"/>
  <c r="Z331" i="489"/>
  <c r="Y331" i="489"/>
  <c r="X331" i="489"/>
  <c r="U331" i="489"/>
  <c r="T331" i="489"/>
  <c r="S331" i="489"/>
  <c r="R331" i="489"/>
  <c r="Q331" i="489"/>
  <c r="P331" i="489"/>
  <c r="O331" i="489"/>
  <c r="I331" i="489"/>
  <c r="G331" i="489"/>
  <c r="AA330" i="489"/>
  <c r="Z330" i="489"/>
  <c r="Y330" i="489"/>
  <c r="X330" i="489"/>
  <c r="U330" i="489"/>
  <c r="T330" i="489"/>
  <c r="S330" i="489"/>
  <c r="R330" i="489"/>
  <c r="Q330" i="489"/>
  <c r="P330" i="489"/>
  <c r="O330" i="489"/>
  <c r="I330" i="489"/>
  <c r="G330" i="489"/>
  <c r="AA328" i="489"/>
  <c r="Z328" i="489"/>
  <c r="Y328" i="489"/>
  <c r="X328" i="489"/>
  <c r="U328" i="489"/>
  <c r="T328" i="489"/>
  <c r="S328" i="489"/>
  <c r="R328" i="489"/>
  <c r="Q328" i="489"/>
  <c r="P328" i="489"/>
  <c r="O328" i="489"/>
  <c r="I328" i="489"/>
  <c r="G328" i="489"/>
  <c r="G327" i="489"/>
  <c r="AA326" i="489"/>
  <c r="Z326" i="489"/>
  <c r="Y326" i="489"/>
  <c r="X326" i="489"/>
  <c r="U326" i="489"/>
  <c r="T326" i="489"/>
  <c r="S326" i="489"/>
  <c r="R326" i="489"/>
  <c r="Q326" i="489"/>
  <c r="P326" i="489"/>
  <c r="O326" i="489"/>
  <c r="I326" i="489"/>
  <c r="G326" i="489"/>
  <c r="AA325" i="489"/>
  <c r="Z325" i="489"/>
  <c r="Y325" i="489"/>
  <c r="X325" i="489"/>
  <c r="U325" i="489"/>
  <c r="T325" i="489"/>
  <c r="S325" i="489"/>
  <c r="R325" i="489"/>
  <c r="Q325" i="489"/>
  <c r="P325" i="489"/>
  <c r="O325" i="489"/>
  <c r="I325" i="489"/>
  <c r="G325" i="489"/>
  <c r="AA324" i="489"/>
  <c r="Z324" i="489"/>
  <c r="Y324" i="489"/>
  <c r="X324" i="489"/>
  <c r="U324" i="489"/>
  <c r="T324" i="489"/>
  <c r="S324" i="489"/>
  <c r="R324" i="489"/>
  <c r="Q324" i="489"/>
  <c r="P324" i="489"/>
  <c r="O324" i="489"/>
  <c r="I324" i="489"/>
  <c r="G324" i="489"/>
  <c r="AA323" i="489"/>
  <c r="Z323" i="489"/>
  <c r="Y323" i="489"/>
  <c r="X323" i="489"/>
  <c r="U323" i="489"/>
  <c r="T323" i="489"/>
  <c r="S323" i="489"/>
  <c r="R323" i="489"/>
  <c r="Q323" i="489"/>
  <c r="P323" i="489"/>
  <c r="O323" i="489"/>
  <c r="I323" i="489"/>
  <c r="G323" i="489"/>
  <c r="AA322" i="489"/>
  <c r="Z322" i="489"/>
  <c r="Y322" i="489"/>
  <c r="X322" i="489"/>
  <c r="U322" i="489"/>
  <c r="T322" i="489"/>
  <c r="S322" i="489"/>
  <c r="R322" i="489"/>
  <c r="Q322" i="489"/>
  <c r="P322" i="489"/>
  <c r="O322" i="489"/>
  <c r="I322" i="489"/>
  <c r="G322" i="489"/>
  <c r="AA321" i="489"/>
  <c r="Z321" i="489"/>
  <c r="Y321" i="489"/>
  <c r="X321" i="489"/>
  <c r="U321" i="489"/>
  <c r="T321" i="489"/>
  <c r="S321" i="489"/>
  <c r="R321" i="489"/>
  <c r="Q321" i="489"/>
  <c r="P321" i="489"/>
  <c r="O321" i="489"/>
  <c r="I321" i="489"/>
  <c r="G321" i="489"/>
  <c r="AA320" i="489"/>
  <c r="Z320" i="489"/>
  <c r="Y320" i="489"/>
  <c r="X320" i="489"/>
  <c r="U320" i="489"/>
  <c r="T320" i="489"/>
  <c r="S320" i="489"/>
  <c r="R320" i="489"/>
  <c r="Q320" i="489"/>
  <c r="P320" i="489"/>
  <c r="O320" i="489"/>
  <c r="I320" i="489"/>
  <c r="G320" i="489"/>
  <c r="AA318" i="489"/>
  <c r="Z318" i="489"/>
  <c r="Y318" i="489"/>
  <c r="X318" i="489"/>
  <c r="U318" i="489"/>
  <c r="T318" i="489"/>
  <c r="S318" i="489"/>
  <c r="R318" i="489"/>
  <c r="Q318" i="489"/>
  <c r="P318" i="489"/>
  <c r="O318" i="489"/>
  <c r="I318" i="489"/>
  <c r="G318" i="489"/>
  <c r="G316" i="489"/>
  <c r="G315" i="489"/>
  <c r="G314" i="489"/>
  <c r="AA313" i="489"/>
  <c r="Z313" i="489"/>
  <c r="Y313" i="489"/>
  <c r="X313" i="489"/>
  <c r="U313" i="489"/>
  <c r="T313" i="489"/>
  <c r="S313" i="489"/>
  <c r="R313" i="489"/>
  <c r="Q313" i="489"/>
  <c r="P313" i="489"/>
  <c r="O313" i="489"/>
  <c r="I313" i="489"/>
  <c r="G313" i="489"/>
  <c r="AA312" i="489"/>
  <c r="Z312" i="489"/>
  <c r="Y312" i="489"/>
  <c r="X312" i="489"/>
  <c r="U312" i="489"/>
  <c r="T312" i="489"/>
  <c r="S312" i="489"/>
  <c r="R312" i="489"/>
  <c r="Q312" i="489"/>
  <c r="P312" i="489"/>
  <c r="O312" i="489"/>
  <c r="I312" i="489"/>
  <c r="G312" i="489"/>
  <c r="AA311" i="489"/>
  <c r="Z311" i="489"/>
  <c r="Y311" i="489"/>
  <c r="X311" i="489"/>
  <c r="U311" i="489"/>
  <c r="T311" i="489"/>
  <c r="S311" i="489"/>
  <c r="R311" i="489"/>
  <c r="Q311" i="489"/>
  <c r="P311" i="489"/>
  <c r="O311" i="489"/>
  <c r="I311" i="489"/>
  <c r="G311" i="489"/>
  <c r="AA310" i="489"/>
  <c r="Z310" i="489"/>
  <c r="Y310" i="489"/>
  <c r="X310" i="489"/>
  <c r="U310" i="489"/>
  <c r="T310" i="489"/>
  <c r="S310" i="489"/>
  <c r="R310" i="489"/>
  <c r="Q310" i="489"/>
  <c r="P310" i="489"/>
  <c r="O310" i="489"/>
  <c r="I310" i="489"/>
  <c r="G310" i="489"/>
  <c r="AA309" i="489"/>
  <c r="Z309" i="489"/>
  <c r="Y309" i="489"/>
  <c r="X309" i="489"/>
  <c r="U309" i="489"/>
  <c r="T309" i="489"/>
  <c r="S309" i="489"/>
  <c r="R309" i="489"/>
  <c r="Q309" i="489"/>
  <c r="P309" i="489"/>
  <c r="O309" i="489"/>
  <c r="I309" i="489"/>
  <c r="G309" i="489"/>
  <c r="AA307" i="489"/>
  <c r="Z307" i="489"/>
  <c r="Y307" i="489"/>
  <c r="X307" i="489"/>
  <c r="U307" i="489"/>
  <c r="T307" i="489"/>
  <c r="S307" i="489"/>
  <c r="R307" i="489"/>
  <c r="Q307" i="489"/>
  <c r="P307" i="489"/>
  <c r="O307" i="489"/>
  <c r="I307" i="489"/>
  <c r="G307" i="489"/>
  <c r="AA306" i="489"/>
  <c r="Z306" i="489"/>
  <c r="Y306" i="489"/>
  <c r="X306" i="489"/>
  <c r="U306" i="489"/>
  <c r="T306" i="489"/>
  <c r="S306" i="489"/>
  <c r="R306" i="489"/>
  <c r="Q306" i="489"/>
  <c r="P306" i="489"/>
  <c r="O306" i="489"/>
  <c r="I306" i="489"/>
  <c r="G306" i="489"/>
  <c r="AA305" i="489"/>
  <c r="Z305" i="489"/>
  <c r="Y305" i="489"/>
  <c r="X305" i="489"/>
  <c r="U305" i="489"/>
  <c r="T305" i="489"/>
  <c r="S305" i="489"/>
  <c r="R305" i="489"/>
  <c r="Q305" i="489"/>
  <c r="P305" i="489"/>
  <c r="O305" i="489"/>
  <c r="I305" i="489"/>
  <c r="G305" i="489"/>
  <c r="AA304" i="489"/>
  <c r="Z304" i="489"/>
  <c r="Y304" i="489"/>
  <c r="X304" i="489"/>
  <c r="U304" i="489"/>
  <c r="T304" i="489"/>
  <c r="S304" i="489"/>
  <c r="R304" i="489"/>
  <c r="Q304" i="489"/>
  <c r="P304" i="489"/>
  <c r="O304" i="489"/>
  <c r="I304" i="489"/>
  <c r="G304" i="489"/>
  <c r="AA303" i="489"/>
  <c r="Z303" i="489"/>
  <c r="Y303" i="489"/>
  <c r="X303" i="489"/>
  <c r="U303" i="489"/>
  <c r="T303" i="489"/>
  <c r="S303" i="489"/>
  <c r="R303" i="489"/>
  <c r="Q303" i="489"/>
  <c r="P303" i="489"/>
  <c r="O303" i="489"/>
  <c r="I303" i="489"/>
  <c r="G303" i="489"/>
  <c r="AA302" i="489"/>
  <c r="Z302" i="489"/>
  <c r="Y302" i="489"/>
  <c r="X302" i="489"/>
  <c r="U302" i="489"/>
  <c r="T302" i="489"/>
  <c r="S302" i="489"/>
  <c r="R302" i="489"/>
  <c r="Q302" i="489"/>
  <c r="P302" i="489"/>
  <c r="O302" i="489"/>
  <c r="I302" i="489"/>
  <c r="G302" i="489"/>
  <c r="AA301" i="489"/>
  <c r="Z301" i="489"/>
  <c r="Y301" i="489"/>
  <c r="X301" i="489"/>
  <c r="U301" i="489"/>
  <c r="T301" i="489"/>
  <c r="S301" i="489"/>
  <c r="R301" i="489"/>
  <c r="Q301" i="489"/>
  <c r="P301" i="489"/>
  <c r="O301" i="489"/>
  <c r="I301" i="489"/>
  <c r="G301" i="489"/>
  <c r="AA300" i="489"/>
  <c r="Z300" i="489"/>
  <c r="Y300" i="489"/>
  <c r="X300" i="489"/>
  <c r="U300" i="489"/>
  <c r="T300" i="489"/>
  <c r="S300" i="489"/>
  <c r="R300" i="489"/>
  <c r="Q300" i="489"/>
  <c r="P300" i="489"/>
  <c r="O300" i="489"/>
  <c r="I300" i="489"/>
  <c r="G300" i="489"/>
  <c r="AA299" i="489"/>
  <c r="Z299" i="489"/>
  <c r="Y299" i="489"/>
  <c r="X299" i="489"/>
  <c r="U299" i="489"/>
  <c r="T299" i="489"/>
  <c r="S299" i="489"/>
  <c r="R299" i="489"/>
  <c r="Q299" i="489"/>
  <c r="P299" i="489"/>
  <c r="O299" i="489"/>
  <c r="I299" i="489"/>
  <c r="G299" i="489"/>
  <c r="AA298" i="489"/>
  <c r="Z298" i="489"/>
  <c r="Y298" i="489"/>
  <c r="X298" i="489"/>
  <c r="U298" i="489"/>
  <c r="T298" i="489"/>
  <c r="S298" i="489"/>
  <c r="R298" i="489"/>
  <c r="Q298" i="489"/>
  <c r="P298" i="489"/>
  <c r="O298" i="489"/>
  <c r="I298" i="489"/>
  <c r="G298" i="489"/>
  <c r="AA297" i="489"/>
  <c r="Z297" i="489"/>
  <c r="Y297" i="489"/>
  <c r="X297" i="489"/>
  <c r="U297" i="489"/>
  <c r="T297" i="489"/>
  <c r="S297" i="489"/>
  <c r="R297" i="489"/>
  <c r="Q297" i="489"/>
  <c r="P297" i="489"/>
  <c r="O297" i="489"/>
  <c r="I297" i="489"/>
  <c r="G297" i="489"/>
  <c r="AA296" i="489"/>
  <c r="Z296" i="489"/>
  <c r="Y296" i="489"/>
  <c r="X296" i="489"/>
  <c r="U296" i="489"/>
  <c r="T296" i="489"/>
  <c r="S296" i="489"/>
  <c r="R296" i="489"/>
  <c r="Q296" i="489"/>
  <c r="P296" i="489"/>
  <c r="O296" i="489"/>
  <c r="I296" i="489"/>
  <c r="G296" i="489"/>
  <c r="AA295" i="489"/>
  <c r="Z295" i="489"/>
  <c r="Y295" i="489"/>
  <c r="X295" i="489"/>
  <c r="U295" i="489"/>
  <c r="T295" i="489"/>
  <c r="S295" i="489"/>
  <c r="R295" i="489"/>
  <c r="Q295" i="489"/>
  <c r="P295" i="489"/>
  <c r="O295" i="489"/>
  <c r="I295" i="489"/>
  <c r="G295" i="489"/>
  <c r="AA294" i="489"/>
  <c r="Z294" i="489"/>
  <c r="Y294" i="489"/>
  <c r="X294" i="489"/>
  <c r="U294" i="489"/>
  <c r="T294" i="489"/>
  <c r="S294" i="489"/>
  <c r="R294" i="489"/>
  <c r="Q294" i="489"/>
  <c r="P294" i="489"/>
  <c r="O294" i="489"/>
  <c r="I294" i="489"/>
  <c r="G294" i="489"/>
  <c r="AA293" i="489"/>
  <c r="Z293" i="489"/>
  <c r="Y293" i="489"/>
  <c r="X293" i="489"/>
  <c r="U293" i="489"/>
  <c r="T293" i="489"/>
  <c r="S293" i="489"/>
  <c r="R293" i="489"/>
  <c r="Q293" i="489"/>
  <c r="P293" i="489"/>
  <c r="O293" i="489"/>
  <c r="I293" i="489"/>
  <c r="G293" i="489"/>
  <c r="AA291" i="489"/>
  <c r="Z291" i="489"/>
  <c r="Y291" i="489"/>
  <c r="X291" i="489"/>
  <c r="U291" i="489"/>
  <c r="T291" i="489"/>
  <c r="S291" i="489"/>
  <c r="R291" i="489"/>
  <c r="Q291" i="489"/>
  <c r="P291" i="489"/>
  <c r="O291" i="489"/>
  <c r="I291" i="489"/>
  <c r="G291" i="489"/>
  <c r="AA290" i="489"/>
  <c r="Z290" i="489"/>
  <c r="Y290" i="489"/>
  <c r="X290" i="489"/>
  <c r="U290" i="489"/>
  <c r="T290" i="489"/>
  <c r="S290" i="489"/>
  <c r="R290" i="489"/>
  <c r="Q290" i="489"/>
  <c r="P290" i="489"/>
  <c r="O290" i="489"/>
  <c r="I290" i="489"/>
  <c r="G290" i="489"/>
  <c r="AA289" i="489"/>
  <c r="Z289" i="489"/>
  <c r="Y289" i="489"/>
  <c r="X289" i="489"/>
  <c r="U289" i="489"/>
  <c r="T289" i="489"/>
  <c r="S289" i="489"/>
  <c r="R289" i="489"/>
  <c r="Q289" i="489"/>
  <c r="P289" i="489"/>
  <c r="O289" i="489"/>
  <c r="I289" i="489"/>
  <c r="G289" i="489"/>
  <c r="I288" i="489"/>
  <c r="G288" i="489"/>
  <c r="I287" i="489"/>
  <c r="G287" i="489"/>
  <c r="I286" i="489"/>
  <c r="G286" i="489"/>
  <c r="AA285" i="489"/>
  <c r="Z285" i="489"/>
  <c r="Y285" i="489"/>
  <c r="X285" i="489"/>
  <c r="U285" i="489"/>
  <c r="T285" i="489"/>
  <c r="S285" i="489"/>
  <c r="R285" i="489"/>
  <c r="Q285" i="489"/>
  <c r="P285" i="489"/>
  <c r="O285" i="489"/>
  <c r="I285" i="489"/>
  <c r="G285" i="489"/>
  <c r="AA284" i="489"/>
  <c r="Z284" i="489"/>
  <c r="Y284" i="489"/>
  <c r="X284" i="489"/>
  <c r="U284" i="489"/>
  <c r="T284" i="489"/>
  <c r="S284" i="489"/>
  <c r="R284" i="489"/>
  <c r="Q284" i="489"/>
  <c r="P284" i="489"/>
  <c r="O284" i="489"/>
  <c r="I284" i="489"/>
  <c r="G284" i="489"/>
  <c r="AA283" i="489"/>
  <c r="Z283" i="489"/>
  <c r="Y283" i="489"/>
  <c r="X283" i="489"/>
  <c r="U283" i="489"/>
  <c r="T283" i="489"/>
  <c r="S283" i="489"/>
  <c r="R283" i="489"/>
  <c r="Q283" i="489"/>
  <c r="P283" i="489"/>
  <c r="O283" i="489"/>
  <c r="I283" i="489"/>
  <c r="G283" i="489"/>
  <c r="AA282" i="489"/>
  <c r="Z282" i="489"/>
  <c r="Y282" i="489"/>
  <c r="X282" i="489"/>
  <c r="U282" i="489"/>
  <c r="T282" i="489"/>
  <c r="S282" i="489"/>
  <c r="R282" i="489"/>
  <c r="Q282" i="489"/>
  <c r="P282" i="489"/>
  <c r="O282" i="489"/>
  <c r="I282" i="489"/>
  <c r="G282" i="489"/>
  <c r="AA281" i="489"/>
  <c r="Z281" i="489"/>
  <c r="Y281" i="489"/>
  <c r="X281" i="489"/>
  <c r="U281" i="489"/>
  <c r="T281" i="489"/>
  <c r="S281" i="489"/>
  <c r="R281" i="489"/>
  <c r="Q281" i="489"/>
  <c r="P281" i="489"/>
  <c r="O281" i="489"/>
  <c r="I281" i="489"/>
  <c r="G281" i="489"/>
  <c r="AA280" i="489"/>
  <c r="Z280" i="489"/>
  <c r="Y280" i="489"/>
  <c r="X280" i="489"/>
  <c r="U280" i="489"/>
  <c r="T280" i="489"/>
  <c r="S280" i="489"/>
  <c r="R280" i="489"/>
  <c r="Q280" i="489"/>
  <c r="P280" i="489"/>
  <c r="O280" i="489"/>
  <c r="I280" i="489"/>
  <c r="G280" i="489"/>
  <c r="AA279" i="489"/>
  <c r="Z279" i="489"/>
  <c r="Y279" i="489"/>
  <c r="X279" i="489"/>
  <c r="U279" i="489"/>
  <c r="T279" i="489"/>
  <c r="S279" i="489"/>
  <c r="R279" i="489"/>
  <c r="Q279" i="489"/>
  <c r="P279" i="489"/>
  <c r="O279" i="489"/>
  <c r="I279" i="489"/>
  <c r="G279" i="489"/>
  <c r="AA278" i="489"/>
  <c r="Z278" i="489"/>
  <c r="Y278" i="489"/>
  <c r="X278" i="489"/>
  <c r="U278" i="489"/>
  <c r="T278" i="489"/>
  <c r="S278" i="489"/>
  <c r="R278" i="489"/>
  <c r="Q278" i="489"/>
  <c r="P278" i="489"/>
  <c r="O278" i="489"/>
  <c r="I278" i="489"/>
  <c r="G278" i="489"/>
  <c r="AA277" i="489"/>
  <c r="Z277" i="489"/>
  <c r="Y277" i="489"/>
  <c r="X277" i="489"/>
  <c r="U277" i="489"/>
  <c r="T277" i="489"/>
  <c r="S277" i="489"/>
  <c r="R277" i="489"/>
  <c r="Q277" i="489"/>
  <c r="P277" i="489"/>
  <c r="O277" i="489"/>
  <c r="I277" i="489"/>
  <c r="G277" i="489"/>
  <c r="AA276" i="489"/>
  <c r="Z276" i="489"/>
  <c r="Y276" i="489"/>
  <c r="X276" i="489"/>
  <c r="U276" i="489"/>
  <c r="T276" i="489"/>
  <c r="S276" i="489"/>
  <c r="R276" i="489"/>
  <c r="Q276" i="489"/>
  <c r="P276" i="489"/>
  <c r="O276" i="489"/>
  <c r="I276" i="489"/>
  <c r="G276" i="489"/>
  <c r="AA275" i="489"/>
  <c r="Z275" i="489"/>
  <c r="Y275" i="489"/>
  <c r="X275" i="489"/>
  <c r="U275" i="489"/>
  <c r="T275" i="489"/>
  <c r="S275" i="489"/>
  <c r="R275" i="489"/>
  <c r="Q275" i="489"/>
  <c r="P275" i="489"/>
  <c r="O275" i="489"/>
  <c r="I275" i="489"/>
  <c r="G275" i="489"/>
  <c r="AA274" i="489"/>
  <c r="Z274" i="489"/>
  <c r="Y274" i="489"/>
  <c r="X274" i="489"/>
  <c r="U274" i="489"/>
  <c r="T274" i="489"/>
  <c r="S274" i="489"/>
  <c r="R274" i="489"/>
  <c r="Q274" i="489"/>
  <c r="P274" i="489"/>
  <c r="O274" i="489"/>
  <c r="I274" i="489"/>
  <c r="G274" i="489"/>
  <c r="AA273" i="489"/>
  <c r="Z273" i="489"/>
  <c r="Y273" i="489"/>
  <c r="X273" i="489"/>
  <c r="U273" i="489"/>
  <c r="T273" i="489"/>
  <c r="S273" i="489"/>
  <c r="R273" i="489"/>
  <c r="Q273" i="489"/>
  <c r="P273" i="489"/>
  <c r="O273" i="489"/>
  <c r="I273" i="489"/>
  <c r="G273" i="489"/>
  <c r="AA272" i="489"/>
  <c r="Z272" i="489"/>
  <c r="Y272" i="489"/>
  <c r="X272" i="489"/>
  <c r="U272" i="489"/>
  <c r="T272" i="489"/>
  <c r="S272" i="489"/>
  <c r="R272" i="489"/>
  <c r="Q272" i="489"/>
  <c r="P272" i="489"/>
  <c r="O272" i="489"/>
  <c r="I272" i="489"/>
  <c r="G272" i="489"/>
  <c r="AA271" i="489"/>
  <c r="Z271" i="489"/>
  <c r="Y271" i="489"/>
  <c r="X271" i="489"/>
  <c r="U271" i="489"/>
  <c r="T271" i="489"/>
  <c r="S271" i="489"/>
  <c r="R271" i="489"/>
  <c r="Q271" i="489"/>
  <c r="P271" i="489"/>
  <c r="O271" i="489"/>
  <c r="I271" i="489"/>
  <c r="G271" i="489"/>
  <c r="AA270" i="489"/>
  <c r="Z270" i="489"/>
  <c r="Y270" i="489"/>
  <c r="X270" i="489"/>
  <c r="U270" i="489"/>
  <c r="T270" i="489"/>
  <c r="S270" i="489"/>
  <c r="R270" i="489"/>
  <c r="Q270" i="489"/>
  <c r="P270" i="489"/>
  <c r="O270" i="489"/>
  <c r="I270" i="489"/>
  <c r="G270" i="489"/>
  <c r="AA269" i="489"/>
  <c r="Z269" i="489"/>
  <c r="Y269" i="489"/>
  <c r="X269" i="489"/>
  <c r="U269" i="489"/>
  <c r="T269" i="489"/>
  <c r="S269" i="489"/>
  <c r="R269" i="489"/>
  <c r="Q269" i="489"/>
  <c r="P269" i="489"/>
  <c r="O269" i="489"/>
  <c r="I269" i="489"/>
  <c r="G269" i="489"/>
  <c r="AA268" i="489"/>
  <c r="Z268" i="489"/>
  <c r="Y268" i="489"/>
  <c r="X268" i="489"/>
  <c r="U268" i="489"/>
  <c r="T268" i="489"/>
  <c r="S268" i="489"/>
  <c r="R268" i="489"/>
  <c r="Q268" i="489"/>
  <c r="P268" i="489"/>
  <c r="O268" i="489"/>
  <c r="I268" i="489"/>
  <c r="G268" i="489"/>
  <c r="AA267" i="489"/>
  <c r="Z267" i="489"/>
  <c r="Y267" i="489"/>
  <c r="X267" i="489"/>
  <c r="U267" i="489"/>
  <c r="T267" i="489"/>
  <c r="S267" i="489"/>
  <c r="R267" i="489"/>
  <c r="Q267" i="489"/>
  <c r="P267" i="489"/>
  <c r="O267" i="489"/>
  <c r="I267" i="489"/>
  <c r="G267" i="489"/>
  <c r="AA266" i="489"/>
  <c r="Z266" i="489"/>
  <c r="Y266" i="489"/>
  <c r="X266" i="489"/>
  <c r="U266" i="489"/>
  <c r="T266" i="489"/>
  <c r="S266" i="489"/>
  <c r="R266" i="489"/>
  <c r="Q266" i="489"/>
  <c r="P266" i="489"/>
  <c r="O266" i="489"/>
  <c r="I266" i="489"/>
  <c r="G266" i="489"/>
  <c r="AA265" i="489"/>
  <c r="Z265" i="489"/>
  <c r="Y265" i="489"/>
  <c r="X265" i="489"/>
  <c r="U265" i="489"/>
  <c r="T265" i="489"/>
  <c r="S265" i="489"/>
  <c r="R265" i="489"/>
  <c r="Q265" i="489"/>
  <c r="P265" i="489"/>
  <c r="O265" i="489"/>
  <c r="I265" i="489"/>
  <c r="G265" i="489"/>
  <c r="AA264" i="489"/>
  <c r="Z264" i="489"/>
  <c r="Y264" i="489"/>
  <c r="X264" i="489"/>
  <c r="U264" i="489"/>
  <c r="T264" i="489"/>
  <c r="S264" i="489"/>
  <c r="R264" i="489"/>
  <c r="Q264" i="489"/>
  <c r="P264" i="489"/>
  <c r="O264" i="489"/>
  <c r="I264" i="489"/>
  <c r="G264" i="489"/>
  <c r="AA263" i="489"/>
  <c r="Z263" i="489"/>
  <c r="Y263" i="489"/>
  <c r="X263" i="489"/>
  <c r="U263" i="489"/>
  <c r="T263" i="489"/>
  <c r="S263" i="489"/>
  <c r="R263" i="489"/>
  <c r="Q263" i="489"/>
  <c r="P263" i="489"/>
  <c r="O263" i="489"/>
  <c r="I263" i="489"/>
  <c r="G263" i="489"/>
  <c r="AA262" i="489"/>
  <c r="Z262" i="489"/>
  <c r="Y262" i="489"/>
  <c r="X262" i="489"/>
  <c r="U262" i="489"/>
  <c r="T262" i="489"/>
  <c r="S262" i="489"/>
  <c r="R262" i="489"/>
  <c r="Q262" i="489"/>
  <c r="P262" i="489"/>
  <c r="O262" i="489"/>
  <c r="I262" i="489"/>
  <c r="G262" i="489"/>
  <c r="AA261" i="489"/>
  <c r="Z261" i="489"/>
  <c r="Y261" i="489"/>
  <c r="X261" i="489"/>
  <c r="U261" i="489"/>
  <c r="T261" i="489"/>
  <c r="S261" i="489"/>
  <c r="R261" i="489"/>
  <c r="Q261" i="489"/>
  <c r="P261" i="489"/>
  <c r="O261" i="489"/>
  <c r="I261" i="489"/>
  <c r="G261" i="489"/>
  <c r="AA260" i="489"/>
  <c r="Z260" i="489"/>
  <c r="Y260" i="489"/>
  <c r="X260" i="489"/>
  <c r="U260" i="489"/>
  <c r="T260" i="489"/>
  <c r="S260" i="489"/>
  <c r="R260" i="489"/>
  <c r="Q260" i="489"/>
  <c r="P260" i="489"/>
  <c r="O260" i="489"/>
  <c r="I260" i="489"/>
  <c r="G260" i="489"/>
  <c r="AA259" i="489"/>
  <c r="Z259" i="489"/>
  <c r="Y259" i="489"/>
  <c r="X259" i="489"/>
  <c r="U259" i="489"/>
  <c r="T259" i="489"/>
  <c r="S259" i="489"/>
  <c r="R259" i="489"/>
  <c r="Q259" i="489"/>
  <c r="P259" i="489"/>
  <c r="O259" i="489"/>
  <c r="I259" i="489"/>
  <c r="G259" i="489"/>
  <c r="AA258" i="489"/>
  <c r="Z258" i="489"/>
  <c r="Y258" i="489"/>
  <c r="X258" i="489"/>
  <c r="U258" i="489"/>
  <c r="T258" i="489"/>
  <c r="S258" i="489"/>
  <c r="R258" i="489"/>
  <c r="Q258" i="489"/>
  <c r="P258" i="489"/>
  <c r="O258" i="489"/>
  <c r="I258" i="489"/>
  <c r="G258" i="489"/>
  <c r="AA256" i="489"/>
  <c r="Z256" i="489"/>
  <c r="Y256" i="489"/>
  <c r="X256" i="489"/>
  <c r="U256" i="489"/>
  <c r="T256" i="489"/>
  <c r="S256" i="489"/>
  <c r="R256" i="489"/>
  <c r="Q256" i="489"/>
  <c r="P256" i="489"/>
  <c r="O256" i="489"/>
  <c r="I256" i="489"/>
  <c r="G256" i="489"/>
  <c r="AA255" i="489"/>
  <c r="Z255" i="489"/>
  <c r="Y255" i="489"/>
  <c r="X255" i="489"/>
  <c r="U255" i="489"/>
  <c r="T255" i="489"/>
  <c r="S255" i="489"/>
  <c r="R255" i="489"/>
  <c r="Q255" i="489"/>
  <c r="P255" i="489"/>
  <c r="O255" i="489"/>
  <c r="I255" i="489"/>
  <c r="G255" i="489"/>
  <c r="AA254" i="489"/>
  <c r="Z254" i="489"/>
  <c r="Y254" i="489"/>
  <c r="X254" i="489"/>
  <c r="U254" i="489"/>
  <c r="T254" i="489"/>
  <c r="S254" i="489"/>
  <c r="R254" i="489"/>
  <c r="Q254" i="489"/>
  <c r="P254" i="489"/>
  <c r="O254" i="489"/>
  <c r="I254" i="489"/>
  <c r="G254" i="489"/>
  <c r="I253" i="489"/>
  <c r="G253" i="489"/>
  <c r="I252" i="489"/>
  <c r="G252" i="489"/>
  <c r="I251" i="489"/>
  <c r="G251" i="489"/>
  <c r="AA250" i="489"/>
  <c r="Z250" i="489"/>
  <c r="Y250" i="489"/>
  <c r="X250" i="489"/>
  <c r="U250" i="489"/>
  <c r="T250" i="489"/>
  <c r="S250" i="489"/>
  <c r="R250" i="489"/>
  <c r="Q250" i="489"/>
  <c r="P250" i="489"/>
  <c r="O250" i="489"/>
  <c r="N250" i="489"/>
  <c r="I250" i="489"/>
  <c r="G250" i="489"/>
  <c r="AA249" i="489"/>
  <c r="Z249" i="489"/>
  <c r="Y249" i="489"/>
  <c r="X249" i="489"/>
  <c r="U249" i="489"/>
  <c r="T249" i="489"/>
  <c r="S249" i="489"/>
  <c r="R249" i="489"/>
  <c r="Q249" i="489"/>
  <c r="P249" i="489"/>
  <c r="O249" i="489"/>
  <c r="N249" i="489"/>
  <c r="I249" i="489"/>
  <c r="G249" i="489"/>
  <c r="AA248" i="489"/>
  <c r="Z248" i="489"/>
  <c r="Y248" i="489"/>
  <c r="X248" i="489"/>
  <c r="U248" i="489"/>
  <c r="T248" i="489"/>
  <c r="S248" i="489"/>
  <c r="R248" i="489"/>
  <c r="Q248" i="489"/>
  <c r="P248" i="489"/>
  <c r="O248" i="489"/>
  <c r="N248" i="489"/>
  <c r="I248" i="489"/>
  <c r="G248" i="489"/>
  <c r="AA247" i="489"/>
  <c r="Z247" i="489"/>
  <c r="Y247" i="489"/>
  <c r="X247" i="489"/>
  <c r="U247" i="489"/>
  <c r="T247" i="489"/>
  <c r="S247" i="489"/>
  <c r="R247" i="489"/>
  <c r="Q247" i="489"/>
  <c r="P247" i="489"/>
  <c r="O247" i="489"/>
  <c r="N247" i="489"/>
  <c r="I247" i="489"/>
  <c r="G247" i="489"/>
  <c r="AA246" i="489"/>
  <c r="Z246" i="489"/>
  <c r="Y246" i="489"/>
  <c r="X246" i="489"/>
  <c r="U246" i="489"/>
  <c r="T246" i="489"/>
  <c r="S246" i="489"/>
  <c r="R246" i="489"/>
  <c r="Q246" i="489"/>
  <c r="P246" i="489"/>
  <c r="O246" i="489"/>
  <c r="I246" i="489"/>
  <c r="G246" i="489"/>
  <c r="AA245" i="489"/>
  <c r="Z245" i="489"/>
  <c r="Y245" i="489"/>
  <c r="X245" i="489"/>
  <c r="U245" i="489"/>
  <c r="T245" i="489"/>
  <c r="S245" i="489"/>
  <c r="R245" i="489"/>
  <c r="Q245" i="489"/>
  <c r="P245" i="489"/>
  <c r="O245" i="489"/>
  <c r="I245" i="489"/>
  <c r="G245" i="489"/>
  <c r="AA244" i="489"/>
  <c r="Z244" i="489"/>
  <c r="Y244" i="489"/>
  <c r="X244" i="489"/>
  <c r="U244" i="489"/>
  <c r="T244" i="489"/>
  <c r="S244" i="489"/>
  <c r="R244" i="489"/>
  <c r="Q244" i="489"/>
  <c r="P244" i="489"/>
  <c r="O244" i="489"/>
  <c r="I244" i="489"/>
  <c r="G244" i="489"/>
  <c r="AA243" i="489"/>
  <c r="Z243" i="489"/>
  <c r="Y243" i="489"/>
  <c r="X243" i="489"/>
  <c r="U243" i="489"/>
  <c r="T243" i="489"/>
  <c r="S243" i="489"/>
  <c r="R243" i="489"/>
  <c r="Q243" i="489"/>
  <c r="P243" i="489"/>
  <c r="O243" i="489"/>
  <c r="I243" i="489"/>
  <c r="G243" i="489"/>
  <c r="AA242" i="489"/>
  <c r="Z242" i="489"/>
  <c r="Y242" i="489"/>
  <c r="X242" i="489"/>
  <c r="U242" i="489"/>
  <c r="T242" i="489"/>
  <c r="S242" i="489"/>
  <c r="R242" i="489"/>
  <c r="Q242" i="489"/>
  <c r="P242" i="489"/>
  <c r="O242" i="489"/>
  <c r="N242" i="489"/>
  <c r="I242" i="489"/>
  <c r="G242" i="489"/>
  <c r="AA241" i="489"/>
  <c r="Z241" i="489"/>
  <c r="Y241" i="489"/>
  <c r="X241" i="489"/>
  <c r="U241" i="489"/>
  <c r="T241" i="489"/>
  <c r="S241" i="489"/>
  <c r="R241" i="489"/>
  <c r="Q241" i="489"/>
  <c r="P241" i="489"/>
  <c r="O241" i="489"/>
  <c r="I241" i="489"/>
  <c r="G241" i="489"/>
  <c r="AA240" i="489"/>
  <c r="Z240" i="489"/>
  <c r="Y240" i="489"/>
  <c r="X240" i="489"/>
  <c r="U240" i="489"/>
  <c r="T240" i="489"/>
  <c r="S240" i="489"/>
  <c r="R240" i="489"/>
  <c r="Q240" i="489"/>
  <c r="P240" i="489"/>
  <c r="O240" i="489"/>
  <c r="I240" i="489"/>
  <c r="G240" i="489"/>
  <c r="AA239" i="489"/>
  <c r="Z239" i="489"/>
  <c r="Y239" i="489"/>
  <c r="X239" i="489"/>
  <c r="U239" i="489"/>
  <c r="T239" i="489"/>
  <c r="S239" i="489"/>
  <c r="R239" i="489"/>
  <c r="Q239" i="489"/>
  <c r="P239" i="489"/>
  <c r="O239" i="489"/>
  <c r="N239" i="489"/>
  <c r="I239" i="489"/>
  <c r="G239" i="489"/>
  <c r="I238" i="489"/>
  <c r="G238" i="489"/>
  <c r="AA237" i="489"/>
  <c r="Z237" i="489"/>
  <c r="Y237" i="489"/>
  <c r="X237" i="489"/>
  <c r="U237" i="489"/>
  <c r="T237" i="489"/>
  <c r="S237" i="489"/>
  <c r="R237" i="489"/>
  <c r="Q237" i="489"/>
  <c r="P237" i="489"/>
  <c r="O237" i="489"/>
  <c r="I237" i="489"/>
  <c r="G237" i="489"/>
  <c r="AA236" i="489"/>
  <c r="Z236" i="489"/>
  <c r="Y236" i="489"/>
  <c r="X236" i="489"/>
  <c r="U236" i="489"/>
  <c r="T236" i="489"/>
  <c r="S236" i="489"/>
  <c r="R236" i="489"/>
  <c r="Q236" i="489"/>
  <c r="P236" i="489"/>
  <c r="O236" i="489"/>
  <c r="I236" i="489"/>
  <c r="G236" i="489"/>
  <c r="AA235" i="489"/>
  <c r="Z235" i="489"/>
  <c r="Y235" i="489"/>
  <c r="X235" i="489"/>
  <c r="U235" i="489"/>
  <c r="T235" i="489"/>
  <c r="S235" i="489"/>
  <c r="R235" i="489"/>
  <c r="Q235" i="489"/>
  <c r="P235" i="489"/>
  <c r="O235" i="489"/>
  <c r="I235" i="489"/>
  <c r="G235" i="489"/>
  <c r="AA234" i="489"/>
  <c r="Z234" i="489"/>
  <c r="Y234" i="489"/>
  <c r="X234" i="489"/>
  <c r="U234" i="489"/>
  <c r="T234" i="489"/>
  <c r="S234" i="489"/>
  <c r="R234" i="489"/>
  <c r="Q234" i="489"/>
  <c r="P234" i="489"/>
  <c r="O234" i="489"/>
  <c r="I234" i="489"/>
  <c r="G234" i="489"/>
  <c r="AA233" i="489"/>
  <c r="Z233" i="489"/>
  <c r="Y233" i="489"/>
  <c r="X233" i="489"/>
  <c r="U233" i="489"/>
  <c r="T233" i="489"/>
  <c r="S233" i="489"/>
  <c r="R233" i="489"/>
  <c r="Q233" i="489"/>
  <c r="P233" i="489"/>
  <c r="O233" i="489"/>
  <c r="I233" i="489"/>
  <c r="G233" i="489"/>
  <c r="AA232" i="489"/>
  <c r="Z232" i="489"/>
  <c r="Y232" i="489"/>
  <c r="X232" i="489"/>
  <c r="U232" i="489"/>
  <c r="T232" i="489"/>
  <c r="S232" i="489"/>
  <c r="R232" i="489"/>
  <c r="Q232" i="489"/>
  <c r="P232" i="489"/>
  <c r="O232" i="489"/>
  <c r="I232" i="489"/>
  <c r="G232" i="489"/>
  <c r="AA231" i="489"/>
  <c r="Z231" i="489"/>
  <c r="Y231" i="489"/>
  <c r="X231" i="489"/>
  <c r="U231" i="489"/>
  <c r="T231" i="489"/>
  <c r="S231" i="489"/>
  <c r="R231" i="489"/>
  <c r="Q231" i="489"/>
  <c r="P231" i="489"/>
  <c r="O231" i="489"/>
  <c r="I231" i="489"/>
  <c r="G231" i="489"/>
  <c r="AA230" i="489"/>
  <c r="Z230" i="489"/>
  <c r="Y230" i="489"/>
  <c r="X230" i="489"/>
  <c r="U230" i="489"/>
  <c r="T230" i="489"/>
  <c r="S230" i="489"/>
  <c r="R230" i="489"/>
  <c r="Q230" i="489"/>
  <c r="P230" i="489"/>
  <c r="O230" i="489"/>
  <c r="I230" i="489"/>
  <c r="G230" i="489"/>
  <c r="AA229" i="489"/>
  <c r="Z229" i="489"/>
  <c r="Y229" i="489"/>
  <c r="X229" i="489"/>
  <c r="U229" i="489"/>
  <c r="T229" i="489"/>
  <c r="S229" i="489"/>
  <c r="R229" i="489"/>
  <c r="Q229" i="489"/>
  <c r="P229" i="489"/>
  <c r="O229" i="489"/>
  <c r="I229" i="489"/>
  <c r="G229" i="489"/>
  <c r="AA228" i="489"/>
  <c r="Z228" i="489"/>
  <c r="Y228" i="489"/>
  <c r="X228" i="489"/>
  <c r="U228" i="489"/>
  <c r="T228" i="489"/>
  <c r="S228" i="489"/>
  <c r="R228" i="489"/>
  <c r="Q228" i="489"/>
  <c r="P228" i="489"/>
  <c r="O228" i="489"/>
  <c r="I228" i="489"/>
  <c r="G228" i="489"/>
  <c r="AA227" i="489"/>
  <c r="Z227" i="489"/>
  <c r="Y227" i="489"/>
  <c r="X227" i="489"/>
  <c r="U227" i="489"/>
  <c r="T227" i="489"/>
  <c r="S227" i="489"/>
  <c r="R227" i="489"/>
  <c r="Q227" i="489"/>
  <c r="P227" i="489"/>
  <c r="O227" i="489"/>
  <c r="I227" i="489"/>
  <c r="G227" i="489"/>
  <c r="AA226" i="489"/>
  <c r="Z226" i="489"/>
  <c r="Y226" i="489"/>
  <c r="X226" i="489"/>
  <c r="U226" i="489"/>
  <c r="T226" i="489"/>
  <c r="S226" i="489"/>
  <c r="R226" i="489"/>
  <c r="Q226" i="489"/>
  <c r="P226" i="489"/>
  <c r="O226" i="489"/>
  <c r="I226" i="489"/>
  <c r="G226" i="489"/>
  <c r="AA225" i="489"/>
  <c r="Z225" i="489"/>
  <c r="Y225" i="489"/>
  <c r="X225" i="489"/>
  <c r="U225" i="489"/>
  <c r="T225" i="489"/>
  <c r="S225" i="489"/>
  <c r="R225" i="489"/>
  <c r="Q225" i="489"/>
  <c r="P225" i="489"/>
  <c r="O225" i="489"/>
  <c r="I225" i="489"/>
  <c r="G225" i="489"/>
  <c r="AA224" i="489"/>
  <c r="Z224" i="489"/>
  <c r="Y224" i="489"/>
  <c r="X224" i="489"/>
  <c r="U224" i="489"/>
  <c r="T224" i="489"/>
  <c r="S224" i="489"/>
  <c r="R224" i="489"/>
  <c r="Q224" i="489"/>
  <c r="P224" i="489"/>
  <c r="O224" i="489"/>
  <c r="I224" i="489"/>
  <c r="G224" i="489"/>
  <c r="AA223" i="489"/>
  <c r="Z223" i="489"/>
  <c r="Y223" i="489"/>
  <c r="X223" i="489"/>
  <c r="U223" i="489"/>
  <c r="T223" i="489"/>
  <c r="S223" i="489"/>
  <c r="R223" i="489"/>
  <c r="Q223" i="489"/>
  <c r="P223" i="489"/>
  <c r="O223" i="489"/>
  <c r="I223" i="489"/>
  <c r="G223" i="489"/>
  <c r="AA222" i="489"/>
  <c r="Z222" i="489"/>
  <c r="Y222" i="489"/>
  <c r="X222" i="489"/>
  <c r="U222" i="489"/>
  <c r="T222" i="489"/>
  <c r="S222" i="489"/>
  <c r="R222" i="489"/>
  <c r="Q222" i="489"/>
  <c r="P222" i="489"/>
  <c r="O222" i="489"/>
  <c r="I222" i="489"/>
  <c r="G222" i="489"/>
  <c r="AA221" i="489"/>
  <c r="Z221" i="489"/>
  <c r="Y221" i="489"/>
  <c r="X221" i="489"/>
  <c r="U221" i="489"/>
  <c r="T221" i="489"/>
  <c r="S221" i="489"/>
  <c r="R221" i="489"/>
  <c r="Q221" i="489"/>
  <c r="P221" i="489"/>
  <c r="O221" i="489"/>
  <c r="I221" i="489"/>
  <c r="G221" i="489"/>
  <c r="AA220" i="489"/>
  <c r="Z220" i="489"/>
  <c r="Y220" i="489"/>
  <c r="X220" i="489"/>
  <c r="U220" i="489"/>
  <c r="T220" i="489"/>
  <c r="S220" i="489"/>
  <c r="R220" i="489"/>
  <c r="Q220" i="489"/>
  <c r="P220" i="489"/>
  <c r="O220" i="489"/>
  <c r="I220" i="489"/>
  <c r="G220" i="489"/>
  <c r="AA219" i="489"/>
  <c r="Z219" i="489"/>
  <c r="Y219" i="489"/>
  <c r="X219" i="489"/>
  <c r="U219" i="489"/>
  <c r="T219" i="489"/>
  <c r="S219" i="489"/>
  <c r="R219" i="489"/>
  <c r="Q219" i="489"/>
  <c r="P219" i="489"/>
  <c r="O219" i="489"/>
  <c r="I219" i="489"/>
  <c r="G219" i="489"/>
  <c r="AA218" i="489"/>
  <c r="Z218" i="489"/>
  <c r="Y218" i="489"/>
  <c r="X218" i="489"/>
  <c r="U218" i="489"/>
  <c r="T218" i="489"/>
  <c r="S218" i="489"/>
  <c r="R218" i="489"/>
  <c r="Q218" i="489"/>
  <c r="P218" i="489"/>
  <c r="O218" i="489"/>
  <c r="I218" i="489"/>
  <c r="G218" i="489"/>
  <c r="AA217" i="489"/>
  <c r="Z217" i="489"/>
  <c r="Y217" i="489"/>
  <c r="X217" i="489"/>
  <c r="U217" i="489"/>
  <c r="T217" i="489"/>
  <c r="S217" i="489"/>
  <c r="R217" i="489"/>
  <c r="Q217" i="489"/>
  <c r="P217" i="489"/>
  <c r="O217" i="489"/>
  <c r="I217" i="489"/>
  <c r="G217" i="489"/>
  <c r="AA216" i="489"/>
  <c r="Z216" i="489"/>
  <c r="Y216" i="489"/>
  <c r="X216" i="489"/>
  <c r="U216" i="489"/>
  <c r="T216" i="489"/>
  <c r="S216" i="489"/>
  <c r="R216" i="489"/>
  <c r="Q216" i="489"/>
  <c r="P216" i="489"/>
  <c r="O216" i="489"/>
  <c r="I216" i="489"/>
  <c r="G216" i="489"/>
  <c r="AA215" i="489"/>
  <c r="Z215" i="489"/>
  <c r="Y215" i="489"/>
  <c r="X215" i="489"/>
  <c r="U215" i="489"/>
  <c r="T215" i="489"/>
  <c r="S215" i="489"/>
  <c r="R215" i="489"/>
  <c r="Q215" i="489"/>
  <c r="P215" i="489"/>
  <c r="O215" i="489"/>
  <c r="I215" i="489"/>
  <c r="G215" i="489"/>
  <c r="AA214" i="489"/>
  <c r="Z214" i="489"/>
  <c r="Y214" i="489"/>
  <c r="X214" i="489"/>
  <c r="U214" i="489"/>
  <c r="T214" i="489"/>
  <c r="S214" i="489"/>
  <c r="R214" i="489"/>
  <c r="Q214" i="489"/>
  <c r="P214" i="489"/>
  <c r="O214" i="489"/>
  <c r="I214" i="489"/>
  <c r="G214" i="489"/>
  <c r="AA213" i="489"/>
  <c r="Z213" i="489"/>
  <c r="Y213" i="489"/>
  <c r="X213" i="489"/>
  <c r="U213" i="489"/>
  <c r="T213" i="489"/>
  <c r="S213" i="489"/>
  <c r="R213" i="489"/>
  <c r="Q213" i="489"/>
  <c r="P213" i="489"/>
  <c r="O213" i="489"/>
  <c r="I213" i="489"/>
  <c r="G213" i="489"/>
  <c r="AA212" i="489"/>
  <c r="Z212" i="489"/>
  <c r="Y212" i="489"/>
  <c r="X212" i="489"/>
  <c r="U212" i="489"/>
  <c r="T212" i="489"/>
  <c r="S212" i="489"/>
  <c r="R212" i="489"/>
  <c r="Q212" i="489"/>
  <c r="P212" i="489"/>
  <c r="O212" i="489"/>
  <c r="I212" i="489"/>
  <c r="G212" i="489"/>
  <c r="AA211" i="489"/>
  <c r="Z211" i="489"/>
  <c r="Y211" i="489"/>
  <c r="X211" i="489"/>
  <c r="U211" i="489"/>
  <c r="T211" i="489"/>
  <c r="S211" i="489"/>
  <c r="R211" i="489"/>
  <c r="Q211" i="489"/>
  <c r="P211" i="489"/>
  <c r="O211" i="489"/>
  <c r="I211" i="489"/>
  <c r="G211" i="489"/>
  <c r="AA210" i="489"/>
  <c r="Z210" i="489"/>
  <c r="Y210" i="489"/>
  <c r="X210" i="489"/>
  <c r="U210" i="489"/>
  <c r="T210" i="489"/>
  <c r="S210" i="489"/>
  <c r="R210" i="489"/>
  <c r="Q210" i="489"/>
  <c r="P210" i="489"/>
  <c r="O210" i="489"/>
  <c r="I210" i="489"/>
  <c r="G210" i="489"/>
  <c r="AA209" i="489"/>
  <c r="Z209" i="489"/>
  <c r="Y209" i="489"/>
  <c r="X209" i="489"/>
  <c r="U209" i="489"/>
  <c r="T209" i="489"/>
  <c r="S209" i="489"/>
  <c r="R209" i="489"/>
  <c r="Q209" i="489"/>
  <c r="P209" i="489"/>
  <c r="O209" i="489"/>
  <c r="I209" i="489"/>
  <c r="G209" i="489"/>
  <c r="AA208" i="489"/>
  <c r="Z208" i="489"/>
  <c r="Y208" i="489"/>
  <c r="X208" i="489"/>
  <c r="U208" i="489"/>
  <c r="T208" i="489"/>
  <c r="S208" i="489"/>
  <c r="R208" i="489"/>
  <c r="Q208" i="489"/>
  <c r="P208" i="489"/>
  <c r="O208" i="489"/>
  <c r="I208" i="489"/>
  <c r="G208" i="489"/>
  <c r="I207" i="489"/>
  <c r="G207" i="489"/>
  <c r="I206" i="489"/>
  <c r="G206" i="489"/>
  <c r="I205" i="489"/>
  <c r="G205" i="489"/>
  <c r="AA204" i="489"/>
  <c r="Z204" i="489"/>
  <c r="Y204" i="489"/>
  <c r="X204" i="489"/>
  <c r="U204" i="489"/>
  <c r="T204" i="489"/>
  <c r="S204" i="489"/>
  <c r="R204" i="489"/>
  <c r="Q204" i="489"/>
  <c r="P204" i="489"/>
  <c r="O204" i="489"/>
  <c r="I204" i="489"/>
  <c r="G204" i="489"/>
  <c r="AA203" i="489"/>
  <c r="Z203" i="489"/>
  <c r="Y203" i="489"/>
  <c r="X203" i="489"/>
  <c r="U203" i="489"/>
  <c r="T203" i="489"/>
  <c r="S203" i="489"/>
  <c r="R203" i="489"/>
  <c r="Q203" i="489"/>
  <c r="P203" i="489"/>
  <c r="O203" i="489"/>
  <c r="I203" i="489"/>
  <c r="G203" i="489"/>
  <c r="AA202" i="489"/>
  <c r="Z202" i="489"/>
  <c r="Y202" i="489"/>
  <c r="X202" i="489"/>
  <c r="U202" i="489"/>
  <c r="T202" i="489"/>
  <c r="S202" i="489"/>
  <c r="R202" i="489"/>
  <c r="Q202" i="489"/>
  <c r="P202" i="489"/>
  <c r="O202" i="489"/>
  <c r="I202" i="489"/>
  <c r="G202" i="489"/>
  <c r="I201" i="489"/>
  <c r="G201" i="489"/>
  <c r="AA200" i="489"/>
  <c r="Z200" i="489"/>
  <c r="Y200" i="489"/>
  <c r="X200" i="489"/>
  <c r="U200" i="489"/>
  <c r="T200" i="489"/>
  <c r="S200" i="489"/>
  <c r="R200" i="489"/>
  <c r="Q200" i="489"/>
  <c r="P200" i="489"/>
  <c r="O200" i="489"/>
  <c r="I200" i="489"/>
  <c r="G200" i="489"/>
  <c r="AA198" i="489"/>
  <c r="Z198" i="489"/>
  <c r="Y198" i="489"/>
  <c r="X198" i="489"/>
  <c r="U198" i="489"/>
  <c r="T198" i="489"/>
  <c r="S198" i="489"/>
  <c r="R198" i="489"/>
  <c r="Q198" i="489"/>
  <c r="P198" i="489"/>
  <c r="O198" i="489"/>
  <c r="I198" i="489"/>
  <c r="G198" i="489"/>
  <c r="AA197" i="489"/>
  <c r="Z197" i="489"/>
  <c r="Y197" i="489"/>
  <c r="X197" i="489"/>
  <c r="U197" i="489"/>
  <c r="T197" i="489"/>
  <c r="S197" i="489"/>
  <c r="R197" i="489"/>
  <c r="Q197" i="489"/>
  <c r="P197" i="489"/>
  <c r="O197" i="489"/>
  <c r="I197" i="489"/>
  <c r="G197" i="489"/>
  <c r="AA196" i="489"/>
  <c r="Z196" i="489"/>
  <c r="Y196" i="489"/>
  <c r="X196" i="489"/>
  <c r="U196" i="489"/>
  <c r="T196" i="489"/>
  <c r="S196" i="489"/>
  <c r="R196" i="489"/>
  <c r="Q196" i="489"/>
  <c r="P196" i="489"/>
  <c r="O196" i="489"/>
  <c r="N196" i="489"/>
  <c r="I196" i="489"/>
  <c r="G196" i="489"/>
  <c r="AA195" i="489"/>
  <c r="Z195" i="489"/>
  <c r="Y195" i="489"/>
  <c r="X195" i="489"/>
  <c r="U195" i="489"/>
  <c r="T195" i="489"/>
  <c r="S195" i="489"/>
  <c r="R195" i="489"/>
  <c r="Q195" i="489"/>
  <c r="P195" i="489"/>
  <c r="O195" i="489"/>
  <c r="N195" i="489"/>
  <c r="I195" i="489"/>
  <c r="G195" i="489"/>
  <c r="AA194" i="489"/>
  <c r="Z194" i="489"/>
  <c r="Y194" i="489"/>
  <c r="X194" i="489"/>
  <c r="U194" i="489"/>
  <c r="T194" i="489"/>
  <c r="S194" i="489"/>
  <c r="R194" i="489"/>
  <c r="Q194" i="489"/>
  <c r="P194" i="489"/>
  <c r="O194" i="489"/>
  <c r="N194" i="489"/>
  <c r="I194" i="489"/>
  <c r="G194" i="489"/>
  <c r="AA193" i="489"/>
  <c r="Z193" i="489"/>
  <c r="Y193" i="489"/>
  <c r="X193" i="489"/>
  <c r="U193" i="489"/>
  <c r="T193" i="489"/>
  <c r="S193" i="489"/>
  <c r="R193" i="489"/>
  <c r="Q193" i="489"/>
  <c r="P193" i="489"/>
  <c r="O193" i="489"/>
  <c r="N193" i="489"/>
  <c r="I193" i="489"/>
  <c r="G193" i="489"/>
  <c r="AA192" i="489"/>
  <c r="Z192" i="489"/>
  <c r="Y192" i="489"/>
  <c r="X192" i="489"/>
  <c r="U192" i="489"/>
  <c r="T192" i="489"/>
  <c r="S192" i="489"/>
  <c r="R192" i="489"/>
  <c r="Q192" i="489"/>
  <c r="P192" i="489"/>
  <c r="O192" i="489"/>
  <c r="I192" i="489"/>
  <c r="G192" i="489"/>
  <c r="AA191" i="489"/>
  <c r="Z191" i="489"/>
  <c r="Y191" i="489"/>
  <c r="X191" i="489"/>
  <c r="U191" i="489"/>
  <c r="T191" i="489"/>
  <c r="S191" i="489"/>
  <c r="R191" i="489"/>
  <c r="Q191" i="489"/>
  <c r="P191" i="489"/>
  <c r="O191" i="489"/>
  <c r="I191" i="489"/>
  <c r="G191" i="489"/>
  <c r="AA190" i="489"/>
  <c r="Z190" i="489"/>
  <c r="Y190" i="489"/>
  <c r="X190" i="489"/>
  <c r="U190" i="489"/>
  <c r="T190" i="489"/>
  <c r="S190" i="489"/>
  <c r="R190" i="489"/>
  <c r="Q190" i="489"/>
  <c r="P190" i="489"/>
  <c r="O190" i="489"/>
  <c r="I190" i="489"/>
  <c r="G190" i="489"/>
  <c r="AA189" i="489"/>
  <c r="Z189" i="489"/>
  <c r="Y189" i="489"/>
  <c r="X189" i="489"/>
  <c r="U189" i="489"/>
  <c r="T189" i="489"/>
  <c r="S189" i="489"/>
  <c r="R189" i="489"/>
  <c r="Q189" i="489"/>
  <c r="P189" i="489"/>
  <c r="O189" i="489"/>
  <c r="I189" i="489"/>
  <c r="G189" i="489"/>
  <c r="AA188" i="489"/>
  <c r="Z188" i="489"/>
  <c r="Y188" i="489"/>
  <c r="X188" i="489"/>
  <c r="U188" i="489"/>
  <c r="T188" i="489"/>
  <c r="S188" i="489"/>
  <c r="R188" i="489"/>
  <c r="Q188" i="489"/>
  <c r="P188" i="489"/>
  <c r="O188" i="489"/>
  <c r="I188" i="489"/>
  <c r="G188" i="489"/>
  <c r="AA187" i="489"/>
  <c r="Z187" i="489"/>
  <c r="Y187" i="489"/>
  <c r="X187" i="489"/>
  <c r="U187" i="489"/>
  <c r="T187" i="489"/>
  <c r="S187" i="489"/>
  <c r="R187" i="489"/>
  <c r="Q187" i="489"/>
  <c r="P187" i="489"/>
  <c r="O187" i="489"/>
  <c r="I187" i="489"/>
  <c r="G187" i="489"/>
  <c r="AA186" i="489"/>
  <c r="Z186" i="489"/>
  <c r="Y186" i="489"/>
  <c r="X186" i="489"/>
  <c r="U186" i="489"/>
  <c r="T186" i="489"/>
  <c r="S186" i="489"/>
  <c r="R186" i="489"/>
  <c r="Q186" i="489"/>
  <c r="P186" i="489"/>
  <c r="O186" i="489"/>
  <c r="I186" i="489"/>
  <c r="G186" i="489"/>
  <c r="AA185" i="489"/>
  <c r="Z185" i="489"/>
  <c r="Y185" i="489"/>
  <c r="X185" i="489"/>
  <c r="U185" i="489"/>
  <c r="T185" i="489"/>
  <c r="S185" i="489"/>
  <c r="R185" i="489"/>
  <c r="Q185" i="489"/>
  <c r="P185" i="489"/>
  <c r="O185" i="489"/>
  <c r="I185" i="489"/>
  <c r="G185" i="489"/>
  <c r="AA184" i="489"/>
  <c r="Z184" i="489"/>
  <c r="Y184" i="489"/>
  <c r="X184" i="489"/>
  <c r="U184" i="489"/>
  <c r="T184" i="489"/>
  <c r="S184" i="489"/>
  <c r="R184" i="489"/>
  <c r="Q184" i="489"/>
  <c r="P184" i="489"/>
  <c r="O184" i="489"/>
  <c r="I184" i="489"/>
  <c r="G184" i="489"/>
  <c r="AA183" i="489"/>
  <c r="Z183" i="489"/>
  <c r="Y183" i="489"/>
  <c r="X183" i="489"/>
  <c r="U183" i="489"/>
  <c r="T183" i="489"/>
  <c r="S183" i="489"/>
  <c r="R183" i="489"/>
  <c r="Q183" i="489"/>
  <c r="P183" i="489"/>
  <c r="O183" i="489"/>
  <c r="I183" i="489"/>
  <c r="G183" i="489"/>
  <c r="AA182" i="489"/>
  <c r="Z182" i="489"/>
  <c r="Y182" i="489"/>
  <c r="X182" i="489"/>
  <c r="U182" i="489"/>
  <c r="T182" i="489"/>
  <c r="S182" i="489"/>
  <c r="R182" i="489"/>
  <c r="Q182" i="489"/>
  <c r="P182" i="489"/>
  <c r="O182" i="489"/>
  <c r="I182" i="489"/>
  <c r="G182" i="489"/>
  <c r="AA181" i="489"/>
  <c r="Z181" i="489"/>
  <c r="Y181" i="489"/>
  <c r="X181" i="489"/>
  <c r="U181" i="489"/>
  <c r="T181" i="489"/>
  <c r="S181" i="489"/>
  <c r="R181" i="489"/>
  <c r="Q181" i="489"/>
  <c r="P181" i="489"/>
  <c r="O181" i="489"/>
  <c r="I181" i="489"/>
  <c r="G181" i="489"/>
  <c r="AA180" i="489"/>
  <c r="Z180" i="489"/>
  <c r="Y180" i="489"/>
  <c r="X180" i="489"/>
  <c r="U180" i="489"/>
  <c r="T180" i="489"/>
  <c r="S180" i="489"/>
  <c r="R180" i="489"/>
  <c r="Q180" i="489"/>
  <c r="P180" i="489"/>
  <c r="O180" i="489"/>
  <c r="I180" i="489"/>
  <c r="G180" i="489"/>
  <c r="AA179" i="489"/>
  <c r="Z179" i="489"/>
  <c r="Y179" i="489"/>
  <c r="X179" i="489"/>
  <c r="U179" i="489"/>
  <c r="T179" i="489"/>
  <c r="S179" i="489"/>
  <c r="R179" i="489"/>
  <c r="Q179" i="489"/>
  <c r="P179" i="489"/>
  <c r="O179" i="489"/>
  <c r="I179" i="489"/>
  <c r="G179" i="489"/>
  <c r="AA178" i="489"/>
  <c r="Z178" i="489"/>
  <c r="Y178" i="489"/>
  <c r="X178" i="489"/>
  <c r="U178" i="489"/>
  <c r="T178" i="489"/>
  <c r="S178" i="489"/>
  <c r="R178" i="489"/>
  <c r="Q178" i="489"/>
  <c r="P178" i="489"/>
  <c r="O178" i="489"/>
  <c r="I178" i="489"/>
  <c r="G178" i="489"/>
  <c r="G169" i="489"/>
  <c r="C169" i="489"/>
  <c r="G168" i="489"/>
  <c r="C168" i="489"/>
  <c r="G167" i="489"/>
  <c r="C167" i="489"/>
  <c r="G166" i="489"/>
  <c r="C166" i="489"/>
  <c r="G162" i="489"/>
  <c r="AA161" i="489"/>
  <c r="Z161" i="489"/>
  <c r="Y161" i="489"/>
  <c r="X161" i="489"/>
  <c r="U161" i="489"/>
  <c r="T161" i="489"/>
  <c r="S161" i="489"/>
  <c r="R161" i="489"/>
  <c r="Q161" i="489"/>
  <c r="P161" i="489"/>
  <c r="O161" i="489"/>
  <c r="N161" i="489"/>
  <c r="I161" i="489"/>
  <c r="G161" i="489"/>
  <c r="AA160" i="489"/>
  <c r="Z160" i="489"/>
  <c r="Y160" i="489"/>
  <c r="X160" i="489"/>
  <c r="U160" i="489"/>
  <c r="T160" i="489"/>
  <c r="S160" i="489"/>
  <c r="R160" i="489"/>
  <c r="Q160" i="489"/>
  <c r="P160" i="489"/>
  <c r="O160" i="489"/>
  <c r="N160" i="489"/>
  <c r="I160" i="489"/>
  <c r="G160" i="489"/>
  <c r="AA159" i="489"/>
  <c r="Z159" i="489"/>
  <c r="Y159" i="489"/>
  <c r="X159" i="489"/>
  <c r="U159" i="489"/>
  <c r="T159" i="489"/>
  <c r="S159" i="489"/>
  <c r="R159" i="489"/>
  <c r="Q159" i="489"/>
  <c r="P159" i="489"/>
  <c r="O159" i="489"/>
  <c r="I159" i="489"/>
  <c r="G159" i="489"/>
  <c r="AA158" i="489"/>
  <c r="Z158" i="489"/>
  <c r="Y158" i="489"/>
  <c r="X158" i="489"/>
  <c r="U158" i="489"/>
  <c r="T158" i="489"/>
  <c r="S158" i="489"/>
  <c r="R158" i="489"/>
  <c r="Q158" i="489"/>
  <c r="P158" i="489"/>
  <c r="O158" i="489"/>
  <c r="I158" i="489"/>
  <c r="G158" i="489"/>
  <c r="G157" i="489"/>
  <c r="G156" i="489"/>
  <c r="AA155" i="489"/>
  <c r="Z155" i="489"/>
  <c r="Y155" i="489"/>
  <c r="X155" i="489"/>
  <c r="U155" i="489"/>
  <c r="T155" i="489"/>
  <c r="S155" i="489"/>
  <c r="R155" i="489"/>
  <c r="Q155" i="489"/>
  <c r="P155" i="489"/>
  <c r="O155" i="489"/>
  <c r="I155" i="489"/>
  <c r="G155" i="489"/>
  <c r="AA154" i="489"/>
  <c r="Z154" i="489"/>
  <c r="Y154" i="489"/>
  <c r="X154" i="489"/>
  <c r="U154" i="489"/>
  <c r="T154" i="489"/>
  <c r="S154" i="489"/>
  <c r="R154" i="489"/>
  <c r="Q154" i="489"/>
  <c r="P154" i="489"/>
  <c r="O154" i="489"/>
  <c r="I154" i="489"/>
  <c r="G154" i="489"/>
  <c r="AA153" i="489"/>
  <c r="Z153" i="489"/>
  <c r="Y153" i="489"/>
  <c r="X153" i="489"/>
  <c r="U153" i="489"/>
  <c r="T153" i="489"/>
  <c r="S153" i="489"/>
  <c r="R153" i="489"/>
  <c r="Q153" i="489"/>
  <c r="P153" i="489"/>
  <c r="O153" i="489"/>
  <c r="N153" i="489"/>
  <c r="I153" i="489"/>
  <c r="G153" i="489"/>
  <c r="AA152" i="489"/>
  <c r="Z152" i="489"/>
  <c r="Y152" i="489"/>
  <c r="X152" i="489"/>
  <c r="U152" i="489"/>
  <c r="T152" i="489"/>
  <c r="S152" i="489"/>
  <c r="R152" i="489"/>
  <c r="Q152" i="489"/>
  <c r="P152" i="489"/>
  <c r="O152" i="489"/>
  <c r="I152" i="489"/>
  <c r="G152" i="489"/>
  <c r="AA151" i="489"/>
  <c r="Z151" i="489"/>
  <c r="Y151" i="489"/>
  <c r="X151" i="489"/>
  <c r="U151" i="489"/>
  <c r="T151" i="489"/>
  <c r="S151" i="489"/>
  <c r="R151" i="489"/>
  <c r="Q151" i="489"/>
  <c r="P151" i="489"/>
  <c r="O151" i="489"/>
  <c r="I151" i="489"/>
  <c r="G151" i="489"/>
  <c r="AA150" i="489"/>
  <c r="Z150" i="489"/>
  <c r="Y150" i="489"/>
  <c r="X150" i="489"/>
  <c r="U150" i="489"/>
  <c r="T150" i="489"/>
  <c r="S150" i="489"/>
  <c r="R150" i="489"/>
  <c r="Q150" i="489"/>
  <c r="P150" i="489"/>
  <c r="O150" i="489"/>
  <c r="I150" i="489"/>
  <c r="G150" i="489"/>
  <c r="AA149" i="489"/>
  <c r="Z149" i="489"/>
  <c r="Y149" i="489"/>
  <c r="X149" i="489"/>
  <c r="U149" i="489"/>
  <c r="T149" i="489"/>
  <c r="S149" i="489"/>
  <c r="R149" i="489"/>
  <c r="Q149" i="489"/>
  <c r="P149" i="489"/>
  <c r="O149" i="489"/>
  <c r="I149" i="489"/>
  <c r="G149" i="489"/>
  <c r="AA147" i="489"/>
  <c r="Z147" i="489"/>
  <c r="Y147" i="489"/>
  <c r="X147" i="489"/>
  <c r="U147" i="489"/>
  <c r="T147" i="489"/>
  <c r="S147" i="489"/>
  <c r="R147" i="489"/>
  <c r="Q147" i="489"/>
  <c r="P147" i="489"/>
  <c r="O147" i="489"/>
  <c r="I147" i="489"/>
  <c r="G147" i="489"/>
  <c r="G145" i="489"/>
  <c r="G144" i="489"/>
  <c r="G143" i="489"/>
  <c r="AA142" i="489"/>
  <c r="Z142" i="489"/>
  <c r="Y142" i="489"/>
  <c r="X142" i="489"/>
  <c r="U142" i="489"/>
  <c r="T142" i="489"/>
  <c r="S142" i="489"/>
  <c r="R142" i="489"/>
  <c r="Q142" i="489"/>
  <c r="P142" i="489"/>
  <c r="O142" i="489"/>
  <c r="I142" i="489"/>
  <c r="G142" i="489"/>
  <c r="AA141" i="489"/>
  <c r="Z141" i="489"/>
  <c r="Y141" i="489"/>
  <c r="X141" i="489"/>
  <c r="U141" i="489"/>
  <c r="T141" i="489"/>
  <c r="S141" i="489"/>
  <c r="R141" i="489"/>
  <c r="Q141" i="489"/>
  <c r="P141" i="489"/>
  <c r="O141" i="489"/>
  <c r="I141" i="489"/>
  <c r="G141" i="489"/>
  <c r="AA140" i="489"/>
  <c r="Z140" i="489"/>
  <c r="Y140" i="489"/>
  <c r="X140" i="489"/>
  <c r="U140" i="489"/>
  <c r="T140" i="489"/>
  <c r="S140" i="489"/>
  <c r="R140" i="489"/>
  <c r="Q140" i="489"/>
  <c r="P140" i="489"/>
  <c r="O140" i="489"/>
  <c r="I140" i="489"/>
  <c r="G140" i="489"/>
  <c r="AA139" i="489"/>
  <c r="Z139" i="489"/>
  <c r="Y139" i="489"/>
  <c r="X139" i="489"/>
  <c r="U139" i="489"/>
  <c r="T139" i="489"/>
  <c r="S139" i="489"/>
  <c r="R139" i="489"/>
  <c r="Q139" i="489"/>
  <c r="P139" i="489"/>
  <c r="O139" i="489"/>
  <c r="I139" i="489"/>
  <c r="G139" i="489"/>
  <c r="AA138" i="489"/>
  <c r="Z138" i="489"/>
  <c r="Y138" i="489"/>
  <c r="X138" i="489"/>
  <c r="U138" i="489"/>
  <c r="T138" i="489"/>
  <c r="S138" i="489"/>
  <c r="R138" i="489"/>
  <c r="Q138" i="489"/>
  <c r="P138" i="489"/>
  <c r="O138" i="489"/>
  <c r="I138" i="489"/>
  <c r="G138" i="489"/>
  <c r="R137" i="489"/>
  <c r="AA136" i="489"/>
  <c r="Z136" i="489"/>
  <c r="Y136" i="489"/>
  <c r="X136" i="489"/>
  <c r="U136" i="489"/>
  <c r="T136" i="489"/>
  <c r="S136" i="489"/>
  <c r="R136" i="489"/>
  <c r="Q136" i="489"/>
  <c r="P136" i="489"/>
  <c r="O136" i="489"/>
  <c r="I136" i="489"/>
  <c r="G136" i="489"/>
  <c r="AA135" i="489"/>
  <c r="Z135" i="489"/>
  <c r="Y135" i="489"/>
  <c r="X135" i="489"/>
  <c r="U135" i="489"/>
  <c r="T135" i="489"/>
  <c r="S135" i="489"/>
  <c r="R135" i="489"/>
  <c r="Q135" i="489"/>
  <c r="P135" i="489"/>
  <c r="O135" i="489"/>
  <c r="I135" i="489"/>
  <c r="G135" i="489"/>
  <c r="AA134" i="489"/>
  <c r="Z134" i="489"/>
  <c r="Y134" i="489"/>
  <c r="X134" i="489"/>
  <c r="U134" i="489"/>
  <c r="T134" i="489"/>
  <c r="S134" i="489"/>
  <c r="R134" i="489"/>
  <c r="Q134" i="489"/>
  <c r="P134" i="489"/>
  <c r="O134" i="489"/>
  <c r="I134" i="489"/>
  <c r="G134" i="489"/>
  <c r="AA133" i="489"/>
  <c r="Z133" i="489"/>
  <c r="Y133" i="489"/>
  <c r="X133" i="489"/>
  <c r="U133" i="489"/>
  <c r="T133" i="489"/>
  <c r="S133" i="489"/>
  <c r="R133" i="489"/>
  <c r="Q133" i="489"/>
  <c r="P133" i="489"/>
  <c r="O133" i="489"/>
  <c r="I133" i="489"/>
  <c r="G133" i="489"/>
  <c r="AA132" i="489"/>
  <c r="Z132" i="489"/>
  <c r="Y132" i="489"/>
  <c r="X132" i="489"/>
  <c r="U132" i="489"/>
  <c r="T132" i="489"/>
  <c r="S132" i="489"/>
  <c r="R132" i="489"/>
  <c r="Q132" i="489"/>
  <c r="P132" i="489"/>
  <c r="O132" i="489"/>
  <c r="I132" i="489"/>
  <c r="G132" i="489"/>
  <c r="AA131" i="489"/>
  <c r="Z131" i="489"/>
  <c r="Y131" i="489"/>
  <c r="X131" i="489"/>
  <c r="U131" i="489"/>
  <c r="T131" i="489"/>
  <c r="S131" i="489"/>
  <c r="R131" i="489"/>
  <c r="Q131" i="489"/>
  <c r="P131" i="489"/>
  <c r="O131" i="489"/>
  <c r="I131" i="489"/>
  <c r="G131" i="489"/>
  <c r="AA130" i="489"/>
  <c r="Z130" i="489"/>
  <c r="Y130" i="489"/>
  <c r="X130" i="489"/>
  <c r="U130" i="489"/>
  <c r="T130" i="489"/>
  <c r="S130" i="489"/>
  <c r="R130" i="489"/>
  <c r="Q130" i="489"/>
  <c r="P130" i="489"/>
  <c r="O130" i="489"/>
  <c r="I130" i="489"/>
  <c r="G130" i="489"/>
  <c r="AA129" i="489"/>
  <c r="Z129" i="489"/>
  <c r="Y129" i="489"/>
  <c r="X129" i="489"/>
  <c r="U129" i="489"/>
  <c r="T129" i="489"/>
  <c r="S129" i="489"/>
  <c r="R129" i="489"/>
  <c r="Q129" i="489"/>
  <c r="P129" i="489"/>
  <c r="O129" i="489"/>
  <c r="I129" i="489"/>
  <c r="G129" i="489"/>
  <c r="AA128" i="489"/>
  <c r="Z128" i="489"/>
  <c r="Y128" i="489"/>
  <c r="X128" i="489"/>
  <c r="U128" i="489"/>
  <c r="T128" i="489"/>
  <c r="S128" i="489"/>
  <c r="R128" i="489"/>
  <c r="Q128" i="489"/>
  <c r="P128" i="489"/>
  <c r="O128" i="489"/>
  <c r="I128" i="489"/>
  <c r="G128" i="489"/>
  <c r="AA127" i="489"/>
  <c r="Z127" i="489"/>
  <c r="Y127" i="489"/>
  <c r="X127" i="489"/>
  <c r="U127" i="489"/>
  <c r="T127" i="489"/>
  <c r="S127" i="489"/>
  <c r="R127" i="489"/>
  <c r="Q127" i="489"/>
  <c r="P127" i="489"/>
  <c r="O127" i="489"/>
  <c r="I127" i="489"/>
  <c r="G127" i="489"/>
  <c r="AA126" i="489"/>
  <c r="Z126" i="489"/>
  <c r="Y126" i="489"/>
  <c r="X126" i="489"/>
  <c r="U126" i="489"/>
  <c r="T126" i="489"/>
  <c r="S126" i="489"/>
  <c r="R126" i="489"/>
  <c r="Q126" i="489"/>
  <c r="P126" i="489"/>
  <c r="O126" i="489"/>
  <c r="I126" i="489"/>
  <c r="G126" i="489"/>
  <c r="AA125" i="489"/>
  <c r="Z125" i="489"/>
  <c r="Y125" i="489"/>
  <c r="X125" i="489"/>
  <c r="U125" i="489"/>
  <c r="T125" i="489"/>
  <c r="S125" i="489"/>
  <c r="R125" i="489"/>
  <c r="Q125" i="489"/>
  <c r="P125" i="489"/>
  <c r="O125" i="489"/>
  <c r="I125" i="489"/>
  <c r="G125" i="489"/>
  <c r="AA124" i="489"/>
  <c r="Z124" i="489"/>
  <c r="Y124" i="489"/>
  <c r="X124" i="489"/>
  <c r="U124" i="489"/>
  <c r="T124" i="489"/>
  <c r="S124" i="489"/>
  <c r="R124" i="489"/>
  <c r="Q124" i="489"/>
  <c r="P124" i="489"/>
  <c r="O124" i="489"/>
  <c r="I124" i="489"/>
  <c r="G124" i="489"/>
  <c r="AA123" i="489"/>
  <c r="Z123" i="489"/>
  <c r="Y123" i="489"/>
  <c r="X123" i="489"/>
  <c r="U123" i="489"/>
  <c r="T123" i="489"/>
  <c r="S123" i="489"/>
  <c r="R123" i="489"/>
  <c r="Q123" i="489"/>
  <c r="P123" i="489"/>
  <c r="O123" i="489"/>
  <c r="I123" i="489"/>
  <c r="G123" i="489"/>
  <c r="AA122" i="489"/>
  <c r="Z122" i="489"/>
  <c r="Y122" i="489"/>
  <c r="X122" i="489"/>
  <c r="U122" i="489"/>
  <c r="T122" i="489"/>
  <c r="S122" i="489"/>
  <c r="R122" i="489"/>
  <c r="Q122" i="489"/>
  <c r="P122" i="489"/>
  <c r="O122" i="489"/>
  <c r="I122" i="489"/>
  <c r="G122" i="489"/>
  <c r="AA120" i="489"/>
  <c r="Z120" i="489"/>
  <c r="Y120" i="489"/>
  <c r="X120" i="489"/>
  <c r="U120" i="489"/>
  <c r="T120" i="489"/>
  <c r="S120" i="489"/>
  <c r="R120" i="489"/>
  <c r="Q120" i="489"/>
  <c r="P120" i="489"/>
  <c r="O120" i="489"/>
  <c r="I120" i="489"/>
  <c r="G120" i="489"/>
  <c r="AA119" i="489"/>
  <c r="Z119" i="489"/>
  <c r="Y119" i="489"/>
  <c r="X119" i="489"/>
  <c r="U119" i="489"/>
  <c r="T119" i="489"/>
  <c r="S119" i="489"/>
  <c r="R119" i="489"/>
  <c r="Q119" i="489"/>
  <c r="P119" i="489"/>
  <c r="O119" i="489"/>
  <c r="I119" i="489"/>
  <c r="G119" i="489"/>
  <c r="AA118" i="489"/>
  <c r="Z118" i="489"/>
  <c r="Y118" i="489"/>
  <c r="X118" i="489"/>
  <c r="U118" i="489"/>
  <c r="T118" i="489"/>
  <c r="S118" i="489"/>
  <c r="R118" i="489"/>
  <c r="Q118" i="489"/>
  <c r="P118" i="489"/>
  <c r="O118" i="489"/>
  <c r="I118" i="489"/>
  <c r="G118" i="489"/>
  <c r="I117" i="489"/>
  <c r="G117" i="489"/>
  <c r="I116" i="489"/>
  <c r="G116" i="489"/>
  <c r="I115" i="489"/>
  <c r="G115" i="489"/>
  <c r="AA114" i="489"/>
  <c r="Z114" i="489"/>
  <c r="Y114" i="489"/>
  <c r="X114" i="489"/>
  <c r="U114" i="489"/>
  <c r="T114" i="489"/>
  <c r="S114" i="489"/>
  <c r="R114" i="489"/>
  <c r="Q114" i="489"/>
  <c r="P114" i="489"/>
  <c r="O114" i="489"/>
  <c r="I114" i="489"/>
  <c r="G114" i="489"/>
  <c r="AA113" i="489"/>
  <c r="Z113" i="489"/>
  <c r="Y113" i="489"/>
  <c r="X113" i="489"/>
  <c r="U113" i="489"/>
  <c r="T113" i="489"/>
  <c r="S113" i="489"/>
  <c r="R113" i="489"/>
  <c r="Q113" i="489"/>
  <c r="P113" i="489"/>
  <c r="O113" i="489"/>
  <c r="I113" i="489"/>
  <c r="G113" i="489"/>
  <c r="AA112" i="489"/>
  <c r="Z112" i="489"/>
  <c r="Y112" i="489"/>
  <c r="X112" i="489"/>
  <c r="U112" i="489"/>
  <c r="T112" i="489"/>
  <c r="S112" i="489"/>
  <c r="R112" i="489"/>
  <c r="Q112" i="489"/>
  <c r="P112" i="489"/>
  <c r="O112" i="489"/>
  <c r="I112" i="489"/>
  <c r="G112" i="489"/>
  <c r="AA111" i="489"/>
  <c r="Z111" i="489"/>
  <c r="Y111" i="489"/>
  <c r="X111" i="489"/>
  <c r="U111" i="489"/>
  <c r="T111" i="489"/>
  <c r="S111" i="489"/>
  <c r="R111" i="489"/>
  <c r="Q111" i="489"/>
  <c r="P111" i="489"/>
  <c r="O111" i="489"/>
  <c r="I111" i="489"/>
  <c r="G111" i="489"/>
  <c r="AA110" i="489"/>
  <c r="Z110" i="489"/>
  <c r="Y110" i="489"/>
  <c r="X110" i="489"/>
  <c r="U110" i="489"/>
  <c r="T110" i="489"/>
  <c r="S110" i="489"/>
  <c r="R110" i="489"/>
  <c r="Q110" i="489"/>
  <c r="P110" i="489"/>
  <c r="O110" i="489"/>
  <c r="I110" i="489"/>
  <c r="G110" i="489"/>
  <c r="AA109" i="489"/>
  <c r="Z109" i="489"/>
  <c r="Y109" i="489"/>
  <c r="X109" i="489"/>
  <c r="U109" i="489"/>
  <c r="T109" i="489"/>
  <c r="S109" i="489"/>
  <c r="R109" i="489"/>
  <c r="Q109" i="489"/>
  <c r="P109" i="489"/>
  <c r="O109" i="489"/>
  <c r="I109" i="489"/>
  <c r="G109" i="489"/>
  <c r="AA108" i="489"/>
  <c r="Z108" i="489"/>
  <c r="Y108" i="489"/>
  <c r="X108" i="489"/>
  <c r="U108" i="489"/>
  <c r="T108" i="489"/>
  <c r="S108" i="489"/>
  <c r="R108" i="489"/>
  <c r="Q108" i="489"/>
  <c r="P108" i="489"/>
  <c r="O108" i="489"/>
  <c r="I108" i="489"/>
  <c r="G108" i="489"/>
  <c r="AA107" i="489"/>
  <c r="Z107" i="489"/>
  <c r="Y107" i="489"/>
  <c r="X107" i="489"/>
  <c r="U107" i="489"/>
  <c r="T107" i="489"/>
  <c r="S107" i="489"/>
  <c r="R107" i="489"/>
  <c r="Q107" i="489"/>
  <c r="P107" i="489"/>
  <c r="O107" i="489"/>
  <c r="I107" i="489"/>
  <c r="G107" i="489"/>
  <c r="AA106" i="489"/>
  <c r="Z106" i="489"/>
  <c r="Y106" i="489"/>
  <c r="X106" i="489"/>
  <c r="U106" i="489"/>
  <c r="T106" i="489"/>
  <c r="S106" i="489"/>
  <c r="R106" i="489"/>
  <c r="Q106" i="489"/>
  <c r="P106" i="489"/>
  <c r="O106" i="489"/>
  <c r="I106" i="489"/>
  <c r="G106" i="489"/>
  <c r="AA105" i="489"/>
  <c r="Z105" i="489"/>
  <c r="Y105" i="489"/>
  <c r="X105" i="489"/>
  <c r="U105" i="489"/>
  <c r="T105" i="489"/>
  <c r="S105" i="489"/>
  <c r="R105" i="489"/>
  <c r="Q105" i="489"/>
  <c r="P105" i="489"/>
  <c r="O105" i="489"/>
  <c r="I105" i="489"/>
  <c r="G105" i="489"/>
  <c r="AA104" i="489"/>
  <c r="Z104" i="489"/>
  <c r="Y104" i="489"/>
  <c r="X104" i="489"/>
  <c r="U104" i="489"/>
  <c r="T104" i="489"/>
  <c r="S104" i="489"/>
  <c r="R104" i="489"/>
  <c r="Q104" i="489"/>
  <c r="P104" i="489"/>
  <c r="O104" i="489"/>
  <c r="I104" i="489"/>
  <c r="G104" i="489"/>
  <c r="AA103" i="489"/>
  <c r="Z103" i="489"/>
  <c r="Y103" i="489"/>
  <c r="X103" i="489"/>
  <c r="U103" i="489"/>
  <c r="T103" i="489"/>
  <c r="S103" i="489"/>
  <c r="R103" i="489"/>
  <c r="Q103" i="489"/>
  <c r="P103" i="489"/>
  <c r="O103" i="489"/>
  <c r="I103" i="489"/>
  <c r="G103" i="489"/>
  <c r="AA102" i="489"/>
  <c r="Z102" i="489"/>
  <c r="Y102" i="489"/>
  <c r="X102" i="489"/>
  <c r="U102" i="489"/>
  <c r="T102" i="489"/>
  <c r="S102" i="489"/>
  <c r="R102" i="489"/>
  <c r="Q102" i="489"/>
  <c r="P102" i="489"/>
  <c r="O102" i="489"/>
  <c r="I102" i="489"/>
  <c r="G102" i="489"/>
  <c r="AA101" i="489"/>
  <c r="Z101" i="489"/>
  <c r="Y101" i="489"/>
  <c r="X101" i="489"/>
  <c r="U101" i="489"/>
  <c r="T101" i="489"/>
  <c r="S101" i="489"/>
  <c r="R101" i="489"/>
  <c r="Q101" i="489"/>
  <c r="P101" i="489"/>
  <c r="O101" i="489"/>
  <c r="I101" i="489"/>
  <c r="G101" i="489"/>
  <c r="AA100" i="489"/>
  <c r="Z100" i="489"/>
  <c r="Y100" i="489"/>
  <c r="X100" i="489"/>
  <c r="U100" i="489"/>
  <c r="T100" i="489"/>
  <c r="S100" i="489"/>
  <c r="R100" i="489"/>
  <c r="Q100" i="489"/>
  <c r="P100" i="489"/>
  <c r="O100" i="489"/>
  <c r="I100" i="489"/>
  <c r="G100" i="489"/>
  <c r="AA99" i="489"/>
  <c r="Z99" i="489"/>
  <c r="Y99" i="489"/>
  <c r="X99" i="489"/>
  <c r="U99" i="489"/>
  <c r="T99" i="489"/>
  <c r="S99" i="489"/>
  <c r="R99" i="489"/>
  <c r="Q99" i="489"/>
  <c r="P99" i="489"/>
  <c r="O99" i="489"/>
  <c r="I99" i="489"/>
  <c r="G99" i="489"/>
  <c r="AA98" i="489"/>
  <c r="Z98" i="489"/>
  <c r="Y98" i="489"/>
  <c r="X98" i="489"/>
  <c r="U98" i="489"/>
  <c r="T98" i="489"/>
  <c r="S98" i="489"/>
  <c r="R98" i="489"/>
  <c r="Q98" i="489"/>
  <c r="P98" i="489"/>
  <c r="O98" i="489"/>
  <c r="I98" i="489"/>
  <c r="G98" i="489"/>
  <c r="AA97" i="489"/>
  <c r="Z97" i="489"/>
  <c r="Y97" i="489"/>
  <c r="X97" i="489"/>
  <c r="U97" i="489"/>
  <c r="T97" i="489"/>
  <c r="S97" i="489"/>
  <c r="R97" i="489"/>
  <c r="Q97" i="489"/>
  <c r="P97" i="489"/>
  <c r="O97" i="489"/>
  <c r="I97" i="489"/>
  <c r="G97" i="489"/>
  <c r="AA96" i="489"/>
  <c r="Z96" i="489"/>
  <c r="Y96" i="489"/>
  <c r="X96" i="489"/>
  <c r="U96" i="489"/>
  <c r="T96" i="489"/>
  <c r="S96" i="489"/>
  <c r="R96" i="489"/>
  <c r="Q96" i="489"/>
  <c r="P96" i="489"/>
  <c r="O96" i="489"/>
  <c r="I96" i="489"/>
  <c r="G96" i="489"/>
  <c r="AA95" i="489"/>
  <c r="Z95" i="489"/>
  <c r="Y95" i="489"/>
  <c r="X95" i="489"/>
  <c r="U95" i="489"/>
  <c r="T95" i="489"/>
  <c r="S95" i="489"/>
  <c r="R95" i="489"/>
  <c r="Q95" i="489"/>
  <c r="P95" i="489"/>
  <c r="O95" i="489"/>
  <c r="I95" i="489"/>
  <c r="G95" i="489"/>
  <c r="AA94" i="489"/>
  <c r="Z94" i="489"/>
  <c r="Y94" i="489"/>
  <c r="X94" i="489"/>
  <c r="U94" i="489"/>
  <c r="T94" i="489"/>
  <c r="S94" i="489"/>
  <c r="R94" i="489"/>
  <c r="Q94" i="489"/>
  <c r="P94" i="489"/>
  <c r="O94" i="489"/>
  <c r="N94" i="489"/>
  <c r="I94" i="489"/>
  <c r="G94" i="489"/>
  <c r="AA93" i="489"/>
  <c r="Z93" i="489"/>
  <c r="Y93" i="489"/>
  <c r="X93" i="489"/>
  <c r="U93" i="489"/>
  <c r="T93" i="489"/>
  <c r="S93" i="489"/>
  <c r="R93" i="489"/>
  <c r="Q93" i="489"/>
  <c r="P93" i="489"/>
  <c r="O93" i="489"/>
  <c r="I93" i="489"/>
  <c r="G93" i="489"/>
  <c r="AA92" i="489"/>
  <c r="Z92" i="489"/>
  <c r="Y92" i="489"/>
  <c r="X92" i="489"/>
  <c r="U92" i="489"/>
  <c r="T92" i="489"/>
  <c r="S92" i="489"/>
  <c r="R92" i="489"/>
  <c r="Q92" i="489"/>
  <c r="P92" i="489"/>
  <c r="O92" i="489"/>
  <c r="I92" i="489"/>
  <c r="G92" i="489"/>
  <c r="AA91" i="489"/>
  <c r="Z91" i="489"/>
  <c r="Y91" i="489"/>
  <c r="X91" i="489"/>
  <c r="U91" i="489"/>
  <c r="T91" i="489"/>
  <c r="S91" i="489"/>
  <c r="R91" i="489"/>
  <c r="Q91" i="489"/>
  <c r="P91" i="489"/>
  <c r="O91" i="489"/>
  <c r="I91" i="489"/>
  <c r="G91" i="489"/>
  <c r="AA90" i="489"/>
  <c r="Z90" i="489"/>
  <c r="Y90" i="489"/>
  <c r="X90" i="489"/>
  <c r="U90" i="489"/>
  <c r="T90" i="489"/>
  <c r="S90" i="489"/>
  <c r="R90" i="489"/>
  <c r="Q90" i="489"/>
  <c r="P90" i="489"/>
  <c r="O90" i="489"/>
  <c r="I90" i="489"/>
  <c r="G90" i="489"/>
  <c r="AA89" i="489"/>
  <c r="Z89" i="489"/>
  <c r="Y89" i="489"/>
  <c r="X89" i="489"/>
  <c r="U89" i="489"/>
  <c r="T89" i="489"/>
  <c r="S89" i="489"/>
  <c r="R89" i="489"/>
  <c r="Q89" i="489"/>
  <c r="P89" i="489"/>
  <c r="O89" i="489"/>
  <c r="I89" i="489"/>
  <c r="G89" i="489"/>
  <c r="AA88" i="489"/>
  <c r="Z88" i="489"/>
  <c r="Y88" i="489"/>
  <c r="X88" i="489"/>
  <c r="U88" i="489"/>
  <c r="T88" i="489"/>
  <c r="S88" i="489"/>
  <c r="R88" i="489"/>
  <c r="Q88" i="489"/>
  <c r="P88" i="489"/>
  <c r="O88" i="489"/>
  <c r="I88" i="489"/>
  <c r="G88" i="489"/>
  <c r="AA87" i="489"/>
  <c r="Z87" i="489"/>
  <c r="Y87" i="489"/>
  <c r="X87" i="489"/>
  <c r="U87" i="489"/>
  <c r="T87" i="489"/>
  <c r="S87" i="489"/>
  <c r="R87" i="489"/>
  <c r="Q87" i="489"/>
  <c r="P87" i="489"/>
  <c r="O87" i="489"/>
  <c r="I87" i="489"/>
  <c r="G87" i="489"/>
  <c r="AA85" i="489"/>
  <c r="Z85" i="489"/>
  <c r="Y85" i="489"/>
  <c r="X85" i="489"/>
  <c r="U85" i="489"/>
  <c r="T85" i="489"/>
  <c r="S85" i="489"/>
  <c r="R85" i="489"/>
  <c r="Q85" i="489"/>
  <c r="P85" i="489"/>
  <c r="O85" i="489"/>
  <c r="N85" i="489"/>
  <c r="I85" i="489"/>
  <c r="G85" i="489"/>
  <c r="AA84" i="489"/>
  <c r="Z84" i="489"/>
  <c r="Y84" i="489"/>
  <c r="X84" i="489"/>
  <c r="U84" i="489"/>
  <c r="T84" i="489"/>
  <c r="S84" i="489"/>
  <c r="R84" i="489"/>
  <c r="Q84" i="489"/>
  <c r="P84" i="489"/>
  <c r="O84" i="489"/>
  <c r="N84" i="489"/>
  <c r="I84" i="489"/>
  <c r="G84" i="489"/>
  <c r="AA83" i="489"/>
  <c r="Z83" i="489"/>
  <c r="Y83" i="489"/>
  <c r="X83" i="489"/>
  <c r="U83" i="489"/>
  <c r="T83" i="489"/>
  <c r="S83" i="489"/>
  <c r="R83" i="489"/>
  <c r="Q83" i="489"/>
  <c r="P83" i="489"/>
  <c r="O83" i="489"/>
  <c r="N83" i="489"/>
  <c r="I83" i="489"/>
  <c r="G83" i="489"/>
  <c r="N82" i="489"/>
  <c r="I82" i="489"/>
  <c r="G82" i="489"/>
  <c r="N81" i="489"/>
  <c r="I81" i="489"/>
  <c r="G81" i="489"/>
  <c r="N80" i="489"/>
  <c r="I80" i="489"/>
  <c r="G80" i="489"/>
  <c r="AA79" i="489"/>
  <c r="Z79" i="489"/>
  <c r="Y79" i="489"/>
  <c r="X79" i="489"/>
  <c r="U79" i="489"/>
  <c r="T79" i="489"/>
  <c r="S79" i="489"/>
  <c r="R79" i="489"/>
  <c r="Q79" i="489"/>
  <c r="P79" i="489"/>
  <c r="O79" i="489"/>
  <c r="N79" i="489"/>
  <c r="I79" i="489"/>
  <c r="G79" i="489"/>
  <c r="AA78" i="489"/>
  <c r="Z78" i="489"/>
  <c r="Y78" i="489"/>
  <c r="X78" i="489"/>
  <c r="U78" i="489"/>
  <c r="T78" i="489"/>
  <c r="S78" i="489"/>
  <c r="R78" i="489"/>
  <c r="Q78" i="489"/>
  <c r="P78" i="489"/>
  <c r="O78" i="489"/>
  <c r="N78" i="489"/>
  <c r="I78" i="489"/>
  <c r="G78" i="489"/>
  <c r="AA77" i="489"/>
  <c r="Z77" i="489"/>
  <c r="Y77" i="489"/>
  <c r="X77" i="489"/>
  <c r="U77" i="489"/>
  <c r="T77" i="489"/>
  <c r="S77" i="489"/>
  <c r="R77" i="489"/>
  <c r="Q77" i="489"/>
  <c r="P77" i="489"/>
  <c r="O77" i="489"/>
  <c r="N77" i="489"/>
  <c r="I77" i="489"/>
  <c r="G77" i="489"/>
  <c r="AA76" i="489"/>
  <c r="Z76" i="489"/>
  <c r="Y76" i="489"/>
  <c r="X76" i="489"/>
  <c r="U76" i="489"/>
  <c r="T76" i="489"/>
  <c r="S76" i="489"/>
  <c r="R76" i="489"/>
  <c r="Q76" i="489"/>
  <c r="P76" i="489"/>
  <c r="O76" i="489"/>
  <c r="N76" i="489"/>
  <c r="I76" i="489"/>
  <c r="G76" i="489"/>
  <c r="AA75" i="489"/>
  <c r="Z75" i="489"/>
  <c r="Y75" i="489"/>
  <c r="X75" i="489"/>
  <c r="U75" i="489"/>
  <c r="T75" i="489"/>
  <c r="S75" i="489"/>
  <c r="R75" i="489"/>
  <c r="Q75" i="489"/>
  <c r="P75" i="489"/>
  <c r="O75" i="489"/>
  <c r="I75" i="489"/>
  <c r="G75" i="489"/>
  <c r="AA74" i="489"/>
  <c r="Z74" i="489"/>
  <c r="Y74" i="489"/>
  <c r="X74" i="489"/>
  <c r="U74" i="489"/>
  <c r="T74" i="489"/>
  <c r="S74" i="489"/>
  <c r="R74" i="489"/>
  <c r="Q74" i="489"/>
  <c r="P74" i="489"/>
  <c r="O74" i="489"/>
  <c r="I74" i="489"/>
  <c r="G74" i="489"/>
  <c r="AA73" i="489"/>
  <c r="Z73" i="489"/>
  <c r="Y73" i="489"/>
  <c r="X73" i="489"/>
  <c r="U73" i="489"/>
  <c r="T73" i="489"/>
  <c r="S73" i="489"/>
  <c r="R73" i="489"/>
  <c r="Q73" i="489"/>
  <c r="P73" i="489"/>
  <c r="O73" i="489"/>
  <c r="I73" i="489"/>
  <c r="G73" i="489"/>
  <c r="AA72" i="489"/>
  <c r="Z72" i="489"/>
  <c r="Y72" i="489"/>
  <c r="X72" i="489"/>
  <c r="U72" i="489"/>
  <c r="T72" i="489"/>
  <c r="S72" i="489"/>
  <c r="R72" i="489"/>
  <c r="Q72" i="489"/>
  <c r="P72" i="489"/>
  <c r="O72" i="489"/>
  <c r="I72" i="489"/>
  <c r="G72" i="489"/>
  <c r="AA71" i="489"/>
  <c r="Z71" i="489"/>
  <c r="Y71" i="489"/>
  <c r="X71" i="489"/>
  <c r="U71" i="489"/>
  <c r="T71" i="489"/>
  <c r="S71" i="489"/>
  <c r="R71" i="489"/>
  <c r="Q71" i="489"/>
  <c r="P71" i="489"/>
  <c r="O71" i="489"/>
  <c r="N71" i="489"/>
  <c r="I71" i="489"/>
  <c r="G71" i="489"/>
  <c r="AA70" i="489"/>
  <c r="Z70" i="489"/>
  <c r="Y70" i="489"/>
  <c r="X70" i="489"/>
  <c r="U70" i="489"/>
  <c r="T70" i="489"/>
  <c r="S70" i="489"/>
  <c r="R70" i="489"/>
  <c r="Q70" i="489"/>
  <c r="P70" i="489"/>
  <c r="O70" i="489"/>
  <c r="I70" i="489"/>
  <c r="G70" i="489"/>
  <c r="AA69" i="489"/>
  <c r="Z69" i="489"/>
  <c r="Y69" i="489"/>
  <c r="X69" i="489"/>
  <c r="U69" i="489"/>
  <c r="T69" i="489"/>
  <c r="S69" i="489"/>
  <c r="R69" i="489"/>
  <c r="Q69" i="489"/>
  <c r="P69" i="489"/>
  <c r="O69" i="489"/>
  <c r="I69" i="489"/>
  <c r="G69" i="489"/>
  <c r="AA68" i="489"/>
  <c r="Z68" i="489"/>
  <c r="Y68" i="489"/>
  <c r="X68" i="489"/>
  <c r="U68" i="489"/>
  <c r="T68" i="489"/>
  <c r="S68" i="489"/>
  <c r="R68" i="489"/>
  <c r="Q68" i="489"/>
  <c r="P68" i="489"/>
  <c r="O68" i="489"/>
  <c r="N68" i="489"/>
  <c r="I68" i="489"/>
  <c r="G68" i="489"/>
  <c r="G67" i="489"/>
  <c r="AA66" i="489"/>
  <c r="Z66" i="489"/>
  <c r="Y66" i="489"/>
  <c r="X66" i="489"/>
  <c r="U66" i="489"/>
  <c r="T66" i="489"/>
  <c r="S66" i="489"/>
  <c r="R66" i="489"/>
  <c r="Q66" i="489"/>
  <c r="P66" i="489"/>
  <c r="O66" i="489"/>
  <c r="I66" i="489"/>
  <c r="G66" i="489"/>
  <c r="AA65" i="489"/>
  <c r="Z65" i="489"/>
  <c r="Y65" i="489"/>
  <c r="X65" i="489"/>
  <c r="U65" i="489"/>
  <c r="T65" i="489"/>
  <c r="S65" i="489"/>
  <c r="R65" i="489"/>
  <c r="Q65" i="489"/>
  <c r="P65" i="489"/>
  <c r="O65" i="489"/>
  <c r="I65" i="489"/>
  <c r="G65" i="489"/>
  <c r="AA64" i="489"/>
  <c r="Z64" i="489"/>
  <c r="Y64" i="489"/>
  <c r="X64" i="489"/>
  <c r="U64" i="489"/>
  <c r="T64" i="489"/>
  <c r="S64" i="489"/>
  <c r="R64" i="489"/>
  <c r="Q64" i="489"/>
  <c r="P64" i="489"/>
  <c r="O64" i="489"/>
  <c r="I64" i="489"/>
  <c r="G64" i="489"/>
  <c r="AA63" i="489"/>
  <c r="Z63" i="489"/>
  <c r="Y63" i="489"/>
  <c r="X63" i="489"/>
  <c r="U63" i="489"/>
  <c r="T63" i="489"/>
  <c r="S63" i="489"/>
  <c r="R63" i="489"/>
  <c r="Q63" i="489"/>
  <c r="P63" i="489"/>
  <c r="O63" i="489"/>
  <c r="I63" i="489"/>
  <c r="G63" i="489"/>
  <c r="AA62" i="489"/>
  <c r="Z62" i="489"/>
  <c r="Y62" i="489"/>
  <c r="X62" i="489"/>
  <c r="U62" i="489"/>
  <c r="T62" i="489"/>
  <c r="S62" i="489"/>
  <c r="R62" i="489"/>
  <c r="Q62" i="489"/>
  <c r="P62" i="489"/>
  <c r="O62" i="489"/>
  <c r="I62" i="489"/>
  <c r="G62" i="489"/>
  <c r="AA61" i="489"/>
  <c r="Z61" i="489"/>
  <c r="Y61" i="489"/>
  <c r="X61" i="489"/>
  <c r="U61" i="489"/>
  <c r="T61" i="489"/>
  <c r="S61" i="489"/>
  <c r="R61" i="489"/>
  <c r="Q61" i="489"/>
  <c r="P61" i="489"/>
  <c r="O61" i="489"/>
  <c r="I61" i="489"/>
  <c r="G61" i="489"/>
  <c r="AA60" i="489"/>
  <c r="Z60" i="489"/>
  <c r="Y60" i="489"/>
  <c r="X60" i="489"/>
  <c r="U60" i="489"/>
  <c r="T60" i="489"/>
  <c r="S60" i="489"/>
  <c r="R60" i="489"/>
  <c r="Q60" i="489"/>
  <c r="P60" i="489"/>
  <c r="O60" i="489"/>
  <c r="I60" i="489"/>
  <c r="G60" i="489"/>
  <c r="AA59" i="489"/>
  <c r="Z59" i="489"/>
  <c r="Y59" i="489"/>
  <c r="X59" i="489"/>
  <c r="U59" i="489"/>
  <c r="T59" i="489"/>
  <c r="S59" i="489"/>
  <c r="R59" i="489"/>
  <c r="Q59" i="489"/>
  <c r="P59" i="489"/>
  <c r="O59" i="489"/>
  <c r="I59" i="489"/>
  <c r="G59" i="489"/>
  <c r="AA58" i="489"/>
  <c r="Z58" i="489"/>
  <c r="Y58" i="489"/>
  <c r="X58" i="489"/>
  <c r="U58" i="489"/>
  <c r="T58" i="489"/>
  <c r="S58" i="489"/>
  <c r="R58" i="489"/>
  <c r="Q58" i="489"/>
  <c r="P58" i="489"/>
  <c r="O58" i="489"/>
  <c r="I58" i="489"/>
  <c r="G58" i="489"/>
  <c r="AA57" i="489"/>
  <c r="Z57" i="489"/>
  <c r="Y57" i="489"/>
  <c r="X57" i="489"/>
  <c r="U57" i="489"/>
  <c r="T57" i="489"/>
  <c r="S57" i="489"/>
  <c r="R57" i="489"/>
  <c r="Q57" i="489"/>
  <c r="P57" i="489"/>
  <c r="O57" i="489"/>
  <c r="I57" i="489"/>
  <c r="G57" i="489"/>
  <c r="AA56" i="489"/>
  <c r="Z56" i="489"/>
  <c r="Y56" i="489"/>
  <c r="X56" i="489"/>
  <c r="U56" i="489"/>
  <c r="T56" i="489"/>
  <c r="S56" i="489"/>
  <c r="R56" i="489"/>
  <c r="Q56" i="489"/>
  <c r="P56" i="489"/>
  <c r="O56" i="489"/>
  <c r="N56" i="489"/>
  <c r="I56" i="489"/>
  <c r="G56" i="489"/>
  <c r="AA55" i="489"/>
  <c r="Z55" i="489"/>
  <c r="Y55" i="489"/>
  <c r="X55" i="489"/>
  <c r="U55" i="489"/>
  <c r="T55" i="489"/>
  <c r="S55" i="489"/>
  <c r="R55" i="489"/>
  <c r="Q55" i="489"/>
  <c r="P55" i="489"/>
  <c r="O55" i="489"/>
  <c r="N55" i="489"/>
  <c r="I55" i="489"/>
  <c r="G55" i="489"/>
  <c r="AA54" i="489"/>
  <c r="Z54" i="489"/>
  <c r="Y54" i="489"/>
  <c r="X54" i="489"/>
  <c r="U54" i="489"/>
  <c r="T54" i="489"/>
  <c r="S54" i="489"/>
  <c r="R54" i="489"/>
  <c r="Q54" i="489"/>
  <c r="P54" i="489"/>
  <c r="O54" i="489"/>
  <c r="N54" i="489"/>
  <c r="I54" i="489"/>
  <c r="G54" i="489"/>
  <c r="AA53" i="489"/>
  <c r="Z53" i="489"/>
  <c r="Y53" i="489"/>
  <c r="X53" i="489"/>
  <c r="U53" i="489"/>
  <c r="T53" i="489"/>
  <c r="S53" i="489"/>
  <c r="R53" i="489"/>
  <c r="Q53" i="489"/>
  <c r="P53" i="489"/>
  <c r="O53" i="489"/>
  <c r="N53" i="489"/>
  <c r="I53" i="489"/>
  <c r="G53" i="489"/>
  <c r="AA52" i="489"/>
  <c r="Z52" i="489"/>
  <c r="Y52" i="489"/>
  <c r="X52" i="489"/>
  <c r="U52" i="489"/>
  <c r="T52" i="489"/>
  <c r="S52" i="489"/>
  <c r="R52" i="489"/>
  <c r="Q52" i="489"/>
  <c r="P52" i="489"/>
  <c r="O52" i="489"/>
  <c r="I52" i="489"/>
  <c r="G52" i="489"/>
  <c r="AA51" i="489"/>
  <c r="Z51" i="489"/>
  <c r="Y51" i="489"/>
  <c r="X51" i="489"/>
  <c r="U51" i="489"/>
  <c r="T51" i="489"/>
  <c r="S51" i="489"/>
  <c r="R51" i="489"/>
  <c r="Q51" i="489"/>
  <c r="P51" i="489"/>
  <c r="O51" i="489"/>
  <c r="I51" i="489"/>
  <c r="G51" i="489"/>
  <c r="AA50" i="489"/>
  <c r="Z50" i="489"/>
  <c r="Y50" i="489"/>
  <c r="X50" i="489"/>
  <c r="U50" i="489"/>
  <c r="T50" i="489"/>
  <c r="S50" i="489"/>
  <c r="R50" i="489"/>
  <c r="Q50" i="489"/>
  <c r="P50" i="489"/>
  <c r="O50" i="489"/>
  <c r="I50" i="489"/>
  <c r="G50" i="489"/>
  <c r="AA49" i="489"/>
  <c r="Z49" i="489"/>
  <c r="Y49" i="489"/>
  <c r="X49" i="489"/>
  <c r="U49" i="489"/>
  <c r="T49" i="489"/>
  <c r="S49" i="489"/>
  <c r="R49" i="489"/>
  <c r="Q49" i="489"/>
  <c r="P49" i="489"/>
  <c r="O49" i="489"/>
  <c r="I49" i="489"/>
  <c r="G49" i="489"/>
  <c r="AA48" i="489"/>
  <c r="Z48" i="489"/>
  <c r="Y48" i="489"/>
  <c r="X48" i="489"/>
  <c r="U48" i="489"/>
  <c r="T48" i="489"/>
  <c r="S48" i="489"/>
  <c r="R48" i="489"/>
  <c r="Q48" i="489"/>
  <c r="P48" i="489"/>
  <c r="O48" i="489"/>
  <c r="I48" i="489"/>
  <c r="G48" i="489"/>
  <c r="AA47" i="489"/>
  <c r="Z47" i="489"/>
  <c r="Y47" i="489"/>
  <c r="X47" i="489"/>
  <c r="U47" i="489"/>
  <c r="T47" i="489"/>
  <c r="S47" i="489"/>
  <c r="R47" i="489"/>
  <c r="Q47" i="489"/>
  <c r="P47" i="489"/>
  <c r="O47" i="489"/>
  <c r="I47" i="489"/>
  <c r="G47" i="489"/>
  <c r="AA46" i="489"/>
  <c r="Z46" i="489"/>
  <c r="Y46" i="489"/>
  <c r="X46" i="489"/>
  <c r="U46" i="489"/>
  <c r="T46" i="489"/>
  <c r="S46" i="489"/>
  <c r="R46" i="489"/>
  <c r="Q46" i="489"/>
  <c r="P46" i="489"/>
  <c r="O46" i="489"/>
  <c r="I46" i="489"/>
  <c r="G46" i="489"/>
  <c r="AA45" i="489"/>
  <c r="Z45" i="489"/>
  <c r="Y45" i="489"/>
  <c r="X45" i="489"/>
  <c r="U45" i="489"/>
  <c r="T45" i="489"/>
  <c r="S45" i="489"/>
  <c r="R45" i="489"/>
  <c r="Q45" i="489"/>
  <c r="P45" i="489"/>
  <c r="O45" i="489"/>
  <c r="I45" i="489"/>
  <c r="G45" i="489"/>
  <c r="AA44" i="489"/>
  <c r="Z44" i="489"/>
  <c r="Y44" i="489"/>
  <c r="X44" i="489"/>
  <c r="U44" i="489"/>
  <c r="T44" i="489"/>
  <c r="S44" i="489"/>
  <c r="R44" i="489"/>
  <c r="Q44" i="489"/>
  <c r="P44" i="489"/>
  <c r="O44" i="489"/>
  <c r="I44" i="489"/>
  <c r="G44" i="489"/>
  <c r="AA43" i="489"/>
  <c r="Z43" i="489"/>
  <c r="Y43" i="489"/>
  <c r="X43" i="489"/>
  <c r="U43" i="489"/>
  <c r="T43" i="489"/>
  <c r="S43" i="489"/>
  <c r="R43" i="489"/>
  <c r="Q43" i="489"/>
  <c r="P43" i="489"/>
  <c r="O43" i="489"/>
  <c r="I43" i="489"/>
  <c r="G43" i="489"/>
  <c r="AA42" i="489"/>
  <c r="Z42" i="489"/>
  <c r="Y42" i="489"/>
  <c r="X42" i="489"/>
  <c r="U42" i="489"/>
  <c r="T42" i="489"/>
  <c r="S42" i="489"/>
  <c r="R42" i="489"/>
  <c r="Q42" i="489"/>
  <c r="P42" i="489"/>
  <c r="O42" i="489"/>
  <c r="I42" i="489"/>
  <c r="G42" i="489"/>
  <c r="AA41" i="489"/>
  <c r="Z41" i="489"/>
  <c r="Y41" i="489"/>
  <c r="X41" i="489"/>
  <c r="U41" i="489"/>
  <c r="T41" i="489"/>
  <c r="S41" i="489"/>
  <c r="R41" i="489"/>
  <c r="Q41" i="489"/>
  <c r="P41" i="489"/>
  <c r="O41" i="489"/>
  <c r="I41" i="489"/>
  <c r="G41" i="489"/>
  <c r="AA40" i="489"/>
  <c r="Z40" i="489"/>
  <c r="Y40" i="489"/>
  <c r="X40" i="489"/>
  <c r="U40" i="489"/>
  <c r="T40" i="489"/>
  <c r="S40" i="489"/>
  <c r="R40" i="489"/>
  <c r="Q40" i="489"/>
  <c r="P40" i="489"/>
  <c r="O40" i="489"/>
  <c r="I40" i="489"/>
  <c r="G40" i="489"/>
  <c r="AA39" i="489"/>
  <c r="Z39" i="489"/>
  <c r="Y39" i="489"/>
  <c r="X39" i="489"/>
  <c r="U39" i="489"/>
  <c r="T39" i="489"/>
  <c r="S39" i="489"/>
  <c r="R39" i="489"/>
  <c r="Q39" i="489"/>
  <c r="P39" i="489"/>
  <c r="O39" i="489"/>
  <c r="I39" i="489"/>
  <c r="G39" i="489"/>
  <c r="AA38" i="489"/>
  <c r="Z38" i="489"/>
  <c r="Y38" i="489"/>
  <c r="X38" i="489"/>
  <c r="U38" i="489"/>
  <c r="T38" i="489"/>
  <c r="S38" i="489"/>
  <c r="R38" i="489"/>
  <c r="Q38" i="489"/>
  <c r="P38" i="489"/>
  <c r="O38" i="489"/>
  <c r="I38" i="489"/>
  <c r="G38" i="489"/>
  <c r="AA37" i="489"/>
  <c r="Z37" i="489"/>
  <c r="Y37" i="489"/>
  <c r="X37" i="489"/>
  <c r="U37" i="489"/>
  <c r="T37" i="489"/>
  <c r="S37" i="489"/>
  <c r="R37" i="489"/>
  <c r="Q37" i="489"/>
  <c r="P37" i="489"/>
  <c r="O37" i="489"/>
  <c r="I37" i="489"/>
  <c r="G37" i="489"/>
  <c r="I36" i="489"/>
  <c r="G36" i="489"/>
  <c r="I35" i="489"/>
  <c r="G35" i="489"/>
  <c r="I34" i="489"/>
  <c r="G34" i="489"/>
  <c r="AA33" i="489"/>
  <c r="Z33" i="489"/>
  <c r="Y33" i="489"/>
  <c r="X33" i="489"/>
  <c r="U33" i="489"/>
  <c r="T33" i="489"/>
  <c r="S33" i="489"/>
  <c r="R33" i="489"/>
  <c r="Q33" i="489"/>
  <c r="P33" i="489"/>
  <c r="O33" i="489"/>
  <c r="I33" i="489"/>
  <c r="G33" i="489"/>
  <c r="AA32" i="489"/>
  <c r="Z32" i="489"/>
  <c r="Y32" i="489"/>
  <c r="X32" i="489"/>
  <c r="U32" i="489"/>
  <c r="T32" i="489"/>
  <c r="S32" i="489"/>
  <c r="R32" i="489"/>
  <c r="Q32" i="489"/>
  <c r="P32" i="489"/>
  <c r="O32" i="489"/>
  <c r="I32" i="489"/>
  <c r="G32" i="489"/>
  <c r="AA31" i="489"/>
  <c r="Z31" i="489"/>
  <c r="Y31" i="489"/>
  <c r="X31" i="489"/>
  <c r="U31" i="489"/>
  <c r="T31" i="489"/>
  <c r="S31" i="489"/>
  <c r="R31" i="489"/>
  <c r="Q31" i="489"/>
  <c r="P31" i="489"/>
  <c r="O31" i="489"/>
  <c r="I31" i="489"/>
  <c r="G31" i="489"/>
  <c r="G30" i="489"/>
  <c r="AA29" i="489"/>
  <c r="Z29" i="489"/>
  <c r="Y29" i="489"/>
  <c r="X29" i="489"/>
  <c r="U29" i="489"/>
  <c r="T29" i="489"/>
  <c r="S29" i="489"/>
  <c r="R29" i="489"/>
  <c r="Q29" i="489"/>
  <c r="P29" i="489"/>
  <c r="O29" i="489"/>
  <c r="I29" i="489"/>
  <c r="G29" i="489"/>
  <c r="AA27" i="489"/>
  <c r="Z27" i="489"/>
  <c r="Y27" i="489"/>
  <c r="X27" i="489"/>
  <c r="U27" i="489"/>
  <c r="T27" i="489"/>
  <c r="S27" i="489"/>
  <c r="R27" i="489"/>
  <c r="Q27" i="489"/>
  <c r="P27" i="489"/>
  <c r="O27" i="489"/>
  <c r="I27" i="489"/>
  <c r="G27" i="489"/>
  <c r="AA26" i="489"/>
  <c r="Z26" i="489"/>
  <c r="Y26" i="489"/>
  <c r="X26" i="489"/>
  <c r="U26" i="489"/>
  <c r="T26" i="489"/>
  <c r="S26" i="489"/>
  <c r="R26" i="489"/>
  <c r="Q26" i="489"/>
  <c r="P26" i="489"/>
  <c r="O26" i="489"/>
  <c r="I26" i="489"/>
  <c r="G26" i="489"/>
  <c r="AA25" i="489"/>
  <c r="Z25" i="489"/>
  <c r="Y25" i="489"/>
  <c r="X25" i="489"/>
  <c r="U25" i="489"/>
  <c r="T25" i="489"/>
  <c r="S25" i="489"/>
  <c r="R25" i="489"/>
  <c r="Q25" i="489"/>
  <c r="P25" i="489"/>
  <c r="O25" i="489"/>
  <c r="N25" i="489"/>
  <c r="I25" i="489"/>
  <c r="G25" i="489"/>
  <c r="AA24" i="489"/>
  <c r="Z24" i="489"/>
  <c r="Y24" i="489"/>
  <c r="X24" i="489"/>
  <c r="U24" i="489"/>
  <c r="T24" i="489"/>
  <c r="S24" i="489"/>
  <c r="R24" i="489"/>
  <c r="Q24" i="489"/>
  <c r="P24" i="489"/>
  <c r="O24" i="489"/>
  <c r="N24" i="489"/>
  <c r="I24" i="489"/>
  <c r="G24" i="489"/>
  <c r="AA23" i="489"/>
  <c r="Z23" i="489"/>
  <c r="Y23" i="489"/>
  <c r="X23" i="489"/>
  <c r="U23" i="489"/>
  <c r="T23" i="489"/>
  <c r="S23" i="489"/>
  <c r="R23" i="489"/>
  <c r="Q23" i="489"/>
  <c r="P23" i="489"/>
  <c r="O23" i="489"/>
  <c r="N23" i="489"/>
  <c r="I23" i="489"/>
  <c r="G23" i="489"/>
  <c r="AA22" i="489"/>
  <c r="Z22" i="489"/>
  <c r="Y22" i="489"/>
  <c r="X22" i="489"/>
  <c r="U22" i="489"/>
  <c r="T22" i="489"/>
  <c r="S22" i="489"/>
  <c r="R22" i="489"/>
  <c r="Q22" i="489"/>
  <c r="P22" i="489"/>
  <c r="O22" i="489"/>
  <c r="N22" i="489"/>
  <c r="I22" i="489"/>
  <c r="G22" i="489"/>
  <c r="AA21" i="489"/>
  <c r="Z21" i="489"/>
  <c r="Y21" i="489"/>
  <c r="X21" i="489"/>
  <c r="U21" i="489"/>
  <c r="T21" i="489"/>
  <c r="S21" i="489"/>
  <c r="R21" i="489"/>
  <c r="Q21" i="489"/>
  <c r="P21" i="489"/>
  <c r="O21" i="489"/>
  <c r="I21" i="489"/>
  <c r="G21" i="489"/>
  <c r="AA20" i="489"/>
  <c r="Z20" i="489"/>
  <c r="Y20" i="489"/>
  <c r="X20" i="489"/>
  <c r="U20" i="489"/>
  <c r="T20" i="489"/>
  <c r="S20" i="489"/>
  <c r="R20" i="489"/>
  <c r="Q20" i="489"/>
  <c r="P20" i="489"/>
  <c r="O20" i="489"/>
  <c r="I20" i="489"/>
  <c r="G20" i="489"/>
  <c r="AA19" i="489"/>
  <c r="Z19" i="489"/>
  <c r="Y19" i="489"/>
  <c r="X19" i="489"/>
  <c r="U19" i="489"/>
  <c r="T19" i="489"/>
  <c r="S19" i="489"/>
  <c r="R19" i="489"/>
  <c r="Q19" i="489"/>
  <c r="P19" i="489"/>
  <c r="O19" i="489"/>
  <c r="I19" i="489"/>
  <c r="G19" i="489"/>
  <c r="AA18" i="489"/>
  <c r="Z18" i="489"/>
  <c r="Y18" i="489"/>
  <c r="X18" i="489"/>
  <c r="U18" i="489"/>
  <c r="T18" i="489"/>
  <c r="S18" i="489"/>
  <c r="R18" i="489"/>
  <c r="Q18" i="489"/>
  <c r="P18" i="489"/>
  <c r="O18" i="489"/>
  <c r="I18" i="489"/>
  <c r="G18" i="489"/>
  <c r="AA17" i="489"/>
  <c r="Z17" i="489"/>
  <c r="Y17" i="489"/>
  <c r="X17" i="489"/>
  <c r="U17" i="489"/>
  <c r="T17" i="489"/>
  <c r="S17" i="489"/>
  <c r="R17" i="489"/>
  <c r="Q17" i="489"/>
  <c r="P17" i="489"/>
  <c r="O17" i="489"/>
  <c r="I17" i="489"/>
  <c r="G17" i="489"/>
  <c r="AA16" i="489"/>
  <c r="Z16" i="489"/>
  <c r="Y16" i="489"/>
  <c r="X16" i="489"/>
  <c r="U16" i="489"/>
  <c r="T16" i="489"/>
  <c r="S16" i="489"/>
  <c r="R16" i="489"/>
  <c r="Q16" i="489"/>
  <c r="P16" i="489"/>
  <c r="O16" i="489"/>
  <c r="I16" i="489"/>
  <c r="G16" i="489"/>
  <c r="AA15" i="489"/>
  <c r="Z15" i="489"/>
  <c r="Y15" i="489"/>
  <c r="X15" i="489"/>
  <c r="U15" i="489"/>
  <c r="T15" i="489"/>
  <c r="S15" i="489"/>
  <c r="R15" i="489"/>
  <c r="Q15" i="489"/>
  <c r="P15" i="489"/>
  <c r="O15" i="489"/>
  <c r="I15" i="489"/>
  <c r="G15" i="489"/>
  <c r="AA14" i="489"/>
  <c r="Z14" i="489"/>
  <c r="Y14" i="489"/>
  <c r="X14" i="489"/>
  <c r="U14" i="489"/>
  <c r="T14" i="489"/>
  <c r="S14" i="489"/>
  <c r="R14" i="489"/>
  <c r="Q14" i="489"/>
  <c r="P14" i="489"/>
  <c r="O14" i="489"/>
  <c r="I14" i="489"/>
  <c r="G14" i="489"/>
  <c r="AA13" i="489"/>
  <c r="Z13" i="489"/>
  <c r="Y13" i="489"/>
  <c r="X13" i="489"/>
  <c r="U13" i="489"/>
  <c r="T13" i="489"/>
  <c r="S13" i="489"/>
  <c r="R13" i="489"/>
  <c r="Q13" i="489"/>
  <c r="P13" i="489"/>
  <c r="O13" i="489"/>
  <c r="I13" i="489"/>
  <c r="G13" i="489"/>
  <c r="AA12" i="489"/>
  <c r="Z12" i="489"/>
  <c r="Y12" i="489"/>
  <c r="X12" i="489"/>
  <c r="U12" i="489"/>
  <c r="T12" i="489"/>
  <c r="S12" i="489"/>
  <c r="R12" i="489"/>
  <c r="Q12" i="489"/>
  <c r="P12" i="489"/>
  <c r="O12" i="489"/>
  <c r="I12" i="489"/>
  <c r="G12" i="489"/>
  <c r="AA11" i="489"/>
  <c r="Z11" i="489"/>
  <c r="Y11" i="489"/>
  <c r="X11" i="489"/>
  <c r="U11" i="489"/>
  <c r="T11" i="489"/>
  <c r="S11" i="489"/>
  <c r="R11" i="489"/>
  <c r="Q11" i="489"/>
  <c r="P11" i="489"/>
  <c r="O11" i="489"/>
  <c r="I11" i="489"/>
  <c r="G11" i="489"/>
  <c r="AA10" i="489"/>
  <c r="Z10" i="489"/>
  <c r="Y10" i="489"/>
  <c r="X10" i="489"/>
  <c r="U10" i="489"/>
  <c r="T10" i="489"/>
  <c r="S10" i="489"/>
  <c r="R10" i="489"/>
  <c r="Q10" i="489"/>
  <c r="P10" i="489"/>
  <c r="O10" i="489"/>
  <c r="I10" i="489"/>
  <c r="G10" i="489"/>
  <c r="AA9" i="489"/>
  <c r="Z9" i="489"/>
  <c r="Y9" i="489"/>
  <c r="X9" i="489"/>
  <c r="U9" i="489"/>
  <c r="T9" i="489"/>
  <c r="S9" i="489"/>
  <c r="R9" i="489"/>
  <c r="Q9" i="489"/>
  <c r="P9" i="489"/>
  <c r="O9" i="489"/>
  <c r="I9" i="489"/>
  <c r="G9" i="489"/>
  <c r="AA8" i="489"/>
  <c r="Z8" i="489"/>
  <c r="Y8" i="489"/>
  <c r="X8" i="489"/>
  <c r="U8" i="489"/>
  <c r="T8" i="489"/>
  <c r="S8" i="489"/>
  <c r="R8" i="489"/>
  <c r="Q8" i="489"/>
  <c r="P8" i="489"/>
  <c r="O8" i="489"/>
  <c r="I8" i="489"/>
  <c r="G8" i="489"/>
  <c r="AA7" i="489"/>
  <c r="Z7" i="489"/>
  <c r="Y7" i="489"/>
  <c r="X7" i="489"/>
  <c r="U7" i="489"/>
  <c r="T7" i="489"/>
  <c r="S7" i="489"/>
  <c r="R7" i="489"/>
  <c r="Q7" i="489"/>
  <c r="P7" i="489"/>
  <c r="O7" i="489"/>
  <c r="I7" i="489"/>
  <c r="G7" i="489"/>
  <c r="P535" i="508"/>
  <c r="O535" i="508"/>
  <c r="N535" i="508"/>
  <c r="M535" i="508"/>
  <c r="L535" i="508"/>
  <c r="K535" i="508"/>
  <c r="I535" i="508"/>
  <c r="H535" i="508"/>
  <c r="G535" i="508"/>
  <c r="F535" i="508"/>
  <c r="E535" i="508"/>
  <c r="P534" i="508"/>
  <c r="O534" i="508"/>
  <c r="N534" i="508"/>
  <c r="M534" i="508"/>
  <c r="L534" i="508"/>
  <c r="K534" i="508"/>
  <c r="I534" i="508"/>
  <c r="H534" i="508"/>
  <c r="G534" i="508"/>
  <c r="F534" i="508"/>
  <c r="E534" i="508"/>
  <c r="P533" i="508"/>
  <c r="O533" i="508"/>
  <c r="N533" i="508"/>
  <c r="M533" i="508"/>
  <c r="L533" i="508"/>
  <c r="K533" i="508"/>
  <c r="I533" i="508"/>
  <c r="H533" i="508"/>
  <c r="G533" i="508"/>
  <c r="F533" i="508"/>
  <c r="E533" i="508"/>
  <c r="C511" i="508"/>
  <c r="C510" i="508"/>
  <c r="C509" i="508"/>
  <c r="AA505" i="508"/>
  <c r="Z505" i="508"/>
  <c r="Y505" i="508"/>
  <c r="X505" i="508"/>
  <c r="U505" i="508"/>
  <c r="T505" i="508"/>
  <c r="S505" i="508"/>
  <c r="R505" i="508"/>
  <c r="Q505" i="508"/>
  <c r="P505" i="508"/>
  <c r="O505" i="508"/>
  <c r="I505" i="508"/>
  <c r="G505" i="508"/>
  <c r="AA504" i="508"/>
  <c r="Z504" i="508"/>
  <c r="Y504" i="508"/>
  <c r="X504" i="508"/>
  <c r="U504" i="508"/>
  <c r="T504" i="508"/>
  <c r="S504" i="508"/>
  <c r="R504" i="508"/>
  <c r="Q504" i="508"/>
  <c r="P504" i="508"/>
  <c r="O504" i="508"/>
  <c r="I504" i="508"/>
  <c r="G504" i="508"/>
  <c r="I503" i="508"/>
  <c r="G503" i="508"/>
  <c r="AA502" i="508"/>
  <c r="Z502" i="508"/>
  <c r="Y502" i="508"/>
  <c r="X502" i="508"/>
  <c r="U502" i="508"/>
  <c r="T502" i="508"/>
  <c r="S502" i="508"/>
  <c r="R502" i="508"/>
  <c r="Q502" i="508"/>
  <c r="P502" i="508"/>
  <c r="O502" i="508"/>
  <c r="I502" i="508"/>
  <c r="G502" i="508"/>
  <c r="AA501" i="508"/>
  <c r="Z501" i="508"/>
  <c r="Y501" i="508"/>
  <c r="X501" i="508"/>
  <c r="U501" i="508"/>
  <c r="T501" i="508"/>
  <c r="S501" i="508"/>
  <c r="R501" i="508"/>
  <c r="Q501" i="508"/>
  <c r="P501" i="508"/>
  <c r="O501" i="508"/>
  <c r="I501" i="508"/>
  <c r="G501" i="508"/>
  <c r="G500" i="508"/>
  <c r="G499" i="508"/>
  <c r="AA498" i="508"/>
  <c r="Z498" i="508"/>
  <c r="Y498" i="508"/>
  <c r="X498" i="508"/>
  <c r="U498" i="508"/>
  <c r="T498" i="508"/>
  <c r="S498" i="508"/>
  <c r="R498" i="508"/>
  <c r="Q498" i="508"/>
  <c r="P498" i="508"/>
  <c r="O498" i="508"/>
  <c r="I498" i="508"/>
  <c r="G498" i="508"/>
  <c r="AA497" i="508"/>
  <c r="Z497" i="508"/>
  <c r="Y497" i="508"/>
  <c r="X497" i="508"/>
  <c r="U497" i="508"/>
  <c r="T497" i="508"/>
  <c r="S497" i="508"/>
  <c r="R497" i="508"/>
  <c r="Q497" i="508"/>
  <c r="P497" i="508"/>
  <c r="O497" i="508"/>
  <c r="I497" i="508"/>
  <c r="G497" i="508"/>
  <c r="AA496" i="508"/>
  <c r="Z496" i="508"/>
  <c r="Y496" i="508"/>
  <c r="X496" i="508"/>
  <c r="U496" i="508"/>
  <c r="T496" i="508"/>
  <c r="S496" i="508"/>
  <c r="R496" i="508"/>
  <c r="Q496" i="508"/>
  <c r="P496" i="508"/>
  <c r="O496" i="508"/>
  <c r="I496" i="508"/>
  <c r="G496" i="508"/>
  <c r="AA495" i="508"/>
  <c r="Z495" i="508"/>
  <c r="Y495" i="508"/>
  <c r="X495" i="508"/>
  <c r="U495" i="508"/>
  <c r="T495" i="508"/>
  <c r="S495" i="508"/>
  <c r="R495" i="508"/>
  <c r="Q495" i="508"/>
  <c r="P495" i="508"/>
  <c r="O495" i="508"/>
  <c r="I495" i="508"/>
  <c r="G495" i="508"/>
  <c r="AA494" i="508"/>
  <c r="Z494" i="508"/>
  <c r="Y494" i="508"/>
  <c r="X494" i="508"/>
  <c r="U494" i="508"/>
  <c r="T494" i="508"/>
  <c r="S494" i="508"/>
  <c r="R494" i="508"/>
  <c r="Q494" i="508"/>
  <c r="P494" i="508"/>
  <c r="O494" i="508"/>
  <c r="I494" i="508"/>
  <c r="G494" i="508"/>
  <c r="AA493" i="508"/>
  <c r="Z493" i="508"/>
  <c r="Y493" i="508"/>
  <c r="X493" i="508"/>
  <c r="U493" i="508"/>
  <c r="T493" i="508"/>
  <c r="S493" i="508"/>
  <c r="R493" i="508"/>
  <c r="Q493" i="508"/>
  <c r="P493" i="508"/>
  <c r="O493" i="508"/>
  <c r="I493" i="508"/>
  <c r="G493" i="508"/>
  <c r="AA492" i="508"/>
  <c r="Z492" i="508"/>
  <c r="Y492" i="508"/>
  <c r="X492" i="508"/>
  <c r="U492" i="508"/>
  <c r="T492" i="508"/>
  <c r="S492" i="508"/>
  <c r="R492" i="508"/>
  <c r="Q492" i="508"/>
  <c r="P492" i="508"/>
  <c r="O492" i="508"/>
  <c r="I492" i="508"/>
  <c r="G492" i="508"/>
  <c r="AA491" i="508"/>
  <c r="Z491" i="508"/>
  <c r="Y491" i="508"/>
  <c r="X491" i="508"/>
  <c r="U491" i="508"/>
  <c r="T491" i="508"/>
  <c r="S491" i="508"/>
  <c r="R491" i="508"/>
  <c r="Q491" i="508"/>
  <c r="P491" i="508"/>
  <c r="O491" i="508"/>
  <c r="I491" i="508"/>
  <c r="G491" i="508"/>
  <c r="AA489" i="508"/>
  <c r="Z489" i="508"/>
  <c r="Y489" i="508"/>
  <c r="X489" i="508"/>
  <c r="U489" i="508"/>
  <c r="T489" i="508"/>
  <c r="S489" i="508"/>
  <c r="R489" i="508"/>
  <c r="Q489" i="508"/>
  <c r="P489" i="508"/>
  <c r="O489" i="508"/>
  <c r="I489" i="508"/>
  <c r="G489" i="508"/>
  <c r="I485" i="508"/>
  <c r="G485" i="508"/>
  <c r="AA484" i="508"/>
  <c r="Z484" i="508"/>
  <c r="Y484" i="508"/>
  <c r="X484" i="508"/>
  <c r="U484" i="508"/>
  <c r="T484" i="508"/>
  <c r="S484" i="508"/>
  <c r="R484" i="508"/>
  <c r="Q484" i="508"/>
  <c r="P484" i="508"/>
  <c r="O484" i="508"/>
  <c r="I484" i="508"/>
  <c r="G484" i="508"/>
  <c r="AA483" i="508"/>
  <c r="Z483" i="508"/>
  <c r="Y483" i="508"/>
  <c r="X483" i="508"/>
  <c r="U483" i="508"/>
  <c r="T483" i="508"/>
  <c r="S483" i="508"/>
  <c r="R483" i="508"/>
  <c r="Q483" i="508"/>
  <c r="P483" i="508"/>
  <c r="O483" i="508"/>
  <c r="I483" i="508"/>
  <c r="G483" i="508"/>
  <c r="AA482" i="508"/>
  <c r="Z482" i="508"/>
  <c r="Y482" i="508"/>
  <c r="X482" i="508"/>
  <c r="U482" i="508"/>
  <c r="T482" i="508"/>
  <c r="S482" i="508"/>
  <c r="R482" i="508"/>
  <c r="Q482" i="508"/>
  <c r="P482" i="508"/>
  <c r="O482" i="508"/>
  <c r="I482" i="508"/>
  <c r="G482" i="508"/>
  <c r="AA481" i="508"/>
  <c r="Z481" i="508"/>
  <c r="Y481" i="508"/>
  <c r="X481" i="508"/>
  <c r="U481" i="508"/>
  <c r="T481" i="508"/>
  <c r="S481" i="508"/>
  <c r="R481" i="508"/>
  <c r="Q481" i="508"/>
  <c r="P481" i="508"/>
  <c r="O481" i="508"/>
  <c r="I481" i="508"/>
  <c r="G481" i="508"/>
  <c r="AA480" i="508"/>
  <c r="Z480" i="508"/>
  <c r="Y480" i="508"/>
  <c r="X480" i="508"/>
  <c r="U480" i="508"/>
  <c r="T480" i="508"/>
  <c r="S480" i="508"/>
  <c r="R480" i="508"/>
  <c r="Q480" i="508"/>
  <c r="P480" i="508"/>
  <c r="O480" i="508"/>
  <c r="I480" i="508"/>
  <c r="G480" i="508"/>
  <c r="AA478" i="508"/>
  <c r="Z478" i="508"/>
  <c r="Y478" i="508"/>
  <c r="X478" i="508"/>
  <c r="U478" i="508"/>
  <c r="T478" i="508"/>
  <c r="S478" i="508"/>
  <c r="R478" i="508"/>
  <c r="Q478" i="508"/>
  <c r="P478" i="508"/>
  <c r="O478" i="508"/>
  <c r="I478" i="508"/>
  <c r="G478" i="508"/>
  <c r="AA477" i="508"/>
  <c r="Z477" i="508"/>
  <c r="Y477" i="508"/>
  <c r="X477" i="508"/>
  <c r="U477" i="508"/>
  <c r="T477" i="508"/>
  <c r="S477" i="508"/>
  <c r="R477" i="508"/>
  <c r="Q477" i="508"/>
  <c r="P477" i="508"/>
  <c r="O477" i="508"/>
  <c r="I477" i="508"/>
  <c r="G477" i="508"/>
  <c r="AA476" i="508"/>
  <c r="Z476" i="508"/>
  <c r="Y476" i="508"/>
  <c r="X476" i="508"/>
  <c r="U476" i="508"/>
  <c r="T476" i="508"/>
  <c r="S476" i="508"/>
  <c r="R476" i="508"/>
  <c r="Q476" i="508"/>
  <c r="P476" i="508"/>
  <c r="O476" i="508"/>
  <c r="I476" i="508"/>
  <c r="G476" i="508"/>
  <c r="AA475" i="508"/>
  <c r="Z475" i="508"/>
  <c r="Y475" i="508"/>
  <c r="X475" i="508"/>
  <c r="U475" i="508"/>
  <c r="T475" i="508"/>
  <c r="S475" i="508"/>
  <c r="R475" i="508"/>
  <c r="Q475" i="508"/>
  <c r="P475" i="508"/>
  <c r="O475" i="508"/>
  <c r="I475" i="508"/>
  <c r="G475" i="508"/>
  <c r="AA474" i="508"/>
  <c r="Z474" i="508"/>
  <c r="Y474" i="508"/>
  <c r="X474" i="508"/>
  <c r="U474" i="508"/>
  <c r="T474" i="508"/>
  <c r="S474" i="508"/>
  <c r="R474" i="508"/>
  <c r="Q474" i="508"/>
  <c r="P474" i="508"/>
  <c r="O474" i="508"/>
  <c r="I474" i="508"/>
  <c r="G474" i="508"/>
  <c r="AA473" i="508"/>
  <c r="Z473" i="508"/>
  <c r="Y473" i="508"/>
  <c r="X473" i="508"/>
  <c r="U473" i="508"/>
  <c r="T473" i="508"/>
  <c r="S473" i="508"/>
  <c r="R473" i="508"/>
  <c r="Q473" i="508"/>
  <c r="P473" i="508"/>
  <c r="O473" i="508"/>
  <c r="I473" i="508"/>
  <c r="G473" i="508"/>
  <c r="AA472" i="508"/>
  <c r="Z472" i="508"/>
  <c r="Y472" i="508"/>
  <c r="X472" i="508"/>
  <c r="U472" i="508"/>
  <c r="T472" i="508"/>
  <c r="S472" i="508"/>
  <c r="R472" i="508"/>
  <c r="Q472" i="508"/>
  <c r="P472" i="508"/>
  <c r="O472" i="508"/>
  <c r="I472" i="508"/>
  <c r="G472" i="508"/>
  <c r="AA471" i="508"/>
  <c r="Z471" i="508"/>
  <c r="Y471" i="508"/>
  <c r="X471" i="508"/>
  <c r="U471" i="508"/>
  <c r="T471" i="508"/>
  <c r="S471" i="508"/>
  <c r="R471" i="508"/>
  <c r="Q471" i="508"/>
  <c r="P471" i="508"/>
  <c r="O471" i="508"/>
  <c r="I471" i="508"/>
  <c r="G471" i="508"/>
  <c r="AA470" i="508"/>
  <c r="Z470" i="508"/>
  <c r="Y470" i="508"/>
  <c r="X470" i="508"/>
  <c r="U470" i="508"/>
  <c r="T470" i="508"/>
  <c r="S470" i="508"/>
  <c r="R470" i="508"/>
  <c r="Q470" i="508"/>
  <c r="P470" i="508"/>
  <c r="O470" i="508"/>
  <c r="I470" i="508"/>
  <c r="G470" i="508"/>
  <c r="AA469" i="508"/>
  <c r="Z469" i="508"/>
  <c r="Y469" i="508"/>
  <c r="X469" i="508"/>
  <c r="U469" i="508"/>
  <c r="T469" i="508"/>
  <c r="S469" i="508"/>
  <c r="R469" i="508"/>
  <c r="Q469" i="508"/>
  <c r="P469" i="508"/>
  <c r="O469" i="508"/>
  <c r="I469" i="508"/>
  <c r="G469" i="508"/>
  <c r="AA468" i="508"/>
  <c r="Z468" i="508"/>
  <c r="Y468" i="508"/>
  <c r="X468" i="508"/>
  <c r="U468" i="508"/>
  <c r="T468" i="508"/>
  <c r="S468" i="508"/>
  <c r="R468" i="508"/>
  <c r="Q468" i="508"/>
  <c r="P468" i="508"/>
  <c r="O468" i="508"/>
  <c r="I468" i="508"/>
  <c r="G468" i="508"/>
  <c r="AA467" i="508"/>
  <c r="Z467" i="508"/>
  <c r="Y467" i="508"/>
  <c r="X467" i="508"/>
  <c r="U467" i="508"/>
  <c r="T467" i="508"/>
  <c r="S467" i="508"/>
  <c r="R467" i="508"/>
  <c r="Q467" i="508"/>
  <c r="P467" i="508"/>
  <c r="O467" i="508"/>
  <c r="I467" i="508"/>
  <c r="G467" i="508"/>
  <c r="AA466" i="508"/>
  <c r="Z466" i="508"/>
  <c r="Y466" i="508"/>
  <c r="X466" i="508"/>
  <c r="U466" i="508"/>
  <c r="T466" i="508"/>
  <c r="S466" i="508"/>
  <c r="R466" i="508"/>
  <c r="Q466" i="508"/>
  <c r="P466" i="508"/>
  <c r="O466" i="508"/>
  <c r="I466" i="508"/>
  <c r="G466" i="508"/>
  <c r="AA465" i="508"/>
  <c r="Z465" i="508"/>
  <c r="Y465" i="508"/>
  <c r="X465" i="508"/>
  <c r="U465" i="508"/>
  <c r="T465" i="508"/>
  <c r="S465" i="508"/>
  <c r="R465" i="508"/>
  <c r="Q465" i="508"/>
  <c r="P465" i="508"/>
  <c r="O465" i="508"/>
  <c r="I465" i="508"/>
  <c r="G465" i="508"/>
  <c r="AA464" i="508"/>
  <c r="Z464" i="508"/>
  <c r="Y464" i="508"/>
  <c r="X464" i="508"/>
  <c r="U464" i="508"/>
  <c r="T464" i="508"/>
  <c r="S464" i="508"/>
  <c r="R464" i="508"/>
  <c r="Q464" i="508"/>
  <c r="P464" i="508"/>
  <c r="O464" i="508"/>
  <c r="I464" i="508"/>
  <c r="G464" i="508"/>
  <c r="AA462" i="508"/>
  <c r="Z462" i="508"/>
  <c r="Y462" i="508"/>
  <c r="X462" i="508"/>
  <c r="U462" i="508"/>
  <c r="T462" i="508"/>
  <c r="S462" i="508"/>
  <c r="R462" i="508"/>
  <c r="Q462" i="508"/>
  <c r="P462" i="508"/>
  <c r="O462" i="508"/>
  <c r="I462" i="508"/>
  <c r="G462" i="508"/>
  <c r="AA461" i="508"/>
  <c r="Z461" i="508"/>
  <c r="Y461" i="508"/>
  <c r="X461" i="508"/>
  <c r="U461" i="508"/>
  <c r="T461" i="508"/>
  <c r="S461" i="508"/>
  <c r="R461" i="508"/>
  <c r="Q461" i="508"/>
  <c r="P461" i="508"/>
  <c r="O461" i="508"/>
  <c r="I461" i="508"/>
  <c r="G461" i="508"/>
  <c r="AA460" i="508"/>
  <c r="Z460" i="508"/>
  <c r="Y460" i="508"/>
  <c r="X460" i="508"/>
  <c r="U460" i="508"/>
  <c r="T460" i="508"/>
  <c r="S460" i="508"/>
  <c r="R460" i="508"/>
  <c r="Q460" i="508"/>
  <c r="P460" i="508"/>
  <c r="O460" i="508"/>
  <c r="I460" i="508"/>
  <c r="G460" i="508"/>
  <c r="I459" i="508"/>
  <c r="G459" i="508"/>
  <c r="I458" i="508"/>
  <c r="G458" i="508"/>
  <c r="I457" i="508"/>
  <c r="G457" i="508"/>
  <c r="AA456" i="508"/>
  <c r="Z456" i="508"/>
  <c r="Y456" i="508"/>
  <c r="X456" i="508"/>
  <c r="U456" i="508"/>
  <c r="T456" i="508"/>
  <c r="S456" i="508"/>
  <c r="R456" i="508"/>
  <c r="Q456" i="508"/>
  <c r="P456" i="508"/>
  <c r="O456" i="508"/>
  <c r="I456" i="508"/>
  <c r="G456" i="508"/>
  <c r="AA455" i="508"/>
  <c r="Z455" i="508"/>
  <c r="Y455" i="508"/>
  <c r="X455" i="508"/>
  <c r="U455" i="508"/>
  <c r="T455" i="508"/>
  <c r="S455" i="508"/>
  <c r="R455" i="508"/>
  <c r="Q455" i="508"/>
  <c r="P455" i="508"/>
  <c r="O455" i="508"/>
  <c r="I455" i="508"/>
  <c r="G455" i="508"/>
  <c r="AA454" i="508"/>
  <c r="Z454" i="508"/>
  <c r="Y454" i="508"/>
  <c r="X454" i="508"/>
  <c r="U454" i="508"/>
  <c r="T454" i="508"/>
  <c r="S454" i="508"/>
  <c r="R454" i="508"/>
  <c r="Q454" i="508"/>
  <c r="P454" i="508"/>
  <c r="O454" i="508"/>
  <c r="I454" i="508"/>
  <c r="G454" i="508"/>
  <c r="AA453" i="508"/>
  <c r="Z453" i="508"/>
  <c r="Y453" i="508"/>
  <c r="X453" i="508"/>
  <c r="U453" i="508"/>
  <c r="T453" i="508"/>
  <c r="S453" i="508"/>
  <c r="R453" i="508"/>
  <c r="Q453" i="508"/>
  <c r="P453" i="508"/>
  <c r="O453" i="508"/>
  <c r="I453" i="508"/>
  <c r="G453" i="508"/>
  <c r="AA452" i="508"/>
  <c r="Z452" i="508"/>
  <c r="Y452" i="508"/>
  <c r="X452" i="508"/>
  <c r="U452" i="508"/>
  <c r="T452" i="508"/>
  <c r="S452" i="508"/>
  <c r="R452" i="508"/>
  <c r="Q452" i="508"/>
  <c r="P452" i="508"/>
  <c r="O452" i="508"/>
  <c r="I452" i="508"/>
  <c r="G452" i="508"/>
  <c r="AA451" i="508"/>
  <c r="Z451" i="508"/>
  <c r="Y451" i="508"/>
  <c r="X451" i="508"/>
  <c r="U451" i="508"/>
  <c r="T451" i="508"/>
  <c r="S451" i="508"/>
  <c r="R451" i="508"/>
  <c r="Q451" i="508"/>
  <c r="P451" i="508"/>
  <c r="O451" i="508"/>
  <c r="I451" i="508"/>
  <c r="G451" i="508"/>
  <c r="AA450" i="508"/>
  <c r="Z450" i="508"/>
  <c r="Y450" i="508"/>
  <c r="X450" i="508"/>
  <c r="U450" i="508"/>
  <c r="T450" i="508"/>
  <c r="S450" i="508"/>
  <c r="R450" i="508"/>
  <c r="Q450" i="508"/>
  <c r="P450" i="508"/>
  <c r="O450" i="508"/>
  <c r="I450" i="508"/>
  <c r="G450" i="508"/>
  <c r="AA449" i="508"/>
  <c r="Z449" i="508"/>
  <c r="Y449" i="508"/>
  <c r="X449" i="508"/>
  <c r="U449" i="508"/>
  <c r="T449" i="508"/>
  <c r="S449" i="508"/>
  <c r="R449" i="508"/>
  <c r="Q449" i="508"/>
  <c r="P449" i="508"/>
  <c r="O449" i="508"/>
  <c r="I449" i="508"/>
  <c r="G449" i="508"/>
  <c r="AA448" i="508"/>
  <c r="Z448" i="508"/>
  <c r="Y448" i="508"/>
  <c r="X448" i="508"/>
  <c r="U448" i="508"/>
  <c r="T448" i="508"/>
  <c r="S448" i="508"/>
  <c r="R448" i="508"/>
  <c r="Q448" i="508"/>
  <c r="P448" i="508"/>
  <c r="O448" i="508"/>
  <c r="I448" i="508"/>
  <c r="G448" i="508"/>
  <c r="AA447" i="508"/>
  <c r="Z447" i="508"/>
  <c r="Y447" i="508"/>
  <c r="X447" i="508"/>
  <c r="U447" i="508"/>
  <c r="T447" i="508"/>
  <c r="S447" i="508"/>
  <c r="R447" i="508"/>
  <c r="Q447" i="508"/>
  <c r="P447" i="508"/>
  <c r="O447" i="508"/>
  <c r="I447" i="508"/>
  <c r="G447" i="508"/>
  <c r="AA446" i="508"/>
  <c r="Z446" i="508"/>
  <c r="Y446" i="508"/>
  <c r="X446" i="508"/>
  <c r="U446" i="508"/>
  <c r="T446" i="508"/>
  <c r="S446" i="508"/>
  <c r="R446" i="508"/>
  <c r="Q446" i="508"/>
  <c r="P446" i="508"/>
  <c r="O446" i="508"/>
  <c r="I446" i="508"/>
  <c r="G446" i="508"/>
  <c r="AA445" i="508"/>
  <c r="Z445" i="508"/>
  <c r="Y445" i="508"/>
  <c r="X445" i="508"/>
  <c r="U445" i="508"/>
  <c r="T445" i="508"/>
  <c r="S445" i="508"/>
  <c r="R445" i="508"/>
  <c r="Q445" i="508"/>
  <c r="P445" i="508"/>
  <c r="O445" i="508"/>
  <c r="I445" i="508"/>
  <c r="G445" i="508"/>
  <c r="AA444" i="508"/>
  <c r="Z444" i="508"/>
  <c r="Y444" i="508"/>
  <c r="X444" i="508"/>
  <c r="U444" i="508"/>
  <c r="T444" i="508"/>
  <c r="S444" i="508"/>
  <c r="R444" i="508"/>
  <c r="Q444" i="508"/>
  <c r="P444" i="508"/>
  <c r="O444" i="508"/>
  <c r="I444" i="508"/>
  <c r="G444" i="508"/>
  <c r="AA443" i="508"/>
  <c r="Z443" i="508"/>
  <c r="Y443" i="508"/>
  <c r="X443" i="508"/>
  <c r="U443" i="508"/>
  <c r="T443" i="508"/>
  <c r="S443" i="508"/>
  <c r="R443" i="508"/>
  <c r="Q443" i="508"/>
  <c r="P443" i="508"/>
  <c r="O443" i="508"/>
  <c r="I443" i="508"/>
  <c r="G443" i="508"/>
  <c r="AA442" i="508"/>
  <c r="Z442" i="508"/>
  <c r="Y442" i="508"/>
  <c r="X442" i="508"/>
  <c r="U442" i="508"/>
  <c r="T442" i="508"/>
  <c r="S442" i="508"/>
  <c r="R442" i="508"/>
  <c r="Q442" i="508"/>
  <c r="P442" i="508"/>
  <c r="O442" i="508"/>
  <c r="I442" i="508"/>
  <c r="G442" i="508"/>
  <c r="AA441" i="508"/>
  <c r="Z441" i="508"/>
  <c r="Y441" i="508"/>
  <c r="X441" i="508"/>
  <c r="U441" i="508"/>
  <c r="T441" i="508"/>
  <c r="S441" i="508"/>
  <c r="R441" i="508"/>
  <c r="Q441" i="508"/>
  <c r="P441" i="508"/>
  <c r="O441" i="508"/>
  <c r="I441" i="508"/>
  <c r="G441" i="508"/>
  <c r="AA440" i="508"/>
  <c r="Z440" i="508"/>
  <c r="Y440" i="508"/>
  <c r="X440" i="508"/>
  <c r="U440" i="508"/>
  <c r="T440" i="508"/>
  <c r="S440" i="508"/>
  <c r="R440" i="508"/>
  <c r="Q440" i="508"/>
  <c r="P440" i="508"/>
  <c r="O440" i="508"/>
  <c r="I440" i="508"/>
  <c r="G440" i="508"/>
  <c r="AA439" i="508"/>
  <c r="Z439" i="508"/>
  <c r="Y439" i="508"/>
  <c r="X439" i="508"/>
  <c r="U439" i="508"/>
  <c r="T439" i="508"/>
  <c r="S439" i="508"/>
  <c r="R439" i="508"/>
  <c r="Q439" i="508"/>
  <c r="P439" i="508"/>
  <c r="O439" i="508"/>
  <c r="I439" i="508"/>
  <c r="G439" i="508"/>
  <c r="AA438" i="508"/>
  <c r="Z438" i="508"/>
  <c r="Y438" i="508"/>
  <c r="X438" i="508"/>
  <c r="U438" i="508"/>
  <c r="T438" i="508"/>
  <c r="S438" i="508"/>
  <c r="R438" i="508"/>
  <c r="Q438" i="508"/>
  <c r="P438" i="508"/>
  <c r="O438" i="508"/>
  <c r="I438" i="508"/>
  <c r="G438" i="508"/>
  <c r="AA437" i="508"/>
  <c r="Z437" i="508"/>
  <c r="Y437" i="508"/>
  <c r="X437" i="508"/>
  <c r="U437" i="508"/>
  <c r="T437" i="508"/>
  <c r="S437" i="508"/>
  <c r="R437" i="508"/>
  <c r="Q437" i="508"/>
  <c r="P437" i="508"/>
  <c r="O437" i="508"/>
  <c r="I437" i="508"/>
  <c r="G437" i="508"/>
  <c r="AA436" i="508"/>
  <c r="Z436" i="508"/>
  <c r="Y436" i="508"/>
  <c r="X436" i="508"/>
  <c r="U436" i="508"/>
  <c r="T436" i="508"/>
  <c r="S436" i="508"/>
  <c r="R436" i="508"/>
  <c r="Q436" i="508"/>
  <c r="P436" i="508"/>
  <c r="O436" i="508"/>
  <c r="I436" i="508"/>
  <c r="G436" i="508"/>
  <c r="AA435" i="508"/>
  <c r="Z435" i="508"/>
  <c r="Y435" i="508"/>
  <c r="X435" i="508"/>
  <c r="U435" i="508"/>
  <c r="T435" i="508"/>
  <c r="S435" i="508"/>
  <c r="R435" i="508"/>
  <c r="Q435" i="508"/>
  <c r="P435" i="508"/>
  <c r="O435" i="508"/>
  <c r="I435" i="508"/>
  <c r="G435" i="508"/>
  <c r="AA434" i="508"/>
  <c r="Z434" i="508"/>
  <c r="Y434" i="508"/>
  <c r="X434" i="508"/>
  <c r="U434" i="508"/>
  <c r="T434" i="508"/>
  <c r="S434" i="508"/>
  <c r="R434" i="508"/>
  <c r="Q434" i="508"/>
  <c r="P434" i="508"/>
  <c r="O434" i="508"/>
  <c r="I434" i="508"/>
  <c r="G434" i="508"/>
  <c r="AA433" i="508"/>
  <c r="Z433" i="508"/>
  <c r="Y433" i="508"/>
  <c r="X433" i="508"/>
  <c r="U433" i="508"/>
  <c r="T433" i="508"/>
  <c r="S433" i="508"/>
  <c r="R433" i="508"/>
  <c r="Q433" i="508"/>
  <c r="P433" i="508"/>
  <c r="O433" i="508"/>
  <c r="I433" i="508"/>
  <c r="G433" i="508"/>
  <c r="AA432" i="508"/>
  <c r="Z432" i="508"/>
  <c r="Y432" i="508"/>
  <c r="X432" i="508"/>
  <c r="U432" i="508"/>
  <c r="T432" i="508"/>
  <c r="S432" i="508"/>
  <c r="R432" i="508"/>
  <c r="Q432" i="508"/>
  <c r="P432" i="508"/>
  <c r="O432" i="508"/>
  <c r="I432" i="508"/>
  <c r="G432" i="508"/>
  <c r="AA431" i="508"/>
  <c r="Z431" i="508"/>
  <c r="Y431" i="508"/>
  <c r="X431" i="508"/>
  <c r="U431" i="508"/>
  <c r="T431" i="508"/>
  <c r="S431" i="508"/>
  <c r="R431" i="508"/>
  <c r="Q431" i="508"/>
  <c r="P431" i="508"/>
  <c r="O431" i="508"/>
  <c r="I431" i="508"/>
  <c r="G431" i="508"/>
  <c r="AA430" i="508"/>
  <c r="Z430" i="508"/>
  <c r="Y430" i="508"/>
  <c r="X430" i="508"/>
  <c r="U430" i="508"/>
  <c r="T430" i="508"/>
  <c r="S430" i="508"/>
  <c r="R430" i="508"/>
  <c r="Q430" i="508"/>
  <c r="P430" i="508"/>
  <c r="O430" i="508"/>
  <c r="I430" i="508"/>
  <c r="G430" i="508"/>
  <c r="AA429" i="508"/>
  <c r="Z429" i="508"/>
  <c r="Y429" i="508"/>
  <c r="X429" i="508"/>
  <c r="U429" i="508"/>
  <c r="T429" i="508"/>
  <c r="S429" i="508"/>
  <c r="R429" i="508"/>
  <c r="Q429" i="508"/>
  <c r="P429" i="508"/>
  <c r="O429" i="508"/>
  <c r="I429" i="508"/>
  <c r="G429" i="508"/>
  <c r="AA427" i="508"/>
  <c r="Z427" i="508"/>
  <c r="Y427" i="508"/>
  <c r="X427" i="508"/>
  <c r="U427" i="508"/>
  <c r="T427" i="508"/>
  <c r="S427" i="508"/>
  <c r="R427" i="508"/>
  <c r="Q427" i="508"/>
  <c r="P427" i="508"/>
  <c r="O427" i="508"/>
  <c r="I427" i="508"/>
  <c r="G427" i="508"/>
  <c r="AA426" i="508"/>
  <c r="Z426" i="508"/>
  <c r="Y426" i="508"/>
  <c r="X426" i="508"/>
  <c r="U426" i="508"/>
  <c r="T426" i="508"/>
  <c r="S426" i="508"/>
  <c r="R426" i="508"/>
  <c r="Q426" i="508"/>
  <c r="P426" i="508"/>
  <c r="O426" i="508"/>
  <c r="I426" i="508"/>
  <c r="G426" i="508"/>
  <c r="AA425" i="508"/>
  <c r="Z425" i="508"/>
  <c r="Y425" i="508"/>
  <c r="X425" i="508"/>
  <c r="U425" i="508"/>
  <c r="T425" i="508"/>
  <c r="S425" i="508"/>
  <c r="R425" i="508"/>
  <c r="Q425" i="508"/>
  <c r="P425" i="508"/>
  <c r="O425" i="508"/>
  <c r="I425" i="508"/>
  <c r="G425" i="508"/>
  <c r="I424" i="508"/>
  <c r="G424" i="508"/>
  <c r="I423" i="508"/>
  <c r="G423" i="508"/>
  <c r="I422" i="508"/>
  <c r="G422" i="508"/>
  <c r="AA421" i="508"/>
  <c r="Z421" i="508"/>
  <c r="Y421" i="508"/>
  <c r="X421" i="508"/>
  <c r="U421" i="508"/>
  <c r="T421" i="508"/>
  <c r="S421" i="508"/>
  <c r="R421" i="508"/>
  <c r="Q421" i="508"/>
  <c r="P421" i="508"/>
  <c r="O421" i="508"/>
  <c r="I421" i="508"/>
  <c r="G421" i="508"/>
  <c r="AA420" i="508"/>
  <c r="Z420" i="508"/>
  <c r="Y420" i="508"/>
  <c r="X420" i="508"/>
  <c r="U420" i="508"/>
  <c r="T420" i="508"/>
  <c r="S420" i="508"/>
  <c r="R420" i="508"/>
  <c r="Q420" i="508"/>
  <c r="P420" i="508"/>
  <c r="O420" i="508"/>
  <c r="I420" i="508"/>
  <c r="G420" i="508"/>
  <c r="AA419" i="508"/>
  <c r="Z419" i="508"/>
  <c r="Y419" i="508"/>
  <c r="X419" i="508"/>
  <c r="U419" i="508"/>
  <c r="T419" i="508"/>
  <c r="S419" i="508"/>
  <c r="R419" i="508"/>
  <c r="Q419" i="508"/>
  <c r="P419" i="508"/>
  <c r="O419" i="508"/>
  <c r="I419" i="508"/>
  <c r="G419" i="508"/>
  <c r="AA418" i="508"/>
  <c r="Z418" i="508"/>
  <c r="Y418" i="508"/>
  <c r="X418" i="508"/>
  <c r="U418" i="508"/>
  <c r="T418" i="508"/>
  <c r="S418" i="508"/>
  <c r="R418" i="508"/>
  <c r="Q418" i="508"/>
  <c r="P418" i="508"/>
  <c r="O418" i="508"/>
  <c r="I418" i="508"/>
  <c r="G418" i="508"/>
  <c r="AA417" i="508"/>
  <c r="Z417" i="508"/>
  <c r="Y417" i="508"/>
  <c r="X417" i="508"/>
  <c r="U417" i="508"/>
  <c r="T417" i="508"/>
  <c r="S417" i="508"/>
  <c r="R417" i="508"/>
  <c r="Q417" i="508"/>
  <c r="P417" i="508"/>
  <c r="O417" i="508"/>
  <c r="I417" i="508"/>
  <c r="G417" i="508"/>
  <c r="AA416" i="508"/>
  <c r="Z416" i="508"/>
  <c r="Y416" i="508"/>
  <c r="X416" i="508"/>
  <c r="U416" i="508"/>
  <c r="T416" i="508"/>
  <c r="S416" i="508"/>
  <c r="R416" i="508"/>
  <c r="Q416" i="508"/>
  <c r="P416" i="508"/>
  <c r="O416" i="508"/>
  <c r="I416" i="508"/>
  <c r="G416" i="508"/>
  <c r="AA415" i="508"/>
  <c r="Z415" i="508"/>
  <c r="Y415" i="508"/>
  <c r="X415" i="508"/>
  <c r="U415" i="508"/>
  <c r="T415" i="508"/>
  <c r="S415" i="508"/>
  <c r="R415" i="508"/>
  <c r="Q415" i="508"/>
  <c r="P415" i="508"/>
  <c r="O415" i="508"/>
  <c r="I415" i="508"/>
  <c r="G415" i="508"/>
  <c r="AA414" i="508"/>
  <c r="Z414" i="508"/>
  <c r="Y414" i="508"/>
  <c r="X414" i="508"/>
  <c r="U414" i="508"/>
  <c r="T414" i="508"/>
  <c r="S414" i="508"/>
  <c r="R414" i="508"/>
  <c r="Q414" i="508"/>
  <c r="P414" i="508"/>
  <c r="O414" i="508"/>
  <c r="I414" i="508"/>
  <c r="G414" i="508"/>
  <c r="AA413" i="508"/>
  <c r="Z413" i="508"/>
  <c r="Y413" i="508"/>
  <c r="X413" i="508"/>
  <c r="U413" i="508"/>
  <c r="T413" i="508"/>
  <c r="S413" i="508"/>
  <c r="R413" i="508"/>
  <c r="Q413" i="508"/>
  <c r="P413" i="508"/>
  <c r="O413" i="508"/>
  <c r="I413" i="508"/>
  <c r="G413" i="508"/>
  <c r="AA412" i="508"/>
  <c r="Z412" i="508"/>
  <c r="Y412" i="508"/>
  <c r="X412" i="508"/>
  <c r="U412" i="508"/>
  <c r="T412" i="508"/>
  <c r="S412" i="508"/>
  <c r="R412" i="508"/>
  <c r="Q412" i="508"/>
  <c r="P412" i="508"/>
  <c r="O412" i="508"/>
  <c r="I412" i="508"/>
  <c r="G412" i="508"/>
  <c r="AA411" i="508"/>
  <c r="Z411" i="508"/>
  <c r="Y411" i="508"/>
  <c r="X411" i="508"/>
  <c r="U411" i="508"/>
  <c r="T411" i="508"/>
  <c r="S411" i="508"/>
  <c r="R411" i="508"/>
  <c r="Q411" i="508"/>
  <c r="P411" i="508"/>
  <c r="O411" i="508"/>
  <c r="I411" i="508"/>
  <c r="G411" i="508"/>
  <c r="AA410" i="508"/>
  <c r="Z410" i="508"/>
  <c r="Y410" i="508"/>
  <c r="X410" i="508"/>
  <c r="U410" i="508"/>
  <c r="T410" i="508"/>
  <c r="S410" i="508"/>
  <c r="R410" i="508"/>
  <c r="Q410" i="508"/>
  <c r="P410" i="508"/>
  <c r="O410" i="508"/>
  <c r="I410" i="508"/>
  <c r="G410" i="508"/>
  <c r="G409" i="508"/>
  <c r="AA408" i="508"/>
  <c r="Z408" i="508"/>
  <c r="Y408" i="508"/>
  <c r="X408" i="508"/>
  <c r="U408" i="508"/>
  <c r="T408" i="508"/>
  <c r="S408" i="508"/>
  <c r="R408" i="508"/>
  <c r="Q408" i="508"/>
  <c r="P408" i="508"/>
  <c r="O408" i="508"/>
  <c r="I408" i="508"/>
  <c r="G408" i="508"/>
  <c r="AA407" i="508"/>
  <c r="Z407" i="508"/>
  <c r="Y407" i="508"/>
  <c r="X407" i="508"/>
  <c r="U407" i="508"/>
  <c r="T407" i="508"/>
  <c r="S407" i="508"/>
  <c r="R407" i="508"/>
  <c r="Q407" i="508"/>
  <c r="P407" i="508"/>
  <c r="O407" i="508"/>
  <c r="I407" i="508"/>
  <c r="G407" i="508"/>
  <c r="AA406" i="508"/>
  <c r="Z406" i="508"/>
  <c r="Y406" i="508"/>
  <c r="X406" i="508"/>
  <c r="U406" i="508"/>
  <c r="T406" i="508"/>
  <c r="S406" i="508"/>
  <c r="R406" i="508"/>
  <c r="Q406" i="508"/>
  <c r="P406" i="508"/>
  <c r="O406" i="508"/>
  <c r="I406" i="508"/>
  <c r="G406" i="508"/>
  <c r="AA405" i="508"/>
  <c r="Z405" i="508"/>
  <c r="Y405" i="508"/>
  <c r="X405" i="508"/>
  <c r="U405" i="508"/>
  <c r="T405" i="508"/>
  <c r="S405" i="508"/>
  <c r="R405" i="508"/>
  <c r="Q405" i="508"/>
  <c r="P405" i="508"/>
  <c r="O405" i="508"/>
  <c r="I405" i="508"/>
  <c r="G405" i="508"/>
  <c r="AA404" i="508"/>
  <c r="Z404" i="508"/>
  <c r="Y404" i="508"/>
  <c r="X404" i="508"/>
  <c r="U404" i="508"/>
  <c r="T404" i="508"/>
  <c r="S404" i="508"/>
  <c r="R404" i="508"/>
  <c r="Q404" i="508"/>
  <c r="P404" i="508"/>
  <c r="O404" i="508"/>
  <c r="I404" i="508"/>
  <c r="G404" i="508"/>
  <c r="AA403" i="508"/>
  <c r="Z403" i="508"/>
  <c r="Y403" i="508"/>
  <c r="X403" i="508"/>
  <c r="U403" i="508"/>
  <c r="T403" i="508"/>
  <c r="S403" i="508"/>
  <c r="R403" i="508"/>
  <c r="Q403" i="508"/>
  <c r="P403" i="508"/>
  <c r="O403" i="508"/>
  <c r="I403" i="508"/>
  <c r="G403" i="508"/>
  <c r="AA402" i="508"/>
  <c r="Z402" i="508"/>
  <c r="Y402" i="508"/>
  <c r="X402" i="508"/>
  <c r="U402" i="508"/>
  <c r="T402" i="508"/>
  <c r="S402" i="508"/>
  <c r="R402" i="508"/>
  <c r="Q402" i="508"/>
  <c r="P402" i="508"/>
  <c r="O402" i="508"/>
  <c r="I402" i="508"/>
  <c r="G402" i="508"/>
  <c r="AA401" i="508"/>
  <c r="Z401" i="508"/>
  <c r="Y401" i="508"/>
  <c r="X401" i="508"/>
  <c r="U401" i="508"/>
  <c r="T401" i="508"/>
  <c r="S401" i="508"/>
  <c r="R401" i="508"/>
  <c r="Q401" i="508"/>
  <c r="P401" i="508"/>
  <c r="O401" i="508"/>
  <c r="I401" i="508"/>
  <c r="G401" i="508"/>
  <c r="AA400" i="508"/>
  <c r="Z400" i="508"/>
  <c r="Y400" i="508"/>
  <c r="X400" i="508"/>
  <c r="U400" i="508"/>
  <c r="T400" i="508"/>
  <c r="S400" i="508"/>
  <c r="R400" i="508"/>
  <c r="Q400" i="508"/>
  <c r="P400" i="508"/>
  <c r="O400" i="508"/>
  <c r="I400" i="508"/>
  <c r="G400" i="508"/>
  <c r="AA399" i="508"/>
  <c r="Z399" i="508"/>
  <c r="Y399" i="508"/>
  <c r="X399" i="508"/>
  <c r="U399" i="508"/>
  <c r="T399" i="508"/>
  <c r="S399" i="508"/>
  <c r="R399" i="508"/>
  <c r="Q399" i="508"/>
  <c r="P399" i="508"/>
  <c r="O399" i="508"/>
  <c r="I399" i="508"/>
  <c r="G399" i="508"/>
  <c r="AA398" i="508"/>
  <c r="Z398" i="508"/>
  <c r="Y398" i="508"/>
  <c r="X398" i="508"/>
  <c r="U398" i="508"/>
  <c r="T398" i="508"/>
  <c r="S398" i="508"/>
  <c r="R398" i="508"/>
  <c r="Q398" i="508"/>
  <c r="P398" i="508"/>
  <c r="O398" i="508"/>
  <c r="I398" i="508"/>
  <c r="G398" i="508"/>
  <c r="AA397" i="508"/>
  <c r="Z397" i="508"/>
  <c r="Y397" i="508"/>
  <c r="X397" i="508"/>
  <c r="U397" i="508"/>
  <c r="T397" i="508"/>
  <c r="S397" i="508"/>
  <c r="R397" i="508"/>
  <c r="Q397" i="508"/>
  <c r="P397" i="508"/>
  <c r="O397" i="508"/>
  <c r="I397" i="508"/>
  <c r="G397" i="508"/>
  <c r="AA396" i="508"/>
  <c r="Z396" i="508"/>
  <c r="Y396" i="508"/>
  <c r="X396" i="508"/>
  <c r="U396" i="508"/>
  <c r="T396" i="508"/>
  <c r="S396" i="508"/>
  <c r="R396" i="508"/>
  <c r="Q396" i="508"/>
  <c r="P396" i="508"/>
  <c r="O396" i="508"/>
  <c r="I396" i="508"/>
  <c r="G396" i="508"/>
  <c r="AA395" i="508"/>
  <c r="Z395" i="508"/>
  <c r="Y395" i="508"/>
  <c r="X395" i="508"/>
  <c r="U395" i="508"/>
  <c r="T395" i="508"/>
  <c r="S395" i="508"/>
  <c r="R395" i="508"/>
  <c r="Q395" i="508"/>
  <c r="P395" i="508"/>
  <c r="O395" i="508"/>
  <c r="I395" i="508"/>
  <c r="G395" i="508"/>
  <c r="AA394" i="508"/>
  <c r="Z394" i="508"/>
  <c r="Y394" i="508"/>
  <c r="X394" i="508"/>
  <c r="U394" i="508"/>
  <c r="T394" i="508"/>
  <c r="S394" i="508"/>
  <c r="R394" i="508"/>
  <c r="Q394" i="508"/>
  <c r="P394" i="508"/>
  <c r="O394" i="508"/>
  <c r="I394" i="508"/>
  <c r="G394" i="508"/>
  <c r="AA393" i="508"/>
  <c r="Z393" i="508"/>
  <c r="Y393" i="508"/>
  <c r="X393" i="508"/>
  <c r="U393" i="508"/>
  <c r="T393" i="508"/>
  <c r="S393" i="508"/>
  <c r="R393" i="508"/>
  <c r="Q393" i="508"/>
  <c r="P393" i="508"/>
  <c r="O393" i="508"/>
  <c r="I393" i="508"/>
  <c r="G393" i="508"/>
  <c r="AA392" i="508"/>
  <c r="Z392" i="508"/>
  <c r="Y392" i="508"/>
  <c r="X392" i="508"/>
  <c r="U392" i="508"/>
  <c r="T392" i="508"/>
  <c r="S392" i="508"/>
  <c r="R392" i="508"/>
  <c r="Q392" i="508"/>
  <c r="P392" i="508"/>
  <c r="O392" i="508"/>
  <c r="I392" i="508"/>
  <c r="G392" i="508"/>
  <c r="AA391" i="508"/>
  <c r="Z391" i="508"/>
  <c r="Y391" i="508"/>
  <c r="X391" i="508"/>
  <c r="U391" i="508"/>
  <c r="T391" i="508"/>
  <c r="S391" i="508"/>
  <c r="R391" i="508"/>
  <c r="Q391" i="508"/>
  <c r="P391" i="508"/>
  <c r="O391" i="508"/>
  <c r="I391" i="508"/>
  <c r="G391" i="508"/>
  <c r="AA390" i="508"/>
  <c r="Z390" i="508"/>
  <c r="Y390" i="508"/>
  <c r="X390" i="508"/>
  <c r="U390" i="508"/>
  <c r="T390" i="508"/>
  <c r="S390" i="508"/>
  <c r="R390" i="508"/>
  <c r="Q390" i="508"/>
  <c r="P390" i="508"/>
  <c r="O390" i="508"/>
  <c r="I390" i="508"/>
  <c r="G390" i="508"/>
  <c r="AA389" i="508"/>
  <c r="Z389" i="508"/>
  <c r="Y389" i="508"/>
  <c r="X389" i="508"/>
  <c r="U389" i="508"/>
  <c r="T389" i="508"/>
  <c r="S389" i="508"/>
  <c r="R389" i="508"/>
  <c r="Q389" i="508"/>
  <c r="P389" i="508"/>
  <c r="O389" i="508"/>
  <c r="I389" i="508"/>
  <c r="G389" i="508"/>
  <c r="AA388" i="508"/>
  <c r="Z388" i="508"/>
  <c r="Y388" i="508"/>
  <c r="X388" i="508"/>
  <c r="U388" i="508"/>
  <c r="T388" i="508"/>
  <c r="S388" i="508"/>
  <c r="R388" i="508"/>
  <c r="Q388" i="508"/>
  <c r="P388" i="508"/>
  <c r="O388" i="508"/>
  <c r="I388" i="508"/>
  <c r="G388" i="508"/>
  <c r="AA387" i="508"/>
  <c r="Z387" i="508"/>
  <c r="Y387" i="508"/>
  <c r="X387" i="508"/>
  <c r="U387" i="508"/>
  <c r="T387" i="508"/>
  <c r="S387" i="508"/>
  <c r="R387" i="508"/>
  <c r="Q387" i="508"/>
  <c r="P387" i="508"/>
  <c r="O387" i="508"/>
  <c r="I387" i="508"/>
  <c r="G387" i="508"/>
  <c r="AA386" i="508"/>
  <c r="Z386" i="508"/>
  <c r="Y386" i="508"/>
  <c r="X386" i="508"/>
  <c r="U386" i="508"/>
  <c r="T386" i="508"/>
  <c r="S386" i="508"/>
  <c r="R386" i="508"/>
  <c r="Q386" i="508"/>
  <c r="P386" i="508"/>
  <c r="O386" i="508"/>
  <c r="I386" i="508"/>
  <c r="G386" i="508"/>
  <c r="AA385" i="508"/>
  <c r="Z385" i="508"/>
  <c r="Y385" i="508"/>
  <c r="X385" i="508"/>
  <c r="U385" i="508"/>
  <c r="T385" i="508"/>
  <c r="S385" i="508"/>
  <c r="R385" i="508"/>
  <c r="Q385" i="508"/>
  <c r="P385" i="508"/>
  <c r="O385" i="508"/>
  <c r="I385" i="508"/>
  <c r="G385" i="508"/>
  <c r="AA384" i="508"/>
  <c r="Z384" i="508"/>
  <c r="Y384" i="508"/>
  <c r="X384" i="508"/>
  <c r="U384" i="508"/>
  <c r="T384" i="508"/>
  <c r="S384" i="508"/>
  <c r="R384" i="508"/>
  <c r="Q384" i="508"/>
  <c r="P384" i="508"/>
  <c r="O384" i="508"/>
  <c r="I384" i="508"/>
  <c r="G384" i="508"/>
  <c r="AA383" i="508"/>
  <c r="Z383" i="508"/>
  <c r="Y383" i="508"/>
  <c r="X383" i="508"/>
  <c r="U383" i="508"/>
  <c r="T383" i="508"/>
  <c r="S383" i="508"/>
  <c r="R383" i="508"/>
  <c r="Q383" i="508"/>
  <c r="P383" i="508"/>
  <c r="O383" i="508"/>
  <c r="I383" i="508"/>
  <c r="G383" i="508"/>
  <c r="AA382" i="508"/>
  <c r="Z382" i="508"/>
  <c r="Y382" i="508"/>
  <c r="X382" i="508"/>
  <c r="U382" i="508"/>
  <c r="T382" i="508"/>
  <c r="S382" i="508"/>
  <c r="R382" i="508"/>
  <c r="Q382" i="508"/>
  <c r="P382" i="508"/>
  <c r="O382" i="508"/>
  <c r="I382" i="508"/>
  <c r="G382" i="508"/>
  <c r="AA381" i="508"/>
  <c r="Z381" i="508"/>
  <c r="Y381" i="508"/>
  <c r="X381" i="508"/>
  <c r="U381" i="508"/>
  <c r="T381" i="508"/>
  <c r="S381" i="508"/>
  <c r="R381" i="508"/>
  <c r="Q381" i="508"/>
  <c r="P381" i="508"/>
  <c r="O381" i="508"/>
  <c r="I381" i="508"/>
  <c r="G381" i="508"/>
  <c r="AA380" i="508"/>
  <c r="Z380" i="508"/>
  <c r="Y380" i="508"/>
  <c r="X380" i="508"/>
  <c r="U380" i="508"/>
  <c r="T380" i="508"/>
  <c r="S380" i="508"/>
  <c r="R380" i="508"/>
  <c r="Q380" i="508"/>
  <c r="P380" i="508"/>
  <c r="O380" i="508"/>
  <c r="I380" i="508"/>
  <c r="G380" i="508"/>
  <c r="AA379" i="508"/>
  <c r="Z379" i="508"/>
  <c r="Y379" i="508"/>
  <c r="X379" i="508"/>
  <c r="U379" i="508"/>
  <c r="T379" i="508"/>
  <c r="S379" i="508"/>
  <c r="R379" i="508"/>
  <c r="Q379" i="508"/>
  <c r="P379" i="508"/>
  <c r="O379" i="508"/>
  <c r="I379" i="508"/>
  <c r="G379" i="508"/>
  <c r="I378" i="508"/>
  <c r="G378" i="508"/>
  <c r="I377" i="508"/>
  <c r="G377" i="508"/>
  <c r="I376" i="508"/>
  <c r="G376" i="508"/>
  <c r="AA375" i="508"/>
  <c r="Z375" i="508"/>
  <c r="Y375" i="508"/>
  <c r="X375" i="508"/>
  <c r="U375" i="508"/>
  <c r="T375" i="508"/>
  <c r="S375" i="508"/>
  <c r="R375" i="508"/>
  <c r="Q375" i="508"/>
  <c r="P375" i="508"/>
  <c r="O375" i="508"/>
  <c r="I375" i="508"/>
  <c r="G375" i="508"/>
  <c r="AA374" i="508"/>
  <c r="Z374" i="508"/>
  <c r="Y374" i="508"/>
  <c r="X374" i="508"/>
  <c r="U374" i="508"/>
  <c r="T374" i="508"/>
  <c r="S374" i="508"/>
  <c r="R374" i="508"/>
  <c r="Q374" i="508"/>
  <c r="P374" i="508"/>
  <c r="O374" i="508"/>
  <c r="I374" i="508"/>
  <c r="G374" i="508"/>
  <c r="AA373" i="508"/>
  <c r="Z373" i="508"/>
  <c r="Y373" i="508"/>
  <c r="X373" i="508"/>
  <c r="U373" i="508"/>
  <c r="T373" i="508"/>
  <c r="S373" i="508"/>
  <c r="R373" i="508"/>
  <c r="Q373" i="508"/>
  <c r="P373" i="508"/>
  <c r="O373" i="508"/>
  <c r="I373" i="508"/>
  <c r="G373" i="508"/>
  <c r="G372" i="508"/>
  <c r="AA371" i="508"/>
  <c r="Z371" i="508"/>
  <c r="Y371" i="508"/>
  <c r="X371" i="508"/>
  <c r="U371" i="508"/>
  <c r="T371" i="508"/>
  <c r="S371" i="508"/>
  <c r="R371" i="508"/>
  <c r="Q371" i="508"/>
  <c r="P371" i="508"/>
  <c r="O371" i="508"/>
  <c r="I371" i="508"/>
  <c r="G371" i="508"/>
  <c r="AA369" i="508"/>
  <c r="Z369" i="508"/>
  <c r="Y369" i="508"/>
  <c r="X369" i="508"/>
  <c r="U369" i="508"/>
  <c r="T369" i="508"/>
  <c r="S369" i="508"/>
  <c r="R369" i="508"/>
  <c r="Q369" i="508"/>
  <c r="P369" i="508"/>
  <c r="O369" i="508"/>
  <c r="I369" i="508"/>
  <c r="G369" i="508"/>
  <c r="AA368" i="508"/>
  <c r="Z368" i="508"/>
  <c r="Y368" i="508"/>
  <c r="X368" i="508"/>
  <c r="U368" i="508"/>
  <c r="T368" i="508"/>
  <c r="S368" i="508"/>
  <c r="R368" i="508"/>
  <c r="Q368" i="508"/>
  <c r="P368" i="508"/>
  <c r="O368" i="508"/>
  <c r="I368" i="508"/>
  <c r="G368" i="508"/>
  <c r="AA367" i="508"/>
  <c r="Z367" i="508"/>
  <c r="Y367" i="508"/>
  <c r="X367" i="508"/>
  <c r="U367" i="508"/>
  <c r="T367" i="508"/>
  <c r="S367" i="508"/>
  <c r="R367" i="508"/>
  <c r="Q367" i="508"/>
  <c r="P367" i="508"/>
  <c r="O367" i="508"/>
  <c r="I367" i="508"/>
  <c r="G367" i="508"/>
  <c r="AA366" i="508"/>
  <c r="Z366" i="508"/>
  <c r="Y366" i="508"/>
  <c r="X366" i="508"/>
  <c r="U366" i="508"/>
  <c r="T366" i="508"/>
  <c r="S366" i="508"/>
  <c r="R366" i="508"/>
  <c r="Q366" i="508"/>
  <c r="P366" i="508"/>
  <c r="O366" i="508"/>
  <c r="I366" i="508"/>
  <c r="G366" i="508"/>
  <c r="AA365" i="508"/>
  <c r="Z365" i="508"/>
  <c r="Y365" i="508"/>
  <c r="X365" i="508"/>
  <c r="U365" i="508"/>
  <c r="T365" i="508"/>
  <c r="S365" i="508"/>
  <c r="R365" i="508"/>
  <c r="Q365" i="508"/>
  <c r="P365" i="508"/>
  <c r="O365" i="508"/>
  <c r="I365" i="508"/>
  <c r="G365" i="508"/>
  <c r="AA364" i="508"/>
  <c r="Z364" i="508"/>
  <c r="Y364" i="508"/>
  <c r="X364" i="508"/>
  <c r="U364" i="508"/>
  <c r="T364" i="508"/>
  <c r="S364" i="508"/>
  <c r="R364" i="508"/>
  <c r="Q364" i="508"/>
  <c r="P364" i="508"/>
  <c r="O364" i="508"/>
  <c r="I364" i="508"/>
  <c r="G364" i="508"/>
  <c r="AA363" i="508"/>
  <c r="Z363" i="508"/>
  <c r="Y363" i="508"/>
  <c r="X363" i="508"/>
  <c r="U363" i="508"/>
  <c r="T363" i="508"/>
  <c r="S363" i="508"/>
  <c r="R363" i="508"/>
  <c r="Q363" i="508"/>
  <c r="P363" i="508"/>
  <c r="O363" i="508"/>
  <c r="I363" i="508"/>
  <c r="G363" i="508"/>
  <c r="AA362" i="508"/>
  <c r="Z362" i="508"/>
  <c r="Y362" i="508"/>
  <c r="X362" i="508"/>
  <c r="U362" i="508"/>
  <c r="T362" i="508"/>
  <c r="S362" i="508"/>
  <c r="R362" i="508"/>
  <c r="Q362" i="508"/>
  <c r="P362" i="508"/>
  <c r="O362" i="508"/>
  <c r="I362" i="508"/>
  <c r="G362" i="508"/>
  <c r="AA361" i="508"/>
  <c r="Z361" i="508"/>
  <c r="Y361" i="508"/>
  <c r="X361" i="508"/>
  <c r="U361" i="508"/>
  <c r="T361" i="508"/>
  <c r="S361" i="508"/>
  <c r="R361" i="508"/>
  <c r="Q361" i="508"/>
  <c r="P361" i="508"/>
  <c r="O361" i="508"/>
  <c r="I361" i="508"/>
  <c r="G361" i="508"/>
  <c r="G360" i="508"/>
  <c r="G359" i="508"/>
  <c r="AA358" i="508"/>
  <c r="Z358" i="508"/>
  <c r="Y358" i="508"/>
  <c r="X358" i="508"/>
  <c r="U358" i="508"/>
  <c r="T358" i="508"/>
  <c r="S358" i="508"/>
  <c r="R358" i="508"/>
  <c r="Q358" i="508"/>
  <c r="P358" i="508"/>
  <c r="O358" i="508"/>
  <c r="I358" i="508"/>
  <c r="G358" i="508"/>
  <c r="AA357" i="508"/>
  <c r="Z357" i="508"/>
  <c r="Y357" i="508"/>
  <c r="X357" i="508"/>
  <c r="U357" i="508"/>
  <c r="T357" i="508"/>
  <c r="S357" i="508"/>
  <c r="R357" i="508"/>
  <c r="Q357" i="508"/>
  <c r="P357" i="508"/>
  <c r="O357" i="508"/>
  <c r="I357" i="508"/>
  <c r="G357" i="508"/>
  <c r="AA356" i="508"/>
  <c r="Z356" i="508"/>
  <c r="Y356" i="508"/>
  <c r="X356" i="508"/>
  <c r="U356" i="508"/>
  <c r="T356" i="508"/>
  <c r="S356" i="508"/>
  <c r="R356" i="508"/>
  <c r="Q356" i="508"/>
  <c r="P356" i="508"/>
  <c r="O356" i="508"/>
  <c r="I356" i="508"/>
  <c r="G356" i="508"/>
  <c r="AA355" i="508"/>
  <c r="Z355" i="508"/>
  <c r="Y355" i="508"/>
  <c r="X355" i="508"/>
  <c r="U355" i="508"/>
  <c r="T355" i="508"/>
  <c r="S355" i="508"/>
  <c r="R355" i="508"/>
  <c r="Q355" i="508"/>
  <c r="P355" i="508"/>
  <c r="O355" i="508"/>
  <c r="I355" i="508"/>
  <c r="G355" i="508"/>
  <c r="AA354" i="508"/>
  <c r="Z354" i="508"/>
  <c r="Y354" i="508"/>
  <c r="X354" i="508"/>
  <c r="U354" i="508"/>
  <c r="T354" i="508"/>
  <c r="S354" i="508"/>
  <c r="R354" i="508"/>
  <c r="Q354" i="508"/>
  <c r="P354" i="508"/>
  <c r="O354" i="508"/>
  <c r="I354" i="508"/>
  <c r="G354" i="508"/>
  <c r="AA353" i="508"/>
  <c r="Z353" i="508"/>
  <c r="Y353" i="508"/>
  <c r="X353" i="508"/>
  <c r="U353" i="508"/>
  <c r="T353" i="508"/>
  <c r="S353" i="508"/>
  <c r="R353" i="508"/>
  <c r="Q353" i="508"/>
  <c r="P353" i="508"/>
  <c r="O353" i="508"/>
  <c r="I353" i="508"/>
  <c r="G353" i="508"/>
  <c r="AA352" i="508"/>
  <c r="Z352" i="508"/>
  <c r="Y352" i="508"/>
  <c r="X352" i="508"/>
  <c r="U352" i="508"/>
  <c r="T352" i="508"/>
  <c r="S352" i="508"/>
  <c r="R352" i="508"/>
  <c r="Q352" i="508"/>
  <c r="P352" i="508"/>
  <c r="O352" i="508"/>
  <c r="I352" i="508"/>
  <c r="G352" i="508"/>
  <c r="AA351" i="508"/>
  <c r="Z351" i="508"/>
  <c r="Y351" i="508"/>
  <c r="X351" i="508"/>
  <c r="U351" i="508"/>
  <c r="T351" i="508"/>
  <c r="S351" i="508"/>
  <c r="R351" i="508"/>
  <c r="Q351" i="508"/>
  <c r="P351" i="508"/>
  <c r="O351" i="508"/>
  <c r="I351" i="508"/>
  <c r="G351" i="508"/>
  <c r="AA350" i="508"/>
  <c r="Z350" i="508"/>
  <c r="Y350" i="508"/>
  <c r="X350" i="508"/>
  <c r="U350" i="508"/>
  <c r="T350" i="508"/>
  <c r="S350" i="508"/>
  <c r="R350" i="508"/>
  <c r="Q350" i="508"/>
  <c r="P350" i="508"/>
  <c r="O350" i="508"/>
  <c r="I350" i="508"/>
  <c r="G350" i="508"/>
  <c r="AA349" i="508"/>
  <c r="Z349" i="508"/>
  <c r="Y349" i="508"/>
  <c r="X349" i="508"/>
  <c r="U349" i="508"/>
  <c r="T349" i="508"/>
  <c r="S349" i="508"/>
  <c r="R349" i="508"/>
  <c r="Q349" i="508"/>
  <c r="P349" i="508"/>
  <c r="O349" i="508"/>
  <c r="I349" i="508"/>
  <c r="G349" i="508"/>
  <c r="G340" i="508"/>
  <c r="C340" i="508"/>
  <c r="G339" i="508"/>
  <c r="C339" i="508"/>
  <c r="G338" i="508"/>
  <c r="C338" i="508"/>
  <c r="G337" i="508"/>
  <c r="C337" i="508"/>
  <c r="AA333" i="508"/>
  <c r="Z333" i="508"/>
  <c r="Y333" i="508"/>
  <c r="X333" i="508"/>
  <c r="U333" i="508"/>
  <c r="T333" i="508"/>
  <c r="S333" i="508"/>
  <c r="R333" i="508"/>
  <c r="Q333" i="508"/>
  <c r="P333" i="508"/>
  <c r="O333" i="508"/>
  <c r="I333" i="508"/>
  <c r="G333" i="508"/>
  <c r="AA332" i="508"/>
  <c r="Z332" i="508"/>
  <c r="Y332" i="508"/>
  <c r="X332" i="508"/>
  <c r="U332" i="508"/>
  <c r="T332" i="508"/>
  <c r="S332" i="508"/>
  <c r="R332" i="508"/>
  <c r="Q332" i="508"/>
  <c r="P332" i="508"/>
  <c r="O332" i="508"/>
  <c r="I332" i="508"/>
  <c r="G332" i="508"/>
  <c r="AA331" i="508"/>
  <c r="Z331" i="508"/>
  <c r="Y331" i="508"/>
  <c r="X331" i="508"/>
  <c r="U331" i="508"/>
  <c r="T331" i="508"/>
  <c r="S331" i="508"/>
  <c r="R331" i="508"/>
  <c r="Q331" i="508"/>
  <c r="P331" i="508"/>
  <c r="O331" i="508"/>
  <c r="I331" i="508"/>
  <c r="G331" i="508"/>
  <c r="AA330" i="508"/>
  <c r="Z330" i="508"/>
  <c r="Y330" i="508"/>
  <c r="X330" i="508"/>
  <c r="U330" i="508"/>
  <c r="T330" i="508"/>
  <c r="S330" i="508"/>
  <c r="R330" i="508"/>
  <c r="Q330" i="508"/>
  <c r="P330" i="508"/>
  <c r="O330" i="508"/>
  <c r="I330" i="508"/>
  <c r="G330" i="508"/>
  <c r="AA328" i="508"/>
  <c r="Z328" i="508"/>
  <c r="Y328" i="508"/>
  <c r="X328" i="508"/>
  <c r="U328" i="508"/>
  <c r="T328" i="508"/>
  <c r="S328" i="508"/>
  <c r="R328" i="508"/>
  <c r="Q328" i="508"/>
  <c r="P328" i="508"/>
  <c r="O328" i="508"/>
  <c r="I328" i="508"/>
  <c r="G328" i="508"/>
  <c r="I327" i="508"/>
  <c r="G327" i="508"/>
  <c r="AA326" i="508"/>
  <c r="Z326" i="508"/>
  <c r="Y326" i="508"/>
  <c r="X326" i="508"/>
  <c r="U326" i="508"/>
  <c r="T326" i="508"/>
  <c r="S326" i="508"/>
  <c r="R326" i="508"/>
  <c r="Q326" i="508"/>
  <c r="P326" i="508"/>
  <c r="O326" i="508"/>
  <c r="I326" i="508"/>
  <c r="G326" i="508"/>
  <c r="AA325" i="508"/>
  <c r="Z325" i="508"/>
  <c r="Y325" i="508"/>
  <c r="X325" i="508"/>
  <c r="U325" i="508"/>
  <c r="T325" i="508"/>
  <c r="S325" i="508"/>
  <c r="R325" i="508"/>
  <c r="Q325" i="508"/>
  <c r="P325" i="508"/>
  <c r="O325" i="508"/>
  <c r="I325" i="508"/>
  <c r="G325" i="508"/>
  <c r="AA324" i="508"/>
  <c r="Z324" i="508"/>
  <c r="Y324" i="508"/>
  <c r="X324" i="508"/>
  <c r="U324" i="508"/>
  <c r="T324" i="508"/>
  <c r="S324" i="508"/>
  <c r="R324" i="508"/>
  <c r="Q324" i="508"/>
  <c r="P324" i="508"/>
  <c r="O324" i="508"/>
  <c r="I324" i="508"/>
  <c r="G324" i="508"/>
  <c r="AA323" i="508"/>
  <c r="Z323" i="508"/>
  <c r="Y323" i="508"/>
  <c r="X323" i="508"/>
  <c r="U323" i="508"/>
  <c r="T323" i="508"/>
  <c r="S323" i="508"/>
  <c r="R323" i="508"/>
  <c r="Q323" i="508"/>
  <c r="P323" i="508"/>
  <c r="O323" i="508"/>
  <c r="I323" i="508"/>
  <c r="G323" i="508"/>
  <c r="AA322" i="508"/>
  <c r="Z322" i="508"/>
  <c r="Y322" i="508"/>
  <c r="X322" i="508"/>
  <c r="U322" i="508"/>
  <c r="T322" i="508"/>
  <c r="S322" i="508"/>
  <c r="R322" i="508"/>
  <c r="Q322" i="508"/>
  <c r="P322" i="508"/>
  <c r="O322" i="508"/>
  <c r="I322" i="508"/>
  <c r="G322" i="508"/>
  <c r="AA321" i="508"/>
  <c r="Z321" i="508"/>
  <c r="Y321" i="508"/>
  <c r="X321" i="508"/>
  <c r="U321" i="508"/>
  <c r="T321" i="508"/>
  <c r="S321" i="508"/>
  <c r="R321" i="508"/>
  <c r="Q321" i="508"/>
  <c r="P321" i="508"/>
  <c r="O321" i="508"/>
  <c r="I321" i="508"/>
  <c r="G321" i="508"/>
  <c r="AA320" i="508"/>
  <c r="Z320" i="508"/>
  <c r="Y320" i="508"/>
  <c r="X320" i="508"/>
  <c r="U320" i="508"/>
  <c r="T320" i="508"/>
  <c r="S320" i="508"/>
  <c r="R320" i="508"/>
  <c r="Q320" i="508"/>
  <c r="P320" i="508"/>
  <c r="O320" i="508"/>
  <c r="I320" i="508"/>
  <c r="G320" i="508"/>
  <c r="AA318" i="508"/>
  <c r="Z318" i="508"/>
  <c r="Y318" i="508"/>
  <c r="X318" i="508"/>
  <c r="U318" i="508"/>
  <c r="T318" i="508"/>
  <c r="S318" i="508"/>
  <c r="R318" i="508"/>
  <c r="Q318" i="508"/>
  <c r="P318" i="508"/>
  <c r="O318" i="508"/>
  <c r="I318" i="508"/>
  <c r="G318" i="508"/>
  <c r="I314" i="508"/>
  <c r="G314" i="508"/>
  <c r="AA313" i="508"/>
  <c r="Z313" i="508"/>
  <c r="Y313" i="508"/>
  <c r="X313" i="508"/>
  <c r="U313" i="508"/>
  <c r="T313" i="508"/>
  <c r="S313" i="508"/>
  <c r="R313" i="508"/>
  <c r="Q313" i="508"/>
  <c r="P313" i="508"/>
  <c r="O313" i="508"/>
  <c r="I313" i="508"/>
  <c r="G313" i="508"/>
  <c r="AA312" i="508"/>
  <c r="Z312" i="508"/>
  <c r="Y312" i="508"/>
  <c r="X312" i="508"/>
  <c r="U312" i="508"/>
  <c r="T312" i="508"/>
  <c r="S312" i="508"/>
  <c r="R312" i="508"/>
  <c r="Q312" i="508"/>
  <c r="P312" i="508"/>
  <c r="O312" i="508"/>
  <c r="I312" i="508"/>
  <c r="G312" i="508"/>
  <c r="AA311" i="508"/>
  <c r="Z311" i="508"/>
  <c r="Y311" i="508"/>
  <c r="X311" i="508"/>
  <c r="U311" i="508"/>
  <c r="T311" i="508"/>
  <c r="S311" i="508"/>
  <c r="R311" i="508"/>
  <c r="Q311" i="508"/>
  <c r="P311" i="508"/>
  <c r="O311" i="508"/>
  <c r="I311" i="508"/>
  <c r="G311" i="508"/>
  <c r="AA310" i="508"/>
  <c r="Z310" i="508"/>
  <c r="Y310" i="508"/>
  <c r="X310" i="508"/>
  <c r="U310" i="508"/>
  <c r="T310" i="508"/>
  <c r="S310" i="508"/>
  <c r="R310" i="508"/>
  <c r="Q310" i="508"/>
  <c r="P310" i="508"/>
  <c r="O310" i="508"/>
  <c r="I310" i="508"/>
  <c r="G310" i="508"/>
  <c r="AA309" i="508"/>
  <c r="Z309" i="508"/>
  <c r="Y309" i="508"/>
  <c r="X309" i="508"/>
  <c r="U309" i="508"/>
  <c r="T309" i="508"/>
  <c r="S309" i="508"/>
  <c r="R309" i="508"/>
  <c r="Q309" i="508"/>
  <c r="P309" i="508"/>
  <c r="O309" i="508"/>
  <c r="I309" i="508"/>
  <c r="G309" i="508"/>
  <c r="AA307" i="508"/>
  <c r="Z307" i="508"/>
  <c r="Y307" i="508"/>
  <c r="X307" i="508"/>
  <c r="U307" i="508"/>
  <c r="T307" i="508"/>
  <c r="S307" i="508"/>
  <c r="R307" i="508"/>
  <c r="Q307" i="508"/>
  <c r="P307" i="508"/>
  <c r="O307" i="508"/>
  <c r="I307" i="508"/>
  <c r="G307" i="508"/>
  <c r="AA306" i="508"/>
  <c r="Z306" i="508"/>
  <c r="Y306" i="508"/>
  <c r="X306" i="508"/>
  <c r="U306" i="508"/>
  <c r="T306" i="508"/>
  <c r="S306" i="508"/>
  <c r="R306" i="508"/>
  <c r="Q306" i="508"/>
  <c r="P306" i="508"/>
  <c r="O306" i="508"/>
  <c r="I306" i="508"/>
  <c r="G306" i="508"/>
  <c r="AA305" i="508"/>
  <c r="Z305" i="508"/>
  <c r="Y305" i="508"/>
  <c r="X305" i="508"/>
  <c r="U305" i="508"/>
  <c r="T305" i="508"/>
  <c r="S305" i="508"/>
  <c r="R305" i="508"/>
  <c r="Q305" i="508"/>
  <c r="P305" i="508"/>
  <c r="O305" i="508"/>
  <c r="I305" i="508"/>
  <c r="G305" i="508"/>
  <c r="AA304" i="508"/>
  <c r="Z304" i="508"/>
  <c r="Y304" i="508"/>
  <c r="X304" i="508"/>
  <c r="U304" i="508"/>
  <c r="T304" i="508"/>
  <c r="S304" i="508"/>
  <c r="R304" i="508"/>
  <c r="Q304" i="508"/>
  <c r="P304" i="508"/>
  <c r="O304" i="508"/>
  <c r="I304" i="508"/>
  <c r="G304" i="508"/>
  <c r="AA303" i="508"/>
  <c r="Z303" i="508"/>
  <c r="Y303" i="508"/>
  <c r="X303" i="508"/>
  <c r="U303" i="508"/>
  <c r="T303" i="508"/>
  <c r="S303" i="508"/>
  <c r="R303" i="508"/>
  <c r="Q303" i="508"/>
  <c r="P303" i="508"/>
  <c r="O303" i="508"/>
  <c r="I303" i="508"/>
  <c r="G303" i="508"/>
  <c r="AA302" i="508"/>
  <c r="Z302" i="508"/>
  <c r="Y302" i="508"/>
  <c r="X302" i="508"/>
  <c r="U302" i="508"/>
  <c r="T302" i="508"/>
  <c r="S302" i="508"/>
  <c r="R302" i="508"/>
  <c r="Q302" i="508"/>
  <c r="P302" i="508"/>
  <c r="O302" i="508"/>
  <c r="I302" i="508"/>
  <c r="G302" i="508"/>
  <c r="AA301" i="508"/>
  <c r="Z301" i="508"/>
  <c r="Y301" i="508"/>
  <c r="X301" i="508"/>
  <c r="U301" i="508"/>
  <c r="T301" i="508"/>
  <c r="S301" i="508"/>
  <c r="R301" i="508"/>
  <c r="Q301" i="508"/>
  <c r="P301" i="508"/>
  <c r="O301" i="508"/>
  <c r="I301" i="508"/>
  <c r="G301" i="508"/>
  <c r="AA300" i="508"/>
  <c r="Z300" i="508"/>
  <c r="Y300" i="508"/>
  <c r="X300" i="508"/>
  <c r="U300" i="508"/>
  <c r="T300" i="508"/>
  <c r="S300" i="508"/>
  <c r="R300" i="508"/>
  <c r="Q300" i="508"/>
  <c r="P300" i="508"/>
  <c r="O300" i="508"/>
  <c r="I300" i="508"/>
  <c r="G300" i="508"/>
  <c r="AA299" i="508"/>
  <c r="Z299" i="508"/>
  <c r="Y299" i="508"/>
  <c r="X299" i="508"/>
  <c r="U299" i="508"/>
  <c r="T299" i="508"/>
  <c r="S299" i="508"/>
  <c r="R299" i="508"/>
  <c r="Q299" i="508"/>
  <c r="P299" i="508"/>
  <c r="O299" i="508"/>
  <c r="I299" i="508"/>
  <c r="G299" i="508"/>
  <c r="AA298" i="508"/>
  <c r="Z298" i="508"/>
  <c r="Y298" i="508"/>
  <c r="X298" i="508"/>
  <c r="U298" i="508"/>
  <c r="T298" i="508"/>
  <c r="S298" i="508"/>
  <c r="R298" i="508"/>
  <c r="Q298" i="508"/>
  <c r="P298" i="508"/>
  <c r="O298" i="508"/>
  <c r="I298" i="508"/>
  <c r="G298" i="508"/>
  <c r="AA297" i="508"/>
  <c r="Z297" i="508"/>
  <c r="Y297" i="508"/>
  <c r="X297" i="508"/>
  <c r="U297" i="508"/>
  <c r="T297" i="508"/>
  <c r="S297" i="508"/>
  <c r="R297" i="508"/>
  <c r="Q297" i="508"/>
  <c r="P297" i="508"/>
  <c r="O297" i="508"/>
  <c r="I297" i="508"/>
  <c r="G297" i="508"/>
  <c r="AA296" i="508"/>
  <c r="Z296" i="508"/>
  <c r="Y296" i="508"/>
  <c r="X296" i="508"/>
  <c r="U296" i="508"/>
  <c r="T296" i="508"/>
  <c r="S296" i="508"/>
  <c r="R296" i="508"/>
  <c r="Q296" i="508"/>
  <c r="P296" i="508"/>
  <c r="O296" i="508"/>
  <c r="I296" i="508"/>
  <c r="G296" i="508"/>
  <c r="AA295" i="508"/>
  <c r="Z295" i="508"/>
  <c r="Y295" i="508"/>
  <c r="X295" i="508"/>
  <c r="U295" i="508"/>
  <c r="T295" i="508"/>
  <c r="S295" i="508"/>
  <c r="R295" i="508"/>
  <c r="Q295" i="508"/>
  <c r="P295" i="508"/>
  <c r="O295" i="508"/>
  <c r="I295" i="508"/>
  <c r="G295" i="508"/>
  <c r="AA294" i="508"/>
  <c r="Z294" i="508"/>
  <c r="Y294" i="508"/>
  <c r="X294" i="508"/>
  <c r="U294" i="508"/>
  <c r="T294" i="508"/>
  <c r="S294" i="508"/>
  <c r="R294" i="508"/>
  <c r="Q294" i="508"/>
  <c r="P294" i="508"/>
  <c r="O294" i="508"/>
  <c r="I294" i="508"/>
  <c r="G294" i="508"/>
  <c r="AA293" i="508"/>
  <c r="Z293" i="508"/>
  <c r="Y293" i="508"/>
  <c r="X293" i="508"/>
  <c r="U293" i="508"/>
  <c r="T293" i="508"/>
  <c r="S293" i="508"/>
  <c r="R293" i="508"/>
  <c r="Q293" i="508"/>
  <c r="P293" i="508"/>
  <c r="O293" i="508"/>
  <c r="I293" i="508"/>
  <c r="G293" i="508"/>
  <c r="AA291" i="508"/>
  <c r="Z291" i="508"/>
  <c r="Y291" i="508"/>
  <c r="X291" i="508"/>
  <c r="U291" i="508"/>
  <c r="T291" i="508"/>
  <c r="S291" i="508"/>
  <c r="R291" i="508"/>
  <c r="Q291" i="508"/>
  <c r="P291" i="508"/>
  <c r="O291" i="508"/>
  <c r="I291" i="508"/>
  <c r="G291" i="508"/>
  <c r="AA290" i="508"/>
  <c r="Z290" i="508"/>
  <c r="Y290" i="508"/>
  <c r="X290" i="508"/>
  <c r="U290" i="508"/>
  <c r="T290" i="508"/>
  <c r="S290" i="508"/>
  <c r="R290" i="508"/>
  <c r="Q290" i="508"/>
  <c r="P290" i="508"/>
  <c r="O290" i="508"/>
  <c r="I290" i="508"/>
  <c r="G290" i="508"/>
  <c r="AA289" i="508"/>
  <c r="Z289" i="508"/>
  <c r="Y289" i="508"/>
  <c r="X289" i="508"/>
  <c r="U289" i="508"/>
  <c r="T289" i="508"/>
  <c r="S289" i="508"/>
  <c r="R289" i="508"/>
  <c r="Q289" i="508"/>
  <c r="P289" i="508"/>
  <c r="O289" i="508"/>
  <c r="I289" i="508"/>
  <c r="G289" i="508"/>
  <c r="I288" i="508"/>
  <c r="G288" i="508"/>
  <c r="I287" i="508"/>
  <c r="G287" i="508"/>
  <c r="I286" i="508"/>
  <c r="G286" i="508"/>
  <c r="AA285" i="508"/>
  <c r="Z285" i="508"/>
  <c r="Y285" i="508"/>
  <c r="X285" i="508"/>
  <c r="U285" i="508"/>
  <c r="T285" i="508"/>
  <c r="S285" i="508"/>
  <c r="R285" i="508"/>
  <c r="Q285" i="508"/>
  <c r="P285" i="508"/>
  <c r="O285" i="508"/>
  <c r="I285" i="508"/>
  <c r="G285" i="508"/>
  <c r="AA284" i="508"/>
  <c r="Z284" i="508"/>
  <c r="Y284" i="508"/>
  <c r="X284" i="508"/>
  <c r="U284" i="508"/>
  <c r="T284" i="508"/>
  <c r="S284" i="508"/>
  <c r="R284" i="508"/>
  <c r="Q284" i="508"/>
  <c r="P284" i="508"/>
  <c r="O284" i="508"/>
  <c r="I284" i="508"/>
  <c r="G284" i="508"/>
  <c r="AA283" i="508"/>
  <c r="Z283" i="508"/>
  <c r="Y283" i="508"/>
  <c r="X283" i="508"/>
  <c r="U283" i="508"/>
  <c r="T283" i="508"/>
  <c r="S283" i="508"/>
  <c r="R283" i="508"/>
  <c r="Q283" i="508"/>
  <c r="P283" i="508"/>
  <c r="O283" i="508"/>
  <c r="I283" i="508"/>
  <c r="G283" i="508"/>
  <c r="AA282" i="508"/>
  <c r="Z282" i="508"/>
  <c r="Y282" i="508"/>
  <c r="X282" i="508"/>
  <c r="U282" i="508"/>
  <c r="T282" i="508"/>
  <c r="S282" i="508"/>
  <c r="R282" i="508"/>
  <c r="Q282" i="508"/>
  <c r="P282" i="508"/>
  <c r="O282" i="508"/>
  <c r="I282" i="508"/>
  <c r="G282" i="508"/>
  <c r="AA281" i="508"/>
  <c r="Z281" i="508"/>
  <c r="Y281" i="508"/>
  <c r="X281" i="508"/>
  <c r="U281" i="508"/>
  <c r="T281" i="508"/>
  <c r="S281" i="508"/>
  <c r="R281" i="508"/>
  <c r="Q281" i="508"/>
  <c r="P281" i="508"/>
  <c r="O281" i="508"/>
  <c r="I281" i="508"/>
  <c r="G281" i="508"/>
  <c r="AA280" i="508"/>
  <c r="Z280" i="508"/>
  <c r="Y280" i="508"/>
  <c r="X280" i="508"/>
  <c r="U280" i="508"/>
  <c r="T280" i="508"/>
  <c r="S280" i="508"/>
  <c r="R280" i="508"/>
  <c r="Q280" i="508"/>
  <c r="P280" i="508"/>
  <c r="O280" i="508"/>
  <c r="I280" i="508"/>
  <c r="G280" i="508"/>
  <c r="AA279" i="508"/>
  <c r="Z279" i="508"/>
  <c r="Y279" i="508"/>
  <c r="X279" i="508"/>
  <c r="U279" i="508"/>
  <c r="T279" i="508"/>
  <c r="S279" i="508"/>
  <c r="R279" i="508"/>
  <c r="Q279" i="508"/>
  <c r="P279" i="508"/>
  <c r="O279" i="508"/>
  <c r="I279" i="508"/>
  <c r="G279" i="508"/>
  <c r="AA278" i="508"/>
  <c r="Z278" i="508"/>
  <c r="Y278" i="508"/>
  <c r="X278" i="508"/>
  <c r="U278" i="508"/>
  <c r="T278" i="508"/>
  <c r="S278" i="508"/>
  <c r="R278" i="508"/>
  <c r="Q278" i="508"/>
  <c r="P278" i="508"/>
  <c r="O278" i="508"/>
  <c r="I278" i="508"/>
  <c r="G278" i="508"/>
  <c r="AA277" i="508"/>
  <c r="Z277" i="508"/>
  <c r="Y277" i="508"/>
  <c r="X277" i="508"/>
  <c r="U277" i="508"/>
  <c r="T277" i="508"/>
  <c r="S277" i="508"/>
  <c r="R277" i="508"/>
  <c r="Q277" i="508"/>
  <c r="P277" i="508"/>
  <c r="O277" i="508"/>
  <c r="I277" i="508"/>
  <c r="G277" i="508"/>
  <c r="AA276" i="508"/>
  <c r="Z276" i="508"/>
  <c r="Y276" i="508"/>
  <c r="X276" i="508"/>
  <c r="U276" i="508"/>
  <c r="T276" i="508"/>
  <c r="S276" i="508"/>
  <c r="R276" i="508"/>
  <c r="Q276" i="508"/>
  <c r="P276" i="508"/>
  <c r="O276" i="508"/>
  <c r="I276" i="508"/>
  <c r="G276" i="508"/>
  <c r="AA275" i="508"/>
  <c r="Z275" i="508"/>
  <c r="Y275" i="508"/>
  <c r="X275" i="508"/>
  <c r="U275" i="508"/>
  <c r="T275" i="508"/>
  <c r="S275" i="508"/>
  <c r="R275" i="508"/>
  <c r="Q275" i="508"/>
  <c r="P275" i="508"/>
  <c r="O275" i="508"/>
  <c r="I275" i="508"/>
  <c r="G275" i="508"/>
  <c r="AA274" i="508"/>
  <c r="Z274" i="508"/>
  <c r="Y274" i="508"/>
  <c r="X274" i="508"/>
  <c r="U274" i="508"/>
  <c r="T274" i="508"/>
  <c r="S274" i="508"/>
  <c r="R274" i="508"/>
  <c r="Q274" i="508"/>
  <c r="P274" i="508"/>
  <c r="O274" i="508"/>
  <c r="I274" i="508"/>
  <c r="G274" i="508"/>
  <c r="AA273" i="508"/>
  <c r="Z273" i="508"/>
  <c r="Y273" i="508"/>
  <c r="X273" i="508"/>
  <c r="U273" i="508"/>
  <c r="T273" i="508"/>
  <c r="S273" i="508"/>
  <c r="R273" i="508"/>
  <c r="Q273" i="508"/>
  <c r="P273" i="508"/>
  <c r="O273" i="508"/>
  <c r="I273" i="508"/>
  <c r="G273" i="508"/>
  <c r="AA272" i="508"/>
  <c r="Z272" i="508"/>
  <c r="Y272" i="508"/>
  <c r="X272" i="508"/>
  <c r="U272" i="508"/>
  <c r="T272" i="508"/>
  <c r="S272" i="508"/>
  <c r="R272" i="508"/>
  <c r="Q272" i="508"/>
  <c r="P272" i="508"/>
  <c r="O272" i="508"/>
  <c r="I272" i="508"/>
  <c r="G272" i="508"/>
  <c r="AA271" i="508"/>
  <c r="Z271" i="508"/>
  <c r="Y271" i="508"/>
  <c r="X271" i="508"/>
  <c r="U271" i="508"/>
  <c r="T271" i="508"/>
  <c r="S271" i="508"/>
  <c r="R271" i="508"/>
  <c r="Q271" i="508"/>
  <c r="P271" i="508"/>
  <c r="O271" i="508"/>
  <c r="I271" i="508"/>
  <c r="G271" i="508"/>
  <c r="AA270" i="508"/>
  <c r="Z270" i="508"/>
  <c r="Y270" i="508"/>
  <c r="X270" i="508"/>
  <c r="U270" i="508"/>
  <c r="T270" i="508"/>
  <c r="S270" i="508"/>
  <c r="R270" i="508"/>
  <c r="Q270" i="508"/>
  <c r="P270" i="508"/>
  <c r="O270" i="508"/>
  <c r="I270" i="508"/>
  <c r="G270" i="508"/>
  <c r="AA269" i="508"/>
  <c r="Z269" i="508"/>
  <c r="Y269" i="508"/>
  <c r="X269" i="508"/>
  <c r="U269" i="508"/>
  <c r="T269" i="508"/>
  <c r="S269" i="508"/>
  <c r="R269" i="508"/>
  <c r="Q269" i="508"/>
  <c r="P269" i="508"/>
  <c r="O269" i="508"/>
  <c r="I269" i="508"/>
  <c r="G269" i="508"/>
  <c r="AA268" i="508"/>
  <c r="Z268" i="508"/>
  <c r="Y268" i="508"/>
  <c r="X268" i="508"/>
  <c r="U268" i="508"/>
  <c r="T268" i="508"/>
  <c r="S268" i="508"/>
  <c r="R268" i="508"/>
  <c r="Q268" i="508"/>
  <c r="P268" i="508"/>
  <c r="O268" i="508"/>
  <c r="I268" i="508"/>
  <c r="G268" i="508"/>
  <c r="AA267" i="508"/>
  <c r="Z267" i="508"/>
  <c r="Y267" i="508"/>
  <c r="X267" i="508"/>
  <c r="U267" i="508"/>
  <c r="T267" i="508"/>
  <c r="S267" i="508"/>
  <c r="R267" i="508"/>
  <c r="Q267" i="508"/>
  <c r="P267" i="508"/>
  <c r="O267" i="508"/>
  <c r="I267" i="508"/>
  <c r="G267" i="508"/>
  <c r="AA266" i="508"/>
  <c r="Z266" i="508"/>
  <c r="Y266" i="508"/>
  <c r="X266" i="508"/>
  <c r="U266" i="508"/>
  <c r="T266" i="508"/>
  <c r="S266" i="508"/>
  <c r="R266" i="508"/>
  <c r="Q266" i="508"/>
  <c r="P266" i="508"/>
  <c r="O266" i="508"/>
  <c r="I266" i="508"/>
  <c r="G266" i="508"/>
  <c r="AA265" i="508"/>
  <c r="Z265" i="508"/>
  <c r="Y265" i="508"/>
  <c r="X265" i="508"/>
  <c r="U265" i="508"/>
  <c r="T265" i="508"/>
  <c r="S265" i="508"/>
  <c r="R265" i="508"/>
  <c r="Q265" i="508"/>
  <c r="P265" i="508"/>
  <c r="O265" i="508"/>
  <c r="I265" i="508"/>
  <c r="G265" i="508"/>
  <c r="AA264" i="508"/>
  <c r="Z264" i="508"/>
  <c r="Y264" i="508"/>
  <c r="X264" i="508"/>
  <c r="U264" i="508"/>
  <c r="T264" i="508"/>
  <c r="S264" i="508"/>
  <c r="R264" i="508"/>
  <c r="Q264" i="508"/>
  <c r="P264" i="508"/>
  <c r="O264" i="508"/>
  <c r="I264" i="508"/>
  <c r="G264" i="508"/>
  <c r="AA263" i="508"/>
  <c r="Z263" i="508"/>
  <c r="Y263" i="508"/>
  <c r="X263" i="508"/>
  <c r="U263" i="508"/>
  <c r="T263" i="508"/>
  <c r="S263" i="508"/>
  <c r="R263" i="508"/>
  <c r="Q263" i="508"/>
  <c r="P263" i="508"/>
  <c r="O263" i="508"/>
  <c r="I263" i="508"/>
  <c r="G263" i="508"/>
  <c r="AA262" i="508"/>
  <c r="Z262" i="508"/>
  <c r="Y262" i="508"/>
  <c r="X262" i="508"/>
  <c r="U262" i="508"/>
  <c r="T262" i="508"/>
  <c r="S262" i="508"/>
  <c r="R262" i="508"/>
  <c r="Q262" i="508"/>
  <c r="P262" i="508"/>
  <c r="O262" i="508"/>
  <c r="I262" i="508"/>
  <c r="G262" i="508"/>
  <c r="AA261" i="508"/>
  <c r="Z261" i="508"/>
  <c r="Y261" i="508"/>
  <c r="X261" i="508"/>
  <c r="U261" i="508"/>
  <c r="T261" i="508"/>
  <c r="S261" i="508"/>
  <c r="R261" i="508"/>
  <c r="Q261" i="508"/>
  <c r="P261" i="508"/>
  <c r="O261" i="508"/>
  <c r="I261" i="508"/>
  <c r="G261" i="508"/>
  <c r="AA260" i="508"/>
  <c r="Z260" i="508"/>
  <c r="Y260" i="508"/>
  <c r="X260" i="508"/>
  <c r="U260" i="508"/>
  <c r="T260" i="508"/>
  <c r="S260" i="508"/>
  <c r="R260" i="508"/>
  <c r="Q260" i="508"/>
  <c r="P260" i="508"/>
  <c r="O260" i="508"/>
  <c r="I260" i="508"/>
  <c r="G260" i="508"/>
  <c r="AA259" i="508"/>
  <c r="Z259" i="508"/>
  <c r="Y259" i="508"/>
  <c r="X259" i="508"/>
  <c r="U259" i="508"/>
  <c r="T259" i="508"/>
  <c r="S259" i="508"/>
  <c r="R259" i="508"/>
  <c r="Q259" i="508"/>
  <c r="P259" i="508"/>
  <c r="O259" i="508"/>
  <c r="I259" i="508"/>
  <c r="G259" i="508"/>
  <c r="AA258" i="508"/>
  <c r="Z258" i="508"/>
  <c r="Y258" i="508"/>
  <c r="X258" i="508"/>
  <c r="U258" i="508"/>
  <c r="T258" i="508"/>
  <c r="S258" i="508"/>
  <c r="R258" i="508"/>
  <c r="Q258" i="508"/>
  <c r="P258" i="508"/>
  <c r="O258" i="508"/>
  <c r="I258" i="508"/>
  <c r="G258" i="508"/>
  <c r="AA256" i="508"/>
  <c r="Z256" i="508"/>
  <c r="Y256" i="508"/>
  <c r="X256" i="508"/>
  <c r="U256" i="508"/>
  <c r="T256" i="508"/>
  <c r="S256" i="508"/>
  <c r="R256" i="508"/>
  <c r="Q256" i="508"/>
  <c r="P256" i="508"/>
  <c r="O256" i="508"/>
  <c r="I256" i="508"/>
  <c r="G256" i="508"/>
  <c r="AA255" i="508"/>
  <c r="Z255" i="508"/>
  <c r="Y255" i="508"/>
  <c r="X255" i="508"/>
  <c r="U255" i="508"/>
  <c r="T255" i="508"/>
  <c r="S255" i="508"/>
  <c r="R255" i="508"/>
  <c r="Q255" i="508"/>
  <c r="P255" i="508"/>
  <c r="O255" i="508"/>
  <c r="I255" i="508"/>
  <c r="G255" i="508"/>
  <c r="AA254" i="508"/>
  <c r="Z254" i="508"/>
  <c r="Y254" i="508"/>
  <c r="X254" i="508"/>
  <c r="U254" i="508"/>
  <c r="T254" i="508"/>
  <c r="S254" i="508"/>
  <c r="R254" i="508"/>
  <c r="Q254" i="508"/>
  <c r="P254" i="508"/>
  <c r="O254" i="508"/>
  <c r="I254" i="508"/>
  <c r="G254" i="508"/>
  <c r="I253" i="508"/>
  <c r="G253" i="508"/>
  <c r="I252" i="508"/>
  <c r="G252" i="508"/>
  <c r="I251" i="508"/>
  <c r="G251" i="508"/>
  <c r="AA250" i="508"/>
  <c r="Z250" i="508"/>
  <c r="Y250" i="508"/>
  <c r="X250" i="508"/>
  <c r="U250" i="508"/>
  <c r="T250" i="508"/>
  <c r="S250" i="508"/>
  <c r="R250" i="508"/>
  <c r="Q250" i="508"/>
  <c r="P250" i="508"/>
  <c r="O250" i="508"/>
  <c r="N250" i="508"/>
  <c r="I250" i="508"/>
  <c r="G250" i="508"/>
  <c r="AA249" i="508"/>
  <c r="Z249" i="508"/>
  <c r="Y249" i="508"/>
  <c r="X249" i="508"/>
  <c r="U249" i="508"/>
  <c r="T249" i="508"/>
  <c r="S249" i="508"/>
  <c r="R249" i="508"/>
  <c r="Q249" i="508"/>
  <c r="P249" i="508"/>
  <c r="O249" i="508"/>
  <c r="N249" i="508"/>
  <c r="I249" i="508"/>
  <c r="G249" i="508"/>
  <c r="AA248" i="508"/>
  <c r="Z248" i="508"/>
  <c r="Y248" i="508"/>
  <c r="X248" i="508"/>
  <c r="U248" i="508"/>
  <c r="T248" i="508"/>
  <c r="S248" i="508"/>
  <c r="R248" i="508"/>
  <c r="Q248" i="508"/>
  <c r="P248" i="508"/>
  <c r="O248" i="508"/>
  <c r="N248" i="508"/>
  <c r="I248" i="508"/>
  <c r="G248" i="508"/>
  <c r="AA247" i="508"/>
  <c r="Z247" i="508"/>
  <c r="Y247" i="508"/>
  <c r="X247" i="508"/>
  <c r="U247" i="508"/>
  <c r="T247" i="508"/>
  <c r="S247" i="508"/>
  <c r="R247" i="508"/>
  <c r="Q247" i="508"/>
  <c r="P247" i="508"/>
  <c r="O247" i="508"/>
  <c r="N247" i="508"/>
  <c r="I247" i="508"/>
  <c r="G247" i="508"/>
  <c r="AA246" i="508"/>
  <c r="Z246" i="508"/>
  <c r="Y246" i="508"/>
  <c r="X246" i="508"/>
  <c r="U246" i="508"/>
  <c r="T246" i="508"/>
  <c r="S246" i="508"/>
  <c r="R246" i="508"/>
  <c r="Q246" i="508"/>
  <c r="P246" i="508"/>
  <c r="O246" i="508"/>
  <c r="I246" i="508"/>
  <c r="G246" i="508"/>
  <c r="AA245" i="508"/>
  <c r="Z245" i="508"/>
  <c r="Y245" i="508"/>
  <c r="X245" i="508"/>
  <c r="U245" i="508"/>
  <c r="T245" i="508"/>
  <c r="S245" i="508"/>
  <c r="R245" i="508"/>
  <c r="Q245" i="508"/>
  <c r="P245" i="508"/>
  <c r="O245" i="508"/>
  <c r="I245" i="508"/>
  <c r="G245" i="508"/>
  <c r="AA244" i="508"/>
  <c r="Z244" i="508"/>
  <c r="Y244" i="508"/>
  <c r="X244" i="508"/>
  <c r="U244" i="508"/>
  <c r="T244" i="508"/>
  <c r="S244" i="508"/>
  <c r="R244" i="508"/>
  <c r="Q244" i="508"/>
  <c r="P244" i="508"/>
  <c r="O244" i="508"/>
  <c r="I244" i="508"/>
  <c r="G244" i="508"/>
  <c r="AA243" i="508"/>
  <c r="Z243" i="508"/>
  <c r="Y243" i="508"/>
  <c r="X243" i="508"/>
  <c r="U243" i="508"/>
  <c r="T243" i="508"/>
  <c r="S243" i="508"/>
  <c r="R243" i="508"/>
  <c r="Q243" i="508"/>
  <c r="P243" i="508"/>
  <c r="O243" i="508"/>
  <c r="I243" i="508"/>
  <c r="G243" i="508"/>
  <c r="AA242" i="508"/>
  <c r="Z242" i="508"/>
  <c r="Y242" i="508"/>
  <c r="X242" i="508"/>
  <c r="U242" i="508"/>
  <c r="T242" i="508"/>
  <c r="S242" i="508"/>
  <c r="R242" i="508"/>
  <c r="Q242" i="508"/>
  <c r="P242" i="508"/>
  <c r="O242" i="508"/>
  <c r="N242" i="508"/>
  <c r="I242" i="508"/>
  <c r="G242" i="508"/>
  <c r="AA241" i="508"/>
  <c r="Z241" i="508"/>
  <c r="Y241" i="508"/>
  <c r="X241" i="508"/>
  <c r="U241" i="508"/>
  <c r="T241" i="508"/>
  <c r="S241" i="508"/>
  <c r="R241" i="508"/>
  <c r="Q241" i="508"/>
  <c r="P241" i="508"/>
  <c r="O241" i="508"/>
  <c r="I241" i="508"/>
  <c r="G241" i="508"/>
  <c r="AA240" i="508"/>
  <c r="Z240" i="508"/>
  <c r="Y240" i="508"/>
  <c r="X240" i="508"/>
  <c r="U240" i="508"/>
  <c r="T240" i="508"/>
  <c r="S240" i="508"/>
  <c r="R240" i="508"/>
  <c r="Q240" i="508"/>
  <c r="P240" i="508"/>
  <c r="O240" i="508"/>
  <c r="I240" i="508"/>
  <c r="G240" i="508"/>
  <c r="AA239" i="508"/>
  <c r="Z239" i="508"/>
  <c r="Y239" i="508"/>
  <c r="X239" i="508"/>
  <c r="U239" i="508"/>
  <c r="T239" i="508"/>
  <c r="S239" i="508"/>
  <c r="R239" i="508"/>
  <c r="Q239" i="508"/>
  <c r="P239" i="508"/>
  <c r="O239" i="508"/>
  <c r="N239" i="508"/>
  <c r="I239" i="508"/>
  <c r="G239" i="508"/>
  <c r="I238" i="508"/>
  <c r="G238" i="508"/>
  <c r="AA237" i="508"/>
  <c r="Z237" i="508"/>
  <c r="Y237" i="508"/>
  <c r="X237" i="508"/>
  <c r="U237" i="508"/>
  <c r="T237" i="508"/>
  <c r="S237" i="508"/>
  <c r="R237" i="508"/>
  <c r="Q237" i="508"/>
  <c r="P237" i="508"/>
  <c r="O237" i="508"/>
  <c r="I237" i="508"/>
  <c r="G237" i="508"/>
  <c r="AA236" i="508"/>
  <c r="Z236" i="508"/>
  <c r="Y236" i="508"/>
  <c r="X236" i="508"/>
  <c r="U236" i="508"/>
  <c r="T236" i="508"/>
  <c r="S236" i="508"/>
  <c r="R236" i="508"/>
  <c r="Q236" i="508"/>
  <c r="P236" i="508"/>
  <c r="O236" i="508"/>
  <c r="I236" i="508"/>
  <c r="G236" i="508"/>
  <c r="AA235" i="508"/>
  <c r="Z235" i="508"/>
  <c r="Y235" i="508"/>
  <c r="X235" i="508"/>
  <c r="U235" i="508"/>
  <c r="T235" i="508"/>
  <c r="S235" i="508"/>
  <c r="R235" i="508"/>
  <c r="Q235" i="508"/>
  <c r="P235" i="508"/>
  <c r="O235" i="508"/>
  <c r="I235" i="508"/>
  <c r="G235" i="508"/>
  <c r="AA234" i="508"/>
  <c r="Z234" i="508"/>
  <c r="Y234" i="508"/>
  <c r="X234" i="508"/>
  <c r="U234" i="508"/>
  <c r="T234" i="508"/>
  <c r="S234" i="508"/>
  <c r="R234" i="508"/>
  <c r="Q234" i="508"/>
  <c r="P234" i="508"/>
  <c r="O234" i="508"/>
  <c r="I234" i="508"/>
  <c r="G234" i="508"/>
  <c r="AA233" i="508"/>
  <c r="Z233" i="508"/>
  <c r="Y233" i="508"/>
  <c r="X233" i="508"/>
  <c r="U233" i="508"/>
  <c r="T233" i="508"/>
  <c r="S233" i="508"/>
  <c r="R233" i="508"/>
  <c r="Q233" i="508"/>
  <c r="P233" i="508"/>
  <c r="O233" i="508"/>
  <c r="I233" i="508"/>
  <c r="G233" i="508"/>
  <c r="AA232" i="508"/>
  <c r="Z232" i="508"/>
  <c r="Y232" i="508"/>
  <c r="X232" i="508"/>
  <c r="U232" i="508"/>
  <c r="T232" i="508"/>
  <c r="S232" i="508"/>
  <c r="R232" i="508"/>
  <c r="Q232" i="508"/>
  <c r="P232" i="508"/>
  <c r="O232" i="508"/>
  <c r="I232" i="508"/>
  <c r="G232" i="508"/>
  <c r="AA231" i="508"/>
  <c r="Z231" i="508"/>
  <c r="Y231" i="508"/>
  <c r="X231" i="508"/>
  <c r="U231" i="508"/>
  <c r="T231" i="508"/>
  <c r="S231" i="508"/>
  <c r="R231" i="508"/>
  <c r="Q231" i="508"/>
  <c r="P231" i="508"/>
  <c r="O231" i="508"/>
  <c r="I231" i="508"/>
  <c r="G231" i="508"/>
  <c r="AA230" i="508"/>
  <c r="Z230" i="508"/>
  <c r="Y230" i="508"/>
  <c r="X230" i="508"/>
  <c r="U230" i="508"/>
  <c r="T230" i="508"/>
  <c r="S230" i="508"/>
  <c r="R230" i="508"/>
  <c r="Q230" i="508"/>
  <c r="P230" i="508"/>
  <c r="O230" i="508"/>
  <c r="I230" i="508"/>
  <c r="G230" i="508"/>
  <c r="AA229" i="508"/>
  <c r="Z229" i="508"/>
  <c r="Y229" i="508"/>
  <c r="X229" i="508"/>
  <c r="U229" i="508"/>
  <c r="T229" i="508"/>
  <c r="S229" i="508"/>
  <c r="R229" i="508"/>
  <c r="Q229" i="508"/>
  <c r="P229" i="508"/>
  <c r="O229" i="508"/>
  <c r="I229" i="508"/>
  <c r="G229" i="508"/>
  <c r="AA228" i="508"/>
  <c r="Z228" i="508"/>
  <c r="Y228" i="508"/>
  <c r="X228" i="508"/>
  <c r="U228" i="508"/>
  <c r="T228" i="508"/>
  <c r="S228" i="508"/>
  <c r="R228" i="508"/>
  <c r="Q228" i="508"/>
  <c r="P228" i="508"/>
  <c r="O228" i="508"/>
  <c r="I228" i="508"/>
  <c r="G228" i="508"/>
  <c r="AA227" i="508"/>
  <c r="Z227" i="508"/>
  <c r="Y227" i="508"/>
  <c r="X227" i="508"/>
  <c r="U227" i="508"/>
  <c r="T227" i="508"/>
  <c r="S227" i="508"/>
  <c r="R227" i="508"/>
  <c r="Q227" i="508"/>
  <c r="P227" i="508"/>
  <c r="O227" i="508"/>
  <c r="I227" i="508"/>
  <c r="G227" i="508"/>
  <c r="AA226" i="508"/>
  <c r="Z226" i="508"/>
  <c r="Y226" i="508"/>
  <c r="X226" i="508"/>
  <c r="U226" i="508"/>
  <c r="T226" i="508"/>
  <c r="S226" i="508"/>
  <c r="R226" i="508"/>
  <c r="Q226" i="508"/>
  <c r="P226" i="508"/>
  <c r="O226" i="508"/>
  <c r="I226" i="508"/>
  <c r="G226" i="508"/>
  <c r="AA225" i="508"/>
  <c r="Z225" i="508"/>
  <c r="Y225" i="508"/>
  <c r="X225" i="508"/>
  <c r="U225" i="508"/>
  <c r="T225" i="508"/>
  <c r="S225" i="508"/>
  <c r="R225" i="508"/>
  <c r="Q225" i="508"/>
  <c r="P225" i="508"/>
  <c r="O225" i="508"/>
  <c r="I225" i="508"/>
  <c r="G225" i="508"/>
  <c r="AA224" i="508"/>
  <c r="Z224" i="508"/>
  <c r="Y224" i="508"/>
  <c r="X224" i="508"/>
  <c r="U224" i="508"/>
  <c r="T224" i="508"/>
  <c r="S224" i="508"/>
  <c r="R224" i="508"/>
  <c r="Q224" i="508"/>
  <c r="P224" i="508"/>
  <c r="O224" i="508"/>
  <c r="I224" i="508"/>
  <c r="G224" i="508"/>
  <c r="AA223" i="508"/>
  <c r="Z223" i="508"/>
  <c r="Y223" i="508"/>
  <c r="X223" i="508"/>
  <c r="U223" i="508"/>
  <c r="T223" i="508"/>
  <c r="S223" i="508"/>
  <c r="R223" i="508"/>
  <c r="Q223" i="508"/>
  <c r="P223" i="508"/>
  <c r="O223" i="508"/>
  <c r="I223" i="508"/>
  <c r="G223" i="508"/>
  <c r="AA222" i="508"/>
  <c r="Z222" i="508"/>
  <c r="Y222" i="508"/>
  <c r="X222" i="508"/>
  <c r="U222" i="508"/>
  <c r="T222" i="508"/>
  <c r="S222" i="508"/>
  <c r="R222" i="508"/>
  <c r="Q222" i="508"/>
  <c r="P222" i="508"/>
  <c r="O222" i="508"/>
  <c r="I222" i="508"/>
  <c r="G222" i="508"/>
  <c r="AA221" i="508"/>
  <c r="Z221" i="508"/>
  <c r="Y221" i="508"/>
  <c r="X221" i="508"/>
  <c r="U221" i="508"/>
  <c r="T221" i="508"/>
  <c r="S221" i="508"/>
  <c r="R221" i="508"/>
  <c r="Q221" i="508"/>
  <c r="P221" i="508"/>
  <c r="O221" i="508"/>
  <c r="I221" i="508"/>
  <c r="G221" i="508"/>
  <c r="AA220" i="508"/>
  <c r="Z220" i="508"/>
  <c r="Y220" i="508"/>
  <c r="X220" i="508"/>
  <c r="U220" i="508"/>
  <c r="T220" i="508"/>
  <c r="S220" i="508"/>
  <c r="R220" i="508"/>
  <c r="Q220" i="508"/>
  <c r="P220" i="508"/>
  <c r="O220" i="508"/>
  <c r="I220" i="508"/>
  <c r="G220" i="508"/>
  <c r="AA219" i="508"/>
  <c r="Z219" i="508"/>
  <c r="Y219" i="508"/>
  <c r="X219" i="508"/>
  <c r="U219" i="508"/>
  <c r="T219" i="508"/>
  <c r="S219" i="508"/>
  <c r="R219" i="508"/>
  <c r="Q219" i="508"/>
  <c r="P219" i="508"/>
  <c r="O219" i="508"/>
  <c r="I219" i="508"/>
  <c r="G219" i="508"/>
  <c r="AA218" i="508"/>
  <c r="Z218" i="508"/>
  <c r="Y218" i="508"/>
  <c r="X218" i="508"/>
  <c r="U218" i="508"/>
  <c r="T218" i="508"/>
  <c r="S218" i="508"/>
  <c r="R218" i="508"/>
  <c r="Q218" i="508"/>
  <c r="P218" i="508"/>
  <c r="O218" i="508"/>
  <c r="I218" i="508"/>
  <c r="G218" i="508"/>
  <c r="AA217" i="508"/>
  <c r="Z217" i="508"/>
  <c r="Y217" i="508"/>
  <c r="X217" i="508"/>
  <c r="U217" i="508"/>
  <c r="T217" i="508"/>
  <c r="S217" i="508"/>
  <c r="R217" i="508"/>
  <c r="Q217" i="508"/>
  <c r="P217" i="508"/>
  <c r="O217" i="508"/>
  <c r="I217" i="508"/>
  <c r="G217" i="508"/>
  <c r="AA216" i="508"/>
  <c r="Z216" i="508"/>
  <c r="Y216" i="508"/>
  <c r="X216" i="508"/>
  <c r="U216" i="508"/>
  <c r="T216" i="508"/>
  <c r="S216" i="508"/>
  <c r="R216" i="508"/>
  <c r="Q216" i="508"/>
  <c r="P216" i="508"/>
  <c r="O216" i="508"/>
  <c r="I216" i="508"/>
  <c r="G216" i="508"/>
  <c r="AA215" i="508"/>
  <c r="Z215" i="508"/>
  <c r="Y215" i="508"/>
  <c r="X215" i="508"/>
  <c r="U215" i="508"/>
  <c r="T215" i="508"/>
  <c r="S215" i="508"/>
  <c r="R215" i="508"/>
  <c r="Q215" i="508"/>
  <c r="P215" i="508"/>
  <c r="O215" i="508"/>
  <c r="I215" i="508"/>
  <c r="G215" i="508"/>
  <c r="AA214" i="508"/>
  <c r="Z214" i="508"/>
  <c r="Y214" i="508"/>
  <c r="X214" i="508"/>
  <c r="U214" i="508"/>
  <c r="T214" i="508"/>
  <c r="S214" i="508"/>
  <c r="R214" i="508"/>
  <c r="Q214" i="508"/>
  <c r="P214" i="508"/>
  <c r="O214" i="508"/>
  <c r="I214" i="508"/>
  <c r="G214" i="508"/>
  <c r="AA213" i="508"/>
  <c r="Z213" i="508"/>
  <c r="Y213" i="508"/>
  <c r="X213" i="508"/>
  <c r="U213" i="508"/>
  <c r="T213" i="508"/>
  <c r="S213" i="508"/>
  <c r="R213" i="508"/>
  <c r="Q213" i="508"/>
  <c r="P213" i="508"/>
  <c r="O213" i="508"/>
  <c r="I213" i="508"/>
  <c r="G213" i="508"/>
  <c r="AA212" i="508"/>
  <c r="Z212" i="508"/>
  <c r="Y212" i="508"/>
  <c r="X212" i="508"/>
  <c r="U212" i="508"/>
  <c r="T212" i="508"/>
  <c r="S212" i="508"/>
  <c r="R212" i="508"/>
  <c r="Q212" i="508"/>
  <c r="P212" i="508"/>
  <c r="O212" i="508"/>
  <c r="I212" i="508"/>
  <c r="G212" i="508"/>
  <c r="AA211" i="508"/>
  <c r="Z211" i="508"/>
  <c r="Y211" i="508"/>
  <c r="X211" i="508"/>
  <c r="U211" i="508"/>
  <c r="T211" i="508"/>
  <c r="S211" i="508"/>
  <c r="R211" i="508"/>
  <c r="Q211" i="508"/>
  <c r="P211" i="508"/>
  <c r="O211" i="508"/>
  <c r="I211" i="508"/>
  <c r="G211" i="508"/>
  <c r="AA210" i="508"/>
  <c r="Z210" i="508"/>
  <c r="Y210" i="508"/>
  <c r="X210" i="508"/>
  <c r="U210" i="508"/>
  <c r="T210" i="508"/>
  <c r="S210" i="508"/>
  <c r="R210" i="508"/>
  <c r="Q210" i="508"/>
  <c r="P210" i="508"/>
  <c r="O210" i="508"/>
  <c r="I210" i="508"/>
  <c r="G210" i="508"/>
  <c r="AA209" i="508"/>
  <c r="Z209" i="508"/>
  <c r="Y209" i="508"/>
  <c r="X209" i="508"/>
  <c r="U209" i="508"/>
  <c r="T209" i="508"/>
  <c r="S209" i="508"/>
  <c r="R209" i="508"/>
  <c r="Q209" i="508"/>
  <c r="P209" i="508"/>
  <c r="O209" i="508"/>
  <c r="I209" i="508"/>
  <c r="G209" i="508"/>
  <c r="AA208" i="508"/>
  <c r="Z208" i="508"/>
  <c r="Y208" i="508"/>
  <c r="X208" i="508"/>
  <c r="U208" i="508"/>
  <c r="T208" i="508"/>
  <c r="S208" i="508"/>
  <c r="R208" i="508"/>
  <c r="Q208" i="508"/>
  <c r="P208" i="508"/>
  <c r="O208" i="508"/>
  <c r="I208" i="508"/>
  <c r="G208" i="508"/>
  <c r="I207" i="508"/>
  <c r="G207" i="508"/>
  <c r="I206" i="508"/>
  <c r="G206" i="508"/>
  <c r="I205" i="508"/>
  <c r="G205" i="508"/>
  <c r="AA204" i="508"/>
  <c r="Z204" i="508"/>
  <c r="Y204" i="508"/>
  <c r="X204" i="508"/>
  <c r="U204" i="508"/>
  <c r="T204" i="508"/>
  <c r="S204" i="508"/>
  <c r="R204" i="508"/>
  <c r="Q204" i="508"/>
  <c r="P204" i="508"/>
  <c r="O204" i="508"/>
  <c r="I204" i="508"/>
  <c r="G204" i="508"/>
  <c r="AA203" i="508"/>
  <c r="Z203" i="508"/>
  <c r="Y203" i="508"/>
  <c r="X203" i="508"/>
  <c r="U203" i="508"/>
  <c r="T203" i="508"/>
  <c r="S203" i="508"/>
  <c r="R203" i="508"/>
  <c r="Q203" i="508"/>
  <c r="P203" i="508"/>
  <c r="O203" i="508"/>
  <c r="I203" i="508"/>
  <c r="G203" i="508"/>
  <c r="AA202" i="508"/>
  <c r="Z202" i="508"/>
  <c r="Y202" i="508"/>
  <c r="X202" i="508"/>
  <c r="U202" i="508"/>
  <c r="T202" i="508"/>
  <c r="S202" i="508"/>
  <c r="R202" i="508"/>
  <c r="Q202" i="508"/>
  <c r="P202" i="508"/>
  <c r="O202" i="508"/>
  <c r="I202" i="508"/>
  <c r="G202" i="508"/>
  <c r="I201" i="508"/>
  <c r="G201" i="508"/>
  <c r="AA200" i="508"/>
  <c r="Z200" i="508"/>
  <c r="Y200" i="508"/>
  <c r="X200" i="508"/>
  <c r="U200" i="508"/>
  <c r="T200" i="508"/>
  <c r="S200" i="508"/>
  <c r="R200" i="508"/>
  <c r="Q200" i="508"/>
  <c r="P200" i="508"/>
  <c r="O200" i="508"/>
  <c r="I200" i="508"/>
  <c r="G200" i="508"/>
  <c r="AA198" i="508"/>
  <c r="Z198" i="508"/>
  <c r="Y198" i="508"/>
  <c r="X198" i="508"/>
  <c r="U198" i="508"/>
  <c r="T198" i="508"/>
  <c r="S198" i="508"/>
  <c r="R198" i="508"/>
  <c r="Q198" i="508"/>
  <c r="P198" i="508"/>
  <c r="O198" i="508"/>
  <c r="I198" i="508"/>
  <c r="G198" i="508"/>
  <c r="AA197" i="508"/>
  <c r="Z197" i="508"/>
  <c r="Y197" i="508"/>
  <c r="X197" i="508"/>
  <c r="U197" i="508"/>
  <c r="T197" i="508"/>
  <c r="S197" i="508"/>
  <c r="R197" i="508"/>
  <c r="Q197" i="508"/>
  <c r="P197" i="508"/>
  <c r="O197" i="508"/>
  <c r="I197" i="508"/>
  <c r="G197" i="508"/>
  <c r="AA196" i="508"/>
  <c r="Z196" i="508"/>
  <c r="Y196" i="508"/>
  <c r="X196" i="508"/>
  <c r="U196" i="508"/>
  <c r="T196" i="508"/>
  <c r="S196" i="508"/>
  <c r="R196" i="508"/>
  <c r="Q196" i="508"/>
  <c r="P196" i="508"/>
  <c r="O196" i="508"/>
  <c r="N196" i="508"/>
  <c r="I196" i="508"/>
  <c r="G196" i="508"/>
  <c r="AA195" i="508"/>
  <c r="Z195" i="508"/>
  <c r="Y195" i="508"/>
  <c r="X195" i="508"/>
  <c r="U195" i="508"/>
  <c r="T195" i="508"/>
  <c r="S195" i="508"/>
  <c r="R195" i="508"/>
  <c r="Q195" i="508"/>
  <c r="P195" i="508"/>
  <c r="O195" i="508"/>
  <c r="N195" i="508"/>
  <c r="I195" i="508"/>
  <c r="G195" i="508"/>
  <c r="AA194" i="508"/>
  <c r="Z194" i="508"/>
  <c r="Y194" i="508"/>
  <c r="X194" i="508"/>
  <c r="U194" i="508"/>
  <c r="T194" i="508"/>
  <c r="S194" i="508"/>
  <c r="R194" i="508"/>
  <c r="Q194" i="508"/>
  <c r="P194" i="508"/>
  <c r="O194" i="508"/>
  <c r="N194" i="508"/>
  <c r="I194" i="508"/>
  <c r="G194" i="508"/>
  <c r="AA193" i="508"/>
  <c r="Z193" i="508"/>
  <c r="Y193" i="508"/>
  <c r="X193" i="508"/>
  <c r="U193" i="508"/>
  <c r="T193" i="508"/>
  <c r="S193" i="508"/>
  <c r="R193" i="508"/>
  <c r="Q193" i="508"/>
  <c r="P193" i="508"/>
  <c r="O193" i="508"/>
  <c r="N193" i="508"/>
  <c r="I193" i="508"/>
  <c r="G193" i="508"/>
  <c r="AA192" i="508"/>
  <c r="Z192" i="508"/>
  <c r="Y192" i="508"/>
  <c r="X192" i="508"/>
  <c r="U192" i="508"/>
  <c r="T192" i="508"/>
  <c r="S192" i="508"/>
  <c r="R192" i="508"/>
  <c r="Q192" i="508"/>
  <c r="P192" i="508"/>
  <c r="O192" i="508"/>
  <c r="I192" i="508"/>
  <c r="G192" i="508"/>
  <c r="AA191" i="508"/>
  <c r="Z191" i="508"/>
  <c r="Y191" i="508"/>
  <c r="X191" i="508"/>
  <c r="U191" i="508"/>
  <c r="T191" i="508"/>
  <c r="S191" i="508"/>
  <c r="R191" i="508"/>
  <c r="Q191" i="508"/>
  <c r="P191" i="508"/>
  <c r="O191" i="508"/>
  <c r="I191" i="508"/>
  <c r="G191" i="508"/>
  <c r="AA190" i="508"/>
  <c r="Z190" i="508"/>
  <c r="Y190" i="508"/>
  <c r="X190" i="508"/>
  <c r="U190" i="508"/>
  <c r="T190" i="508"/>
  <c r="S190" i="508"/>
  <c r="R190" i="508"/>
  <c r="Q190" i="508"/>
  <c r="P190" i="508"/>
  <c r="O190" i="508"/>
  <c r="I190" i="508"/>
  <c r="G190" i="508"/>
  <c r="AA189" i="508"/>
  <c r="Z189" i="508"/>
  <c r="Y189" i="508"/>
  <c r="X189" i="508"/>
  <c r="U189" i="508"/>
  <c r="T189" i="508"/>
  <c r="S189" i="508"/>
  <c r="R189" i="508"/>
  <c r="Q189" i="508"/>
  <c r="P189" i="508"/>
  <c r="O189" i="508"/>
  <c r="I189" i="508"/>
  <c r="G189" i="508"/>
  <c r="AA188" i="508"/>
  <c r="Z188" i="508"/>
  <c r="Y188" i="508"/>
  <c r="X188" i="508"/>
  <c r="U188" i="508"/>
  <c r="T188" i="508"/>
  <c r="S188" i="508"/>
  <c r="R188" i="508"/>
  <c r="Q188" i="508"/>
  <c r="P188" i="508"/>
  <c r="O188" i="508"/>
  <c r="I188" i="508"/>
  <c r="G188" i="508"/>
  <c r="AA187" i="508"/>
  <c r="Z187" i="508"/>
  <c r="Y187" i="508"/>
  <c r="X187" i="508"/>
  <c r="U187" i="508"/>
  <c r="T187" i="508"/>
  <c r="S187" i="508"/>
  <c r="R187" i="508"/>
  <c r="Q187" i="508"/>
  <c r="P187" i="508"/>
  <c r="O187" i="508"/>
  <c r="I187" i="508"/>
  <c r="G187" i="508"/>
  <c r="AA186" i="508"/>
  <c r="Z186" i="508"/>
  <c r="Y186" i="508"/>
  <c r="X186" i="508"/>
  <c r="U186" i="508"/>
  <c r="T186" i="508"/>
  <c r="S186" i="508"/>
  <c r="R186" i="508"/>
  <c r="Q186" i="508"/>
  <c r="P186" i="508"/>
  <c r="O186" i="508"/>
  <c r="I186" i="508"/>
  <c r="G186" i="508"/>
  <c r="AA185" i="508"/>
  <c r="Z185" i="508"/>
  <c r="Y185" i="508"/>
  <c r="X185" i="508"/>
  <c r="U185" i="508"/>
  <c r="T185" i="508"/>
  <c r="S185" i="508"/>
  <c r="R185" i="508"/>
  <c r="Q185" i="508"/>
  <c r="P185" i="508"/>
  <c r="O185" i="508"/>
  <c r="I185" i="508"/>
  <c r="G185" i="508"/>
  <c r="AA184" i="508"/>
  <c r="Z184" i="508"/>
  <c r="Y184" i="508"/>
  <c r="X184" i="508"/>
  <c r="U184" i="508"/>
  <c r="T184" i="508"/>
  <c r="S184" i="508"/>
  <c r="R184" i="508"/>
  <c r="Q184" i="508"/>
  <c r="P184" i="508"/>
  <c r="O184" i="508"/>
  <c r="I184" i="508"/>
  <c r="G184" i="508"/>
  <c r="AA183" i="508"/>
  <c r="Z183" i="508"/>
  <c r="Y183" i="508"/>
  <c r="X183" i="508"/>
  <c r="U183" i="508"/>
  <c r="T183" i="508"/>
  <c r="S183" i="508"/>
  <c r="R183" i="508"/>
  <c r="Q183" i="508"/>
  <c r="P183" i="508"/>
  <c r="O183" i="508"/>
  <c r="I183" i="508"/>
  <c r="G183" i="508"/>
  <c r="AA182" i="508"/>
  <c r="Z182" i="508"/>
  <c r="Y182" i="508"/>
  <c r="X182" i="508"/>
  <c r="U182" i="508"/>
  <c r="T182" i="508"/>
  <c r="S182" i="508"/>
  <c r="R182" i="508"/>
  <c r="Q182" i="508"/>
  <c r="P182" i="508"/>
  <c r="O182" i="508"/>
  <c r="I182" i="508"/>
  <c r="G182" i="508"/>
  <c r="AA181" i="508"/>
  <c r="Z181" i="508"/>
  <c r="Y181" i="508"/>
  <c r="X181" i="508"/>
  <c r="U181" i="508"/>
  <c r="T181" i="508"/>
  <c r="S181" i="508"/>
  <c r="R181" i="508"/>
  <c r="Q181" i="508"/>
  <c r="P181" i="508"/>
  <c r="O181" i="508"/>
  <c r="I181" i="508"/>
  <c r="G181" i="508"/>
  <c r="AA180" i="508"/>
  <c r="Z180" i="508"/>
  <c r="Y180" i="508"/>
  <c r="X180" i="508"/>
  <c r="U180" i="508"/>
  <c r="T180" i="508"/>
  <c r="S180" i="508"/>
  <c r="R180" i="508"/>
  <c r="Q180" i="508"/>
  <c r="P180" i="508"/>
  <c r="O180" i="508"/>
  <c r="I180" i="508"/>
  <c r="G180" i="508"/>
  <c r="AA179" i="508"/>
  <c r="Z179" i="508"/>
  <c r="Y179" i="508"/>
  <c r="X179" i="508"/>
  <c r="U179" i="508"/>
  <c r="T179" i="508"/>
  <c r="S179" i="508"/>
  <c r="R179" i="508"/>
  <c r="Q179" i="508"/>
  <c r="P179" i="508"/>
  <c r="O179" i="508"/>
  <c r="I179" i="508"/>
  <c r="G179" i="508"/>
  <c r="AA178" i="508"/>
  <c r="Z178" i="508"/>
  <c r="Y178" i="508"/>
  <c r="X178" i="508"/>
  <c r="U178" i="508"/>
  <c r="T178" i="508"/>
  <c r="S178" i="508"/>
  <c r="R178" i="508"/>
  <c r="Q178" i="508"/>
  <c r="P178" i="508"/>
  <c r="O178" i="508"/>
  <c r="I178" i="508"/>
  <c r="G178" i="508"/>
  <c r="G169" i="508"/>
  <c r="C169" i="508"/>
  <c r="G168" i="508"/>
  <c r="C168" i="508"/>
  <c r="G167" i="508"/>
  <c r="C167" i="508"/>
  <c r="G166" i="508"/>
  <c r="C166" i="508"/>
  <c r="I162" i="508"/>
  <c r="G162" i="508"/>
  <c r="AA161" i="508"/>
  <c r="Z161" i="508"/>
  <c r="Y161" i="508"/>
  <c r="X161" i="508"/>
  <c r="U161" i="508"/>
  <c r="T161" i="508"/>
  <c r="S161" i="508"/>
  <c r="R161" i="508"/>
  <c r="Q161" i="508"/>
  <c r="P161" i="508"/>
  <c r="O161" i="508"/>
  <c r="N161" i="508"/>
  <c r="I161" i="508"/>
  <c r="G161" i="508"/>
  <c r="AA160" i="508"/>
  <c r="Z160" i="508"/>
  <c r="Y160" i="508"/>
  <c r="X160" i="508"/>
  <c r="U160" i="508"/>
  <c r="T160" i="508"/>
  <c r="S160" i="508"/>
  <c r="R160" i="508"/>
  <c r="Q160" i="508"/>
  <c r="P160" i="508"/>
  <c r="O160" i="508"/>
  <c r="N160" i="508"/>
  <c r="I160" i="508"/>
  <c r="G160" i="508"/>
  <c r="AA159" i="508"/>
  <c r="Z159" i="508"/>
  <c r="Y159" i="508"/>
  <c r="X159" i="508"/>
  <c r="U159" i="508"/>
  <c r="T159" i="508"/>
  <c r="S159" i="508"/>
  <c r="R159" i="508"/>
  <c r="Q159" i="508"/>
  <c r="P159" i="508"/>
  <c r="O159" i="508"/>
  <c r="I159" i="508"/>
  <c r="G159" i="508"/>
  <c r="AA158" i="508"/>
  <c r="Z158" i="508"/>
  <c r="Y158" i="508"/>
  <c r="X158" i="508"/>
  <c r="U158" i="508"/>
  <c r="T158" i="508"/>
  <c r="S158" i="508"/>
  <c r="R158" i="508"/>
  <c r="Q158" i="508"/>
  <c r="P158" i="508"/>
  <c r="O158" i="508"/>
  <c r="I158" i="508"/>
  <c r="G158" i="508"/>
  <c r="G157" i="508"/>
  <c r="I156" i="508"/>
  <c r="G156" i="508"/>
  <c r="AA155" i="508"/>
  <c r="Z155" i="508"/>
  <c r="Y155" i="508"/>
  <c r="X155" i="508"/>
  <c r="U155" i="508"/>
  <c r="T155" i="508"/>
  <c r="S155" i="508"/>
  <c r="R155" i="508"/>
  <c r="Q155" i="508"/>
  <c r="P155" i="508"/>
  <c r="O155" i="508"/>
  <c r="I155" i="508"/>
  <c r="G155" i="508"/>
  <c r="AA154" i="508"/>
  <c r="Z154" i="508"/>
  <c r="Y154" i="508"/>
  <c r="X154" i="508"/>
  <c r="U154" i="508"/>
  <c r="T154" i="508"/>
  <c r="S154" i="508"/>
  <c r="R154" i="508"/>
  <c r="Q154" i="508"/>
  <c r="P154" i="508"/>
  <c r="O154" i="508"/>
  <c r="I154" i="508"/>
  <c r="G154" i="508"/>
  <c r="AA153" i="508"/>
  <c r="Z153" i="508"/>
  <c r="Y153" i="508"/>
  <c r="X153" i="508"/>
  <c r="U153" i="508"/>
  <c r="T153" i="508"/>
  <c r="S153" i="508"/>
  <c r="R153" i="508"/>
  <c r="Q153" i="508"/>
  <c r="P153" i="508"/>
  <c r="O153" i="508"/>
  <c r="N153" i="508"/>
  <c r="I153" i="508"/>
  <c r="G153" i="508"/>
  <c r="AA152" i="508"/>
  <c r="Z152" i="508"/>
  <c r="Y152" i="508"/>
  <c r="X152" i="508"/>
  <c r="U152" i="508"/>
  <c r="T152" i="508"/>
  <c r="S152" i="508"/>
  <c r="R152" i="508"/>
  <c r="Q152" i="508"/>
  <c r="P152" i="508"/>
  <c r="O152" i="508"/>
  <c r="I152" i="508"/>
  <c r="G152" i="508"/>
  <c r="AA151" i="508"/>
  <c r="Z151" i="508"/>
  <c r="Y151" i="508"/>
  <c r="X151" i="508"/>
  <c r="U151" i="508"/>
  <c r="T151" i="508"/>
  <c r="S151" i="508"/>
  <c r="R151" i="508"/>
  <c r="Q151" i="508"/>
  <c r="P151" i="508"/>
  <c r="O151" i="508"/>
  <c r="I151" i="508"/>
  <c r="G151" i="508"/>
  <c r="AA150" i="508"/>
  <c r="Z150" i="508"/>
  <c r="Y150" i="508"/>
  <c r="X150" i="508"/>
  <c r="U150" i="508"/>
  <c r="T150" i="508"/>
  <c r="S150" i="508"/>
  <c r="R150" i="508"/>
  <c r="Q150" i="508"/>
  <c r="P150" i="508"/>
  <c r="O150" i="508"/>
  <c r="I150" i="508"/>
  <c r="G150" i="508"/>
  <c r="AA149" i="508"/>
  <c r="Z149" i="508"/>
  <c r="Y149" i="508"/>
  <c r="X149" i="508"/>
  <c r="U149" i="508"/>
  <c r="T149" i="508"/>
  <c r="S149" i="508"/>
  <c r="R149" i="508"/>
  <c r="Q149" i="508"/>
  <c r="P149" i="508"/>
  <c r="O149" i="508"/>
  <c r="I149" i="508"/>
  <c r="G149" i="508"/>
  <c r="AA147" i="508"/>
  <c r="Z147" i="508"/>
  <c r="Y147" i="508"/>
  <c r="X147" i="508"/>
  <c r="U147" i="508"/>
  <c r="T147" i="508"/>
  <c r="S147" i="508"/>
  <c r="R147" i="508"/>
  <c r="Q147" i="508"/>
  <c r="P147" i="508"/>
  <c r="O147" i="508"/>
  <c r="I147" i="508"/>
  <c r="G147" i="508"/>
  <c r="I143" i="508"/>
  <c r="G143" i="508"/>
  <c r="AA142" i="508"/>
  <c r="Z142" i="508"/>
  <c r="Y142" i="508"/>
  <c r="X142" i="508"/>
  <c r="U142" i="508"/>
  <c r="T142" i="508"/>
  <c r="S142" i="508"/>
  <c r="R142" i="508"/>
  <c r="Q142" i="508"/>
  <c r="P142" i="508"/>
  <c r="O142" i="508"/>
  <c r="I142" i="508"/>
  <c r="G142" i="508"/>
  <c r="AA141" i="508"/>
  <c r="Z141" i="508"/>
  <c r="Y141" i="508"/>
  <c r="X141" i="508"/>
  <c r="U141" i="508"/>
  <c r="T141" i="508"/>
  <c r="S141" i="508"/>
  <c r="R141" i="508"/>
  <c r="Q141" i="508"/>
  <c r="P141" i="508"/>
  <c r="O141" i="508"/>
  <c r="I141" i="508"/>
  <c r="G141" i="508"/>
  <c r="AA140" i="508"/>
  <c r="Z140" i="508"/>
  <c r="Y140" i="508"/>
  <c r="X140" i="508"/>
  <c r="U140" i="508"/>
  <c r="T140" i="508"/>
  <c r="S140" i="508"/>
  <c r="R140" i="508"/>
  <c r="Q140" i="508"/>
  <c r="P140" i="508"/>
  <c r="O140" i="508"/>
  <c r="I140" i="508"/>
  <c r="G140" i="508"/>
  <c r="AA139" i="508"/>
  <c r="Z139" i="508"/>
  <c r="Y139" i="508"/>
  <c r="X139" i="508"/>
  <c r="U139" i="508"/>
  <c r="T139" i="508"/>
  <c r="S139" i="508"/>
  <c r="R139" i="508"/>
  <c r="Q139" i="508"/>
  <c r="P139" i="508"/>
  <c r="O139" i="508"/>
  <c r="I139" i="508"/>
  <c r="G139" i="508"/>
  <c r="AA138" i="508"/>
  <c r="Z138" i="508"/>
  <c r="Y138" i="508"/>
  <c r="X138" i="508"/>
  <c r="U138" i="508"/>
  <c r="T138" i="508"/>
  <c r="S138" i="508"/>
  <c r="R138" i="508"/>
  <c r="Q138" i="508"/>
  <c r="P138" i="508"/>
  <c r="O138" i="508"/>
  <c r="I138" i="508"/>
  <c r="G138" i="508"/>
  <c r="R137" i="508"/>
  <c r="AA136" i="508"/>
  <c r="Z136" i="508"/>
  <c r="Y136" i="508"/>
  <c r="X136" i="508"/>
  <c r="U136" i="508"/>
  <c r="T136" i="508"/>
  <c r="S136" i="508"/>
  <c r="R136" i="508"/>
  <c r="Q136" i="508"/>
  <c r="P136" i="508"/>
  <c r="O136" i="508"/>
  <c r="I136" i="508"/>
  <c r="G136" i="508"/>
  <c r="AA135" i="508"/>
  <c r="Z135" i="508"/>
  <c r="Y135" i="508"/>
  <c r="X135" i="508"/>
  <c r="U135" i="508"/>
  <c r="T135" i="508"/>
  <c r="S135" i="508"/>
  <c r="R135" i="508"/>
  <c r="Q135" i="508"/>
  <c r="P135" i="508"/>
  <c r="O135" i="508"/>
  <c r="I135" i="508"/>
  <c r="G135" i="508"/>
  <c r="AA134" i="508"/>
  <c r="Z134" i="508"/>
  <c r="Y134" i="508"/>
  <c r="X134" i="508"/>
  <c r="U134" i="508"/>
  <c r="T134" i="508"/>
  <c r="S134" i="508"/>
  <c r="R134" i="508"/>
  <c r="Q134" i="508"/>
  <c r="P134" i="508"/>
  <c r="O134" i="508"/>
  <c r="I134" i="508"/>
  <c r="G134" i="508"/>
  <c r="AA133" i="508"/>
  <c r="Z133" i="508"/>
  <c r="Y133" i="508"/>
  <c r="X133" i="508"/>
  <c r="U133" i="508"/>
  <c r="T133" i="508"/>
  <c r="S133" i="508"/>
  <c r="R133" i="508"/>
  <c r="Q133" i="508"/>
  <c r="P133" i="508"/>
  <c r="O133" i="508"/>
  <c r="I133" i="508"/>
  <c r="G133" i="508"/>
  <c r="AA132" i="508"/>
  <c r="Z132" i="508"/>
  <c r="Y132" i="508"/>
  <c r="X132" i="508"/>
  <c r="U132" i="508"/>
  <c r="T132" i="508"/>
  <c r="S132" i="508"/>
  <c r="R132" i="508"/>
  <c r="Q132" i="508"/>
  <c r="P132" i="508"/>
  <c r="O132" i="508"/>
  <c r="I132" i="508"/>
  <c r="G132" i="508"/>
  <c r="AA131" i="508"/>
  <c r="Z131" i="508"/>
  <c r="Y131" i="508"/>
  <c r="X131" i="508"/>
  <c r="U131" i="508"/>
  <c r="T131" i="508"/>
  <c r="S131" i="508"/>
  <c r="R131" i="508"/>
  <c r="Q131" i="508"/>
  <c r="P131" i="508"/>
  <c r="O131" i="508"/>
  <c r="I131" i="508"/>
  <c r="G131" i="508"/>
  <c r="AA130" i="508"/>
  <c r="Z130" i="508"/>
  <c r="Y130" i="508"/>
  <c r="X130" i="508"/>
  <c r="U130" i="508"/>
  <c r="T130" i="508"/>
  <c r="S130" i="508"/>
  <c r="R130" i="508"/>
  <c r="Q130" i="508"/>
  <c r="P130" i="508"/>
  <c r="O130" i="508"/>
  <c r="I130" i="508"/>
  <c r="G130" i="508"/>
  <c r="AA129" i="508"/>
  <c r="Z129" i="508"/>
  <c r="Y129" i="508"/>
  <c r="X129" i="508"/>
  <c r="U129" i="508"/>
  <c r="T129" i="508"/>
  <c r="S129" i="508"/>
  <c r="R129" i="508"/>
  <c r="Q129" i="508"/>
  <c r="P129" i="508"/>
  <c r="O129" i="508"/>
  <c r="I129" i="508"/>
  <c r="G129" i="508"/>
  <c r="AA128" i="508"/>
  <c r="Z128" i="508"/>
  <c r="Y128" i="508"/>
  <c r="X128" i="508"/>
  <c r="U128" i="508"/>
  <c r="T128" i="508"/>
  <c r="S128" i="508"/>
  <c r="R128" i="508"/>
  <c r="Q128" i="508"/>
  <c r="P128" i="508"/>
  <c r="O128" i="508"/>
  <c r="I128" i="508"/>
  <c r="G128" i="508"/>
  <c r="AA127" i="508"/>
  <c r="Z127" i="508"/>
  <c r="Y127" i="508"/>
  <c r="X127" i="508"/>
  <c r="U127" i="508"/>
  <c r="T127" i="508"/>
  <c r="S127" i="508"/>
  <c r="R127" i="508"/>
  <c r="Q127" i="508"/>
  <c r="P127" i="508"/>
  <c r="O127" i="508"/>
  <c r="I127" i="508"/>
  <c r="G127" i="508"/>
  <c r="AA126" i="508"/>
  <c r="Z126" i="508"/>
  <c r="Y126" i="508"/>
  <c r="X126" i="508"/>
  <c r="U126" i="508"/>
  <c r="T126" i="508"/>
  <c r="S126" i="508"/>
  <c r="R126" i="508"/>
  <c r="Q126" i="508"/>
  <c r="P126" i="508"/>
  <c r="O126" i="508"/>
  <c r="I126" i="508"/>
  <c r="G126" i="508"/>
  <c r="AA125" i="508"/>
  <c r="Z125" i="508"/>
  <c r="Y125" i="508"/>
  <c r="X125" i="508"/>
  <c r="U125" i="508"/>
  <c r="T125" i="508"/>
  <c r="S125" i="508"/>
  <c r="R125" i="508"/>
  <c r="Q125" i="508"/>
  <c r="P125" i="508"/>
  <c r="O125" i="508"/>
  <c r="I125" i="508"/>
  <c r="G125" i="508"/>
  <c r="AA124" i="508"/>
  <c r="Z124" i="508"/>
  <c r="Y124" i="508"/>
  <c r="X124" i="508"/>
  <c r="U124" i="508"/>
  <c r="T124" i="508"/>
  <c r="S124" i="508"/>
  <c r="R124" i="508"/>
  <c r="Q124" i="508"/>
  <c r="P124" i="508"/>
  <c r="O124" i="508"/>
  <c r="I124" i="508"/>
  <c r="G124" i="508"/>
  <c r="AA123" i="508"/>
  <c r="Z123" i="508"/>
  <c r="Y123" i="508"/>
  <c r="X123" i="508"/>
  <c r="U123" i="508"/>
  <c r="T123" i="508"/>
  <c r="S123" i="508"/>
  <c r="R123" i="508"/>
  <c r="Q123" i="508"/>
  <c r="P123" i="508"/>
  <c r="O123" i="508"/>
  <c r="I123" i="508"/>
  <c r="G123" i="508"/>
  <c r="AA122" i="508"/>
  <c r="Z122" i="508"/>
  <c r="Y122" i="508"/>
  <c r="X122" i="508"/>
  <c r="U122" i="508"/>
  <c r="T122" i="508"/>
  <c r="S122" i="508"/>
  <c r="R122" i="508"/>
  <c r="Q122" i="508"/>
  <c r="P122" i="508"/>
  <c r="O122" i="508"/>
  <c r="I122" i="508"/>
  <c r="G122" i="508"/>
  <c r="AA120" i="508"/>
  <c r="Z120" i="508"/>
  <c r="Y120" i="508"/>
  <c r="X120" i="508"/>
  <c r="U120" i="508"/>
  <c r="T120" i="508"/>
  <c r="S120" i="508"/>
  <c r="R120" i="508"/>
  <c r="Q120" i="508"/>
  <c r="P120" i="508"/>
  <c r="O120" i="508"/>
  <c r="I120" i="508"/>
  <c r="G120" i="508"/>
  <c r="AA119" i="508"/>
  <c r="Z119" i="508"/>
  <c r="Y119" i="508"/>
  <c r="X119" i="508"/>
  <c r="U119" i="508"/>
  <c r="T119" i="508"/>
  <c r="S119" i="508"/>
  <c r="R119" i="508"/>
  <c r="Q119" i="508"/>
  <c r="P119" i="508"/>
  <c r="O119" i="508"/>
  <c r="I119" i="508"/>
  <c r="G119" i="508"/>
  <c r="AA118" i="508"/>
  <c r="Z118" i="508"/>
  <c r="Y118" i="508"/>
  <c r="X118" i="508"/>
  <c r="U118" i="508"/>
  <c r="T118" i="508"/>
  <c r="S118" i="508"/>
  <c r="R118" i="508"/>
  <c r="Q118" i="508"/>
  <c r="P118" i="508"/>
  <c r="O118" i="508"/>
  <c r="I118" i="508"/>
  <c r="G118" i="508"/>
  <c r="I117" i="508"/>
  <c r="G117" i="508"/>
  <c r="I116" i="508"/>
  <c r="G116" i="508"/>
  <c r="I115" i="508"/>
  <c r="G115" i="508"/>
  <c r="AA114" i="508"/>
  <c r="Z114" i="508"/>
  <c r="Y114" i="508"/>
  <c r="X114" i="508"/>
  <c r="U114" i="508"/>
  <c r="T114" i="508"/>
  <c r="S114" i="508"/>
  <c r="R114" i="508"/>
  <c r="Q114" i="508"/>
  <c r="P114" i="508"/>
  <c r="O114" i="508"/>
  <c r="I114" i="508"/>
  <c r="G114" i="508"/>
  <c r="AA113" i="508"/>
  <c r="Z113" i="508"/>
  <c r="Y113" i="508"/>
  <c r="X113" i="508"/>
  <c r="U113" i="508"/>
  <c r="T113" i="508"/>
  <c r="S113" i="508"/>
  <c r="R113" i="508"/>
  <c r="Q113" i="508"/>
  <c r="P113" i="508"/>
  <c r="O113" i="508"/>
  <c r="I113" i="508"/>
  <c r="G113" i="508"/>
  <c r="AA112" i="508"/>
  <c r="Z112" i="508"/>
  <c r="Y112" i="508"/>
  <c r="X112" i="508"/>
  <c r="U112" i="508"/>
  <c r="T112" i="508"/>
  <c r="S112" i="508"/>
  <c r="R112" i="508"/>
  <c r="Q112" i="508"/>
  <c r="P112" i="508"/>
  <c r="O112" i="508"/>
  <c r="I112" i="508"/>
  <c r="G112" i="508"/>
  <c r="AA111" i="508"/>
  <c r="Z111" i="508"/>
  <c r="Y111" i="508"/>
  <c r="X111" i="508"/>
  <c r="U111" i="508"/>
  <c r="T111" i="508"/>
  <c r="S111" i="508"/>
  <c r="R111" i="508"/>
  <c r="Q111" i="508"/>
  <c r="P111" i="508"/>
  <c r="O111" i="508"/>
  <c r="I111" i="508"/>
  <c r="G111" i="508"/>
  <c r="AA110" i="508"/>
  <c r="Z110" i="508"/>
  <c r="Y110" i="508"/>
  <c r="X110" i="508"/>
  <c r="U110" i="508"/>
  <c r="T110" i="508"/>
  <c r="S110" i="508"/>
  <c r="R110" i="508"/>
  <c r="Q110" i="508"/>
  <c r="P110" i="508"/>
  <c r="O110" i="508"/>
  <c r="I110" i="508"/>
  <c r="G110" i="508"/>
  <c r="AA109" i="508"/>
  <c r="Z109" i="508"/>
  <c r="Y109" i="508"/>
  <c r="X109" i="508"/>
  <c r="U109" i="508"/>
  <c r="T109" i="508"/>
  <c r="S109" i="508"/>
  <c r="R109" i="508"/>
  <c r="Q109" i="508"/>
  <c r="P109" i="508"/>
  <c r="O109" i="508"/>
  <c r="I109" i="508"/>
  <c r="G109" i="508"/>
  <c r="AA108" i="508"/>
  <c r="Z108" i="508"/>
  <c r="Y108" i="508"/>
  <c r="X108" i="508"/>
  <c r="U108" i="508"/>
  <c r="T108" i="508"/>
  <c r="S108" i="508"/>
  <c r="R108" i="508"/>
  <c r="Q108" i="508"/>
  <c r="P108" i="508"/>
  <c r="O108" i="508"/>
  <c r="I108" i="508"/>
  <c r="G108" i="508"/>
  <c r="AA107" i="508"/>
  <c r="Z107" i="508"/>
  <c r="Y107" i="508"/>
  <c r="X107" i="508"/>
  <c r="U107" i="508"/>
  <c r="T107" i="508"/>
  <c r="S107" i="508"/>
  <c r="R107" i="508"/>
  <c r="Q107" i="508"/>
  <c r="P107" i="508"/>
  <c r="O107" i="508"/>
  <c r="I107" i="508"/>
  <c r="G107" i="508"/>
  <c r="AA106" i="508"/>
  <c r="Z106" i="508"/>
  <c r="Y106" i="508"/>
  <c r="X106" i="508"/>
  <c r="U106" i="508"/>
  <c r="T106" i="508"/>
  <c r="S106" i="508"/>
  <c r="R106" i="508"/>
  <c r="Q106" i="508"/>
  <c r="P106" i="508"/>
  <c r="O106" i="508"/>
  <c r="I106" i="508"/>
  <c r="G106" i="508"/>
  <c r="AA105" i="508"/>
  <c r="Z105" i="508"/>
  <c r="Y105" i="508"/>
  <c r="X105" i="508"/>
  <c r="U105" i="508"/>
  <c r="T105" i="508"/>
  <c r="S105" i="508"/>
  <c r="R105" i="508"/>
  <c r="Q105" i="508"/>
  <c r="P105" i="508"/>
  <c r="O105" i="508"/>
  <c r="I105" i="508"/>
  <c r="G105" i="508"/>
  <c r="AA104" i="508"/>
  <c r="Z104" i="508"/>
  <c r="Y104" i="508"/>
  <c r="X104" i="508"/>
  <c r="U104" i="508"/>
  <c r="T104" i="508"/>
  <c r="S104" i="508"/>
  <c r="R104" i="508"/>
  <c r="Q104" i="508"/>
  <c r="P104" i="508"/>
  <c r="O104" i="508"/>
  <c r="I104" i="508"/>
  <c r="G104" i="508"/>
  <c r="AA103" i="508"/>
  <c r="Z103" i="508"/>
  <c r="Y103" i="508"/>
  <c r="X103" i="508"/>
  <c r="U103" i="508"/>
  <c r="T103" i="508"/>
  <c r="S103" i="508"/>
  <c r="R103" i="508"/>
  <c r="Q103" i="508"/>
  <c r="P103" i="508"/>
  <c r="O103" i="508"/>
  <c r="I103" i="508"/>
  <c r="G103" i="508"/>
  <c r="AA102" i="508"/>
  <c r="Z102" i="508"/>
  <c r="Y102" i="508"/>
  <c r="X102" i="508"/>
  <c r="U102" i="508"/>
  <c r="T102" i="508"/>
  <c r="S102" i="508"/>
  <c r="R102" i="508"/>
  <c r="Q102" i="508"/>
  <c r="P102" i="508"/>
  <c r="O102" i="508"/>
  <c r="I102" i="508"/>
  <c r="G102" i="508"/>
  <c r="AA101" i="508"/>
  <c r="Z101" i="508"/>
  <c r="Y101" i="508"/>
  <c r="X101" i="508"/>
  <c r="U101" i="508"/>
  <c r="T101" i="508"/>
  <c r="S101" i="508"/>
  <c r="R101" i="508"/>
  <c r="Q101" i="508"/>
  <c r="P101" i="508"/>
  <c r="O101" i="508"/>
  <c r="I101" i="508"/>
  <c r="G101" i="508"/>
  <c r="AA100" i="508"/>
  <c r="Z100" i="508"/>
  <c r="Y100" i="508"/>
  <c r="X100" i="508"/>
  <c r="U100" i="508"/>
  <c r="T100" i="508"/>
  <c r="S100" i="508"/>
  <c r="R100" i="508"/>
  <c r="Q100" i="508"/>
  <c r="P100" i="508"/>
  <c r="O100" i="508"/>
  <c r="I100" i="508"/>
  <c r="G100" i="508"/>
  <c r="AA99" i="508"/>
  <c r="Z99" i="508"/>
  <c r="Y99" i="508"/>
  <c r="X99" i="508"/>
  <c r="U99" i="508"/>
  <c r="T99" i="508"/>
  <c r="S99" i="508"/>
  <c r="R99" i="508"/>
  <c r="Q99" i="508"/>
  <c r="P99" i="508"/>
  <c r="O99" i="508"/>
  <c r="I99" i="508"/>
  <c r="G99" i="508"/>
  <c r="AA98" i="508"/>
  <c r="Z98" i="508"/>
  <c r="Y98" i="508"/>
  <c r="X98" i="508"/>
  <c r="U98" i="508"/>
  <c r="T98" i="508"/>
  <c r="S98" i="508"/>
  <c r="R98" i="508"/>
  <c r="Q98" i="508"/>
  <c r="P98" i="508"/>
  <c r="O98" i="508"/>
  <c r="I98" i="508"/>
  <c r="G98" i="508"/>
  <c r="AA97" i="508"/>
  <c r="Z97" i="508"/>
  <c r="Y97" i="508"/>
  <c r="X97" i="508"/>
  <c r="U97" i="508"/>
  <c r="T97" i="508"/>
  <c r="S97" i="508"/>
  <c r="R97" i="508"/>
  <c r="Q97" i="508"/>
  <c r="P97" i="508"/>
  <c r="O97" i="508"/>
  <c r="I97" i="508"/>
  <c r="G97" i="508"/>
  <c r="AA96" i="508"/>
  <c r="Z96" i="508"/>
  <c r="Y96" i="508"/>
  <c r="X96" i="508"/>
  <c r="U96" i="508"/>
  <c r="T96" i="508"/>
  <c r="S96" i="508"/>
  <c r="R96" i="508"/>
  <c r="Q96" i="508"/>
  <c r="P96" i="508"/>
  <c r="O96" i="508"/>
  <c r="I96" i="508"/>
  <c r="G96" i="508"/>
  <c r="AA95" i="508"/>
  <c r="Z95" i="508"/>
  <c r="Y95" i="508"/>
  <c r="X95" i="508"/>
  <c r="U95" i="508"/>
  <c r="T95" i="508"/>
  <c r="S95" i="508"/>
  <c r="R95" i="508"/>
  <c r="Q95" i="508"/>
  <c r="P95" i="508"/>
  <c r="O95" i="508"/>
  <c r="I95" i="508"/>
  <c r="G95" i="508"/>
  <c r="AA94" i="508"/>
  <c r="Z94" i="508"/>
  <c r="Y94" i="508"/>
  <c r="X94" i="508"/>
  <c r="U94" i="508"/>
  <c r="T94" i="508"/>
  <c r="S94" i="508"/>
  <c r="R94" i="508"/>
  <c r="Q94" i="508"/>
  <c r="P94" i="508"/>
  <c r="O94" i="508"/>
  <c r="N94" i="508"/>
  <c r="I94" i="508"/>
  <c r="G94" i="508"/>
  <c r="AA93" i="508"/>
  <c r="Z93" i="508"/>
  <c r="Y93" i="508"/>
  <c r="X93" i="508"/>
  <c r="U93" i="508"/>
  <c r="T93" i="508"/>
  <c r="S93" i="508"/>
  <c r="R93" i="508"/>
  <c r="Q93" i="508"/>
  <c r="P93" i="508"/>
  <c r="O93" i="508"/>
  <c r="I93" i="508"/>
  <c r="G93" i="508"/>
  <c r="AA92" i="508"/>
  <c r="Z92" i="508"/>
  <c r="Y92" i="508"/>
  <c r="X92" i="508"/>
  <c r="U92" i="508"/>
  <c r="T92" i="508"/>
  <c r="S92" i="508"/>
  <c r="R92" i="508"/>
  <c r="Q92" i="508"/>
  <c r="P92" i="508"/>
  <c r="O92" i="508"/>
  <c r="I92" i="508"/>
  <c r="G92" i="508"/>
  <c r="AA91" i="508"/>
  <c r="Z91" i="508"/>
  <c r="Y91" i="508"/>
  <c r="X91" i="508"/>
  <c r="U91" i="508"/>
  <c r="T91" i="508"/>
  <c r="S91" i="508"/>
  <c r="R91" i="508"/>
  <c r="Q91" i="508"/>
  <c r="P91" i="508"/>
  <c r="O91" i="508"/>
  <c r="I91" i="508"/>
  <c r="G91" i="508"/>
  <c r="AA90" i="508"/>
  <c r="Z90" i="508"/>
  <c r="Y90" i="508"/>
  <c r="X90" i="508"/>
  <c r="U90" i="508"/>
  <c r="T90" i="508"/>
  <c r="S90" i="508"/>
  <c r="R90" i="508"/>
  <c r="Q90" i="508"/>
  <c r="P90" i="508"/>
  <c r="O90" i="508"/>
  <c r="I90" i="508"/>
  <c r="G90" i="508"/>
  <c r="AA89" i="508"/>
  <c r="Z89" i="508"/>
  <c r="Y89" i="508"/>
  <c r="X89" i="508"/>
  <c r="U89" i="508"/>
  <c r="T89" i="508"/>
  <c r="S89" i="508"/>
  <c r="R89" i="508"/>
  <c r="Q89" i="508"/>
  <c r="P89" i="508"/>
  <c r="O89" i="508"/>
  <c r="I89" i="508"/>
  <c r="G89" i="508"/>
  <c r="AA88" i="508"/>
  <c r="Z88" i="508"/>
  <c r="Y88" i="508"/>
  <c r="X88" i="508"/>
  <c r="U88" i="508"/>
  <c r="T88" i="508"/>
  <c r="S88" i="508"/>
  <c r="R88" i="508"/>
  <c r="Q88" i="508"/>
  <c r="P88" i="508"/>
  <c r="O88" i="508"/>
  <c r="I88" i="508"/>
  <c r="G88" i="508"/>
  <c r="AA87" i="508"/>
  <c r="Z87" i="508"/>
  <c r="Y87" i="508"/>
  <c r="X87" i="508"/>
  <c r="U87" i="508"/>
  <c r="T87" i="508"/>
  <c r="S87" i="508"/>
  <c r="R87" i="508"/>
  <c r="Q87" i="508"/>
  <c r="P87" i="508"/>
  <c r="O87" i="508"/>
  <c r="I87" i="508"/>
  <c r="G87" i="508"/>
  <c r="AA85" i="508"/>
  <c r="Z85" i="508"/>
  <c r="Y85" i="508"/>
  <c r="X85" i="508"/>
  <c r="U85" i="508"/>
  <c r="T85" i="508"/>
  <c r="S85" i="508"/>
  <c r="R85" i="508"/>
  <c r="Q85" i="508"/>
  <c r="P85" i="508"/>
  <c r="O85" i="508"/>
  <c r="N85" i="508"/>
  <c r="I85" i="508"/>
  <c r="G85" i="508"/>
  <c r="AA84" i="508"/>
  <c r="Z84" i="508"/>
  <c r="Y84" i="508"/>
  <c r="X84" i="508"/>
  <c r="U84" i="508"/>
  <c r="T84" i="508"/>
  <c r="S84" i="508"/>
  <c r="R84" i="508"/>
  <c r="Q84" i="508"/>
  <c r="P84" i="508"/>
  <c r="O84" i="508"/>
  <c r="N84" i="508"/>
  <c r="I84" i="508"/>
  <c r="G84" i="508"/>
  <c r="AA83" i="508"/>
  <c r="Z83" i="508"/>
  <c r="Y83" i="508"/>
  <c r="X83" i="508"/>
  <c r="U83" i="508"/>
  <c r="T83" i="508"/>
  <c r="S83" i="508"/>
  <c r="R83" i="508"/>
  <c r="Q83" i="508"/>
  <c r="P83" i="508"/>
  <c r="O83" i="508"/>
  <c r="N83" i="508"/>
  <c r="I83" i="508"/>
  <c r="G83" i="508"/>
  <c r="N82" i="508"/>
  <c r="I82" i="508"/>
  <c r="G82" i="508"/>
  <c r="N81" i="508"/>
  <c r="I81" i="508"/>
  <c r="G81" i="508"/>
  <c r="N80" i="508"/>
  <c r="I80" i="508"/>
  <c r="G80" i="508"/>
  <c r="AA79" i="508"/>
  <c r="Z79" i="508"/>
  <c r="Y79" i="508"/>
  <c r="X79" i="508"/>
  <c r="U79" i="508"/>
  <c r="T79" i="508"/>
  <c r="S79" i="508"/>
  <c r="R79" i="508"/>
  <c r="Q79" i="508"/>
  <c r="P79" i="508"/>
  <c r="O79" i="508"/>
  <c r="N79" i="508"/>
  <c r="I79" i="508"/>
  <c r="G79" i="508"/>
  <c r="AA78" i="508"/>
  <c r="Z78" i="508"/>
  <c r="Y78" i="508"/>
  <c r="X78" i="508"/>
  <c r="U78" i="508"/>
  <c r="T78" i="508"/>
  <c r="S78" i="508"/>
  <c r="R78" i="508"/>
  <c r="Q78" i="508"/>
  <c r="P78" i="508"/>
  <c r="O78" i="508"/>
  <c r="N78" i="508"/>
  <c r="I78" i="508"/>
  <c r="G78" i="508"/>
  <c r="AA77" i="508"/>
  <c r="Z77" i="508"/>
  <c r="Y77" i="508"/>
  <c r="X77" i="508"/>
  <c r="U77" i="508"/>
  <c r="T77" i="508"/>
  <c r="S77" i="508"/>
  <c r="R77" i="508"/>
  <c r="Q77" i="508"/>
  <c r="P77" i="508"/>
  <c r="O77" i="508"/>
  <c r="N77" i="508"/>
  <c r="I77" i="508"/>
  <c r="G77" i="508"/>
  <c r="AA76" i="508"/>
  <c r="Z76" i="508"/>
  <c r="Y76" i="508"/>
  <c r="X76" i="508"/>
  <c r="U76" i="508"/>
  <c r="T76" i="508"/>
  <c r="S76" i="508"/>
  <c r="R76" i="508"/>
  <c r="Q76" i="508"/>
  <c r="P76" i="508"/>
  <c r="O76" i="508"/>
  <c r="N76" i="508"/>
  <c r="I76" i="508"/>
  <c r="G76" i="508"/>
  <c r="AA75" i="508"/>
  <c r="Z75" i="508"/>
  <c r="Y75" i="508"/>
  <c r="X75" i="508"/>
  <c r="U75" i="508"/>
  <c r="T75" i="508"/>
  <c r="S75" i="508"/>
  <c r="R75" i="508"/>
  <c r="Q75" i="508"/>
  <c r="P75" i="508"/>
  <c r="O75" i="508"/>
  <c r="I75" i="508"/>
  <c r="G75" i="508"/>
  <c r="AA74" i="508"/>
  <c r="Z74" i="508"/>
  <c r="Y74" i="508"/>
  <c r="X74" i="508"/>
  <c r="U74" i="508"/>
  <c r="T74" i="508"/>
  <c r="S74" i="508"/>
  <c r="R74" i="508"/>
  <c r="Q74" i="508"/>
  <c r="P74" i="508"/>
  <c r="O74" i="508"/>
  <c r="I74" i="508"/>
  <c r="G74" i="508"/>
  <c r="AA73" i="508"/>
  <c r="Z73" i="508"/>
  <c r="Y73" i="508"/>
  <c r="X73" i="508"/>
  <c r="U73" i="508"/>
  <c r="T73" i="508"/>
  <c r="S73" i="508"/>
  <c r="R73" i="508"/>
  <c r="Q73" i="508"/>
  <c r="P73" i="508"/>
  <c r="O73" i="508"/>
  <c r="I73" i="508"/>
  <c r="G73" i="508"/>
  <c r="AA72" i="508"/>
  <c r="Z72" i="508"/>
  <c r="Y72" i="508"/>
  <c r="X72" i="508"/>
  <c r="U72" i="508"/>
  <c r="T72" i="508"/>
  <c r="S72" i="508"/>
  <c r="R72" i="508"/>
  <c r="Q72" i="508"/>
  <c r="P72" i="508"/>
  <c r="O72" i="508"/>
  <c r="I72" i="508"/>
  <c r="G72" i="508"/>
  <c r="AA71" i="508"/>
  <c r="Z71" i="508"/>
  <c r="Y71" i="508"/>
  <c r="X71" i="508"/>
  <c r="U71" i="508"/>
  <c r="T71" i="508"/>
  <c r="S71" i="508"/>
  <c r="R71" i="508"/>
  <c r="Q71" i="508"/>
  <c r="P71" i="508"/>
  <c r="O71" i="508"/>
  <c r="N71" i="508"/>
  <c r="I71" i="508"/>
  <c r="G71" i="508"/>
  <c r="AA70" i="508"/>
  <c r="Z70" i="508"/>
  <c r="Y70" i="508"/>
  <c r="X70" i="508"/>
  <c r="U70" i="508"/>
  <c r="T70" i="508"/>
  <c r="S70" i="508"/>
  <c r="R70" i="508"/>
  <c r="Q70" i="508"/>
  <c r="P70" i="508"/>
  <c r="O70" i="508"/>
  <c r="I70" i="508"/>
  <c r="G70" i="508"/>
  <c r="AA69" i="508"/>
  <c r="Z69" i="508"/>
  <c r="Y69" i="508"/>
  <c r="X69" i="508"/>
  <c r="U69" i="508"/>
  <c r="T69" i="508"/>
  <c r="S69" i="508"/>
  <c r="R69" i="508"/>
  <c r="Q69" i="508"/>
  <c r="P69" i="508"/>
  <c r="O69" i="508"/>
  <c r="I69" i="508"/>
  <c r="G69" i="508"/>
  <c r="AA68" i="508"/>
  <c r="Z68" i="508"/>
  <c r="Y68" i="508"/>
  <c r="X68" i="508"/>
  <c r="U68" i="508"/>
  <c r="T68" i="508"/>
  <c r="S68" i="508"/>
  <c r="R68" i="508"/>
  <c r="Q68" i="508"/>
  <c r="P68" i="508"/>
  <c r="O68" i="508"/>
  <c r="N68" i="508"/>
  <c r="I68" i="508"/>
  <c r="G68" i="508"/>
  <c r="I67" i="508"/>
  <c r="G67" i="508"/>
  <c r="AA66" i="508"/>
  <c r="Z66" i="508"/>
  <c r="Y66" i="508"/>
  <c r="X66" i="508"/>
  <c r="U66" i="508"/>
  <c r="T66" i="508"/>
  <c r="S66" i="508"/>
  <c r="R66" i="508"/>
  <c r="Q66" i="508"/>
  <c r="P66" i="508"/>
  <c r="O66" i="508"/>
  <c r="I66" i="508"/>
  <c r="G66" i="508"/>
  <c r="AA65" i="508"/>
  <c r="Z65" i="508"/>
  <c r="Y65" i="508"/>
  <c r="X65" i="508"/>
  <c r="U65" i="508"/>
  <c r="T65" i="508"/>
  <c r="S65" i="508"/>
  <c r="R65" i="508"/>
  <c r="Q65" i="508"/>
  <c r="P65" i="508"/>
  <c r="O65" i="508"/>
  <c r="I65" i="508"/>
  <c r="G65" i="508"/>
  <c r="AA64" i="508"/>
  <c r="Z64" i="508"/>
  <c r="Y64" i="508"/>
  <c r="X64" i="508"/>
  <c r="U64" i="508"/>
  <c r="T64" i="508"/>
  <c r="S64" i="508"/>
  <c r="R64" i="508"/>
  <c r="Q64" i="508"/>
  <c r="P64" i="508"/>
  <c r="O64" i="508"/>
  <c r="I64" i="508"/>
  <c r="G64" i="508"/>
  <c r="AA63" i="508"/>
  <c r="Z63" i="508"/>
  <c r="Y63" i="508"/>
  <c r="X63" i="508"/>
  <c r="U63" i="508"/>
  <c r="T63" i="508"/>
  <c r="S63" i="508"/>
  <c r="R63" i="508"/>
  <c r="Q63" i="508"/>
  <c r="P63" i="508"/>
  <c r="O63" i="508"/>
  <c r="I63" i="508"/>
  <c r="G63" i="508"/>
  <c r="AA62" i="508"/>
  <c r="Z62" i="508"/>
  <c r="Y62" i="508"/>
  <c r="X62" i="508"/>
  <c r="U62" i="508"/>
  <c r="T62" i="508"/>
  <c r="S62" i="508"/>
  <c r="R62" i="508"/>
  <c r="Q62" i="508"/>
  <c r="P62" i="508"/>
  <c r="O62" i="508"/>
  <c r="I62" i="508"/>
  <c r="G62" i="508"/>
  <c r="AA61" i="508"/>
  <c r="Z61" i="508"/>
  <c r="Y61" i="508"/>
  <c r="X61" i="508"/>
  <c r="U61" i="508"/>
  <c r="T61" i="508"/>
  <c r="S61" i="508"/>
  <c r="R61" i="508"/>
  <c r="Q61" i="508"/>
  <c r="P61" i="508"/>
  <c r="O61" i="508"/>
  <c r="I61" i="508"/>
  <c r="G61" i="508"/>
  <c r="AA60" i="508"/>
  <c r="Z60" i="508"/>
  <c r="Y60" i="508"/>
  <c r="X60" i="508"/>
  <c r="U60" i="508"/>
  <c r="T60" i="508"/>
  <c r="S60" i="508"/>
  <c r="R60" i="508"/>
  <c r="Q60" i="508"/>
  <c r="P60" i="508"/>
  <c r="O60" i="508"/>
  <c r="I60" i="508"/>
  <c r="G60" i="508"/>
  <c r="AA59" i="508"/>
  <c r="Z59" i="508"/>
  <c r="Y59" i="508"/>
  <c r="X59" i="508"/>
  <c r="U59" i="508"/>
  <c r="T59" i="508"/>
  <c r="S59" i="508"/>
  <c r="R59" i="508"/>
  <c r="Q59" i="508"/>
  <c r="P59" i="508"/>
  <c r="O59" i="508"/>
  <c r="I59" i="508"/>
  <c r="G59" i="508"/>
  <c r="AA58" i="508"/>
  <c r="Z58" i="508"/>
  <c r="Y58" i="508"/>
  <c r="X58" i="508"/>
  <c r="U58" i="508"/>
  <c r="T58" i="508"/>
  <c r="S58" i="508"/>
  <c r="R58" i="508"/>
  <c r="Q58" i="508"/>
  <c r="P58" i="508"/>
  <c r="O58" i="508"/>
  <c r="I58" i="508"/>
  <c r="G58" i="508"/>
  <c r="AA57" i="508"/>
  <c r="Z57" i="508"/>
  <c r="Y57" i="508"/>
  <c r="X57" i="508"/>
  <c r="U57" i="508"/>
  <c r="T57" i="508"/>
  <c r="S57" i="508"/>
  <c r="R57" i="508"/>
  <c r="Q57" i="508"/>
  <c r="P57" i="508"/>
  <c r="O57" i="508"/>
  <c r="I57" i="508"/>
  <c r="G57" i="508"/>
  <c r="AA56" i="508"/>
  <c r="Z56" i="508"/>
  <c r="Y56" i="508"/>
  <c r="X56" i="508"/>
  <c r="U56" i="508"/>
  <c r="T56" i="508"/>
  <c r="S56" i="508"/>
  <c r="R56" i="508"/>
  <c r="Q56" i="508"/>
  <c r="P56" i="508"/>
  <c r="O56" i="508"/>
  <c r="N56" i="508"/>
  <c r="I56" i="508"/>
  <c r="G56" i="508"/>
  <c r="AA55" i="508"/>
  <c r="Z55" i="508"/>
  <c r="Y55" i="508"/>
  <c r="X55" i="508"/>
  <c r="U55" i="508"/>
  <c r="T55" i="508"/>
  <c r="S55" i="508"/>
  <c r="R55" i="508"/>
  <c r="Q55" i="508"/>
  <c r="P55" i="508"/>
  <c r="O55" i="508"/>
  <c r="N55" i="508"/>
  <c r="I55" i="508"/>
  <c r="G55" i="508"/>
  <c r="AA54" i="508"/>
  <c r="Z54" i="508"/>
  <c r="Y54" i="508"/>
  <c r="X54" i="508"/>
  <c r="U54" i="508"/>
  <c r="T54" i="508"/>
  <c r="S54" i="508"/>
  <c r="R54" i="508"/>
  <c r="Q54" i="508"/>
  <c r="P54" i="508"/>
  <c r="O54" i="508"/>
  <c r="N54" i="508"/>
  <c r="I54" i="508"/>
  <c r="G54" i="508"/>
  <c r="AA53" i="508"/>
  <c r="Z53" i="508"/>
  <c r="Y53" i="508"/>
  <c r="X53" i="508"/>
  <c r="U53" i="508"/>
  <c r="T53" i="508"/>
  <c r="S53" i="508"/>
  <c r="R53" i="508"/>
  <c r="Q53" i="508"/>
  <c r="P53" i="508"/>
  <c r="O53" i="508"/>
  <c r="N53" i="508"/>
  <c r="I53" i="508"/>
  <c r="G53" i="508"/>
  <c r="AA52" i="508"/>
  <c r="Z52" i="508"/>
  <c r="Y52" i="508"/>
  <c r="X52" i="508"/>
  <c r="U52" i="508"/>
  <c r="T52" i="508"/>
  <c r="S52" i="508"/>
  <c r="R52" i="508"/>
  <c r="Q52" i="508"/>
  <c r="P52" i="508"/>
  <c r="O52" i="508"/>
  <c r="I52" i="508"/>
  <c r="G52" i="508"/>
  <c r="AA51" i="508"/>
  <c r="Z51" i="508"/>
  <c r="Y51" i="508"/>
  <c r="X51" i="508"/>
  <c r="U51" i="508"/>
  <c r="T51" i="508"/>
  <c r="S51" i="508"/>
  <c r="R51" i="508"/>
  <c r="Q51" i="508"/>
  <c r="P51" i="508"/>
  <c r="O51" i="508"/>
  <c r="I51" i="508"/>
  <c r="G51" i="508"/>
  <c r="AA50" i="508"/>
  <c r="Z50" i="508"/>
  <c r="Y50" i="508"/>
  <c r="X50" i="508"/>
  <c r="U50" i="508"/>
  <c r="T50" i="508"/>
  <c r="S50" i="508"/>
  <c r="R50" i="508"/>
  <c r="Q50" i="508"/>
  <c r="P50" i="508"/>
  <c r="O50" i="508"/>
  <c r="I50" i="508"/>
  <c r="G50" i="508"/>
  <c r="AA49" i="508"/>
  <c r="Z49" i="508"/>
  <c r="Y49" i="508"/>
  <c r="X49" i="508"/>
  <c r="U49" i="508"/>
  <c r="T49" i="508"/>
  <c r="S49" i="508"/>
  <c r="R49" i="508"/>
  <c r="Q49" i="508"/>
  <c r="P49" i="508"/>
  <c r="O49" i="508"/>
  <c r="I49" i="508"/>
  <c r="G49" i="508"/>
  <c r="AA48" i="508"/>
  <c r="Z48" i="508"/>
  <c r="Y48" i="508"/>
  <c r="X48" i="508"/>
  <c r="U48" i="508"/>
  <c r="T48" i="508"/>
  <c r="S48" i="508"/>
  <c r="R48" i="508"/>
  <c r="Q48" i="508"/>
  <c r="P48" i="508"/>
  <c r="O48" i="508"/>
  <c r="I48" i="508"/>
  <c r="G48" i="508"/>
  <c r="AA47" i="508"/>
  <c r="Z47" i="508"/>
  <c r="Y47" i="508"/>
  <c r="X47" i="508"/>
  <c r="U47" i="508"/>
  <c r="T47" i="508"/>
  <c r="S47" i="508"/>
  <c r="R47" i="508"/>
  <c r="Q47" i="508"/>
  <c r="P47" i="508"/>
  <c r="O47" i="508"/>
  <c r="I47" i="508"/>
  <c r="G47" i="508"/>
  <c r="AA46" i="508"/>
  <c r="Z46" i="508"/>
  <c r="Y46" i="508"/>
  <c r="X46" i="508"/>
  <c r="U46" i="508"/>
  <c r="T46" i="508"/>
  <c r="S46" i="508"/>
  <c r="R46" i="508"/>
  <c r="Q46" i="508"/>
  <c r="P46" i="508"/>
  <c r="O46" i="508"/>
  <c r="I46" i="508"/>
  <c r="G46" i="508"/>
  <c r="AA45" i="508"/>
  <c r="Z45" i="508"/>
  <c r="Y45" i="508"/>
  <c r="X45" i="508"/>
  <c r="U45" i="508"/>
  <c r="T45" i="508"/>
  <c r="S45" i="508"/>
  <c r="R45" i="508"/>
  <c r="Q45" i="508"/>
  <c r="P45" i="508"/>
  <c r="O45" i="508"/>
  <c r="I45" i="508"/>
  <c r="G45" i="508"/>
  <c r="AA44" i="508"/>
  <c r="Z44" i="508"/>
  <c r="Y44" i="508"/>
  <c r="X44" i="508"/>
  <c r="U44" i="508"/>
  <c r="T44" i="508"/>
  <c r="S44" i="508"/>
  <c r="R44" i="508"/>
  <c r="Q44" i="508"/>
  <c r="P44" i="508"/>
  <c r="O44" i="508"/>
  <c r="I44" i="508"/>
  <c r="G44" i="508"/>
  <c r="AA43" i="508"/>
  <c r="Z43" i="508"/>
  <c r="Y43" i="508"/>
  <c r="X43" i="508"/>
  <c r="U43" i="508"/>
  <c r="T43" i="508"/>
  <c r="S43" i="508"/>
  <c r="R43" i="508"/>
  <c r="Q43" i="508"/>
  <c r="P43" i="508"/>
  <c r="O43" i="508"/>
  <c r="I43" i="508"/>
  <c r="G43" i="508"/>
  <c r="AA42" i="508"/>
  <c r="Z42" i="508"/>
  <c r="Y42" i="508"/>
  <c r="X42" i="508"/>
  <c r="U42" i="508"/>
  <c r="T42" i="508"/>
  <c r="S42" i="508"/>
  <c r="R42" i="508"/>
  <c r="Q42" i="508"/>
  <c r="P42" i="508"/>
  <c r="O42" i="508"/>
  <c r="I42" i="508"/>
  <c r="G42" i="508"/>
  <c r="AA41" i="508"/>
  <c r="Z41" i="508"/>
  <c r="Y41" i="508"/>
  <c r="X41" i="508"/>
  <c r="U41" i="508"/>
  <c r="T41" i="508"/>
  <c r="S41" i="508"/>
  <c r="R41" i="508"/>
  <c r="Q41" i="508"/>
  <c r="P41" i="508"/>
  <c r="O41" i="508"/>
  <c r="I41" i="508"/>
  <c r="G41" i="508"/>
  <c r="AA40" i="508"/>
  <c r="Z40" i="508"/>
  <c r="Y40" i="508"/>
  <c r="X40" i="508"/>
  <c r="U40" i="508"/>
  <c r="T40" i="508"/>
  <c r="S40" i="508"/>
  <c r="R40" i="508"/>
  <c r="Q40" i="508"/>
  <c r="P40" i="508"/>
  <c r="O40" i="508"/>
  <c r="I40" i="508"/>
  <c r="G40" i="508"/>
  <c r="AA39" i="508"/>
  <c r="Z39" i="508"/>
  <c r="Y39" i="508"/>
  <c r="X39" i="508"/>
  <c r="U39" i="508"/>
  <c r="T39" i="508"/>
  <c r="S39" i="508"/>
  <c r="R39" i="508"/>
  <c r="Q39" i="508"/>
  <c r="P39" i="508"/>
  <c r="O39" i="508"/>
  <c r="I39" i="508"/>
  <c r="G39" i="508"/>
  <c r="AA38" i="508"/>
  <c r="Z38" i="508"/>
  <c r="Y38" i="508"/>
  <c r="X38" i="508"/>
  <c r="U38" i="508"/>
  <c r="T38" i="508"/>
  <c r="S38" i="508"/>
  <c r="R38" i="508"/>
  <c r="Q38" i="508"/>
  <c r="P38" i="508"/>
  <c r="O38" i="508"/>
  <c r="I38" i="508"/>
  <c r="G38" i="508"/>
  <c r="AA37" i="508"/>
  <c r="Z37" i="508"/>
  <c r="Y37" i="508"/>
  <c r="X37" i="508"/>
  <c r="U37" i="508"/>
  <c r="T37" i="508"/>
  <c r="S37" i="508"/>
  <c r="R37" i="508"/>
  <c r="Q37" i="508"/>
  <c r="P37" i="508"/>
  <c r="O37" i="508"/>
  <c r="I37" i="508"/>
  <c r="G37" i="508"/>
  <c r="I36" i="508"/>
  <c r="G36" i="508"/>
  <c r="I35" i="508"/>
  <c r="G35" i="508"/>
  <c r="I34" i="508"/>
  <c r="G34" i="508"/>
  <c r="AA33" i="508"/>
  <c r="Z33" i="508"/>
  <c r="Y33" i="508"/>
  <c r="X33" i="508"/>
  <c r="U33" i="508"/>
  <c r="T33" i="508"/>
  <c r="S33" i="508"/>
  <c r="R33" i="508"/>
  <c r="Q33" i="508"/>
  <c r="P33" i="508"/>
  <c r="O33" i="508"/>
  <c r="I33" i="508"/>
  <c r="G33" i="508"/>
  <c r="AA32" i="508"/>
  <c r="Z32" i="508"/>
  <c r="Y32" i="508"/>
  <c r="X32" i="508"/>
  <c r="U32" i="508"/>
  <c r="T32" i="508"/>
  <c r="S32" i="508"/>
  <c r="R32" i="508"/>
  <c r="Q32" i="508"/>
  <c r="P32" i="508"/>
  <c r="O32" i="508"/>
  <c r="I32" i="508"/>
  <c r="G32" i="508"/>
  <c r="AA31" i="508"/>
  <c r="Z31" i="508"/>
  <c r="Y31" i="508"/>
  <c r="X31" i="508"/>
  <c r="U31" i="508"/>
  <c r="T31" i="508"/>
  <c r="S31" i="508"/>
  <c r="R31" i="508"/>
  <c r="Q31" i="508"/>
  <c r="P31" i="508"/>
  <c r="O31" i="508"/>
  <c r="I31" i="508"/>
  <c r="G31" i="508"/>
  <c r="I30" i="508"/>
  <c r="G30" i="508"/>
  <c r="AA29" i="508"/>
  <c r="Z29" i="508"/>
  <c r="Y29" i="508"/>
  <c r="X29" i="508"/>
  <c r="U29" i="508"/>
  <c r="T29" i="508"/>
  <c r="S29" i="508"/>
  <c r="R29" i="508"/>
  <c r="Q29" i="508"/>
  <c r="P29" i="508"/>
  <c r="O29" i="508"/>
  <c r="I29" i="508"/>
  <c r="G29" i="508"/>
  <c r="AA27" i="508"/>
  <c r="Z27" i="508"/>
  <c r="Y27" i="508"/>
  <c r="X27" i="508"/>
  <c r="U27" i="508"/>
  <c r="T27" i="508"/>
  <c r="S27" i="508"/>
  <c r="R27" i="508"/>
  <c r="Q27" i="508"/>
  <c r="P27" i="508"/>
  <c r="O27" i="508"/>
  <c r="I27" i="508"/>
  <c r="G27" i="508"/>
  <c r="AA26" i="508"/>
  <c r="Z26" i="508"/>
  <c r="Y26" i="508"/>
  <c r="X26" i="508"/>
  <c r="U26" i="508"/>
  <c r="T26" i="508"/>
  <c r="S26" i="508"/>
  <c r="R26" i="508"/>
  <c r="Q26" i="508"/>
  <c r="P26" i="508"/>
  <c r="O26" i="508"/>
  <c r="I26" i="508"/>
  <c r="G26" i="508"/>
  <c r="AA25" i="508"/>
  <c r="Z25" i="508"/>
  <c r="Y25" i="508"/>
  <c r="X25" i="508"/>
  <c r="U25" i="508"/>
  <c r="T25" i="508"/>
  <c r="S25" i="508"/>
  <c r="R25" i="508"/>
  <c r="Q25" i="508"/>
  <c r="P25" i="508"/>
  <c r="O25" i="508"/>
  <c r="N25" i="508"/>
  <c r="I25" i="508"/>
  <c r="G25" i="508"/>
  <c r="AA24" i="508"/>
  <c r="Z24" i="508"/>
  <c r="Y24" i="508"/>
  <c r="X24" i="508"/>
  <c r="U24" i="508"/>
  <c r="T24" i="508"/>
  <c r="S24" i="508"/>
  <c r="R24" i="508"/>
  <c r="Q24" i="508"/>
  <c r="P24" i="508"/>
  <c r="O24" i="508"/>
  <c r="N24" i="508"/>
  <c r="I24" i="508"/>
  <c r="G24" i="508"/>
  <c r="AA23" i="508"/>
  <c r="Z23" i="508"/>
  <c r="Y23" i="508"/>
  <c r="X23" i="508"/>
  <c r="U23" i="508"/>
  <c r="T23" i="508"/>
  <c r="S23" i="508"/>
  <c r="R23" i="508"/>
  <c r="Q23" i="508"/>
  <c r="P23" i="508"/>
  <c r="O23" i="508"/>
  <c r="N23" i="508"/>
  <c r="I23" i="508"/>
  <c r="G23" i="508"/>
  <c r="AA22" i="508"/>
  <c r="Z22" i="508"/>
  <c r="Y22" i="508"/>
  <c r="X22" i="508"/>
  <c r="U22" i="508"/>
  <c r="T22" i="508"/>
  <c r="S22" i="508"/>
  <c r="R22" i="508"/>
  <c r="Q22" i="508"/>
  <c r="P22" i="508"/>
  <c r="O22" i="508"/>
  <c r="N22" i="508"/>
  <c r="I22" i="508"/>
  <c r="G22" i="508"/>
  <c r="AA21" i="508"/>
  <c r="Z21" i="508"/>
  <c r="Y21" i="508"/>
  <c r="X21" i="508"/>
  <c r="U21" i="508"/>
  <c r="T21" i="508"/>
  <c r="S21" i="508"/>
  <c r="R21" i="508"/>
  <c r="Q21" i="508"/>
  <c r="P21" i="508"/>
  <c r="O21" i="508"/>
  <c r="I21" i="508"/>
  <c r="G21" i="508"/>
  <c r="AA20" i="508"/>
  <c r="Z20" i="508"/>
  <c r="Y20" i="508"/>
  <c r="X20" i="508"/>
  <c r="U20" i="508"/>
  <c r="T20" i="508"/>
  <c r="S20" i="508"/>
  <c r="R20" i="508"/>
  <c r="Q20" i="508"/>
  <c r="P20" i="508"/>
  <c r="O20" i="508"/>
  <c r="I20" i="508"/>
  <c r="G20" i="508"/>
  <c r="AA19" i="508"/>
  <c r="Z19" i="508"/>
  <c r="Y19" i="508"/>
  <c r="X19" i="508"/>
  <c r="U19" i="508"/>
  <c r="T19" i="508"/>
  <c r="S19" i="508"/>
  <c r="R19" i="508"/>
  <c r="Q19" i="508"/>
  <c r="P19" i="508"/>
  <c r="O19" i="508"/>
  <c r="I19" i="508"/>
  <c r="G19" i="508"/>
  <c r="AA18" i="508"/>
  <c r="Z18" i="508"/>
  <c r="Y18" i="508"/>
  <c r="X18" i="508"/>
  <c r="U18" i="508"/>
  <c r="T18" i="508"/>
  <c r="S18" i="508"/>
  <c r="R18" i="508"/>
  <c r="Q18" i="508"/>
  <c r="P18" i="508"/>
  <c r="O18" i="508"/>
  <c r="I18" i="508"/>
  <c r="G18" i="508"/>
  <c r="AA17" i="508"/>
  <c r="Z17" i="508"/>
  <c r="Y17" i="508"/>
  <c r="X17" i="508"/>
  <c r="U17" i="508"/>
  <c r="T17" i="508"/>
  <c r="S17" i="508"/>
  <c r="R17" i="508"/>
  <c r="Q17" i="508"/>
  <c r="P17" i="508"/>
  <c r="O17" i="508"/>
  <c r="I17" i="508"/>
  <c r="G17" i="508"/>
  <c r="AA16" i="508"/>
  <c r="Z16" i="508"/>
  <c r="Y16" i="508"/>
  <c r="X16" i="508"/>
  <c r="U16" i="508"/>
  <c r="T16" i="508"/>
  <c r="S16" i="508"/>
  <c r="R16" i="508"/>
  <c r="Q16" i="508"/>
  <c r="P16" i="508"/>
  <c r="O16" i="508"/>
  <c r="I16" i="508"/>
  <c r="G16" i="508"/>
  <c r="AA15" i="508"/>
  <c r="Z15" i="508"/>
  <c r="Y15" i="508"/>
  <c r="X15" i="508"/>
  <c r="U15" i="508"/>
  <c r="T15" i="508"/>
  <c r="S15" i="508"/>
  <c r="R15" i="508"/>
  <c r="Q15" i="508"/>
  <c r="P15" i="508"/>
  <c r="O15" i="508"/>
  <c r="I15" i="508"/>
  <c r="G15" i="508"/>
  <c r="AA14" i="508"/>
  <c r="Z14" i="508"/>
  <c r="Y14" i="508"/>
  <c r="X14" i="508"/>
  <c r="U14" i="508"/>
  <c r="T14" i="508"/>
  <c r="S14" i="508"/>
  <c r="R14" i="508"/>
  <c r="Q14" i="508"/>
  <c r="P14" i="508"/>
  <c r="O14" i="508"/>
  <c r="I14" i="508"/>
  <c r="G14" i="508"/>
  <c r="AA13" i="508"/>
  <c r="Z13" i="508"/>
  <c r="Y13" i="508"/>
  <c r="X13" i="508"/>
  <c r="U13" i="508"/>
  <c r="T13" i="508"/>
  <c r="S13" i="508"/>
  <c r="R13" i="508"/>
  <c r="Q13" i="508"/>
  <c r="P13" i="508"/>
  <c r="O13" i="508"/>
  <c r="I13" i="508"/>
  <c r="G13" i="508"/>
  <c r="AA12" i="508"/>
  <c r="Z12" i="508"/>
  <c r="Y12" i="508"/>
  <c r="X12" i="508"/>
  <c r="U12" i="508"/>
  <c r="T12" i="508"/>
  <c r="S12" i="508"/>
  <c r="R12" i="508"/>
  <c r="Q12" i="508"/>
  <c r="P12" i="508"/>
  <c r="O12" i="508"/>
  <c r="I12" i="508"/>
  <c r="G12" i="508"/>
  <c r="AA11" i="508"/>
  <c r="Z11" i="508"/>
  <c r="Y11" i="508"/>
  <c r="X11" i="508"/>
  <c r="U11" i="508"/>
  <c r="T11" i="508"/>
  <c r="S11" i="508"/>
  <c r="R11" i="508"/>
  <c r="Q11" i="508"/>
  <c r="P11" i="508"/>
  <c r="O11" i="508"/>
  <c r="I11" i="508"/>
  <c r="G11" i="508"/>
  <c r="AA10" i="508"/>
  <c r="Z10" i="508"/>
  <c r="Y10" i="508"/>
  <c r="X10" i="508"/>
  <c r="U10" i="508"/>
  <c r="T10" i="508"/>
  <c r="S10" i="508"/>
  <c r="R10" i="508"/>
  <c r="Q10" i="508"/>
  <c r="P10" i="508"/>
  <c r="O10" i="508"/>
  <c r="I10" i="508"/>
  <c r="G10" i="508"/>
  <c r="AA9" i="508"/>
  <c r="Z9" i="508"/>
  <c r="Y9" i="508"/>
  <c r="X9" i="508"/>
  <c r="U9" i="508"/>
  <c r="T9" i="508"/>
  <c r="S9" i="508"/>
  <c r="R9" i="508"/>
  <c r="Q9" i="508"/>
  <c r="P9" i="508"/>
  <c r="O9" i="508"/>
  <c r="I9" i="508"/>
  <c r="G9" i="508"/>
  <c r="AA8" i="508"/>
  <c r="Z8" i="508"/>
  <c r="Y8" i="508"/>
  <c r="X8" i="508"/>
  <c r="U8" i="508"/>
  <c r="T8" i="508"/>
  <c r="S8" i="508"/>
  <c r="R8" i="508"/>
  <c r="Q8" i="508"/>
  <c r="P8" i="508"/>
  <c r="O8" i="508"/>
  <c r="I8" i="508"/>
  <c r="G8" i="508"/>
  <c r="AA7" i="508"/>
  <c r="Z7" i="508"/>
  <c r="Y7" i="508"/>
  <c r="X7" i="508"/>
  <c r="U7" i="508"/>
  <c r="T7" i="508"/>
  <c r="S7" i="508"/>
  <c r="R7" i="508"/>
  <c r="Q7" i="508"/>
  <c r="P7" i="508"/>
  <c r="O7" i="508"/>
  <c r="I7" i="508"/>
  <c r="G7" i="508"/>
  <c r="P536" i="542"/>
  <c r="O536" i="542"/>
  <c r="N536" i="542"/>
  <c r="M536" i="542"/>
  <c r="L536" i="542"/>
  <c r="K536" i="542"/>
  <c r="I536" i="542"/>
  <c r="H536" i="542"/>
  <c r="G536" i="542"/>
  <c r="F536" i="542"/>
  <c r="E536" i="542"/>
  <c r="D536" i="542"/>
  <c r="C535" i="542"/>
  <c r="C534" i="542"/>
  <c r="C533" i="542"/>
  <c r="G517" i="542"/>
  <c r="N517" i="542" s="1"/>
  <c r="X515" i="542"/>
  <c r="X514" i="542"/>
  <c r="X513" i="542"/>
  <c r="G513" i="542"/>
  <c r="C513" i="542"/>
  <c r="X512" i="542"/>
  <c r="I512" i="542"/>
  <c r="E512" i="542"/>
  <c r="K512" i="542" s="1"/>
  <c r="M512" i="542" s="1"/>
  <c r="X511" i="542"/>
  <c r="I511" i="542"/>
  <c r="E511" i="542"/>
  <c r="K511" i="542" s="1"/>
  <c r="M511" i="542" s="1"/>
  <c r="I510" i="542"/>
  <c r="E510" i="542"/>
  <c r="K510" i="542" s="1"/>
  <c r="M510" i="542" s="1"/>
  <c r="I509" i="542"/>
  <c r="I513" i="542" s="1"/>
  <c r="E509" i="542"/>
  <c r="K509" i="542" s="1"/>
  <c r="AA506" i="542"/>
  <c r="Z506" i="542"/>
  <c r="Y506" i="542"/>
  <c r="X506" i="542"/>
  <c r="U506" i="542"/>
  <c r="T506" i="542"/>
  <c r="S506" i="542"/>
  <c r="R506" i="542"/>
  <c r="Q506" i="542"/>
  <c r="P506" i="542"/>
  <c r="O506" i="542"/>
  <c r="R514" i="542" s="1"/>
  <c r="I506" i="542"/>
  <c r="G506" i="542"/>
  <c r="J506" i="542" s="1" a="1"/>
  <c r="J506" i="542" s="1"/>
  <c r="H505" i="542"/>
  <c r="H504" i="542"/>
  <c r="H503" i="542"/>
  <c r="D502" i="542"/>
  <c r="H502" i="542" s="1"/>
  <c r="V501" i="542"/>
  <c r="W501" i="542" s="1"/>
  <c r="N501" i="542"/>
  <c r="K501" i="542" a="1"/>
  <c r="K501" i="542" s="1"/>
  <c r="M501" i="542" s="1"/>
  <c r="J501" i="542" a="1"/>
  <c r="J501" i="542" s="1"/>
  <c r="H501" i="542"/>
  <c r="H500" i="542"/>
  <c r="H499" i="542"/>
  <c r="V498" i="542"/>
  <c r="W498" i="542" s="1"/>
  <c r="N498" i="542"/>
  <c r="K498" i="542"/>
  <c r="M498" i="542" s="1"/>
  <c r="K498" i="542" a="1"/>
  <c r="J498" i="542"/>
  <c r="J498" i="542" a="1"/>
  <c r="H498" i="542"/>
  <c r="V497" i="542"/>
  <c r="W497" i="542" s="1"/>
  <c r="N497" i="542"/>
  <c r="K497" i="542" a="1"/>
  <c r="K497" i="542" s="1"/>
  <c r="M497" i="542" s="1"/>
  <c r="J497" i="542" a="1"/>
  <c r="J497" i="542" s="1"/>
  <c r="H497" i="542"/>
  <c r="H496" i="542"/>
  <c r="H495" i="542"/>
  <c r="V494" i="542"/>
  <c r="W494" i="542" s="1"/>
  <c r="N494" i="542"/>
  <c r="K494" i="542" a="1"/>
  <c r="K494" i="542" s="1"/>
  <c r="M494" i="542" s="1"/>
  <c r="J494" i="542" a="1"/>
  <c r="J494" i="542" s="1"/>
  <c r="H494" i="542"/>
  <c r="V493" i="542"/>
  <c r="W493" i="542" s="1"/>
  <c r="N493" i="542"/>
  <c r="K493" i="542" a="1"/>
  <c r="K493" i="542" s="1"/>
  <c r="M493" i="542" s="1"/>
  <c r="J493" i="542" a="1"/>
  <c r="J493" i="542" s="1"/>
  <c r="H493" i="542"/>
  <c r="V492" i="542"/>
  <c r="W492" i="542" s="1"/>
  <c r="N492" i="542"/>
  <c r="K492" i="542"/>
  <c r="M492" i="542" s="1"/>
  <c r="K492" i="542" a="1"/>
  <c r="J492" i="542"/>
  <c r="J492" i="542" a="1"/>
  <c r="H492" i="542"/>
  <c r="V491" i="542"/>
  <c r="N491" i="542"/>
  <c r="N506" i="542" s="1"/>
  <c r="K491" i="542" a="1"/>
  <c r="K491" i="542" s="1"/>
  <c r="J491" i="542" a="1"/>
  <c r="J491" i="542" s="1"/>
  <c r="H491" i="542"/>
  <c r="H506" i="542" s="1"/>
  <c r="AA490" i="542"/>
  <c r="Z490" i="542"/>
  <c r="Y490" i="542"/>
  <c r="X490" i="542"/>
  <c r="U490" i="542"/>
  <c r="T490" i="542"/>
  <c r="S490" i="542"/>
  <c r="Q490" i="542"/>
  <c r="P490" i="542"/>
  <c r="O490" i="542"/>
  <c r="I490" i="542"/>
  <c r="G490" i="542"/>
  <c r="J490" i="542" s="1" a="1"/>
  <c r="J490" i="542" s="1"/>
  <c r="V489" i="542"/>
  <c r="W489" i="542" s="1"/>
  <c r="N489" i="542"/>
  <c r="K489" i="542"/>
  <c r="M489" i="542" s="1"/>
  <c r="K489" i="542" a="1"/>
  <c r="J489" i="542"/>
  <c r="J489" i="542" a="1"/>
  <c r="H489" i="542"/>
  <c r="H487" i="542"/>
  <c r="H486" i="542"/>
  <c r="H485" i="542"/>
  <c r="V484" i="542"/>
  <c r="W484" i="542" s="1"/>
  <c r="N484" i="542"/>
  <c r="K484" i="542" a="1"/>
  <c r="K484" i="542" s="1"/>
  <c r="M484" i="542" s="1"/>
  <c r="J484" i="542" a="1"/>
  <c r="J484" i="542" s="1"/>
  <c r="H484" i="542"/>
  <c r="V483" i="542"/>
  <c r="W483" i="542" s="1"/>
  <c r="N483" i="542"/>
  <c r="K483" i="542" a="1"/>
  <c r="K483" i="542" s="1"/>
  <c r="M483" i="542" s="1"/>
  <c r="J483" i="542" a="1"/>
  <c r="J483" i="542" s="1"/>
  <c r="H483" i="542"/>
  <c r="V482" i="542"/>
  <c r="W482" i="542" s="1"/>
  <c r="N482" i="542"/>
  <c r="K482" i="542"/>
  <c r="M482" i="542" s="1"/>
  <c r="K482" i="542" a="1"/>
  <c r="J482" i="542"/>
  <c r="J482" i="542" a="1"/>
  <c r="H482" i="542"/>
  <c r="V481" i="542"/>
  <c r="W481" i="542" s="1"/>
  <c r="N481" i="542"/>
  <c r="K481" i="542" a="1"/>
  <c r="K481" i="542" s="1"/>
  <c r="M481" i="542" s="1"/>
  <c r="J481" i="542" a="1"/>
  <c r="J481" i="542" s="1"/>
  <c r="H481" i="542"/>
  <c r="W480" i="542"/>
  <c r="V480" i="542"/>
  <c r="V490" i="542" s="1"/>
  <c r="W490" i="542" s="1"/>
  <c r="N480" i="542"/>
  <c r="N490" i="542" s="1"/>
  <c r="K480" i="542" a="1"/>
  <c r="K480" i="542" s="1"/>
  <c r="M480" i="542" s="1"/>
  <c r="J480" i="542" a="1"/>
  <c r="J480" i="542" s="1"/>
  <c r="H480" i="542"/>
  <c r="H490" i="542" s="1"/>
  <c r="AA479" i="542"/>
  <c r="Z479" i="542"/>
  <c r="Y479" i="542"/>
  <c r="X479" i="542"/>
  <c r="U479" i="542"/>
  <c r="T479" i="542"/>
  <c r="S479" i="542"/>
  <c r="Q479" i="542"/>
  <c r="P479" i="542"/>
  <c r="O479" i="542"/>
  <c r="I479" i="542"/>
  <c r="G479" i="542"/>
  <c r="J479" i="542" s="1" a="1"/>
  <c r="J479" i="542" s="1"/>
  <c r="V478" i="542"/>
  <c r="W478" i="542" s="1"/>
  <c r="N478" i="542"/>
  <c r="K478" i="542" a="1"/>
  <c r="K478" i="542" s="1"/>
  <c r="M478" i="542" s="1"/>
  <c r="J478" i="542" a="1"/>
  <c r="J478" i="542" s="1"/>
  <c r="H478" i="542"/>
  <c r="V477" i="542"/>
  <c r="W477" i="542" s="1"/>
  <c r="N477" i="542"/>
  <c r="K477" i="542"/>
  <c r="M477" i="542" s="1"/>
  <c r="K477" i="542" a="1"/>
  <c r="J477" i="542"/>
  <c r="J477" i="542" a="1"/>
  <c r="H477" i="542"/>
  <c r="V476" i="542"/>
  <c r="W476" i="542" s="1"/>
  <c r="N476" i="542"/>
  <c r="K476" i="542" a="1"/>
  <c r="K476" i="542" s="1"/>
  <c r="M476" i="542" s="1"/>
  <c r="J476" i="542" a="1"/>
  <c r="J476" i="542" s="1"/>
  <c r="H476" i="542"/>
  <c r="V475" i="542"/>
  <c r="W475" i="542" s="1"/>
  <c r="N475" i="542"/>
  <c r="K475" i="542"/>
  <c r="M475" i="542" s="1"/>
  <c r="K475" i="542" a="1"/>
  <c r="J475" i="542"/>
  <c r="J475" i="542" a="1"/>
  <c r="H475" i="542"/>
  <c r="V474" i="542"/>
  <c r="W474" i="542" s="1"/>
  <c r="N474" i="542"/>
  <c r="K474" i="542" a="1"/>
  <c r="K474" i="542" s="1"/>
  <c r="M474" i="542" s="1"/>
  <c r="J474" i="542" a="1"/>
  <c r="J474" i="542" s="1"/>
  <c r="H474" i="542"/>
  <c r="V473" i="542"/>
  <c r="W473" i="542" s="1"/>
  <c r="N473" i="542"/>
  <c r="K473" i="542" a="1"/>
  <c r="K473" i="542" s="1"/>
  <c r="M473" i="542" s="1"/>
  <c r="J473" i="542" a="1"/>
  <c r="J473" i="542" s="1"/>
  <c r="H473" i="542"/>
  <c r="V472" i="542"/>
  <c r="W472" i="542" s="1"/>
  <c r="N472" i="542"/>
  <c r="K472" i="542" a="1"/>
  <c r="K472" i="542" s="1"/>
  <c r="M472" i="542" s="1"/>
  <c r="J472" i="542" a="1"/>
  <c r="J472" i="542" s="1"/>
  <c r="H472" i="542"/>
  <c r="V471" i="542"/>
  <c r="W471" i="542" s="1"/>
  <c r="N471" i="542"/>
  <c r="K471" i="542"/>
  <c r="M471" i="542" s="1"/>
  <c r="K471" i="542" a="1"/>
  <c r="J471" i="542"/>
  <c r="J471" i="542" a="1"/>
  <c r="H471" i="542"/>
  <c r="V470" i="542"/>
  <c r="W470" i="542" s="1"/>
  <c r="N470" i="542"/>
  <c r="K470" i="542" a="1"/>
  <c r="K470" i="542" s="1"/>
  <c r="M470" i="542" s="1"/>
  <c r="J470" i="542" a="1"/>
  <c r="J470" i="542" s="1"/>
  <c r="H470" i="542"/>
  <c r="W469" i="542"/>
  <c r="V469" i="542"/>
  <c r="N469" i="542"/>
  <c r="K469" i="542" a="1"/>
  <c r="K469" i="542" s="1"/>
  <c r="M469" i="542" s="1"/>
  <c r="J469" i="542" a="1"/>
  <c r="J469" i="542" s="1"/>
  <c r="H469" i="542"/>
  <c r="V468" i="542"/>
  <c r="W468" i="542" s="1"/>
  <c r="N468" i="542"/>
  <c r="K468" i="542" a="1"/>
  <c r="K468" i="542" s="1"/>
  <c r="M468" i="542" s="1"/>
  <c r="J468" i="542" a="1"/>
  <c r="J468" i="542" s="1"/>
  <c r="H468" i="542"/>
  <c r="V467" i="542"/>
  <c r="W467" i="542" s="1"/>
  <c r="N467" i="542"/>
  <c r="K467" i="542"/>
  <c r="M467" i="542" s="1"/>
  <c r="K467" i="542" a="1"/>
  <c r="J467" i="542"/>
  <c r="J467" i="542" a="1"/>
  <c r="H467" i="542"/>
  <c r="V466" i="542"/>
  <c r="W466" i="542" s="1"/>
  <c r="N466" i="542"/>
  <c r="K466" i="542" a="1"/>
  <c r="K466" i="542" s="1"/>
  <c r="M466" i="542" s="1"/>
  <c r="J466" i="542" a="1"/>
  <c r="J466" i="542" s="1"/>
  <c r="H466" i="542"/>
  <c r="V465" i="542"/>
  <c r="W465" i="542" s="1"/>
  <c r="N465" i="542"/>
  <c r="K465" i="542" a="1"/>
  <c r="K465" i="542" s="1"/>
  <c r="M465" i="542" s="1"/>
  <c r="J465" i="542" a="1"/>
  <c r="J465" i="542" s="1"/>
  <c r="H465" i="542"/>
  <c r="V464" i="542"/>
  <c r="N464" i="542"/>
  <c r="K464" i="542" a="1"/>
  <c r="K464" i="542" s="1"/>
  <c r="J464" i="542" a="1"/>
  <c r="J464" i="542" s="1"/>
  <c r="H464" i="542"/>
  <c r="AA463" i="542"/>
  <c r="Z463" i="542"/>
  <c r="Y463" i="542"/>
  <c r="X463" i="542"/>
  <c r="U463" i="542"/>
  <c r="T463" i="542"/>
  <c r="S463" i="542"/>
  <c r="R463" i="542"/>
  <c r="Q463" i="542"/>
  <c r="P463" i="542"/>
  <c r="O463" i="542"/>
  <c r="R511" i="542" s="1"/>
  <c r="I463" i="542"/>
  <c r="G463" i="542"/>
  <c r="V462" i="542"/>
  <c r="W462" i="542" s="1"/>
  <c r="N462" i="542"/>
  <c r="K462" i="542" a="1"/>
  <c r="K462" i="542" s="1"/>
  <c r="M462" i="542" s="1"/>
  <c r="J462" i="542" a="1"/>
  <c r="J462" i="542" s="1"/>
  <c r="H462" i="542"/>
  <c r="V461" i="542"/>
  <c r="W461" i="542" s="1"/>
  <c r="N461" i="542"/>
  <c r="K461" i="542" a="1"/>
  <c r="K461" i="542" s="1"/>
  <c r="M461" i="542" s="1"/>
  <c r="J461" i="542" a="1"/>
  <c r="J461" i="542" s="1"/>
  <c r="H461" i="542"/>
  <c r="V460" i="542"/>
  <c r="W460" i="542" s="1"/>
  <c r="N460" i="542"/>
  <c r="K460" i="542" a="1"/>
  <c r="K460" i="542" s="1"/>
  <c r="M460" i="542" s="1"/>
  <c r="J460" i="542" a="1"/>
  <c r="J460" i="542" s="1"/>
  <c r="H460" i="542"/>
  <c r="K459" i="542" a="1"/>
  <c r="K459" i="542" s="1"/>
  <c r="M459" i="542" s="1"/>
  <c r="H459" i="542"/>
  <c r="K458" i="542"/>
  <c r="M458" i="542" s="1"/>
  <c r="K458" i="542" a="1"/>
  <c r="H458" i="542"/>
  <c r="K457" i="542" a="1"/>
  <c r="K457" i="542" s="1"/>
  <c r="M457" i="542" s="1"/>
  <c r="H457" i="542"/>
  <c r="V456" i="542"/>
  <c r="W456" i="542" s="1"/>
  <c r="N456" i="542"/>
  <c r="K456" i="542" a="1"/>
  <c r="K456" i="542" s="1"/>
  <c r="M456" i="542" s="1"/>
  <c r="J456" i="542" a="1"/>
  <c r="J456" i="542" s="1"/>
  <c r="H456" i="542"/>
  <c r="V455" i="542"/>
  <c r="W455" i="542" s="1"/>
  <c r="N455" i="542"/>
  <c r="K455" i="542"/>
  <c r="M455" i="542" s="1"/>
  <c r="K455" i="542" a="1"/>
  <c r="J455" i="542"/>
  <c r="J455" i="542" a="1"/>
  <c r="H455" i="542"/>
  <c r="N454" i="542"/>
  <c r="K454" i="542" a="1"/>
  <c r="K454" i="542" s="1"/>
  <c r="M454" i="542" s="1"/>
  <c r="H454" i="542"/>
  <c r="N453" i="542"/>
  <c r="K453" i="542" a="1"/>
  <c r="K453" i="542" s="1"/>
  <c r="M453" i="542" s="1"/>
  <c r="H453" i="542"/>
  <c r="N452" i="542"/>
  <c r="K452" i="542" a="1"/>
  <c r="K452" i="542" s="1"/>
  <c r="M452" i="542" s="1"/>
  <c r="H452" i="542"/>
  <c r="N451" i="542"/>
  <c r="K451" i="542"/>
  <c r="M451" i="542" s="1"/>
  <c r="K451" i="542" a="1"/>
  <c r="H451" i="542"/>
  <c r="N450" i="542"/>
  <c r="K450" i="542" a="1"/>
  <c r="K450" i="542" s="1"/>
  <c r="M450" i="542" s="1"/>
  <c r="H450" i="542"/>
  <c r="N449" i="542"/>
  <c r="K449" i="542" a="1"/>
  <c r="K449" i="542" s="1"/>
  <c r="M449" i="542" s="1"/>
  <c r="H449" i="542"/>
  <c r="V448" i="542"/>
  <c r="W448" i="542" s="1"/>
  <c r="N448" i="542"/>
  <c r="K448" i="542" a="1"/>
  <c r="K448" i="542" s="1"/>
  <c r="M448" i="542" s="1"/>
  <c r="J448" i="542" a="1"/>
  <c r="J448" i="542" s="1"/>
  <c r="H448" i="542"/>
  <c r="V447" i="542"/>
  <c r="W447" i="542" s="1"/>
  <c r="N447" i="542"/>
  <c r="K447" i="542"/>
  <c r="M447" i="542" s="1"/>
  <c r="K447" i="542" a="1"/>
  <c r="J447" i="542"/>
  <c r="J447" i="542" a="1"/>
  <c r="H447" i="542"/>
  <c r="V446" i="542"/>
  <c r="W446" i="542" s="1"/>
  <c r="N446" i="542"/>
  <c r="K446" i="542" a="1"/>
  <c r="K446" i="542" s="1"/>
  <c r="M446" i="542" s="1"/>
  <c r="J446" i="542" a="1"/>
  <c r="J446" i="542" s="1"/>
  <c r="H446" i="542"/>
  <c r="V445" i="542"/>
  <c r="W445" i="542" s="1"/>
  <c r="N445" i="542"/>
  <c r="K445" i="542" a="1"/>
  <c r="K445" i="542" s="1"/>
  <c r="M445" i="542" s="1"/>
  <c r="J445" i="542" a="1"/>
  <c r="J445" i="542" s="1"/>
  <c r="H445" i="542"/>
  <c r="V444" i="542"/>
  <c r="W444" i="542" s="1"/>
  <c r="N444" i="542"/>
  <c r="K444" i="542" a="1"/>
  <c r="K444" i="542" s="1"/>
  <c r="M444" i="542" s="1"/>
  <c r="J444" i="542" a="1"/>
  <c r="J444" i="542" s="1"/>
  <c r="H444" i="542"/>
  <c r="V443" i="542"/>
  <c r="W443" i="542" s="1"/>
  <c r="N443" i="542"/>
  <c r="K443" i="542"/>
  <c r="M443" i="542" s="1"/>
  <c r="K443" i="542" a="1"/>
  <c r="J443" i="542"/>
  <c r="J443" i="542" a="1"/>
  <c r="H443" i="542"/>
  <c r="V442" i="542"/>
  <c r="W442" i="542" s="1"/>
  <c r="N442" i="542"/>
  <c r="K442" i="542" a="1"/>
  <c r="K442" i="542" s="1"/>
  <c r="M442" i="542" s="1"/>
  <c r="J442" i="542" a="1"/>
  <c r="J442" i="542" s="1"/>
  <c r="H442" i="542"/>
  <c r="V441" i="542"/>
  <c r="W441" i="542" s="1"/>
  <c r="N441" i="542"/>
  <c r="K441" i="542" a="1"/>
  <c r="K441" i="542" s="1"/>
  <c r="M441" i="542" s="1"/>
  <c r="J441" i="542" a="1"/>
  <c r="J441" i="542" s="1"/>
  <c r="H441" i="542"/>
  <c r="V440" i="542"/>
  <c r="W440" i="542" s="1"/>
  <c r="N440" i="542"/>
  <c r="K440" i="542" a="1"/>
  <c r="K440" i="542" s="1"/>
  <c r="M440" i="542" s="1"/>
  <c r="J440" i="542" a="1"/>
  <c r="J440" i="542" s="1"/>
  <c r="H440" i="542"/>
  <c r="V439" i="542"/>
  <c r="W439" i="542" s="1"/>
  <c r="N439" i="542"/>
  <c r="K439" i="542"/>
  <c r="M439" i="542" s="1"/>
  <c r="K439" i="542" a="1"/>
  <c r="J439" i="542"/>
  <c r="J439" i="542" a="1"/>
  <c r="H439" i="542"/>
  <c r="V438" i="542"/>
  <c r="W438" i="542" s="1"/>
  <c r="N438" i="542"/>
  <c r="K438" i="542" a="1"/>
  <c r="K438" i="542" s="1"/>
  <c r="M438" i="542" s="1"/>
  <c r="J438" i="542" a="1"/>
  <c r="J438" i="542" s="1"/>
  <c r="H438" i="542"/>
  <c r="W437" i="542"/>
  <c r="V437" i="542"/>
  <c r="N437" i="542"/>
  <c r="K437" i="542" a="1"/>
  <c r="K437" i="542" s="1"/>
  <c r="M437" i="542" s="1"/>
  <c r="J437" i="542" a="1"/>
  <c r="J437" i="542" s="1"/>
  <c r="H437" i="542"/>
  <c r="N436" i="542"/>
  <c r="K436" i="542" a="1"/>
  <c r="K436" i="542" s="1"/>
  <c r="M436" i="542" s="1"/>
  <c r="H436" i="542"/>
  <c r="V435" i="542"/>
  <c r="W435" i="542" s="1"/>
  <c r="N435" i="542"/>
  <c r="K435" i="542"/>
  <c r="M435" i="542" s="1"/>
  <c r="K435" i="542" a="1"/>
  <c r="J435" i="542"/>
  <c r="J435" i="542" a="1"/>
  <c r="H435" i="542"/>
  <c r="V434" i="542"/>
  <c r="W434" i="542" s="1"/>
  <c r="N434" i="542"/>
  <c r="K434" i="542" a="1"/>
  <c r="K434" i="542" s="1"/>
  <c r="M434" i="542" s="1"/>
  <c r="J434" i="542" a="1"/>
  <c r="J434" i="542" s="1"/>
  <c r="H434" i="542"/>
  <c r="V433" i="542"/>
  <c r="W433" i="542" s="1"/>
  <c r="N433" i="542"/>
  <c r="K433" i="542" a="1"/>
  <c r="K433" i="542" s="1"/>
  <c r="M433" i="542" s="1"/>
  <c r="J433" i="542" a="1"/>
  <c r="J433" i="542" s="1"/>
  <c r="H433" i="542"/>
  <c r="V432" i="542"/>
  <c r="W432" i="542" s="1"/>
  <c r="N432" i="542"/>
  <c r="K432" i="542" a="1"/>
  <c r="K432" i="542" s="1"/>
  <c r="M432" i="542" s="1"/>
  <c r="J432" i="542" a="1"/>
  <c r="J432" i="542" s="1"/>
  <c r="H432" i="542"/>
  <c r="V431" i="542"/>
  <c r="W431" i="542" s="1"/>
  <c r="N431" i="542"/>
  <c r="K431" i="542"/>
  <c r="M431" i="542" s="1"/>
  <c r="K431" i="542" a="1"/>
  <c r="J431" i="542"/>
  <c r="J431" i="542" a="1"/>
  <c r="H431" i="542"/>
  <c r="V430" i="542"/>
  <c r="W430" i="542" s="1"/>
  <c r="N430" i="542"/>
  <c r="K430" i="542" a="1"/>
  <c r="K430" i="542" s="1"/>
  <c r="M430" i="542" s="1"/>
  <c r="J430" i="542" a="1"/>
  <c r="J430" i="542" s="1"/>
  <c r="H430" i="542"/>
  <c r="V429" i="542"/>
  <c r="W429" i="542" s="1"/>
  <c r="N429" i="542"/>
  <c r="N463" i="542" s="1"/>
  <c r="K429" i="542" a="1"/>
  <c r="K429" i="542" s="1"/>
  <c r="M429" i="542" s="1"/>
  <c r="J429" i="542" a="1"/>
  <c r="J429" i="542" s="1"/>
  <c r="H429" i="542"/>
  <c r="AA428" i="542"/>
  <c r="Z428" i="542"/>
  <c r="Y428" i="542"/>
  <c r="X428" i="542"/>
  <c r="U428" i="542"/>
  <c r="T428" i="542"/>
  <c r="S428" i="542"/>
  <c r="R428" i="542"/>
  <c r="Q428" i="542"/>
  <c r="P428" i="542"/>
  <c r="O428" i="542"/>
  <c r="R510" i="542" s="1"/>
  <c r="I428" i="542"/>
  <c r="G428" i="542"/>
  <c r="J428" i="542" s="1" a="1"/>
  <c r="J428" i="542" s="1"/>
  <c r="K427" i="542" a="1"/>
  <c r="K427" i="542" s="1"/>
  <c r="M427" i="542" s="1"/>
  <c r="H427" i="542"/>
  <c r="K426" i="542" a="1"/>
  <c r="K426" i="542" s="1"/>
  <c r="M426" i="542" s="1"/>
  <c r="H426" i="542"/>
  <c r="K425" i="542" a="1"/>
  <c r="K425" i="542" s="1"/>
  <c r="M425" i="542" s="1"/>
  <c r="H425" i="542"/>
  <c r="K424" i="542" a="1"/>
  <c r="K424" i="542" s="1"/>
  <c r="M424" i="542" s="1"/>
  <c r="H424" i="542"/>
  <c r="K423" i="542" a="1"/>
  <c r="K423" i="542" s="1"/>
  <c r="M423" i="542" s="1"/>
  <c r="H423" i="542"/>
  <c r="K422" i="542" a="1"/>
  <c r="K422" i="542" s="1"/>
  <c r="M422" i="542" s="1"/>
  <c r="H422" i="542"/>
  <c r="K421" i="542" a="1"/>
  <c r="K421" i="542" s="1"/>
  <c r="M421" i="542" s="1"/>
  <c r="H421" i="542"/>
  <c r="K420" i="542" a="1"/>
  <c r="K420" i="542" s="1"/>
  <c r="M420" i="542" s="1"/>
  <c r="H420" i="542"/>
  <c r="K419" i="542" a="1"/>
  <c r="K419" i="542" s="1"/>
  <c r="M419" i="542" s="1"/>
  <c r="H419" i="542"/>
  <c r="K418" i="542" a="1"/>
  <c r="K418" i="542" s="1"/>
  <c r="M418" i="542" s="1"/>
  <c r="H418" i="542"/>
  <c r="W417" i="542"/>
  <c r="V417" i="542"/>
  <c r="N417" i="542"/>
  <c r="K417" i="542" a="1"/>
  <c r="K417" i="542" s="1"/>
  <c r="M417" i="542" s="1"/>
  <c r="J417" i="542" a="1"/>
  <c r="J417" i="542" s="1"/>
  <c r="H417" i="542"/>
  <c r="V416" i="542"/>
  <c r="W416" i="542" s="1"/>
  <c r="N416" i="542"/>
  <c r="K416" i="542" a="1"/>
  <c r="K416" i="542" s="1"/>
  <c r="M416" i="542" s="1"/>
  <c r="J416" i="542" a="1"/>
  <c r="J416" i="542" s="1"/>
  <c r="H416" i="542"/>
  <c r="V415" i="542"/>
  <c r="W415" i="542" s="1"/>
  <c r="N415" i="542"/>
  <c r="K415" i="542"/>
  <c r="M415" i="542" s="1"/>
  <c r="K415" i="542" a="1"/>
  <c r="J415" i="542"/>
  <c r="J415" i="542" a="1"/>
  <c r="H415" i="542"/>
  <c r="V414" i="542"/>
  <c r="W414" i="542" s="1"/>
  <c r="N414" i="542"/>
  <c r="K414" i="542" a="1"/>
  <c r="K414" i="542" s="1"/>
  <c r="M414" i="542" s="1"/>
  <c r="J414" i="542" a="1"/>
  <c r="J414" i="542" s="1"/>
  <c r="H414" i="542"/>
  <c r="H413" i="542"/>
  <c r="V412" i="542"/>
  <c r="W412" i="542" s="1"/>
  <c r="N412" i="542"/>
  <c r="K412" i="542" a="1"/>
  <c r="K412" i="542" s="1"/>
  <c r="M412" i="542" s="1"/>
  <c r="J412" i="542" a="1"/>
  <c r="J412" i="542" s="1"/>
  <c r="H412" i="542"/>
  <c r="V411" i="542"/>
  <c r="W411" i="542" s="1"/>
  <c r="N411" i="542"/>
  <c r="K411" i="542" a="1"/>
  <c r="K411" i="542" s="1"/>
  <c r="M411" i="542" s="1"/>
  <c r="J411" i="542" a="1"/>
  <c r="J411" i="542" s="1"/>
  <c r="H411" i="542"/>
  <c r="H410" i="542"/>
  <c r="K409" i="542" a="1"/>
  <c r="K409" i="542" s="1"/>
  <c r="H409" i="542"/>
  <c r="V408" i="542"/>
  <c r="W408" i="542" s="1"/>
  <c r="N408" i="542"/>
  <c r="K408" i="542" a="1"/>
  <c r="K408" i="542" s="1"/>
  <c r="M408" i="542" s="1"/>
  <c r="J408" i="542" a="1"/>
  <c r="J408" i="542" s="1"/>
  <c r="H408" i="542"/>
  <c r="V407" i="542"/>
  <c r="W407" i="542" s="1"/>
  <c r="N407" i="542"/>
  <c r="K407" i="542"/>
  <c r="M407" i="542" s="1"/>
  <c r="K407" i="542" a="1"/>
  <c r="J407" i="542"/>
  <c r="J407" i="542" a="1"/>
  <c r="H407" i="542"/>
  <c r="V406" i="542"/>
  <c r="W406" i="542" s="1"/>
  <c r="N406" i="542"/>
  <c r="K406" i="542" a="1"/>
  <c r="K406" i="542" s="1"/>
  <c r="M406" i="542" s="1"/>
  <c r="J406" i="542" a="1"/>
  <c r="J406" i="542" s="1"/>
  <c r="H406" i="542"/>
  <c r="V405" i="542"/>
  <c r="W405" i="542" s="1"/>
  <c r="N405" i="542"/>
  <c r="K405" i="542" a="1"/>
  <c r="K405" i="542" s="1"/>
  <c r="M405" i="542" s="1"/>
  <c r="J405" i="542" a="1"/>
  <c r="J405" i="542" s="1"/>
  <c r="H405" i="542"/>
  <c r="V404" i="542"/>
  <c r="W404" i="542" s="1"/>
  <c r="N404" i="542"/>
  <c r="K404" i="542" a="1"/>
  <c r="K404" i="542" s="1"/>
  <c r="M404" i="542" s="1"/>
  <c r="J404" i="542" a="1"/>
  <c r="J404" i="542" s="1"/>
  <c r="H404" i="542"/>
  <c r="V403" i="542"/>
  <c r="W403" i="542" s="1"/>
  <c r="N403" i="542"/>
  <c r="K403" i="542"/>
  <c r="M403" i="542" s="1"/>
  <c r="K403" i="542" a="1"/>
  <c r="J403" i="542"/>
  <c r="J403" i="542" a="1"/>
  <c r="H403" i="542"/>
  <c r="V402" i="542"/>
  <c r="W402" i="542" s="1"/>
  <c r="N402" i="542"/>
  <c r="K402" i="542" a="1"/>
  <c r="K402" i="542" s="1"/>
  <c r="M402" i="542" s="1"/>
  <c r="J402" i="542" a="1"/>
  <c r="J402" i="542" s="1"/>
  <c r="H402" i="542"/>
  <c r="W401" i="542"/>
  <c r="V401" i="542"/>
  <c r="N401" i="542"/>
  <c r="K401" i="542" a="1"/>
  <c r="K401" i="542" s="1"/>
  <c r="M401" i="542" s="1"/>
  <c r="J401" i="542" a="1"/>
  <c r="J401" i="542" s="1"/>
  <c r="H401" i="542"/>
  <c r="V400" i="542"/>
  <c r="W400" i="542" s="1"/>
  <c r="N400" i="542"/>
  <c r="K400" i="542" a="1"/>
  <c r="K400" i="542" s="1"/>
  <c r="M400" i="542" s="1"/>
  <c r="J400" i="542" a="1"/>
  <c r="J400" i="542" s="1"/>
  <c r="H400" i="542"/>
  <c r="V399" i="542"/>
  <c r="W399" i="542" s="1"/>
  <c r="N399" i="542"/>
  <c r="K399" i="542"/>
  <c r="M399" i="542" s="1"/>
  <c r="K399" i="542" a="1"/>
  <c r="J399" i="542"/>
  <c r="J399" i="542" a="1"/>
  <c r="H399" i="542"/>
  <c r="K398" i="542" a="1"/>
  <c r="K398" i="542" s="1"/>
  <c r="M398" i="542" s="1"/>
  <c r="H398" i="542"/>
  <c r="K397" i="542"/>
  <c r="M397" i="542" s="1"/>
  <c r="K397" i="542" a="1"/>
  <c r="H397" i="542"/>
  <c r="K396" i="542" a="1"/>
  <c r="K396" i="542" s="1"/>
  <c r="M396" i="542" s="1"/>
  <c r="H396" i="542"/>
  <c r="K395" i="542" a="1"/>
  <c r="K395" i="542" s="1"/>
  <c r="M395" i="542" s="1"/>
  <c r="H395" i="542"/>
  <c r="N394" i="542"/>
  <c r="K394" i="542"/>
  <c r="M394" i="542" s="1"/>
  <c r="K394" i="542" a="1"/>
  <c r="H394" i="542"/>
  <c r="N393" i="542"/>
  <c r="K393" i="542" a="1"/>
  <c r="K393" i="542" s="1"/>
  <c r="M393" i="542" s="1"/>
  <c r="H393" i="542"/>
  <c r="N392" i="542"/>
  <c r="K392" i="542" a="1"/>
  <c r="K392" i="542" s="1"/>
  <c r="M392" i="542" s="1"/>
  <c r="H392" i="542"/>
  <c r="N391" i="542"/>
  <c r="K391" i="542" a="1"/>
  <c r="K391" i="542" s="1"/>
  <c r="M391" i="542" s="1"/>
  <c r="H391" i="542"/>
  <c r="W390" i="542"/>
  <c r="V390" i="542"/>
  <c r="N390" i="542"/>
  <c r="K390" i="542" a="1"/>
  <c r="K390" i="542" s="1"/>
  <c r="M390" i="542" s="1"/>
  <c r="J390" i="542" a="1"/>
  <c r="J390" i="542" s="1"/>
  <c r="H390" i="542"/>
  <c r="V389" i="542"/>
  <c r="W389" i="542" s="1"/>
  <c r="N389" i="542"/>
  <c r="K389" i="542" a="1"/>
  <c r="K389" i="542" s="1"/>
  <c r="M389" i="542" s="1"/>
  <c r="J389" i="542" a="1"/>
  <c r="J389" i="542" s="1"/>
  <c r="H389" i="542"/>
  <c r="V388" i="542"/>
  <c r="W388" i="542" s="1"/>
  <c r="N388" i="542"/>
  <c r="K388" i="542"/>
  <c r="M388" i="542" s="1"/>
  <c r="K388" i="542" a="1"/>
  <c r="J388" i="542"/>
  <c r="J388" i="542" a="1"/>
  <c r="H388" i="542"/>
  <c r="V387" i="542"/>
  <c r="W387" i="542" s="1"/>
  <c r="N387" i="542"/>
  <c r="K387" i="542" a="1"/>
  <c r="K387" i="542" s="1"/>
  <c r="M387" i="542" s="1"/>
  <c r="J387" i="542" a="1"/>
  <c r="J387" i="542" s="1"/>
  <c r="H387" i="542"/>
  <c r="V386" i="542"/>
  <c r="W386" i="542" s="1"/>
  <c r="N386" i="542"/>
  <c r="K386" i="542" a="1"/>
  <c r="K386" i="542" s="1"/>
  <c r="M386" i="542" s="1"/>
  <c r="J386" i="542" a="1"/>
  <c r="J386" i="542" s="1"/>
  <c r="H386" i="542"/>
  <c r="V385" i="542"/>
  <c r="W385" i="542" s="1"/>
  <c r="N385" i="542"/>
  <c r="K385" i="542" a="1"/>
  <c r="K385" i="542" s="1"/>
  <c r="M385" i="542" s="1"/>
  <c r="J385" i="542" a="1"/>
  <c r="J385" i="542" s="1"/>
  <c r="H385" i="542"/>
  <c r="V384" i="542"/>
  <c r="W384" i="542" s="1"/>
  <c r="N384" i="542"/>
  <c r="K384" i="542"/>
  <c r="M384" i="542" s="1"/>
  <c r="K384" i="542" a="1"/>
  <c r="J384" i="542"/>
  <c r="J384" i="542" a="1"/>
  <c r="H384" i="542"/>
  <c r="V383" i="542"/>
  <c r="W383" i="542" s="1"/>
  <c r="N383" i="542"/>
  <c r="K383" i="542" a="1"/>
  <c r="K383" i="542" s="1"/>
  <c r="M383" i="542" s="1"/>
  <c r="J383" i="542" a="1"/>
  <c r="J383" i="542" s="1"/>
  <c r="H383" i="542"/>
  <c r="W382" i="542"/>
  <c r="V382" i="542"/>
  <c r="N382" i="542"/>
  <c r="K382" i="542" a="1"/>
  <c r="K382" i="542" s="1"/>
  <c r="M382" i="542" s="1"/>
  <c r="J382" i="542" a="1"/>
  <c r="J382" i="542" s="1"/>
  <c r="H382" i="542"/>
  <c r="V381" i="542"/>
  <c r="W381" i="542" s="1"/>
  <c r="N381" i="542"/>
  <c r="K381" i="542" a="1"/>
  <c r="K381" i="542" s="1"/>
  <c r="M381" i="542" s="1"/>
  <c r="J381" i="542" a="1"/>
  <c r="J381" i="542" s="1"/>
  <c r="H381" i="542"/>
  <c r="V380" i="542"/>
  <c r="W380" i="542" s="1"/>
  <c r="N380" i="542"/>
  <c r="K380" i="542"/>
  <c r="M380" i="542" s="1"/>
  <c r="K380" i="542" a="1"/>
  <c r="J380" i="542"/>
  <c r="J380" i="542" a="1"/>
  <c r="H380" i="542"/>
  <c r="V379" i="542"/>
  <c r="W379" i="542" s="1"/>
  <c r="N379" i="542"/>
  <c r="K379" i="542" a="1"/>
  <c r="K379" i="542" s="1"/>
  <c r="M379" i="542" s="1"/>
  <c r="J379" i="542" a="1"/>
  <c r="J379" i="542" s="1"/>
  <c r="H379" i="542"/>
  <c r="K378" i="542" a="1"/>
  <c r="K378" i="542" s="1"/>
  <c r="M378" i="542" s="1"/>
  <c r="H378" i="542"/>
  <c r="K377" i="542" a="1"/>
  <c r="K377" i="542" s="1"/>
  <c r="M377" i="542" s="1"/>
  <c r="H377" i="542"/>
  <c r="K376" i="542" a="1"/>
  <c r="K376" i="542" s="1"/>
  <c r="M376" i="542" s="1"/>
  <c r="H376" i="542"/>
  <c r="V375" i="542"/>
  <c r="W375" i="542" s="1"/>
  <c r="N375" i="542"/>
  <c r="K375" i="542" a="1"/>
  <c r="K375" i="542" s="1"/>
  <c r="M375" i="542" s="1"/>
  <c r="J375" i="542" a="1"/>
  <c r="J375" i="542" s="1"/>
  <c r="H375" i="542"/>
  <c r="V374" i="542"/>
  <c r="W374" i="542" s="1"/>
  <c r="N374" i="542"/>
  <c r="K374" i="542" a="1"/>
  <c r="K374" i="542" s="1"/>
  <c r="M374" i="542" s="1"/>
  <c r="J374" i="542" a="1"/>
  <c r="J374" i="542" s="1"/>
  <c r="H374" i="542"/>
  <c r="V373" i="542"/>
  <c r="W373" i="542" s="1"/>
  <c r="N373" i="542"/>
  <c r="K373" i="542"/>
  <c r="M373" i="542" s="1"/>
  <c r="K373" i="542" a="1"/>
  <c r="J373" i="542"/>
  <c r="J373" i="542" a="1"/>
  <c r="H373" i="542"/>
  <c r="K372" i="542" a="1"/>
  <c r="K372" i="542" s="1"/>
  <c r="H372" i="542"/>
  <c r="V371" i="542"/>
  <c r="V428" i="542" s="1"/>
  <c r="W428" i="542" s="1"/>
  <c r="N371" i="542"/>
  <c r="K371" i="542"/>
  <c r="K371" i="542" a="1"/>
  <c r="J371" i="542"/>
  <c r="J371" i="542" a="1"/>
  <c r="H371" i="542"/>
  <c r="H428" i="542" s="1"/>
  <c r="AA370" i="542"/>
  <c r="AA507" i="542" s="1"/>
  <c r="Z370" i="542"/>
  <c r="Z507" i="542" s="1"/>
  <c r="Y370" i="542"/>
  <c r="Y507" i="542" s="1"/>
  <c r="X370" i="542"/>
  <c r="X507" i="542" s="1"/>
  <c r="U370" i="542"/>
  <c r="U507" i="542" s="1"/>
  <c r="T370" i="542"/>
  <c r="T507" i="542" s="1"/>
  <c r="S370" i="542"/>
  <c r="S507" i="542" s="1"/>
  <c r="R370" i="542"/>
  <c r="R507" i="542" s="1"/>
  <c r="Q370" i="542"/>
  <c r="Q507" i="542" s="1"/>
  <c r="P370" i="542"/>
  <c r="P507" i="542" s="1"/>
  <c r="O370" i="542"/>
  <c r="I370" i="542"/>
  <c r="I507" i="542" s="1"/>
  <c r="B515" i="542" s="1"/>
  <c r="G370" i="542"/>
  <c r="G507" i="542" s="1"/>
  <c r="V369" i="542"/>
  <c r="W369" i="542" s="1"/>
  <c r="N369" i="542"/>
  <c r="K369" i="542" a="1"/>
  <c r="K369" i="542" s="1"/>
  <c r="M369" i="542" s="1"/>
  <c r="J369" i="542" a="1"/>
  <c r="J369" i="542" s="1"/>
  <c r="H369" i="542"/>
  <c r="V368" i="542"/>
  <c r="W368" i="542" s="1"/>
  <c r="N368" i="542"/>
  <c r="K368" i="542"/>
  <c r="M368" i="542" s="1"/>
  <c r="K368" i="542" a="1"/>
  <c r="J368" i="542"/>
  <c r="J368" i="542" a="1"/>
  <c r="H368" i="542"/>
  <c r="K367" i="542" a="1"/>
  <c r="K367" i="542" s="1"/>
  <c r="M367" i="542" s="1"/>
  <c r="H367" i="542"/>
  <c r="K366" i="542" a="1"/>
  <c r="K366" i="542" s="1"/>
  <c r="M366" i="542" s="1"/>
  <c r="H366" i="542"/>
  <c r="K365" i="542" a="1"/>
  <c r="K365" i="542" s="1"/>
  <c r="M365" i="542" s="1"/>
  <c r="H365" i="542"/>
  <c r="K364" i="542" a="1"/>
  <c r="K364" i="542" s="1"/>
  <c r="M364" i="542" s="1"/>
  <c r="H364" i="542"/>
  <c r="W363" i="542"/>
  <c r="V363" i="542"/>
  <c r="N363" i="542"/>
  <c r="K363" i="542" a="1"/>
  <c r="K363" i="542" s="1"/>
  <c r="M363" i="542" s="1"/>
  <c r="J363" i="542" a="1"/>
  <c r="J363" i="542" s="1"/>
  <c r="H363" i="542"/>
  <c r="V362" i="542"/>
  <c r="W362" i="542" s="1"/>
  <c r="N362" i="542"/>
  <c r="K362" i="542" a="1"/>
  <c r="K362" i="542" s="1"/>
  <c r="M362" i="542" s="1"/>
  <c r="J362" i="542" a="1"/>
  <c r="J362" i="542" s="1"/>
  <c r="H362" i="542"/>
  <c r="V361" i="542"/>
  <c r="W361" i="542" s="1"/>
  <c r="N361" i="542"/>
  <c r="K361" i="542"/>
  <c r="M361" i="542" s="1"/>
  <c r="K361" i="542" a="1"/>
  <c r="J361" i="542"/>
  <c r="J361" i="542" a="1"/>
  <c r="H361" i="542"/>
  <c r="H360" i="542"/>
  <c r="H359" i="542"/>
  <c r="V358" i="542"/>
  <c r="W358" i="542" s="1"/>
  <c r="N358" i="542"/>
  <c r="K358" i="542" a="1"/>
  <c r="K358" i="542" s="1"/>
  <c r="M358" i="542" s="1"/>
  <c r="J358" i="542" a="1"/>
  <c r="J358" i="542" s="1"/>
  <c r="H358" i="542"/>
  <c r="W357" i="542"/>
  <c r="V357" i="542"/>
  <c r="N357" i="542"/>
  <c r="K357" i="542" a="1"/>
  <c r="K357" i="542" s="1"/>
  <c r="M357" i="542" s="1"/>
  <c r="J357" i="542" a="1"/>
  <c r="J357" i="542" s="1"/>
  <c r="H357" i="542"/>
  <c r="K356" i="542"/>
  <c r="M356" i="542" s="1"/>
  <c r="K356" i="542" a="1"/>
  <c r="H356" i="542"/>
  <c r="K355" i="542" a="1"/>
  <c r="K355" i="542" s="1"/>
  <c r="M355" i="542" s="1"/>
  <c r="H355" i="542"/>
  <c r="V354" i="542"/>
  <c r="W354" i="542" s="1"/>
  <c r="N354" i="542"/>
  <c r="K354" i="542" a="1"/>
  <c r="K354" i="542" s="1"/>
  <c r="M354" i="542" s="1"/>
  <c r="J354" i="542" a="1"/>
  <c r="J354" i="542" s="1"/>
  <c r="H354" i="542"/>
  <c r="V353" i="542"/>
  <c r="W353" i="542" s="1"/>
  <c r="N353" i="542"/>
  <c r="K353" i="542" a="1"/>
  <c r="K353" i="542" s="1"/>
  <c r="M353" i="542" s="1"/>
  <c r="J353" i="542" a="1"/>
  <c r="J353" i="542" s="1"/>
  <c r="H353" i="542"/>
  <c r="V352" i="542"/>
  <c r="W352" i="542" s="1"/>
  <c r="N352" i="542"/>
  <c r="K352" i="542" a="1"/>
  <c r="K352" i="542" s="1"/>
  <c r="M352" i="542" s="1"/>
  <c r="J352" i="542" a="1"/>
  <c r="J352" i="542" s="1"/>
  <c r="H352" i="542"/>
  <c r="V351" i="542"/>
  <c r="W351" i="542" s="1"/>
  <c r="N351" i="542"/>
  <c r="K351" i="542"/>
  <c r="M351" i="542" s="1"/>
  <c r="K351" i="542" a="1"/>
  <c r="J351" i="542"/>
  <c r="J351" i="542" a="1"/>
  <c r="H351" i="542"/>
  <c r="V350" i="542"/>
  <c r="W350" i="542" s="1"/>
  <c r="N350" i="542"/>
  <c r="K350" i="542" a="1"/>
  <c r="K350" i="542" s="1"/>
  <c r="M350" i="542" s="1"/>
  <c r="J350" i="542" a="1"/>
  <c r="J350" i="542" s="1"/>
  <c r="H350" i="542"/>
  <c r="W349" i="542"/>
  <c r="V349" i="542"/>
  <c r="N349" i="542"/>
  <c r="N370" i="542" s="1"/>
  <c r="K349" i="542" a="1"/>
  <c r="K349" i="542" s="1"/>
  <c r="M349" i="542" s="1"/>
  <c r="J349" i="542" a="1"/>
  <c r="J349" i="542" s="1"/>
  <c r="H349" i="542"/>
  <c r="X343" i="542"/>
  <c r="X342" i="542"/>
  <c r="X341" i="542"/>
  <c r="G341" i="542"/>
  <c r="C341" i="542"/>
  <c r="X340" i="542"/>
  <c r="I340" i="542"/>
  <c r="E340" i="542"/>
  <c r="K340" i="542" s="1"/>
  <c r="M340" i="542" s="1"/>
  <c r="I339" i="542"/>
  <c r="E339" i="542"/>
  <c r="K339" i="542" s="1"/>
  <c r="M339" i="542" s="1"/>
  <c r="I338" i="542"/>
  <c r="E338" i="542"/>
  <c r="K338" i="542" s="1"/>
  <c r="M338" i="542" s="1"/>
  <c r="X337" i="542"/>
  <c r="I337" i="542"/>
  <c r="I341" i="542" s="1"/>
  <c r="E337" i="542"/>
  <c r="E341" i="542" s="1"/>
  <c r="AA334" i="542"/>
  <c r="Z334" i="542"/>
  <c r="Y334" i="542"/>
  <c r="X334" i="542"/>
  <c r="U334" i="542"/>
  <c r="T334" i="542"/>
  <c r="S334" i="542"/>
  <c r="R334" i="542"/>
  <c r="Q334" i="542"/>
  <c r="P334" i="542"/>
  <c r="O334" i="542"/>
  <c r="I334" i="542"/>
  <c r="G334" i="542"/>
  <c r="K333" i="542" a="1"/>
  <c r="K333" i="542" s="1"/>
  <c r="H333" i="542"/>
  <c r="K332" i="542"/>
  <c r="K332" i="542" a="1"/>
  <c r="H332" i="542"/>
  <c r="K331" i="542" a="1"/>
  <c r="K331" i="542" s="1"/>
  <c r="H331" i="542"/>
  <c r="V330" i="542"/>
  <c r="W330" i="542" s="1"/>
  <c r="N330" i="542"/>
  <c r="K330" i="542" a="1"/>
  <c r="K330" i="542" s="1"/>
  <c r="D330" i="542"/>
  <c r="H330" i="542" s="1"/>
  <c r="H329" i="542"/>
  <c r="K328" i="542" a="1"/>
  <c r="K328" i="542" s="1"/>
  <c r="H328" i="542"/>
  <c r="H327" i="542"/>
  <c r="V326" i="542"/>
  <c r="W326" i="542" s="1"/>
  <c r="N326" i="542"/>
  <c r="K326" i="542" a="1"/>
  <c r="K326" i="542" s="1"/>
  <c r="M326" i="542" s="1"/>
  <c r="J326" i="542" a="1"/>
  <c r="J326" i="542" s="1"/>
  <c r="H326" i="542"/>
  <c r="V325" i="542"/>
  <c r="W325" i="542" s="1"/>
  <c r="N325" i="542"/>
  <c r="K325" i="542" a="1"/>
  <c r="K325" i="542" s="1"/>
  <c r="M325" i="542" s="1"/>
  <c r="J325" i="542" a="1"/>
  <c r="J325" i="542" s="1"/>
  <c r="H325" i="542"/>
  <c r="H324" i="542"/>
  <c r="V323" i="542"/>
  <c r="W323" i="542" s="1"/>
  <c r="N323" i="542"/>
  <c r="K323" i="542" a="1"/>
  <c r="K323" i="542" s="1"/>
  <c r="M323" i="542" s="1"/>
  <c r="J323" i="542" a="1"/>
  <c r="J323" i="542" s="1"/>
  <c r="H323" i="542"/>
  <c r="V322" i="542"/>
  <c r="W322" i="542" s="1"/>
  <c r="N322" i="542"/>
  <c r="K322" i="542" a="1"/>
  <c r="K322" i="542" s="1"/>
  <c r="M322" i="542" s="1"/>
  <c r="J322" i="542" a="1"/>
  <c r="J322" i="542" s="1"/>
  <c r="H322" i="542"/>
  <c r="V321" i="542"/>
  <c r="W321" i="542" s="1"/>
  <c r="N321" i="542"/>
  <c r="K321" i="542" a="1"/>
  <c r="K321" i="542" s="1"/>
  <c r="M321" i="542" s="1"/>
  <c r="J321" i="542" a="1"/>
  <c r="J321" i="542" s="1"/>
  <c r="H321" i="542"/>
  <c r="V320" i="542"/>
  <c r="N320" i="542"/>
  <c r="N334" i="542" s="1"/>
  <c r="K320" i="542" a="1"/>
  <c r="K320" i="542" s="1"/>
  <c r="J320" i="542" a="1"/>
  <c r="J320" i="542" s="1"/>
  <c r="H320" i="542"/>
  <c r="AA319" i="542"/>
  <c r="Z319" i="542"/>
  <c r="Y319" i="542"/>
  <c r="X319" i="542"/>
  <c r="U319" i="542"/>
  <c r="T319" i="542"/>
  <c r="S319" i="542"/>
  <c r="Q319" i="542"/>
  <c r="P319" i="542"/>
  <c r="O319" i="542"/>
  <c r="R341" i="542" s="1"/>
  <c r="I319" i="542"/>
  <c r="G319" i="542"/>
  <c r="V318" i="542"/>
  <c r="W318" i="542" s="1"/>
  <c r="N318" i="542"/>
  <c r="K318" i="542" a="1"/>
  <c r="K318" i="542" s="1"/>
  <c r="M318" i="542" s="1"/>
  <c r="J318" i="542" a="1"/>
  <c r="J318" i="542" s="1"/>
  <c r="H318" i="542"/>
  <c r="H316" i="542"/>
  <c r="H315" i="542"/>
  <c r="H314" i="542"/>
  <c r="V313" i="542"/>
  <c r="W313" i="542" s="1"/>
  <c r="N313" i="542"/>
  <c r="K313" i="542" a="1"/>
  <c r="K313" i="542" s="1"/>
  <c r="M313" i="542" s="1"/>
  <c r="J313" i="542" a="1"/>
  <c r="J313" i="542" s="1"/>
  <c r="H313" i="542"/>
  <c r="V312" i="542"/>
  <c r="W312" i="542" s="1"/>
  <c r="N312" i="542"/>
  <c r="K312" i="542"/>
  <c r="M312" i="542" s="1"/>
  <c r="K312" i="542" a="1"/>
  <c r="J312" i="542"/>
  <c r="J312" i="542" a="1"/>
  <c r="H312" i="542"/>
  <c r="V311" i="542"/>
  <c r="W311" i="542" s="1"/>
  <c r="N311" i="542"/>
  <c r="K311" i="542" a="1"/>
  <c r="K311" i="542" s="1"/>
  <c r="M311" i="542" s="1"/>
  <c r="J311" i="542" a="1"/>
  <c r="J311" i="542" s="1"/>
  <c r="H311" i="542"/>
  <c r="V310" i="542"/>
  <c r="W310" i="542" s="1"/>
  <c r="N310" i="542"/>
  <c r="K310" i="542" a="1"/>
  <c r="K310" i="542" s="1"/>
  <c r="M310" i="542" s="1"/>
  <c r="J310" i="542" a="1"/>
  <c r="J310" i="542" s="1"/>
  <c r="H310" i="542"/>
  <c r="V309" i="542"/>
  <c r="W309" i="542" s="1"/>
  <c r="N309" i="542"/>
  <c r="N319" i="542" s="1"/>
  <c r="K309" i="542" a="1"/>
  <c r="K309" i="542" s="1"/>
  <c r="J309" i="542" a="1"/>
  <c r="J309" i="542" s="1"/>
  <c r="H309" i="542"/>
  <c r="AA308" i="542"/>
  <c r="Z308" i="542"/>
  <c r="Y308" i="542"/>
  <c r="X308" i="542"/>
  <c r="U308" i="542"/>
  <c r="T308" i="542"/>
  <c r="S308" i="542"/>
  <c r="Q308" i="542"/>
  <c r="P308" i="542"/>
  <c r="O308" i="542"/>
  <c r="I308" i="542"/>
  <c r="G308" i="542"/>
  <c r="V307" i="542"/>
  <c r="W307" i="542" s="1"/>
  <c r="N307" i="542"/>
  <c r="K307" i="542"/>
  <c r="M307" i="542" s="1"/>
  <c r="K307" i="542" a="1"/>
  <c r="J307" i="542"/>
  <c r="J307" i="542" a="1"/>
  <c r="H307" i="542"/>
  <c r="V306" i="542"/>
  <c r="W306" i="542" s="1"/>
  <c r="N306" i="542"/>
  <c r="K306" i="542" a="1"/>
  <c r="K306" i="542" s="1"/>
  <c r="M306" i="542" s="1"/>
  <c r="J306" i="542" a="1"/>
  <c r="J306" i="542" s="1"/>
  <c r="H306" i="542"/>
  <c r="V305" i="542"/>
  <c r="W305" i="542" s="1"/>
  <c r="N305" i="542"/>
  <c r="K305" i="542" a="1"/>
  <c r="K305" i="542" s="1"/>
  <c r="M305" i="542" s="1"/>
  <c r="J305" i="542" a="1"/>
  <c r="J305" i="542" s="1"/>
  <c r="H305" i="542"/>
  <c r="V304" i="542"/>
  <c r="W304" i="542" s="1"/>
  <c r="N304" i="542"/>
  <c r="K304" i="542" a="1"/>
  <c r="K304" i="542" s="1"/>
  <c r="M304" i="542" s="1"/>
  <c r="J304" i="542" a="1"/>
  <c r="J304" i="542" s="1"/>
  <c r="H304" i="542"/>
  <c r="V303" i="542"/>
  <c r="W303" i="542" s="1"/>
  <c r="N303" i="542"/>
  <c r="K303" i="542"/>
  <c r="M303" i="542" s="1"/>
  <c r="K303" i="542" a="1"/>
  <c r="J303" i="542"/>
  <c r="J303" i="542" a="1"/>
  <c r="H303" i="542"/>
  <c r="V302" i="542"/>
  <c r="W302" i="542" s="1"/>
  <c r="N302" i="542"/>
  <c r="K302" i="542" a="1"/>
  <c r="K302" i="542" s="1"/>
  <c r="M302" i="542" s="1"/>
  <c r="J302" i="542" a="1"/>
  <c r="J302" i="542" s="1"/>
  <c r="H302" i="542"/>
  <c r="V301" i="542"/>
  <c r="W301" i="542" s="1"/>
  <c r="N301" i="542"/>
  <c r="K301" i="542" a="1"/>
  <c r="K301" i="542" s="1"/>
  <c r="M301" i="542" s="1"/>
  <c r="J301" i="542" a="1"/>
  <c r="J301" i="542" s="1"/>
  <c r="H301" i="542"/>
  <c r="V300" i="542"/>
  <c r="W300" i="542" s="1"/>
  <c r="N300" i="542"/>
  <c r="K300" i="542" a="1"/>
  <c r="K300" i="542" s="1"/>
  <c r="M300" i="542" s="1"/>
  <c r="J300" i="542" a="1"/>
  <c r="J300" i="542" s="1"/>
  <c r="H300" i="542"/>
  <c r="V299" i="542"/>
  <c r="W299" i="542" s="1"/>
  <c r="N299" i="542"/>
  <c r="K299" i="542"/>
  <c r="M299" i="542" s="1"/>
  <c r="K299" i="542" a="1"/>
  <c r="J299" i="542"/>
  <c r="J299" i="542" a="1"/>
  <c r="H299" i="542"/>
  <c r="V298" i="542"/>
  <c r="W298" i="542" s="1"/>
  <c r="N298" i="542"/>
  <c r="K298" i="542" a="1"/>
  <c r="K298" i="542" s="1"/>
  <c r="M298" i="542" s="1"/>
  <c r="J298" i="542" a="1"/>
  <c r="J298" i="542" s="1"/>
  <c r="H298" i="542"/>
  <c r="W297" i="542"/>
  <c r="V297" i="542"/>
  <c r="N297" i="542"/>
  <c r="K297" i="542" a="1"/>
  <c r="K297" i="542" s="1"/>
  <c r="M297" i="542" s="1"/>
  <c r="J297" i="542" a="1"/>
  <c r="J297" i="542" s="1"/>
  <c r="H297" i="542"/>
  <c r="V296" i="542"/>
  <c r="W296" i="542" s="1"/>
  <c r="N296" i="542"/>
  <c r="K296" i="542" a="1"/>
  <c r="K296" i="542" s="1"/>
  <c r="M296" i="542" s="1"/>
  <c r="J296" i="542" a="1"/>
  <c r="J296" i="542" s="1"/>
  <c r="H296" i="542"/>
  <c r="V295" i="542"/>
  <c r="W295" i="542" s="1"/>
  <c r="N295" i="542"/>
  <c r="K295" i="542"/>
  <c r="M295" i="542" s="1"/>
  <c r="K295" i="542" a="1"/>
  <c r="J295" i="542"/>
  <c r="J295" i="542" a="1"/>
  <c r="H295" i="542"/>
  <c r="V294" i="542"/>
  <c r="W294" i="542" s="1"/>
  <c r="N294" i="542"/>
  <c r="K294" i="542" a="1"/>
  <c r="K294" i="542" s="1"/>
  <c r="M294" i="542" s="1"/>
  <c r="J294" i="542" a="1"/>
  <c r="J294" i="542" s="1"/>
  <c r="H294" i="542"/>
  <c r="V293" i="542"/>
  <c r="W293" i="542" s="1"/>
  <c r="N293" i="542"/>
  <c r="N308" i="542" s="1"/>
  <c r="K293" i="542" a="1"/>
  <c r="K293" i="542" s="1"/>
  <c r="M293" i="542" s="1"/>
  <c r="J293" i="542" a="1"/>
  <c r="J293" i="542" s="1"/>
  <c r="H293" i="542"/>
  <c r="AA292" i="542"/>
  <c r="Z292" i="542"/>
  <c r="Y292" i="542"/>
  <c r="X292" i="542"/>
  <c r="U292" i="542"/>
  <c r="T292" i="542"/>
  <c r="S292" i="542"/>
  <c r="R292" i="542"/>
  <c r="Q292" i="542"/>
  <c r="P292" i="542"/>
  <c r="O292" i="542"/>
  <c r="I292" i="542"/>
  <c r="G292" i="542"/>
  <c r="V291" i="542"/>
  <c r="W291" i="542" s="1"/>
  <c r="N291" i="542"/>
  <c r="K291" i="542"/>
  <c r="M291" i="542" s="1"/>
  <c r="K291" i="542" a="1"/>
  <c r="J291" i="542"/>
  <c r="J291" i="542" a="1"/>
  <c r="H291" i="542"/>
  <c r="V290" i="542"/>
  <c r="W290" i="542" s="1"/>
  <c r="N290" i="542"/>
  <c r="K290" i="542" a="1"/>
  <c r="K290" i="542" s="1"/>
  <c r="M290" i="542" s="1"/>
  <c r="J290" i="542" a="1"/>
  <c r="J290" i="542" s="1"/>
  <c r="H290" i="542"/>
  <c r="V289" i="542"/>
  <c r="W289" i="542" s="1"/>
  <c r="N289" i="542"/>
  <c r="K289" i="542" a="1"/>
  <c r="K289" i="542" s="1"/>
  <c r="M289" i="542" s="1"/>
  <c r="J289" i="542" a="1"/>
  <c r="J289" i="542" s="1"/>
  <c r="H289" i="542"/>
  <c r="H288" i="542"/>
  <c r="H287" i="542"/>
  <c r="H286" i="542"/>
  <c r="V285" i="542"/>
  <c r="W285" i="542" s="1"/>
  <c r="N285" i="542"/>
  <c r="K285" i="542"/>
  <c r="M285" i="542" s="1"/>
  <c r="K285" i="542" a="1"/>
  <c r="J285" i="542"/>
  <c r="J285" i="542" a="1"/>
  <c r="H285" i="542"/>
  <c r="V284" i="542"/>
  <c r="W284" i="542" s="1"/>
  <c r="N284" i="542"/>
  <c r="K284" i="542" a="1"/>
  <c r="K284" i="542" s="1"/>
  <c r="M284" i="542" s="1"/>
  <c r="J284" i="542" a="1"/>
  <c r="J284" i="542" s="1"/>
  <c r="H284" i="542"/>
  <c r="N283" i="542"/>
  <c r="K283" i="542" a="1"/>
  <c r="K283" i="542" s="1"/>
  <c r="M283" i="542" s="1"/>
  <c r="H283" i="542"/>
  <c r="N282" i="542"/>
  <c r="K282" i="542" a="1"/>
  <c r="K282" i="542" s="1"/>
  <c r="M282" i="542" s="1"/>
  <c r="H282" i="542"/>
  <c r="N281" i="542"/>
  <c r="K281" i="542"/>
  <c r="M281" i="542" s="1"/>
  <c r="K281" i="542" a="1"/>
  <c r="H281" i="542"/>
  <c r="N280" i="542"/>
  <c r="K280" i="542" a="1"/>
  <c r="K280" i="542" s="1"/>
  <c r="M280" i="542" s="1"/>
  <c r="H280" i="542"/>
  <c r="N279" i="542"/>
  <c r="K279" i="542" a="1"/>
  <c r="K279" i="542" s="1"/>
  <c r="M279" i="542" s="1"/>
  <c r="H279" i="542"/>
  <c r="N278" i="542"/>
  <c r="K278" i="542" a="1"/>
  <c r="K278" i="542" s="1"/>
  <c r="M278" i="542" s="1"/>
  <c r="H278" i="542"/>
  <c r="V277" i="542"/>
  <c r="W277" i="542" s="1"/>
  <c r="N277" i="542"/>
  <c r="K277" i="542"/>
  <c r="M277" i="542" s="1"/>
  <c r="K277" i="542" a="1"/>
  <c r="J277" i="542"/>
  <c r="J277" i="542" a="1"/>
  <c r="H277" i="542"/>
  <c r="V276" i="542"/>
  <c r="W276" i="542" s="1"/>
  <c r="N276" i="542"/>
  <c r="K276" i="542" a="1"/>
  <c r="K276" i="542" s="1"/>
  <c r="M276" i="542" s="1"/>
  <c r="J276" i="542" a="1"/>
  <c r="J276" i="542" s="1"/>
  <c r="H276" i="542"/>
  <c r="V275" i="542"/>
  <c r="W275" i="542" s="1"/>
  <c r="N275" i="542"/>
  <c r="K275" i="542" a="1"/>
  <c r="K275" i="542" s="1"/>
  <c r="M275" i="542" s="1"/>
  <c r="J275" i="542" a="1"/>
  <c r="J275" i="542" s="1"/>
  <c r="H275" i="542"/>
  <c r="V274" i="542"/>
  <c r="W274" i="542" s="1"/>
  <c r="N274" i="542"/>
  <c r="K274" i="542" a="1"/>
  <c r="K274" i="542" s="1"/>
  <c r="M274" i="542" s="1"/>
  <c r="J274" i="542" a="1"/>
  <c r="J274" i="542" s="1"/>
  <c r="H274" i="542"/>
  <c r="V273" i="542"/>
  <c r="W273" i="542" s="1"/>
  <c r="N273" i="542"/>
  <c r="K273" i="542"/>
  <c r="M273" i="542" s="1"/>
  <c r="K273" i="542" a="1"/>
  <c r="J273" i="542"/>
  <c r="J273" i="542" a="1"/>
  <c r="H273" i="542"/>
  <c r="V272" i="542"/>
  <c r="W272" i="542" s="1"/>
  <c r="N272" i="542"/>
  <c r="K272" i="542" a="1"/>
  <c r="K272" i="542" s="1"/>
  <c r="M272" i="542" s="1"/>
  <c r="J272" i="542" a="1"/>
  <c r="J272" i="542" s="1"/>
  <c r="H272" i="542"/>
  <c r="V271" i="542"/>
  <c r="W271" i="542" s="1"/>
  <c r="N271" i="542"/>
  <c r="K271" i="542" a="1"/>
  <c r="K271" i="542" s="1"/>
  <c r="M271" i="542" s="1"/>
  <c r="J271" i="542" a="1"/>
  <c r="J271" i="542" s="1"/>
  <c r="H271" i="542"/>
  <c r="V270" i="542"/>
  <c r="W270" i="542" s="1"/>
  <c r="N270" i="542"/>
  <c r="K270" i="542" a="1"/>
  <c r="K270" i="542" s="1"/>
  <c r="M270" i="542" s="1"/>
  <c r="J270" i="542" a="1"/>
  <c r="J270" i="542" s="1"/>
  <c r="H270" i="542"/>
  <c r="V269" i="542"/>
  <c r="W269" i="542" s="1"/>
  <c r="N269" i="542"/>
  <c r="K269" i="542"/>
  <c r="M269" i="542" s="1"/>
  <c r="K269" i="542" a="1"/>
  <c r="J269" i="542"/>
  <c r="J269" i="542" a="1"/>
  <c r="H269" i="542"/>
  <c r="V268" i="542"/>
  <c r="W268" i="542" s="1"/>
  <c r="N268" i="542"/>
  <c r="K268" i="542" a="1"/>
  <c r="K268" i="542" s="1"/>
  <c r="M268" i="542" s="1"/>
  <c r="J268" i="542" a="1"/>
  <c r="J268" i="542" s="1"/>
  <c r="H268" i="542"/>
  <c r="W267" i="542"/>
  <c r="V267" i="542"/>
  <c r="N267" i="542"/>
  <c r="K267" i="542" a="1"/>
  <c r="K267" i="542" s="1"/>
  <c r="M267" i="542" s="1"/>
  <c r="J267" i="542" a="1"/>
  <c r="J267" i="542" s="1"/>
  <c r="H267" i="542"/>
  <c r="V266" i="542"/>
  <c r="W266" i="542" s="1"/>
  <c r="N266" i="542"/>
  <c r="K266" i="542" a="1"/>
  <c r="K266" i="542" s="1"/>
  <c r="M266" i="542" s="1"/>
  <c r="J266" i="542" a="1"/>
  <c r="J266" i="542" s="1"/>
  <c r="H266" i="542"/>
  <c r="N265" i="542"/>
  <c r="K265" i="542"/>
  <c r="M265" i="542" s="1"/>
  <c r="K265" i="542" a="1"/>
  <c r="H265" i="542"/>
  <c r="V264" i="542"/>
  <c r="W264" i="542" s="1"/>
  <c r="N264" i="542"/>
  <c r="K264" i="542" a="1"/>
  <c r="K264" i="542" s="1"/>
  <c r="M264" i="542" s="1"/>
  <c r="J264" i="542" a="1"/>
  <c r="J264" i="542" s="1"/>
  <c r="H264" i="542"/>
  <c r="V263" i="542"/>
  <c r="W263" i="542" s="1"/>
  <c r="N263" i="542"/>
  <c r="K263" i="542" a="1"/>
  <c r="K263" i="542" s="1"/>
  <c r="M263" i="542" s="1"/>
  <c r="J263" i="542" a="1"/>
  <c r="J263" i="542" s="1"/>
  <c r="H263" i="542"/>
  <c r="V262" i="542"/>
  <c r="W262" i="542" s="1"/>
  <c r="N262" i="542"/>
  <c r="K262" i="542" a="1"/>
  <c r="K262" i="542" s="1"/>
  <c r="M262" i="542" s="1"/>
  <c r="J262" i="542" a="1"/>
  <c r="J262" i="542" s="1"/>
  <c r="H262" i="542"/>
  <c r="V261" i="542"/>
  <c r="W261" i="542" s="1"/>
  <c r="N261" i="542"/>
  <c r="K261" i="542"/>
  <c r="M261" i="542" s="1"/>
  <c r="K261" i="542" a="1"/>
  <c r="J261" i="542"/>
  <c r="J261" i="542" a="1"/>
  <c r="H261" i="542"/>
  <c r="V260" i="542"/>
  <c r="W260" i="542" s="1"/>
  <c r="N260" i="542"/>
  <c r="K260" i="542" a="1"/>
  <c r="K260" i="542" s="1"/>
  <c r="M260" i="542" s="1"/>
  <c r="J260" i="542" a="1"/>
  <c r="J260" i="542" s="1"/>
  <c r="H260" i="542"/>
  <c r="V259" i="542"/>
  <c r="W259" i="542" s="1"/>
  <c r="N259" i="542"/>
  <c r="K259" i="542" a="1"/>
  <c r="K259" i="542" s="1"/>
  <c r="M259" i="542" s="1"/>
  <c r="J259" i="542" a="1"/>
  <c r="J259" i="542" s="1"/>
  <c r="H259" i="542"/>
  <c r="V258" i="542"/>
  <c r="W258" i="542" s="1"/>
  <c r="N258" i="542"/>
  <c r="K258" i="542" a="1"/>
  <c r="K258" i="542" s="1"/>
  <c r="J258" i="542" a="1"/>
  <c r="J258" i="542" s="1"/>
  <c r="H258" i="542"/>
  <c r="AA257" i="542"/>
  <c r="Z257" i="542"/>
  <c r="Y257" i="542"/>
  <c r="X257" i="542"/>
  <c r="U257" i="542"/>
  <c r="T257" i="542"/>
  <c r="S257" i="542"/>
  <c r="R257" i="542"/>
  <c r="Q257" i="542"/>
  <c r="P257" i="542"/>
  <c r="O257" i="542"/>
  <c r="I257" i="542"/>
  <c r="G257" i="542"/>
  <c r="H256" i="542"/>
  <c r="H255" i="542"/>
  <c r="H254" i="542"/>
  <c r="H253" i="542"/>
  <c r="H252" i="542"/>
  <c r="H251" i="542"/>
  <c r="K250" i="542" a="1"/>
  <c r="K250" i="542" s="1"/>
  <c r="M250" i="542" s="1"/>
  <c r="H250" i="542"/>
  <c r="K249" i="542"/>
  <c r="M249" i="542" s="1"/>
  <c r="K249" i="542" a="1"/>
  <c r="H249" i="542"/>
  <c r="K248" i="542" a="1"/>
  <c r="K248" i="542" s="1"/>
  <c r="M248" i="542" s="1"/>
  <c r="H248" i="542"/>
  <c r="K247" i="542"/>
  <c r="M247" i="542" s="1"/>
  <c r="K247" i="542" a="1"/>
  <c r="H247" i="542"/>
  <c r="V246" i="542"/>
  <c r="W246" i="542" s="1"/>
  <c r="N246" i="542"/>
  <c r="K246" i="542" a="1"/>
  <c r="K246" i="542" s="1"/>
  <c r="M246" i="542" s="1"/>
  <c r="J246" i="542" a="1"/>
  <c r="J246" i="542" s="1"/>
  <c r="H246" i="542"/>
  <c r="V245" i="542"/>
  <c r="W245" i="542" s="1"/>
  <c r="N245" i="542"/>
  <c r="K245" i="542"/>
  <c r="M245" i="542" s="1"/>
  <c r="K245" i="542" a="1"/>
  <c r="J245" i="542"/>
  <c r="J245" i="542" a="1"/>
  <c r="H245" i="542"/>
  <c r="V244" i="542"/>
  <c r="W244" i="542" s="1"/>
  <c r="N244" i="542"/>
  <c r="K244" i="542" a="1"/>
  <c r="K244" i="542" s="1"/>
  <c r="M244" i="542" s="1"/>
  <c r="J244" i="542" a="1"/>
  <c r="J244" i="542" s="1"/>
  <c r="H244" i="542"/>
  <c r="V243" i="542"/>
  <c r="W243" i="542" s="1"/>
  <c r="N243" i="542"/>
  <c r="K243" i="542" a="1"/>
  <c r="K243" i="542" s="1"/>
  <c r="M243" i="542" s="1"/>
  <c r="J243" i="542" a="1"/>
  <c r="J243" i="542" s="1"/>
  <c r="H243" i="542"/>
  <c r="M242" i="542"/>
  <c r="H242" i="542"/>
  <c r="V241" i="542"/>
  <c r="W241" i="542" s="1"/>
  <c r="N241" i="542"/>
  <c r="K241" i="542" a="1"/>
  <c r="K241" i="542" s="1"/>
  <c r="M241" i="542" s="1"/>
  <c r="J241" i="542" a="1"/>
  <c r="J241" i="542" s="1"/>
  <c r="H241" i="542"/>
  <c r="V240" i="542"/>
  <c r="W240" i="542" s="1"/>
  <c r="N240" i="542"/>
  <c r="K240" i="542"/>
  <c r="M240" i="542" s="1"/>
  <c r="K240" i="542" a="1"/>
  <c r="J240" i="542"/>
  <c r="J240" i="542" a="1"/>
  <c r="H240" i="542"/>
  <c r="K239" i="542" a="1"/>
  <c r="K239" i="542" s="1"/>
  <c r="M239" i="542" s="1"/>
  <c r="H239" i="542"/>
  <c r="H238" i="542"/>
  <c r="V237" i="542"/>
  <c r="W237" i="542" s="1"/>
  <c r="N237" i="542"/>
  <c r="K237" i="542" a="1"/>
  <c r="K237" i="542" s="1"/>
  <c r="M237" i="542" s="1"/>
  <c r="J237" i="542" a="1"/>
  <c r="J237" i="542" s="1"/>
  <c r="H237" i="542"/>
  <c r="V236" i="542"/>
  <c r="W236" i="542" s="1"/>
  <c r="N236" i="542"/>
  <c r="K236" i="542" a="1"/>
  <c r="K236" i="542" s="1"/>
  <c r="M236" i="542" s="1"/>
  <c r="J236" i="542" a="1"/>
  <c r="J236" i="542" s="1"/>
  <c r="H236" i="542"/>
  <c r="V235" i="542"/>
  <c r="W235" i="542" s="1"/>
  <c r="N235" i="542"/>
  <c r="K235" i="542"/>
  <c r="M235" i="542" s="1"/>
  <c r="K235" i="542" a="1"/>
  <c r="J235" i="542"/>
  <c r="J235" i="542" a="1"/>
  <c r="H235" i="542"/>
  <c r="V234" i="542"/>
  <c r="W234" i="542" s="1"/>
  <c r="N234" i="542"/>
  <c r="K234" i="542" a="1"/>
  <c r="K234" i="542" s="1"/>
  <c r="M234" i="542" s="1"/>
  <c r="J234" i="542" a="1"/>
  <c r="J234" i="542" s="1"/>
  <c r="H234" i="542"/>
  <c r="V233" i="542"/>
  <c r="W233" i="542" s="1"/>
  <c r="N233" i="542"/>
  <c r="K233" i="542" a="1"/>
  <c r="K233" i="542" s="1"/>
  <c r="M233" i="542" s="1"/>
  <c r="J233" i="542" a="1"/>
  <c r="J233" i="542" s="1"/>
  <c r="H233" i="542"/>
  <c r="V232" i="542"/>
  <c r="W232" i="542" s="1"/>
  <c r="N232" i="542"/>
  <c r="K232" i="542" a="1"/>
  <c r="K232" i="542" s="1"/>
  <c r="M232" i="542" s="1"/>
  <c r="J232" i="542" a="1"/>
  <c r="J232" i="542" s="1"/>
  <c r="H232" i="542"/>
  <c r="V231" i="542"/>
  <c r="W231" i="542" s="1"/>
  <c r="N231" i="542"/>
  <c r="K231" i="542"/>
  <c r="M231" i="542" s="1"/>
  <c r="K231" i="542" a="1"/>
  <c r="J231" i="542"/>
  <c r="J231" i="542" a="1"/>
  <c r="H231" i="542"/>
  <c r="V230" i="542"/>
  <c r="W230" i="542" s="1"/>
  <c r="N230" i="542"/>
  <c r="K230" i="542" a="1"/>
  <c r="K230" i="542" s="1"/>
  <c r="M230" i="542" s="1"/>
  <c r="J230" i="542" a="1"/>
  <c r="J230" i="542" s="1"/>
  <c r="H230" i="542"/>
  <c r="V229" i="542"/>
  <c r="W229" i="542" s="1"/>
  <c r="N229" i="542"/>
  <c r="K229" i="542" a="1"/>
  <c r="K229" i="542" s="1"/>
  <c r="M229" i="542" s="1"/>
  <c r="J229" i="542" a="1"/>
  <c r="J229" i="542" s="1"/>
  <c r="H229" i="542"/>
  <c r="V228" i="542"/>
  <c r="W228" i="542" s="1"/>
  <c r="N228" i="542"/>
  <c r="K228" i="542" a="1"/>
  <c r="K228" i="542" s="1"/>
  <c r="M228" i="542" s="1"/>
  <c r="J228" i="542" a="1"/>
  <c r="J228" i="542" s="1"/>
  <c r="H228" i="542"/>
  <c r="N227" i="542"/>
  <c r="K227" i="542"/>
  <c r="M227" i="542" s="1"/>
  <c r="K227" i="542" a="1"/>
  <c r="H227" i="542"/>
  <c r="N226" i="542"/>
  <c r="K226" i="542" a="1"/>
  <c r="K226" i="542" s="1"/>
  <c r="M226" i="542" s="1"/>
  <c r="H226" i="542"/>
  <c r="N225" i="542"/>
  <c r="K225" i="542" a="1"/>
  <c r="K225" i="542" s="1"/>
  <c r="M225" i="542" s="1"/>
  <c r="H225" i="542"/>
  <c r="N224" i="542"/>
  <c r="K224" i="542" a="1"/>
  <c r="K224" i="542" s="1"/>
  <c r="M224" i="542" s="1"/>
  <c r="H224" i="542"/>
  <c r="N223" i="542"/>
  <c r="K223" i="542"/>
  <c r="M223" i="542" s="1"/>
  <c r="K223" i="542" a="1"/>
  <c r="H223" i="542"/>
  <c r="N222" i="542"/>
  <c r="K222" i="542" a="1"/>
  <c r="K222" i="542" s="1"/>
  <c r="M222" i="542" s="1"/>
  <c r="H222" i="542"/>
  <c r="N221" i="542"/>
  <c r="K221" i="542" a="1"/>
  <c r="K221" i="542" s="1"/>
  <c r="M221" i="542" s="1"/>
  <c r="H221" i="542"/>
  <c r="N220" i="542"/>
  <c r="K220" i="542" a="1"/>
  <c r="K220" i="542" s="1"/>
  <c r="M220" i="542" s="1"/>
  <c r="H220" i="542"/>
  <c r="V219" i="542"/>
  <c r="W219" i="542" s="1"/>
  <c r="N219" i="542"/>
  <c r="K219" i="542" a="1"/>
  <c r="K219" i="542" s="1"/>
  <c r="M219" i="542" s="1"/>
  <c r="J219" i="542" a="1"/>
  <c r="J219" i="542" s="1"/>
  <c r="H219" i="542"/>
  <c r="V218" i="542"/>
  <c r="W218" i="542" s="1"/>
  <c r="N218" i="542"/>
  <c r="K218" i="542" a="1"/>
  <c r="K218" i="542" s="1"/>
  <c r="M218" i="542" s="1"/>
  <c r="J218" i="542" a="1"/>
  <c r="J218" i="542" s="1"/>
  <c r="H218" i="542"/>
  <c r="V217" i="542"/>
  <c r="W217" i="542" s="1"/>
  <c r="N217" i="542"/>
  <c r="K217" i="542" a="1"/>
  <c r="K217" i="542" s="1"/>
  <c r="M217" i="542" s="1"/>
  <c r="J217" i="542" a="1"/>
  <c r="J217" i="542" s="1"/>
  <c r="H217" i="542"/>
  <c r="V216" i="542"/>
  <c r="W216" i="542" s="1"/>
  <c r="N216" i="542"/>
  <c r="K216" i="542" a="1"/>
  <c r="K216" i="542" s="1"/>
  <c r="M216" i="542" s="1"/>
  <c r="J216" i="542" a="1"/>
  <c r="J216" i="542" s="1"/>
  <c r="H216" i="542"/>
  <c r="V215" i="542"/>
  <c r="W215" i="542" s="1"/>
  <c r="N215" i="542"/>
  <c r="K215" i="542" a="1"/>
  <c r="K215" i="542" s="1"/>
  <c r="M215" i="542" s="1"/>
  <c r="J215" i="542" a="1"/>
  <c r="J215" i="542" s="1"/>
  <c r="H215" i="542"/>
  <c r="V214" i="542"/>
  <c r="W214" i="542" s="1"/>
  <c r="N214" i="542"/>
  <c r="K214" i="542" a="1"/>
  <c r="K214" i="542" s="1"/>
  <c r="M214" i="542" s="1"/>
  <c r="J214" i="542" a="1"/>
  <c r="J214" i="542" s="1"/>
  <c r="H214" i="542"/>
  <c r="V213" i="542"/>
  <c r="W213" i="542" s="1"/>
  <c r="N213" i="542"/>
  <c r="K213" i="542" a="1"/>
  <c r="K213" i="542" s="1"/>
  <c r="M213" i="542" s="1"/>
  <c r="J213" i="542" a="1"/>
  <c r="J213" i="542" s="1"/>
  <c r="H213" i="542"/>
  <c r="V212" i="542"/>
  <c r="W212" i="542" s="1"/>
  <c r="N212" i="542"/>
  <c r="K212" i="542" a="1"/>
  <c r="K212" i="542" s="1"/>
  <c r="M212" i="542" s="1"/>
  <c r="J212" i="542" a="1"/>
  <c r="J212" i="542" s="1"/>
  <c r="H212" i="542"/>
  <c r="V211" i="542"/>
  <c r="W211" i="542" s="1"/>
  <c r="N211" i="542"/>
  <c r="K211" i="542" a="1"/>
  <c r="K211" i="542" s="1"/>
  <c r="M211" i="542" s="1"/>
  <c r="J211" i="542" a="1"/>
  <c r="J211" i="542" s="1"/>
  <c r="H211" i="542"/>
  <c r="V210" i="542"/>
  <c r="W210" i="542" s="1"/>
  <c r="N210" i="542"/>
  <c r="K210" i="542" a="1"/>
  <c r="K210" i="542" s="1"/>
  <c r="M210" i="542" s="1"/>
  <c r="J210" i="542" a="1"/>
  <c r="J210" i="542" s="1"/>
  <c r="H210" i="542"/>
  <c r="V209" i="542"/>
  <c r="W209" i="542" s="1"/>
  <c r="N209" i="542"/>
  <c r="K209" i="542" a="1"/>
  <c r="K209" i="542" s="1"/>
  <c r="M209" i="542" s="1"/>
  <c r="J209" i="542" a="1"/>
  <c r="J209" i="542" s="1"/>
  <c r="H209" i="542"/>
  <c r="V208" i="542"/>
  <c r="W208" i="542" s="1"/>
  <c r="N208" i="542"/>
  <c r="K208" i="542" a="1"/>
  <c r="K208" i="542" s="1"/>
  <c r="M208" i="542" s="1"/>
  <c r="J208" i="542" a="1"/>
  <c r="J208" i="542" s="1"/>
  <c r="H208" i="542"/>
  <c r="H207" i="542"/>
  <c r="H206" i="542"/>
  <c r="H205" i="542"/>
  <c r="V204" i="542"/>
  <c r="W204" i="542" s="1"/>
  <c r="N204" i="542"/>
  <c r="K204" i="542" a="1"/>
  <c r="K204" i="542" s="1"/>
  <c r="M204" i="542" s="1"/>
  <c r="J204" i="542" a="1"/>
  <c r="J204" i="542" s="1"/>
  <c r="H204" i="542"/>
  <c r="V203" i="542"/>
  <c r="W203" i="542" s="1"/>
  <c r="N203" i="542"/>
  <c r="K203" i="542" a="1"/>
  <c r="K203" i="542" s="1"/>
  <c r="M203" i="542" s="1"/>
  <c r="J203" i="542" a="1"/>
  <c r="J203" i="542" s="1"/>
  <c r="H203" i="542"/>
  <c r="V202" i="542"/>
  <c r="W202" i="542" s="1"/>
  <c r="N202" i="542"/>
  <c r="K202" i="542" a="1"/>
  <c r="K202" i="542" s="1"/>
  <c r="M202" i="542" s="1"/>
  <c r="J202" i="542" a="1"/>
  <c r="J202" i="542" s="1"/>
  <c r="H202" i="542"/>
  <c r="H201" i="542"/>
  <c r="V200" i="542"/>
  <c r="V257" i="542" s="1"/>
  <c r="W257" i="542" s="1"/>
  <c r="N200" i="542"/>
  <c r="K200" i="542" a="1"/>
  <c r="K200" i="542" s="1"/>
  <c r="J200" i="542" a="1"/>
  <c r="J200" i="542" s="1"/>
  <c r="H200" i="542"/>
  <c r="AA199" i="542"/>
  <c r="AA335" i="542" s="1"/>
  <c r="Z199" i="542"/>
  <c r="Y199" i="542"/>
  <c r="Y335" i="542" s="1"/>
  <c r="X199" i="542"/>
  <c r="U199" i="542"/>
  <c r="U335" i="542" s="1"/>
  <c r="T199" i="542"/>
  <c r="S199" i="542"/>
  <c r="S335" i="542" s="1"/>
  <c r="R199" i="542"/>
  <c r="Q199" i="542"/>
  <c r="Q335" i="542" s="1"/>
  <c r="P199" i="542"/>
  <c r="O199" i="542"/>
  <c r="I199" i="542"/>
  <c r="G199" i="542"/>
  <c r="G335" i="542" s="1"/>
  <c r="V198" i="542"/>
  <c r="W198" i="542" s="1"/>
  <c r="N198" i="542"/>
  <c r="K198" i="542" a="1"/>
  <c r="K198" i="542" s="1"/>
  <c r="M198" i="542" s="1"/>
  <c r="J198" i="542" a="1"/>
  <c r="J198" i="542" s="1"/>
  <c r="H198" i="542"/>
  <c r="V197" i="542"/>
  <c r="W197" i="542" s="1"/>
  <c r="N197" i="542"/>
  <c r="K197" i="542" a="1"/>
  <c r="K197" i="542" s="1"/>
  <c r="M197" i="542" s="1"/>
  <c r="J197" i="542" a="1"/>
  <c r="J197" i="542" s="1"/>
  <c r="H197" i="542"/>
  <c r="K196" i="542" a="1"/>
  <c r="K196" i="542" s="1"/>
  <c r="M196" i="542" s="1"/>
  <c r="H196" i="542"/>
  <c r="K195" i="542"/>
  <c r="M195" i="542" s="1"/>
  <c r="K195" i="542" a="1"/>
  <c r="H195" i="542"/>
  <c r="K194" i="542" a="1"/>
  <c r="K194" i="542" s="1"/>
  <c r="M194" i="542" s="1"/>
  <c r="H194" i="542"/>
  <c r="K193" i="542"/>
  <c r="M193" i="542" s="1"/>
  <c r="K193" i="542" a="1"/>
  <c r="H193" i="542"/>
  <c r="V192" i="542"/>
  <c r="W192" i="542" s="1"/>
  <c r="N192" i="542"/>
  <c r="K192" i="542" a="1"/>
  <c r="K192" i="542" s="1"/>
  <c r="M192" i="542" s="1"/>
  <c r="J192" i="542" a="1"/>
  <c r="J192" i="542" s="1"/>
  <c r="H192" i="542"/>
  <c r="V191" i="542"/>
  <c r="W191" i="542" s="1"/>
  <c r="N191" i="542"/>
  <c r="K191" i="542" a="1"/>
  <c r="K191" i="542" s="1"/>
  <c r="M191" i="542" s="1"/>
  <c r="J191" i="542" a="1"/>
  <c r="J191" i="542" s="1"/>
  <c r="H191" i="542"/>
  <c r="V190" i="542"/>
  <c r="W190" i="542" s="1"/>
  <c r="N190" i="542"/>
  <c r="K190" i="542" a="1"/>
  <c r="K190" i="542" s="1"/>
  <c r="M190" i="542" s="1"/>
  <c r="J190" i="542" a="1"/>
  <c r="J190" i="542" s="1"/>
  <c r="H190" i="542"/>
  <c r="N189" i="542"/>
  <c r="K189" i="542" a="1"/>
  <c r="K189" i="542" s="1"/>
  <c r="M189" i="542" s="1"/>
  <c r="J189" i="542" a="1"/>
  <c r="J189" i="542" s="1"/>
  <c r="H189" i="542"/>
  <c r="N188" i="542"/>
  <c r="K188" i="542" a="1"/>
  <c r="K188" i="542" s="1"/>
  <c r="M188" i="542" s="1"/>
  <c r="J188" i="542" a="1"/>
  <c r="J188" i="542" s="1"/>
  <c r="H188" i="542"/>
  <c r="W187" i="542"/>
  <c r="V187" i="542"/>
  <c r="N187" i="542"/>
  <c r="K187" i="542" a="1"/>
  <c r="K187" i="542" s="1"/>
  <c r="M187" i="542" s="1"/>
  <c r="J187" i="542" a="1"/>
  <c r="J187" i="542" s="1"/>
  <c r="H187" i="542"/>
  <c r="V186" i="542"/>
  <c r="W186" i="542" s="1"/>
  <c r="N186" i="542"/>
  <c r="K186" i="542" a="1"/>
  <c r="K186" i="542" s="1"/>
  <c r="M186" i="542" s="1"/>
  <c r="J186" i="542" a="1"/>
  <c r="J186" i="542" s="1"/>
  <c r="H186" i="542"/>
  <c r="N185" i="542"/>
  <c r="K185" i="542"/>
  <c r="M185" i="542" s="1"/>
  <c r="K185" i="542" a="1"/>
  <c r="H185" i="542"/>
  <c r="N184" i="542"/>
  <c r="K184" i="542" a="1"/>
  <c r="K184" i="542" s="1"/>
  <c r="M184" i="542" s="1"/>
  <c r="H184" i="542"/>
  <c r="V183" i="542"/>
  <c r="W183" i="542" s="1"/>
  <c r="N183" i="542"/>
  <c r="K183" i="542" a="1"/>
  <c r="K183" i="542" s="1"/>
  <c r="M183" i="542" s="1"/>
  <c r="J183" i="542" a="1"/>
  <c r="J183" i="542" s="1"/>
  <c r="H183" i="542"/>
  <c r="V182" i="542"/>
  <c r="W182" i="542" s="1"/>
  <c r="N182" i="542"/>
  <c r="K182" i="542" a="1"/>
  <c r="K182" i="542" s="1"/>
  <c r="M182" i="542" s="1"/>
  <c r="J182" i="542" a="1"/>
  <c r="J182" i="542" s="1"/>
  <c r="H182" i="542"/>
  <c r="W181" i="542"/>
  <c r="V181" i="542"/>
  <c r="N181" i="542"/>
  <c r="K181" i="542"/>
  <c r="M181" i="542" s="1"/>
  <c r="K181" i="542" a="1"/>
  <c r="J181" i="542" a="1"/>
  <c r="J181" i="542" s="1"/>
  <c r="H181" i="542"/>
  <c r="V180" i="542"/>
  <c r="W180" i="542" s="1"/>
  <c r="N180" i="542"/>
  <c r="K180" i="542" a="1"/>
  <c r="K180" i="542" s="1"/>
  <c r="M180" i="542" s="1"/>
  <c r="J180" i="542" a="1"/>
  <c r="J180" i="542" s="1"/>
  <c r="H180" i="542"/>
  <c r="V179" i="542"/>
  <c r="W179" i="542" s="1"/>
  <c r="N179" i="542"/>
  <c r="K179" i="542" a="1"/>
  <c r="K179" i="542" s="1"/>
  <c r="M179" i="542" s="1"/>
  <c r="J179" i="542" a="1"/>
  <c r="J179" i="542" s="1"/>
  <c r="H179" i="542"/>
  <c r="V178" i="542"/>
  <c r="N178" i="542"/>
  <c r="K178" i="542" a="1"/>
  <c r="K178" i="542" s="1"/>
  <c r="J178" i="542" a="1"/>
  <c r="J178" i="542" s="1"/>
  <c r="H178" i="542"/>
  <c r="X171" i="542"/>
  <c r="Q529" i="542" s="1"/>
  <c r="X170" i="542"/>
  <c r="Q528" i="542" s="1"/>
  <c r="G170" i="542"/>
  <c r="C170" i="542"/>
  <c r="X169" i="542"/>
  <c r="Q527" i="542" s="1"/>
  <c r="I169" i="542"/>
  <c r="E169" i="542"/>
  <c r="K169" i="542" s="1"/>
  <c r="M169" i="542" s="1"/>
  <c r="I168" i="542"/>
  <c r="E168" i="542"/>
  <c r="K168" i="542" s="1"/>
  <c r="M168" i="542" s="1"/>
  <c r="I167" i="542"/>
  <c r="E167" i="542"/>
  <c r="K167" i="542" s="1"/>
  <c r="M167" i="542" s="1"/>
  <c r="X166" i="542"/>
  <c r="Q524" i="542" s="1"/>
  <c r="I166" i="542"/>
  <c r="I170" i="542" s="1"/>
  <c r="E166" i="542"/>
  <c r="E170" i="542" s="1"/>
  <c r="AA163" i="542"/>
  <c r="Z163" i="542"/>
  <c r="Y163" i="542"/>
  <c r="X163" i="542"/>
  <c r="U163" i="542"/>
  <c r="T163" i="542"/>
  <c r="S163" i="542"/>
  <c r="R163" i="542"/>
  <c r="Q163" i="542"/>
  <c r="P163" i="542"/>
  <c r="O163" i="542"/>
  <c r="R171" i="542" s="1"/>
  <c r="I163" i="542"/>
  <c r="G163" i="542"/>
  <c r="C529" i="542" s="1"/>
  <c r="H162" i="542"/>
  <c r="H161" i="542"/>
  <c r="H160" i="542"/>
  <c r="V159" i="542"/>
  <c r="W159" i="542" s="1"/>
  <c r="N159" i="542"/>
  <c r="K159" i="542"/>
  <c r="K159" i="542" a="1"/>
  <c r="J159" i="542" a="1"/>
  <c r="J159" i="542" s="1"/>
  <c r="H159" i="542"/>
  <c r="D159" i="542"/>
  <c r="V158" i="542"/>
  <c r="W158" i="542" s="1"/>
  <c r="N158" i="542"/>
  <c r="K158" i="542" a="1"/>
  <c r="K158" i="542" s="1"/>
  <c r="M158" i="542" s="1"/>
  <c r="J158" i="542" a="1"/>
  <c r="J158" i="542" s="1"/>
  <c r="H158" i="542"/>
  <c r="H157" i="542"/>
  <c r="H156" i="542"/>
  <c r="V155" i="542"/>
  <c r="W155" i="542" s="1"/>
  <c r="N155" i="542"/>
  <c r="K155" i="542" a="1"/>
  <c r="K155" i="542" s="1"/>
  <c r="M155" i="542" s="1"/>
  <c r="J155" i="542" a="1"/>
  <c r="J155" i="542" s="1"/>
  <c r="H155" i="542"/>
  <c r="V154" i="542"/>
  <c r="W154" i="542" s="1"/>
  <c r="N154" i="542"/>
  <c r="K154" i="542"/>
  <c r="M154" i="542" s="1"/>
  <c r="K154" i="542" a="1"/>
  <c r="J154" i="542"/>
  <c r="J154" i="542" a="1"/>
  <c r="H154" i="542"/>
  <c r="H153" i="542"/>
  <c r="V152" i="542"/>
  <c r="W152" i="542" s="1"/>
  <c r="N152" i="542"/>
  <c r="K152" i="542" a="1"/>
  <c r="K152" i="542" s="1"/>
  <c r="M152" i="542" s="1"/>
  <c r="J152" i="542" a="1"/>
  <c r="J152" i="542" s="1"/>
  <c r="H152" i="542"/>
  <c r="V151" i="542"/>
  <c r="W151" i="542" s="1"/>
  <c r="N151" i="542"/>
  <c r="K151" i="542" a="1"/>
  <c r="K151" i="542" s="1"/>
  <c r="M151" i="542" s="1"/>
  <c r="J151" i="542" a="1"/>
  <c r="J151" i="542" s="1"/>
  <c r="H151" i="542"/>
  <c r="V150" i="542"/>
  <c r="W150" i="542" s="1"/>
  <c r="N150" i="542"/>
  <c r="K150" i="542"/>
  <c r="M150" i="542" s="1"/>
  <c r="K150" i="542" a="1"/>
  <c r="J150" i="542"/>
  <c r="J150" i="542" a="1"/>
  <c r="H150" i="542"/>
  <c r="V149" i="542"/>
  <c r="W149" i="542" s="1"/>
  <c r="N149" i="542"/>
  <c r="K149" i="542" a="1"/>
  <c r="K149" i="542" s="1"/>
  <c r="J149" i="542" a="1"/>
  <c r="J149" i="542" s="1"/>
  <c r="H149" i="542"/>
  <c r="AA148" i="542"/>
  <c r="Z148" i="542"/>
  <c r="Y148" i="542"/>
  <c r="X148" i="542"/>
  <c r="U148" i="542"/>
  <c r="T148" i="542"/>
  <c r="S148" i="542"/>
  <c r="Q148" i="542"/>
  <c r="P148" i="542"/>
  <c r="O148" i="542"/>
  <c r="I148" i="542"/>
  <c r="G148" i="542"/>
  <c r="C528" i="542" s="1"/>
  <c r="V147" i="542"/>
  <c r="W147" i="542" s="1"/>
  <c r="N147" i="542"/>
  <c r="K147" i="542"/>
  <c r="M147" i="542" s="1"/>
  <c r="K147" i="542" a="1"/>
  <c r="J147" i="542"/>
  <c r="J147" i="542" a="1"/>
  <c r="H147" i="542"/>
  <c r="K145" i="542" a="1"/>
  <c r="K145" i="542" s="1"/>
  <c r="H145" i="542"/>
  <c r="K144" i="542" a="1"/>
  <c r="K144" i="542" s="1"/>
  <c r="H144" i="542"/>
  <c r="K143" i="542" a="1"/>
  <c r="K143" i="542" s="1"/>
  <c r="H143" i="542"/>
  <c r="V142" i="542"/>
  <c r="W142" i="542" s="1"/>
  <c r="N142" i="542"/>
  <c r="K142" i="542" a="1"/>
  <c r="K142" i="542" s="1"/>
  <c r="M142" i="542" s="1"/>
  <c r="J142" i="542" a="1"/>
  <c r="J142" i="542" s="1"/>
  <c r="H142" i="542"/>
  <c r="V141" i="542"/>
  <c r="W141" i="542" s="1"/>
  <c r="N141" i="542"/>
  <c r="K141" i="542" a="1"/>
  <c r="K141" i="542" s="1"/>
  <c r="M141" i="542" s="1"/>
  <c r="J141" i="542" a="1"/>
  <c r="J141" i="542" s="1"/>
  <c r="H141" i="542"/>
  <c r="V140" i="542"/>
  <c r="W140" i="542" s="1"/>
  <c r="N140" i="542"/>
  <c r="K140" i="542"/>
  <c r="M140" i="542" s="1"/>
  <c r="K140" i="542" a="1"/>
  <c r="J140" i="542"/>
  <c r="J140" i="542" a="1"/>
  <c r="H140" i="542"/>
  <c r="V139" i="542"/>
  <c r="W139" i="542" s="1"/>
  <c r="N139" i="542"/>
  <c r="K139" i="542" a="1"/>
  <c r="K139" i="542" s="1"/>
  <c r="M139" i="542" s="1"/>
  <c r="J139" i="542" a="1"/>
  <c r="J139" i="542" s="1"/>
  <c r="H139" i="542"/>
  <c r="V138" i="542"/>
  <c r="W138" i="542" s="1"/>
  <c r="N138" i="542"/>
  <c r="K138" i="542" a="1"/>
  <c r="K138" i="542" s="1"/>
  <c r="M138" i="542" s="1"/>
  <c r="M148" i="542" s="1"/>
  <c r="J138" i="542" a="1"/>
  <c r="J138" i="542" s="1"/>
  <c r="H138" i="542"/>
  <c r="AA137" i="542"/>
  <c r="Z137" i="542"/>
  <c r="Y137" i="542"/>
  <c r="X137" i="542"/>
  <c r="U137" i="542"/>
  <c r="T137" i="542"/>
  <c r="S137" i="542"/>
  <c r="Q137" i="542"/>
  <c r="P137" i="542"/>
  <c r="O137" i="542"/>
  <c r="I137" i="542"/>
  <c r="G137" i="542"/>
  <c r="C527" i="542" s="1"/>
  <c r="V136" i="542"/>
  <c r="W136" i="542" s="1"/>
  <c r="N136" i="542"/>
  <c r="K136" i="542" a="1"/>
  <c r="K136" i="542" s="1"/>
  <c r="M136" i="542" s="1"/>
  <c r="J136" i="542" a="1"/>
  <c r="J136" i="542" s="1"/>
  <c r="H136" i="542"/>
  <c r="V135" i="542"/>
  <c r="W135" i="542" s="1"/>
  <c r="N135" i="542"/>
  <c r="K135" i="542" a="1"/>
  <c r="K135" i="542" s="1"/>
  <c r="M135" i="542" s="1"/>
  <c r="J135" i="542" a="1"/>
  <c r="J135" i="542" s="1"/>
  <c r="H135" i="542"/>
  <c r="V134" i="542"/>
  <c r="W134" i="542" s="1"/>
  <c r="N134" i="542"/>
  <c r="K134" i="542" a="1"/>
  <c r="K134" i="542" s="1"/>
  <c r="M134" i="542" s="1"/>
  <c r="J134" i="542" a="1"/>
  <c r="J134" i="542" s="1"/>
  <c r="H134" i="542"/>
  <c r="V133" i="542"/>
  <c r="W133" i="542" s="1"/>
  <c r="N133" i="542"/>
  <c r="K133" i="542"/>
  <c r="M133" i="542" s="1"/>
  <c r="K133" i="542" a="1"/>
  <c r="J133" i="542"/>
  <c r="J133" i="542" a="1"/>
  <c r="H133" i="542"/>
  <c r="V132" i="542"/>
  <c r="W132" i="542" s="1"/>
  <c r="N132" i="542"/>
  <c r="K132" i="542" a="1"/>
  <c r="K132" i="542" s="1"/>
  <c r="M132" i="542" s="1"/>
  <c r="J132" i="542" a="1"/>
  <c r="J132" i="542" s="1"/>
  <c r="H132" i="542"/>
  <c r="V131" i="542"/>
  <c r="W131" i="542" s="1"/>
  <c r="N131" i="542"/>
  <c r="K131" i="542" a="1"/>
  <c r="K131" i="542" s="1"/>
  <c r="M131" i="542" s="1"/>
  <c r="J131" i="542" a="1"/>
  <c r="J131" i="542" s="1"/>
  <c r="H131" i="542"/>
  <c r="V130" i="542"/>
  <c r="W130" i="542" s="1"/>
  <c r="N130" i="542"/>
  <c r="K130" i="542" a="1"/>
  <c r="K130" i="542" s="1"/>
  <c r="M130" i="542" s="1"/>
  <c r="J130" i="542" a="1"/>
  <c r="J130" i="542" s="1"/>
  <c r="H130" i="542"/>
  <c r="V129" i="542"/>
  <c r="W129" i="542" s="1"/>
  <c r="N129" i="542"/>
  <c r="K129" i="542"/>
  <c r="M129" i="542" s="1"/>
  <c r="K129" i="542" a="1"/>
  <c r="J129" i="542"/>
  <c r="J129" i="542" a="1"/>
  <c r="H129" i="542"/>
  <c r="V128" i="542"/>
  <c r="W128" i="542" s="1"/>
  <c r="N128" i="542"/>
  <c r="K128" i="542" a="1"/>
  <c r="K128" i="542" s="1"/>
  <c r="M128" i="542" s="1"/>
  <c r="J128" i="542" a="1"/>
  <c r="J128" i="542" s="1"/>
  <c r="H128" i="542"/>
  <c r="V127" i="542"/>
  <c r="W127" i="542" s="1"/>
  <c r="N127" i="542"/>
  <c r="K127" i="542" a="1"/>
  <c r="K127" i="542" s="1"/>
  <c r="M127" i="542" s="1"/>
  <c r="J127" i="542" a="1"/>
  <c r="J127" i="542" s="1"/>
  <c r="H127" i="542"/>
  <c r="V126" i="542"/>
  <c r="W126" i="542" s="1"/>
  <c r="N126" i="542"/>
  <c r="K126" i="542" a="1"/>
  <c r="K126" i="542" s="1"/>
  <c r="M126" i="542" s="1"/>
  <c r="J126" i="542" a="1"/>
  <c r="J126" i="542" s="1"/>
  <c r="H126" i="542"/>
  <c r="V125" i="542"/>
  <c r="W125" i="542" s="1"/>
  <c r="N125" i="542"/>
  <c r="K125" i="542"/>
  <c r="M125" i="542" s="1"/>
  <c r="K125" i="542" a="1"/>
  <c r="J125" i="542"/>
  <c r="J125" i="542" a="1"/>
  <c r="H125" i="542"/>
  <c r="V124" i="542"/>
  <c r="W124" i="542" s="1"/>
  <c r="N124" i="542"/>
  <c r="K124" i="542" a="1"/>
  <c r="K124" i="542" s="1"/>
  <c r="M124" i="542" s="1"/>
  <c r="J124" i="542" a="1"/>
  <c r="J124" i="542" s="1"/>
  <c r="H124" i="542"/>
  <c r="V123" i="542"/>
  <c r="W123" i="542" s="1"/>
  <c r="N123" i="542"/>
  <c r="K123" i="542" a="1"/>
  <c r="K123" i="542" s="1"/>
  <c r="M123" i="542" s="1"/>
  <c r="J123" i="542" a="1"/>
  <c r="J123" i="542" s="1"/>
  <c r="H123" i="542"/>
  <c r="V122" i="542"/>
  <c r="W122" i="542" s="1"/>
  <c r="N122" i="542"/>
  <c r="K122" i="542" a="1"/>
  <c r="K122" i="542" s="1"/>
  <c r="J122" i="542" a="1"/>
  <c r="J122" i="542" s="1"/>
  <c r="H122" i="542"/>
  <c r="AA121" i="542"/>
  <c r="Z121" i="542"/>
  <c r="Y121" i="542"/>
  <c r="X121" i="542"/>
  <c r="U121" i="542"/>
  <c r="T121" i="542"/>
  <c r="S121" i="542"/>
  <c r="R121" i="542"/>
  <c r="Q121" i="542"/>
  <c r="P121" i="542"/>
  <c r="O121" i="542"/>
  <c r="R168" i="542" s="1"/>
  <c r="I121" i="542"/>
  <c r="G121" i="542"/>
  <c r="C526" i="542" s="1"/>
  <c r="V120" i="542"/>
  <c r="W120" i="542" s="1"/>
  <c r="N120" i="542"/>
  <c r="K120" i="542" a="1"/>
  <c r="K120" i="542" s="1"/>
  <c r="M120" i="542" s="1"/>
  <c r="J120" i="542" a="1"/>
  <c r="J120" i="542" s="1"/>
  <c r="H120" i="542"/>
  <c r="V119" i="542"/>
  <c r="W119" i="542" s="1"/>
  <c r="N119" i="542"/>
  <c r="K119" i="542"/>
  <c r="M119" i="542" s="1"/>
  <c r="K119" i="542" a="1"/>
  <c r="J119" i="542"/>
  <c r="J119" i="542" a="1"/>
  <c r="H119" i="542"/>
  <c r="V118" i="542"/>
  <c r="W118" i="542" s="1"/>
  <c r="N118" i="542"/>
  <c r="K118" i="542" a="1"/>
  <c r="K118" i="542" s="1"/>
  <c r="M118" i="542" s="1"/>
  <c r="J118" i="542" a="1"/>
  <c r="J118" i="542" s="1"/>
  <c r="H118" i="542"/>
  <c r="K117" i="542" a="1"/>
  <c r="K117" i="542" s="1"/>
  <c r="H117" i="542"/>
  <c r="K116" i="542" a="1"/>
  <c r="K116" i="542" s="1"/>
  <c r="H116" i="542"/>
  <c r="K115" i="542"/>
  <c r="K115" i="542" a="1"/>
  <c r="H115" i="542"/>
  <c r="V114" i="542"/>
  <c r="W114" i="542" s="1"/>
  <c r="N114" i="542"/>
  <c r="K114" i="542" a="1"/>
  <c r="K114" i="542" s="1"/>
  <c r="M114" i="542" s="1"/>
  <c r="J114" i="542" a="1"/>
  <c r="J114" i="542" s="1"/>
  <c r="H114" i="542"/>
  <c r="V113" i="542"/>
  <c r="W113" i="542" s="1"/>
  <c r="N113" i="542"/>
  <c r="K113" i="542"/>
  <c r="M113" i="542" s="1"/>
  <c r="K113" i="542" a="1"/>
  <c r="J113" i="542"/>
  <c r="J113" i="542" a="1"/>
  <c r="H113" i="542"/>
  <c r="N112" i="542"/>
  <c r="K112" i="542" a="1"/>
  <c r="K112" i="542" s="1"/>
  <c r="M112" i="542" s="1"/>
  <c r="H112" i="542"/>
  <c r="N111" i="542"/>
  <c r="K111" i="542" a="1"/>
  <c r="K111" i="542" s="1"/>
  <c r="M111" i="542" s="1"/>
  <c r="H111" i="542"/>
  <c r="N110" i="542"/>
  <c r="K110" i="542" a="1"/>
  <c r="K110" i="542" s="1"/>
  <c r="M110" i="542" s="1"/>
  <c r="H110" i="542"/>
  <c r="N109" i="542"/>
  <c r="K109" i="542" a="1"/>
  <c r="K109" i="542" s="1"/>
  <c r="M109" i="542" s="1"/>
  <c r="H109" i="542"/>
  <c r="N108" i="542"/>
  <c r="K108" i="542" a="1"/>
  <c r="K108" i="542" s="1"/>
  <c r="M108" i="542" s="1"/>
  <c r="H108" i="542"/>
  <c r="N107" i="542"/>
  <c r="K107" i="542" a="1"/>
  <c r="K107" i="542" s="1"/>
  <c r="M107" i="542" s="1"/>
  <c r="H107" i="542"/>
  <c r="V106" i="542"/>
  <c r="W106" i="542" s="1"/>
  <c r="N106" i="542"/>
  <c r="K106" i="542" a="1"/>
  <c r="K106" i="542" s="1"/>
  <c r="M106" i="542" s="1"/>
  <c r="J106" i="542" a="1"/>
  <c r="J106" i="542" s="1"/>
  <c r="H106" i="542"/>
  <c r="V105" i="542"/>
  <c r="W105" i="542" s="1"/>
  <c r="N105" i="542"/>
  <c r="K105" i="542"/>
  <c r="M105" i="542" s="1"/>
  <c r="K105" i="542" a="1"/>
  <c r="J105" i="542"/>
  <c r="J105" i="542" a="1"/>
  <c r="H105" i="542"/>
  <c r="V104" i="542"/>
  <c r="W104" i="542" s="1"/>
  <c r="N104" i="542"/>
  <c r="K104" i="542" a="1"/>
  <c r="K104" i="542" s="1"/>
  <c r="M104" i="542" s="1"/>
  <c r="J104" i="542" a="1"/>
  <c r="J104" i="542" s="1"/>
  <c r="H104" i="542"/>
  <c r="V103" i="542"/>
  <c r="W103" i="542" s="1"/>
  <c r="N103" i="542"/>
  <c r="K103" i="542" a="1"/>
  <c r="K103" i="542" s="1"/>
  <c r="M103" i="542" s="1"/>
  <c r="J103" i="542" a="1"/>
  <c r="J103" i="542" s="1"/>
  <c r="H103" i="542"/>
  <c r="V102" i="542"/>
  <c r="W102" i="542" s="1"/>
  <c r="N102" i="542"/>
  <c r="K102" i="542" a="1"/>
  <c r="K102" i="542" s="1"/>
  <c r="M102" i="542" s="1"/>
  <c r="J102" i="542" a="1"/>
  <c r="J102" i="542" s="1"/>
  <c r="H102" i="542"/>
  <c r="V101" i="542"/>
  <c r="W101" i="542" s="1"/>
  <c r="N101" i="542"/>
  <c r="K101" i="542"/>
  <c r="M101" i="542" s="1"/>
  <c r="K101" i="542" a="1"/>
  <c r="J101" i="542"/>
  <c r="J101" i="542" a="1"/>
  <c r="H101" i="542"/>
  <c r="V100" i="542"/>
  <c r="W100" i="542" s="1"/>
  <c r="N100" i="542"/>
  <c r="K100" i="542" a="1"/>
  <c r="K100" i="542" s="1"/>
  <c r="M100" i="542" s="1"/>
  <c r="J100" i="542" a="1"/>
  <c r="J100" i="542" s="1"/>
  <c r="H100" i="542"/>
  <c r="V99" i="542"/>
  <c r="W99" i="542" s="1"/>
  <c r="N99" i="542"/>
  <c r="K99" i="542" a="1"/>
  <c r="K99" i="542" s="1"/>
  <c r="M99" i="542" s="1"/>
  <c r="J99" i="542" a="1"/>
  <c r="J99" i="542" s="1"/>
  <c r="H99" i="542"/>
  <c r="V98" i="542"/>
  <c r="W98" i="542" s="1"/>
  <c r="N98" i="542"/>
  <c r="K98" i="542" a="1"/>
  <c r="K98" i="542" s="1"/>
  <c r="M98" i="542" s="1"/>
  <c r="J98" i="542" a="1"/>
  <c r="J98" i="542" s="1"/>
  <c r="H98" i="542"/>
  <c r="V97" i="542"/>
  <c r="W97" i="542" s="1"/>
  <c r="N97" i="542"/>
  <c r="K97" i="542"/>
  <c r="M97" i="542" s="1"/>
  <c r="K97" i="542" a="1"/>
  <c r="J97" i="542"/>
  <c r="J97" i="542" a="1"/>
  <c r="H97" i="542"/>
  <c r="V96" i="542"/>
  <c r="W96" i="542" s="1"/>
  <c r="N96" i="542"/>
  <c r="K96" i="542" a="1"/>
  <c r="K96" i="542" s="1"/>
  <c r="M96" i="542" s="1"/>
  <c r="J96" i="542" a="1"/>
  <c r="J96" i="542" s="1"/>
  <c r="H96" i="542"/>
  <c r="V95" i="542"/>
  <c r="W95" i="542" s="1"/>
  <c r="N95" i="542"/>
  <c r="K95" i="542" a="1"/>
  <c r="K95" i="542" s="1"/>
  <c r="M95" i="542" s="1"/>
  <c r="J95" i="542" a="1"/>
  <c r="J95" i="542" s="1"/>
  <c r="H95" i="542"/>
  <c r="K94" i="542"/>
  <c r="M94" i="542" s="1"/>
  <c r="K94" i="542" a="1"/>
  <c r="H94" i="542"/>
  <c r="V93" i="542"/>
  <c r="W93" i="542" s="1"/>
  <c r="N93" i="542"/>
  <c r="K93" i="542" a="1"/>
  <c r="K93" i="542" s="1"/>
  <c r="M93" i="542" s="1"/>
  <c r="J93" i="542" a="1"/>
  <c r="J93" i="542" s="1"/>
  <c r="H93" i="542"/>
  <c r="V92" i="542"/>
  <c r="W92" i="542" s="1"/>
  <c r="N92" i="542"/>
  <c r="K92" i="542" a="1"/>
  <c r="K92" i="542" s="1"/>
  <c r="M92" i="542" s="1"/>
  <c r="J92" i="542" a="1"/>
  <c r="J92" i="542" s="1"/>
  <c r="H92" i="542"/>
  <c r="V91" i="542"/>
  <c r="W91" i="542" s="1"/>
  <c r="N91" i="542"/>
  <c r="K91" i="542" a="1"/>
  <c r="K91" i="542" s="1"/>
  <c r="M91" i="542" s="1"/>
  <c r="J91" i="542" a="1"/>
  <c r="J91" i="542" s="1"/>
  <c r="H91" i="542"/>
  <c r="V90" i="542"/>
  <c r="W90" i="542" s="1"/>
  <c r="N90" i="542"/>
  <c r="K90" i="542" a="1"/>
  <c r="K90" i="542" s="1"/>
  <c r="M90" i="542" s="1"/>
  <c r="J90" i="542" a="1"/>
  <c r="J90" i="542" s="1"/>
  <c r="H90" i="542"/>
  <c r="V89" i="542"/>
  <c r="W89" i="542" s="1"/>
  <c r="N89" i="542"/>
  <c r="K89" i="542" a="1"/>
  <c r="K89" i="542" s="1"/>
  <c r="M89" i="542" s="1"/>
  <c r="J89" i="542" a="1"/>
  <c r="J89" i="542" s="1"/>
  <c r="H89" i="542"/>
  <c r="V88" i="542"/>
  <c r="W88" i="542" s="1"/>
  <c r="N88" i="542"/>
  <c r="K88" i="542"/>
  <c r="M88" i="542" s="1"/>
  <c r="K88" i="542" a="1"/>
  <c r="J88" i="542"/>
  <c r="J88" i="542" a="1"/>
  <c r="H88" i="542"/>
  <c r="V87" i="542"/>
  <c r="N87" i="542"/>
  <c r="K87" i="542" a="1"/>
  <c r="K87" i="542" s="1"/>
  <c r="J87" i="542" a="1"/>
  <c r="J87" i="542" s="1"/>
  <c r="H87" i="542"/>
  <c r="AA86" i="542"/>
  <c r="Z86" i="542"/>
  <c r="Y86" i="542"/>
  <c r="X86" i="542"/>
  <c r="U86" i="542"/>
  <c r="T86" i="542"/>
  <c r="S86" i="542"/>
  <c r="R86" i="542"/>
  <c r="Q86" i="542"/>
  <c r="P86" i="542"/>
  <c r="O86" i="542"/>
  <c r="R167" i="542" s="1"/>
  <c r="I86" i="542"/>
  <c r="G86" i="542"/>
  <c r="C525" i="542" s="1"/>
  <c r="K85" i="542" a="1"/>
  <c r="K85" i="542" s="1"/>
  <c r="H85" i="542"/>
  <c r="K84" i="542"/>
  <c r="K84" i="542" a="1"/>
  <c r="H84" i="542"/>
  <c r="K83" i="542" a="1"/>
  <c r="K83" i="542" s="1"/>
  <c r="H83" i="542"/>
  <c r="K82" i="542" a="1"/>
  <c r="K82" i="542" s="1"/>
  <c r="H82" i="542"/>
  <c r="K81" i="542" a="1"/>
  <c r="K81" i="542" s="1"/>
  <c r="H81" i="542"/>
  <c r="K80" i="542" a="1"/>
  <c r="K80" i="542" s="1"/>
  <c r="H80" i="542"/>
  <c r="K79" i="542" a="1"/>
  <c r="K79" i="542" s="1"/>
  <c r="M79" i="542" s="1"/>
  <c r="H79" i="542"/>
  <c r="K78" i="542" a="1"/>
  <c r="K78" i="542" s="1"/>
  <c r="M78" i="542" s="1"/>
  <c r="H78" i="542"/>
  <c r="K77" i="542" a="1"/>
  <c r="K77" i="542" s="1"/>
  <c r="M77" i="542" s="1"/>
  <c r="H77" i="542"/>
  <c r="K76" i="542" a="1"/>
  <c r="K76" i="542" s="1"/>
  <c r="M76" i="542" s="1"/>
  <c r="H76" i="542"/>
  <c r="W75" i="542"/>
  <c r="V75" i="542"/>
  <c r="N75" i="542"/>
  <c r="K75" i="542" a="1"/>
  <c r="K75" i="542" s="1"/>
  <c r="M75" i="542" s="1"/>
  <c r="J75" i="542" a="1"/>
  <c r="J75" i="542" s="1"/>
  <c r="H75" i="542"/>
  <c r="V74" i="542"/>
  <c r="W74" i="542" s="1"/>
  <c r="N74" i="542"/>
  <c r="K74" i="542" a="1"/>
  <c r="K74" i="542" s="1"/>
  <c r="M74" i="542" s="1"/>
  <c r="J74" i="542" a="1"/>
  <c r="J74" i="542" s="1"/>
  <c r="H74" i="542"/>
  <c r="V73" i="542"/>
  <c r="W73" i="542" s="1"/>
  <c r="N73" i="542"/>
  <c r="K73" i="542"/>
  <c r="M73" i="542" s="1"/>
  <c r="K73" i="542" a="1"/>
  <c r="J73" i="542"/>
  <c r="J73" i="542" a="1"/>
  <c r="H73" i="542"/>
  <c r="V72" i="542"/>
  <c r="W72" i="542" s="1"/>
  <c r="N72" i="542"/>
  <c r="K72" i="542" a="1"/>
  <c r="K72" i="542" s="1"/>
  <c r="M72" i="542" s="1"/>
  <c r="J72" i="542" a="1"/>
  <c r="J72" i="542" s="1"/>
  <c r="H72" i="542"/>
  <c r="H71" i="542"/>
  <c r="V70" i="542"/>
  <c r="W70" i="542" s="1"/>
  <c r="N70" i="542"/>
  <c r="K70" i="542" a="1"/>
  <c r="K70" i="542" s="1"/>
  <c r="M70" i="542" s="1"/>
  <c r="J70" i="542" a="1"/>
  <c r="J70" i="542" s="1"/>
  <c r="H70" i="542"/>
  <c r="V69" i="542"/>
  <c r="W69" i="542" s="1"/>
  <c r="N69" i="542"/>
  <c r="K69" i="542" a="1"/>
  <c r="K69" i="542" s="1"/>
  <c r="M69" i="542" s="1"/>
  <c r="J69" i="542" a="1"/>
  <c r="J69" i="542" s="1"/>
  <c r="H69" i="542"/>
  <c r="K68" i="542" a="1"/>
  <c r="K68" i="542" s="1"/>
  <c r="H68" i="542"/>
  <c r="K67" i="542"/>
  <c r="K67" i="542" a="1"/>
  <c r="H67" i="542"/>
  <c r="V66" i="542"/>
  <c r="W66" i="542" s="1"/>
  <c r="N66" i="542"/>
  <c r="K66" i="542" a="1"/>
  <c r="K66" i="542" s="1"/>
  <c r="M66" i="542" s="1"/>
  <c r="J66" i="542" a="1"/>
  <c r="J66" i="542" s="1"/>
  <c r="H66" i="542"/>
  <c r="V65" i="542"/>
  <c r="W65" i="542" s="1"/>
  <c r="N65" i="542"/>
  <c r="K65" i="542" a="1"/>
  <c r="K65" i="542" s="1"/>
  <c r="M65" i="542" s="1"/>
  <c r="J65" i="542" a="1"/>
  <c r="J65" i="542" s="1"/>
  <c r="H65" i="542"/>
  <c r="V64" i="542"/>
  <c r="W64" i="542" s="1"/>
  <c r="N64" i="542"/>
  <c r="K64" i="542" a="1"/>
  <c r="K64" i="542" s="1"/>
  <c r="M64" i="542" s="1"/>
  <c r="J64" i="542" a="1"/>
  <c r="J64" i="542" s="1"/>
  <c r="H64" i="542"/>
  <c r="V63" i="542"/>
  <c r="W63" i="542" s="1"/>
  <c r="N63" i="542"/>
  <c r="K63" i="542"/>
  <c r="M63" i="542" s="1"/>
  <c r="K63" i="542" a="1"/>
  <c r="J63" i="542"/>
  <c r="J63" i="542" a="1"/>
  <c r="H63" i="542"/>
  <c r="V62" i="542"/>
  <c r="W62" i="542" s="1"/>
  <c r="N62" i="542"/>
  <c r="K62" i="542" a="1"/>
  <c r="K62" i="542" s="1"/>
  <c r="M62" i="542" s="1"/>
  <c r="J62" i="542" a="1"/>
  <c r="J62" i="542" s="1"/>
  <c r="H62" i="542"/>
  <c r="W61" i="542"/>
  <c r="V61" i="542"/>
  <c r="N61" i="542"/>
  <c r="K61" i="542" a="1"/>
  <c r="K61" i="542" s="1"/>
  <c r="M61" i="542" s="1"/>
  <c r="J61" i="542" a="1"/>
  <c r="J61" i="542" s="1"/>
  <c r="H61" i="542"/>
  <c r="V60" i="542"/>
  <c r="W60" i="542" s="1"/>
  <c r="N60" i="542"/>
  <c r="K60" i="542" a="1"/>
  <c r="K60" i="542" s="1"/>
  <c r="M60" i="542" s="1"/>
  <c r="J60" i="542" a="1"/>
  <c r="J60" i="542" s="1"/>
  <c r="H60" i="542"/>
  <c r="V59" i="542"/>
  <c r="W59" i="542" s="1"/>
  <c r="N59" i="542"/>
  <c r="K59" i="542"/>
  <c r="M59" i="542" s="1"/>
  <c r="K59" i="542" a="1"/>
  <c r="J59" i="542"/>
  <c r="J59" i="542" a="1"/>
  <c r="H59" i="542"/>
  <c r="V58" i="542"/>
  <c r="W58" i="542" s="1"/>
  <c r="N58" i="542"/>
  <c r="K58" i="542" a="1"/>
  <c r="K58" i="542" s="1"/>
  <c r="M58" i="542" s="1"/>
  <c r="J58" i="542" a="1"/>
  <c r="J58" i="542" s="1"/>
  <c r="H58" i="542"/>
  <c r="V57" i="542"/>
  <c r="W57" i="542" s="1"/>
  <c r="N57" i="542"/>
  <c r="K57" i="542" a="1"/>
  <c r="K57" i="542" s="1"/>
  <c r="M57" i="542" s="1"/>
  <c r="J57" i="542" a="1"/>
  <c r="J57" i="542" s="1"/>
  <c r="H57" i="542"/>
  <c r="K56" i="542"/>
  <c r="M56" i="542" s="1"/>
  <c r="K56" i="542" a="1"/>
  <c r="H56" i="542"/>
  <c r="K55" i="542" a="1"/>
  <c r="K55" i="542" s="1"/>
  <c r="M55" i="542" s="1"/>
  <c r="H55" i="542"/>
  <c r="K54" i="542" a="1"/>
  <c r="K54" i="542" s="1"/>
  <c r="M54" i="542" s="1"/>
  <c r="H54" i="542"/>
  <c r="K53" i="542" a="1"/>
  <c r="K53" i="542" s="1"/>
  <c r="M53" i="542" s="1"/>
  <c r="H53" i="542"/>
  <c r="N52" i="542"/>
  <c r="K52" i="542"/>
  <c r="M52" i="542" s="1"/>
  <c r="K52" i="542" a="1"/>
  <c r="H52" i="542"/>
  <c r="N51" i="542"/>
  <c r="K51" i="542" a="1"/>
  <c r="K51" i="542" s="1"/>
  <c r="M51" i="542" s="1"/>
  <c r="H51" i="542"/>
  <c r="N50" i="542"/>
  <c r="K50" i="542" a="1"/>
  <c r="K50" i="542" s="1"/>
  <c r="M50" i="542" s="1"/>
  <c r="H50" i="542"/>
  <c r="N49" i="542"/>
  <c r="K49" i="542" a="1"/>
  <c r="K49" i="542" s="1"/>
  <c r="M49" i="542" s="1"/>
  <c r="H49" i="542"/>
  <c r="V48" i="542"/>
  <c r="W48" i="542" s="1"/>
  <c r="N48" i="542"/>
  <c r="K48" i="542" a="1"/>
  <c r="K48" i="542" s="1"/>
  <c r="M48" i="542" s="1"/>
  <c r="J48" i="542" a="1"/>
  <c r="J48" i="542" s="1"/>
  <c r="H48" i="542"/>
  <c r="V47" i="542"/>
  <c r="W47" i="542" s="1"/>
  <c r="N47" i="542"/>
  <c r="K47" i="542" a="1"/>
  <c r="K47" i="542" s="1"/>
  <c r="M47" i="542" s="1"/>
  <c r="J47" i="542" a="1"/>
  <c r="J47" i="542" s="1"/>
  <c r="H47" i="542"/>
  <c r="V46" i="542"/>
  <c r="W46" i="542" s="1"/>
  <c r="N46" i="542"/>
  <c r="K46" i="542"/>
  <c r="M46" i="542" s="1"/>
  <c r="K46" i="542" a="1"/>
  <c r="J46" i="542"/>
  <c r="J46" i="542" a="1"/>
  <c r="H46" i="542"/>
  <c r="V45" i="542"/>
  <c r="W45" i="542" s="1"/>
  <c r="N45" i="542"/>
  <c r="K45" i="542" a="1"/>
  <c r="K45" i="542" s="1"/>
  <c r="M45" i="542" s="1"/>
  <c r="J45" i="542" a="1"/>
  <c r="J45" i="542" s="1"/>
  <c r="H45" i="542"/>
  <c r="V44" i="542"/>
  <c r="W44" i="542" s="1"/>
  <c r="N44" i="542"/>
  <c r="K44" i="542" a="1"/>
  <c r="K44" i="542" s="1"/>
  <c r="M44" i="542" s="1"/>
  <c r="J44" i="542" a="1"/>
  <c r="J44" i="542" s="1"/>
  <c r="H44" i="542"/>
  <c r="V43" i="542"/>
  <c r="W43" i="542" s="1"/>
  <c r="N43" i="542"/>
  <c r="K43" i="542" a="1"/>
  <c r="K43" i="542" s="1"/>
  <c r="M43" i="542" s="1"/>
  <c r="J43" i="542" a="1"/>
  <c r="J43" i="542" s="1"/>
  <c r="H43" i="542"/>
  <c r="V42" i="542"/>
  <c r="W42" i="542" s="1"/>
  <c r="N42" i="542"/>
  <c r="K42" i="542"/>
  <c r="M42" i="542" s="1"/>
  <c r="K42" i="542" a="1"/>
  <c r="J42" i="542"/>
  <c r="J42" i="542" a="1"/>
  <c r="H42" i="542"/>
  <c r="V41" i="542"/>
  <c r="W41" i="542" s="1"/>
  <c r="N41" i="542"/>
  <c r="K41" i="542" a="1"/>
  <c r="K41" i="542" s="1"/>
  <c r="M41" i="542" s="1"/>
  <c r="J41" i="542" a="1"/>
  <c r="J41" i="542" s="1"/>
  <c r="H41" i="542"/>
  <c r="W40" i="542"/>
  <c r="V40" i="542"/>
  <c r="N40" i="542"/>
  <c r="K40" i="542" a="1"/>
  <c r="K40" i="542" s="1"/>
  <c r="M40" i="542" s="1"/>
  <c r="J40" i="542" a="1"/>
  <c r="J40" i="542" s="1"/>
  <c r="H40" i="542"/>
  <c r="V39" i="542"/>
  <c r="W39" i="542" s="1"/>
  <c r="N39" i="542"/>
  <c r="K39" i="542" a="1"/>
  <c r="K39" i="542" s="1"/>
  <c r="M39" i="542" s="1"/>
  <c r="J39" i="542" a="1"/>
  <c r="J39" i="542" s="1"/>
  <c r="H39" i="542"/>
  <c r="V38" i="542"/>
  <c r="W38" i="542" s="1"/>
  <c r="N38" i="542"/>
  <c r="K38" i="542"/>
  <c r="M38" i="542" s="1"/>
  <c r="K38" i="542" a="1"/>
  <c r="J38" i="542"/>
  <c r="J38" i="542" a="1"/>
  <c r="H38" i="542"/>
  <c r="V37" i="542"/>
  <c r="W37" i="542" s="1"/>
  <c r="N37" i="542"/>
  <c r="K37" i="542" a="1"/>
  <c r="K37" i="542" s="1"/>
  <c r="M37" i="542" s="1"/>
  <c r="J37" i="542" a="1"/>
  <c r="J37" i="542" s="1"/>
  <c r="H37" i="542"/>
  <c r="H36" i="542"/>
  <c r="H35" i="542"/>
  <c r="H34" i="542"/>
  <c r="V33" i="542"/>
  <c r="W33" i="542" s="1"/>
  <c r="N33" i="542"/>
  <c r="K33" i="542" a="1"/>
  <c r="K33" i="542" s="1"/>
  <c r="M33" i="542" s="1"/>
  <c r="J33" i="542" a="1"/>
  <c r="J33" i="542" s="1"/>
  <c r="H33" i="542"/>
  <c r="V32" i="542"/>
  <c r="W32" i="542" s="1"/>
  <c r="N32" i="542"/>
  <c r="K32" i="542"/>
  <c r="M32" i="542" s="1"/>
  <c r="K32" i="542" a="1"/>
  <c r="J32" i="542"/>
  <c r="J32" i="542" a="1"/>
  <c r="H32" i="542"/>
  <c r="V31" i="542"/>
  <c r="W31" i="542" s="1"/>
  <c r="N31" i="542"/>
  <c r="K31" i="542" a="1"/>
  <c r="K31" i="542" s="1"/>
  <c r="M31" i="542" s="1"/>
  <c r="J31" i="542" a="1"/>
  <c r="J31" i="542" s="1"/>
  <c r="H31" i="542"/>
  <c r="K30" i="542" a="1"/>
  <c r="K30" i="542" s="1"/>
  <c r="H30" i="542"/>
  <c r="V29" i="542"/>
  <c r="N29" i="542"/>
  <c r="N86" i="542" s="1"/>
  <c r="K29" i="542" a="1"/>
  <c r="K29" i="542" s="1"/>
  <c r="J29" i="542" a="1"/>
  <c r="J29" i="542" s="1"/>
  <c r="H29" i="542"/>
  <c r="AA28" i="542"/>
  <c r="AA164" i="542" s="1"/>
  <c r="Z28" i="542"/>
  <c r="Z164" i="542" s="1"/>
  <c r="Y28" i="542"/>
  <c r="Y164" i="542" s="1"/>
  <c r="X28" i="542"/>
  <c r="X164" i="542" s="1"/>
  <c r="U28" i="542"/>
  <c r="U164" i="542" s="1"/>
  <c r="T28" i="542"/>
  <c r="T164" i="542" s="1"/>
  <c r="S28" i="542"/>
  <c r="S164" i="542" s="1"/>
  <c r="R28" i="542"/>
  <c r="R164" i="542" s="1"/>
  <c r="Q28" i="542"/>
  <c r="Q164" i="542" s="1"/>
  <c r="P28" i="542"/>
  <c r="X167" i="542" s="1"/>
  <c r="O28" i="542"/>
  <c r="O164" i="542" s="1"/>
  <c r="I28" i="542"/>
  <c r="I164" i="542" s="1"/>
  <c r="B172" i="542" s="1"/>
  <c r="G28" i="542"/>
  <c r="C524" i="542" s="1"/>
  <c r="V27" i="542"/>
  <c r="W27" i="542" s="1"/>
  <c r="N27" i="542"/>
  <c r="K27" i="542" a="1"/>
  <c r="K27" i="542" s="1"/>
  <c r="M27" i="542" s="1"/>
  <c r="J27" i="542" a="1"/>
  <c r="J27" i="542" s="1"/>
  <c r="H27" i="542"/>
  <c r="V26" i="542"/>
  <c r="W26" i="542" s="1"/>
  <c r="N26" i="542"/>
  <c r="K26" i="542"/>
  <c r="M26" i="542" s="1"/>
  <c r="K26" i="542" a="1"/>
  <c r="J26" i="542"/>
  <c r="J26" i="542" a="1"/>
  <c r="H26" i="542"/>
  <c r="K25" i="542" a="1"/>
  <c r="K25" i="542" s="1"/>
  <c r="M25" i="542" s="1"/>
  <c r="J25" i="542" a="1"/>
  <c r="J25" i="542" s="1"/>
  <c r="H25" i="542"/>
  <c r="K24" i="542"/>
  <c r="M24" i="542" s="1"/>
  <c r="K24" i="542" a="1"/>
  <c r="J24" i="542"/>
  <c r="J24" i="542" a="1"/>
  <c r="H24" i="542"/>
  <c r="K23" i="542" a="1"/>
  <c r="K23" i="542" s="1"/>
  <c r="M23" i="542" s="1"/>
  <c r="J23" i="542" a="1"/>
  <c r="J23" i="542" s="1"/>
  <c r="H23" i="542"/>
  <c r="K22" i="542" a="1"/>
  <c r="K22" i="542" s="1"/>
  <c r="M22" i="542" s="1"/>
  <c r="J22" i="542" a="1"/>
  <c r="J22" i="542" s="1"/>
  <c r="H22" i="542"/>
  <c r="V21" i="542"/>
  <c r="W21" i="542" s="1"/>
  <c r="N21" i="542"/>
  <c r="K21" i="542" a="1"/>
  <c r="K21" i="542" s="1"/>
  <c r="M21" i="542" s="1"/>
  <c r="J21" i="542" a="1"/>
  <c r="J21" i="542" s="1"/>
  <c r="H21" i="542"/>
  <c r="V20" i="542"/>
  <c r="W20" i="542" s="1"/>
  <c r="N20" i="542"/>
  <c r="K20" i="542" a="1"/>
  <c r="K20" i="542" s="1"/>
  <c r="M20" i="542" s="1"/>
  <c r="J20" i="542" a="1"/>
  <c r="J20" i="542" s="1"/>
  <c r="H20" i="542"/>
  <c r="V19" i="542"/>
  <c r="W19" i="542" s="1"/>
  <c r="N19" i="542"/>
  <c r="K19" i="542" a="1"/>
  <c r="K19" i="542" s="1"/>
  <c r="M19" i="542" s="1"/>
  <c r="H19" i="542"/>
  <c r="N18" i="542"/>
  <c r="K18" i="542" a="1"/>
  <c r="K18" i="542" s="1"/>
  <c r="M18" i="542" s="1"/>
  <c r="J18" i="542" a="1"/>
  <c r="J18" i="542" s="1"/>
  <c r="H18" i="542"/>
  <c r="N17" i="542"/>
  <c r="K17" i="542" a="1"/>
  <c r="K17" i="542" s="1"/>
  <c r="M17" i="542" s="1"/>
  <c r="J17" i="542" a="1"/>
  <c r="J17" i="542" s="1"/>
  <c r="H17" i="542"/>
  <c r="W16" i="542"/>
  <c r="V16" i="542"/>
  <c r="N16" i="542"/>
  <c r="K16" i="542" a="1"/>
  <c r="K16" i="542" s="1"/>
  <c r="M16" i="542" s="1"/>
  <c r="J16" i="542" a="1"/>
  <c r="J16" i="542" s="1"/>
  <c r="H16" i="542"/>
  <c r="V15" i="542"/>
  <c r="W15" i="542" s="1"/>
  <c r="N15" i="542"/>
  <c r="K15" i="542" a="1"/>
  <c r="K15" i="542" s="1"/>
  <c r="M15" i="542" s="1"/>
  <c r="J15" i="542" a="1"/>
  <c r="J15" i="542" s="1"/>
  <c r="H15" i="542"/>
  <c r="N14" i="542"/>
  <c r="K14" i="542"/>
  <c r="M14" i="542" s="1"/>
  <c r="K14" i="542" a="1"/>
  <c r="H14" i="542"/>
  <c r="N13" i="542"/>
  <c r="K13" i="542" a="1"/>
  <c r="K13" i="542" s="1"/>
  <c r="M13" i="542" s="1"/>
  <c r="H13" i="542"/>
  <c r="V12" i="542"/>
  <c r="W12" i="542" s="1"/>
  <c r="N12" i="542"/>
  <c r="K12" i="542" a="1"/>
  <c r="K12" i="542" s="1"/>
  <c r="M12" i="542" s="1"/>
  <c r="J12" i="542" a="1"/>
  <c r="J12" i="542" s="1"/>
  <c r="H12" i="542"/>
  <c r="V11" i="542"/>
  <c r="W11" i="542" s="1"/>
  <c r="N11" i="542"/>
  <c r="K11" i="542" a="1"/>
  <c r="K11" i="542" s="1"/>
  <c r="M11" i="542" s="1"/>
  <c r="J11" i="542" a="1"/>
  <c r="J11" i="542" s="1"/>
  <c r="H11" i="542"/>
  <c r="V10" i="542"/>
  <c r="W10" i="542" s="1"/>
  <c r="N10" i="542"/>
  <c r="K10" i="542"/>
  <c r="M10" i="542" s="1"/>
  <c r="K10" i="542" a="1"/>
  <c r="J10" i="542"/>
  <c r="J10" i="542" a="1"/>
  <c r="H10" i="542"/>
  <c r="V9" i="542"/>
  <c r="W9" i="542" s="1"/>
  <c r="N9" i="542"/>
  <c r="K9" i="542" a="1"/>
  <c r="K9" i="542" s="1"/>
  <c r="M9" i="542" s="1"/>
  <c r="J9" i="542" a="1"/>
  <c r="J9" i="542" s="1"/>
  <c r="H9" i="542"/>
  <c r="V8" i="542"/>
  <c r="W8" i="542" s="1"/>
  <c r="N8" i="542"/>
  <c r="K8" i="542" a="1"/>
  <c r="K8" i="542" s="1"/>
  <c r="M8" i="542" s="1"/>
  <c r="J8" i="542" a="1"/>
  <c r="J8" i="542" s="1"/>
  <c r="H8" i="542"/>
  <c r="V7" i="542"/>
  <c r="N7" i="542"/>
  <c r="K7" i="542" a="1"/>
  <c r="K7" i="542" s="1"/>
  <c r="J7" i="542" a="1"/>
  <c r="J7" i="542" s="1"/>
  <c r="H7" i="542"/>
  <c r="P536" i="541"/>
  <c r="O536" i="541"/>
  <c r="N536" i="541"/>
  <c r="M536" i="541"/>
  <c r="L536" i="541"/>
  <c r="K536" i="541"/>
  <c r="I536" i="541"/>
  <c r="H536" i="541"/>
  <c r="G536" i="541"/>
  <c r="F536" i="541"/>
  <c r="E536" i="541"/>
  <c r="G517" i="541"/>
  <c r="N517" i="541" s="1"/>
  <c r="X515" i="541"/>
  <c r="X514" i="541"/>
  <c r="X513" i="541"/>
  <c r="G513" i="541"/>
  <c r="C513" i="541"/>
  <c r="X512" i="541"/>
  <c r="I512" i="541"/>
  <c r="E512" i="541"/>
  <c r="K512" i="541" s="1"/>
  <c r="M512" i="541" s="1"/>
  <c r="X511" i="541"/>
  <c r="I511" i="541"/>
  <c r="E511" i="541"/>
  <c r="K511" i="541" s="1"/>
  <c r="M511" i="541" s="1"/>
  <c r="I510" i="541"/>
  <c r="E510" i="541"/>
  <c r="K510" i="541" s="1"/>
  <c r="M510" i="541" s="1"/>
  <c r="I509" i="541"/>
  <c r="I513" i="541" s="1"/>
  <c r="E509" i="541"/>
  <c r="E513" i="541" s="1"/>
  <c r="AA506" i="541"/>
  <c r="Z506" i="541"/>
  <c r="Y506" i="541"/>
  <c r="X506" i="541"/>
  <c r="U506" i="541"/>
  <c r="T506" i="541"/>
  <c r="S506" i="541"/>
  <c r="R506" i="541"/>
  <c r="Q506" i="541"/>
  <c r="P506" i="541"/>
  <c r="O506" i="541"/>
  <c r="R514" i="541" s="1"/>
  <c r="I506" i="541"/>
  <c r="G506" i="541"/>
  <c r="J506" i="541" s="1" a="1"/>
  <c r="J506" i="541" s="1"/>
  <c r="H505" i="541"/>
  <c r="H504" i="541"/>
  <c r="H503" i="541"/>
  <c r="D502" i="541"/>
  <c r="H502" i="541" s="1"/>
  <c r="V501" i="541"/>
  <c r="W501" i="541" s="1"/>
  <c r="N501" i="541"/>
  <c r="K501" i="541" a="1"/>
  <c r="K501" i="541" s="1"/>
  <c r="M501" i="541" s="1"/>
  <c r="J501" i="541" a="1"/>
  <c r="J501" i="541" s="1"/>
  <c r="H501" i="541"/>
  <c r="H500" i="541"/>
  <c r="H499" i="541"/>
  <c r="V498" i="541"/>
  <c r="W498" i="541" s="1"/>
  <c r="N498" i="541"/>
  <c r="K498" i="541"/>
  <c r="M498" i="541" s="1"/>
  <c r="K498" i="541" a="1"/>
  <c r="J498" i="541"/>
  <c r="J498" i="541" a="1"/>
  <c r="H498" i="541"/>
  <c r="V497" i="541"/>
  <c r="W497" i="541" s="1"/>
  <c r="N497" i="541"/>
  <c r="K497" i="541" a="1"/>
  <c r="K497" i="541" s="1"/>
  <c r="M497" i="541" s="1"/>
  <c r="J497" i="541" a="1"/>
  <c r="J497" i="541" s="1"/>
  <c r="H497" i="541"/>
  <c r="H496" i="541"/>
  <c r="H495" i="541"/>
  <c r="V494" i="541"/>
  <c r="W494" i="541" s="1"/>
  <c r="N494" i="541"/>
  <c r="K494" i="541" a="1"/>
  <c r="K494" i="541" s="1"/>
  <c r="M494" i="541" s="1"/>
  <c r="J494" i="541" a="1"/>
  <c r="J494" i="541" s="1"/>
  <c r="H494" i="541"/>
  <c r="V493" i="541"/>
  <c r="W493" i="541" s="1"/>
  <c r="N493" i="541"/>
  <c r="K493" i="541" a="1"/>
  <c r="K493" i="541" s="1"/>
  <c r="M493" i="541" s="1"/>
  <c r="J493" i="541" a="1"/>
  <c r="J493" i="541" s="1"/>
  <c r="H493" i="541"/>
  <c r="V492" i="541"/>
  <c r="W492" i="541" s="1"/>
  <c r="N492" i="541"/>
  <c r="K492" i="541"/>
  <c r="M492" i="541" s="1"/>
  <c r="K492" i="541" a="1"/>
  <c r="J492" i="541"/>
  <c r="J492" i="541" a="1"/>
  <c r="H492" i="541"/>
  <c r="V491" i="541"/>
  <c r="N491" i="541"/>
  <c r="N506" i="541" s="1"/>
  <c r="K491" i="541" a="1"/>
  <c r="K491" i="541" s="1"/>
  <c r="J491" i="541" a="1"/>
  <c r="J491" i="541" s="1"/>
  <c r="H491" i="541"/>
  <c r="H506" i="541" s="1"/>
  <c r="AA490" i="541"/>
  <c r="Z490" i="541"/>
  <c r="Y490" i="541"/>
  <c r="X490" i="541"/>
  <c r="U490" i="541"/>
  <c r="T490" i="541"/>
  <c r="S490" i="541"/>
  <c r="Q490" i="541"/>
  <c r="P490" i="541"/>
  <c r="O490" i="541"/>
  <c r="I490" i="541"/>
  <c r="G490" i="541"/>
  <c r="J490" i="541" s="1" a="1"/>
  <c r="J490" i="541" s="1"/>
  <c r="V489" i="541"/>
  <c r="W489" i="541" s="1"/>
  <c r="N489" i="541"/>
  <c r="K489" i="541" a="1"/>
  <c r="K489" i="541" s="1"/>
  <c r="M489" i="541" s="1"/>
  <c r="J489" i="541" a="1"/>
  <c r="J489" i="541" s="1"/>
  <c r="H489" i="541"/>
  <c r="H487" i="541"/>
  <c r="H486" i="541"/>
  <c r="H485" i="541"/>
  <c r="V484" i="541"/>
  <c r="W484" i="541" s="1"/>
  <c r="N484" i="541"/>
  <c r="K484" i="541" a="1"/>
  <c r="K484" i="541" s="1"/>
  <c r="M484" i="541" s="1"/>
  <c r="J484" i="541" a="1"/>
  <c r="J484" i="541" s="1"/>
  <c r="H484" i="541"/>
  <c r="V483" i="541"/>
  <c r="W483" i="541" s="1"/>
  <c r="N483" i="541"/>
  <c r="K483" i="541" a="1"/>
  <c r="K483" i="541" s="1"/>
  <c r="M483" i="541" s="1"/>
  <c r="J483" i="541" a="1"/>
  <c r="J483" i="541" s="1"/>
  <c r="H483" i="541"/>
  <c r="V482" i="541"/>
  <c r="W482" i="541" s="1"/>
  <c r="N482" i="541"/>
  <c r="K482" i="541"/>
  <c r="M482" i="541" s="1"/>
  <c r="K482" i="541" a="1"/>
  <c r="J482" i="541"/>
  <c r="J482" i="541" a="1"/>
  <c r="H482" i="541"/>
  <c r="V481" i="541"/>
  <c r="W481" i="541" s="1"/>
  <c r="N481" i="541"/>
  <c r="K481" i="541" a="1"/>
  <c r="K481" i="541" s="1"/>
  <c r="M481" i="541" s="1"/>
  <c r="J481" i="541" a="1"/>
  <c r="J481" i="541" s="1"/>
  <c r="H481" i="541"/>
  <c r="V480" i="541"/>
  <c r="V490" i="541" s="1"/>
  <c r="W490" i="541" s="1"/>
  <c r="N480" i="541"/>
  <c r="N490" i="541" s="1"/>
  <c r="K480" i="541" a="1"/>
  <c r="K480" i="541" s="1"/>
  <c r="M480" i="541" s="1"/>
  <c r="J480" i="541" a="1"/>
  <c r="J480" i="541" s="1"/>
  <c r="H480" i="541"/>
  <c r="H490" i="541" s="1"/>
  <c r="AA479" i="541"/>
  <c r="Z479" i="541"/>
  <c r="Y479" i="541"/>
  <c r="X479" i="541"/>
  <c r="U479" i="541"/>
  <c r="T479" i="541"/>
  <c r="S479" i="541"/>
  <c r="Q479" i="541"/>
  <c r="P479" i="541"/>
  <c r="O479" i="541"/>
  <c r="R512" i="541" s="1"/>
  <c r="I479" i="541"/>
  <c r="G479" i="541"/>
  <c r="J479" i="541" s="1" a="1"/>
  <c r="J479" i="541" s="1"/>
  <c r="V478" i="541"/>
  <c r="W478" i="541" s="1"/>
  <c r="N478" i="541"/>
  <c r="K478" i="541" a="1"/>
  <c r="K478" i="541" s="1"/>
  <c r="M478" i="541" s="1"/>
  <c r="J478" i="541" a="1"/>
  <c r="J478" i="541" s="1"/>
  <c r="H478" i="541"/>
  <c r="V477" i="541"/>
  <c r="W477" i="541" s="1"/>
  <c r="N477" i="541"/>
  <c r="K477" i="541"/>
  <c r="M477" i="541" s="1"/>
  <c r="K477" i="541" a="1"/>
  <c r="J477" i="541"/>
  <c r="J477" i="541" a="1"/>
  <c r="H477" i="541"/>
  <c r="V476" i="541"/>
  <c r="W476" i="541" s="1"/>
  <c r="N476" i="541"/>
  <c r="K476" i="541" a="1"/>
  <c r="K476" i="541" s="1"/>
  <c r="M476" i="541" s="1"/>
  <c r="J476" i="541" a="1"/>
  <c r="J476" i="541" s="1"/>
  <c r="H476" i="541"/>
  <c r="V475" i="541"/>
  <c r="W475" i="541" s="1"/>
  <c r="N475" i="541"/>
  <c r="K475" i="541"/>
  <c r="M475" i="541" s="1"/>
  <c r="K475" i="541" a="1"/>
  <c r="J475" i="541"/>
  <c r="J475" i="541" a="1"/>
  <c r="H475" i="541"/>
  <c r="V474" i="541"/>
  <c r="W474" i="541" s="1"/>
  <c r="N474" i="541"/>
  <c r="K474" i="541" a="1"/>
  <c r="K474" i="541" s="1"/>
  <c r="M474" i="541" s="1"/>
  <c r="J474" i="541" a="1"/>
  <c r="J474" i="541" s="1"/>
  <c r="H474" i="541"/>
  <c r="V473" i="541"/>
  <c r="W473" i="541" s="1"/>
  <c r="N473" i="541"/>
  <c r="K473" i="541" a="1"/>
  <c r="K473" i="541" s="1"/>
  <c r="M473" i="541" s="1"/>
  <c r="J473" i="541" a="1"/>
  <c r="J473" i="541" s="1"/>
  <c r="H473" i="541"/>
  <c r="V472" i="541"/>
  <c r="W472" i="541" s="1"/>
  <c r="N472" i="541"/>
  <c r="M472" i="541"/>
  <c r="K472" i="541" a="1"/>
  <c r="K472" i="541" s="1"/>
  <c r="J472" i="541" a="1"/>
  <c r="J472" i="541" s="1"/>
  <c r="H472" i="541"/>
  <c r="V471" i="541"/>
  <c r="W471" i="541" s="1"/>
  <c r="N471" i="541"/>
  <c r="K471" i="541" a="1"/>
  <c r="K471" i="541" s="1"/>
  <c r="M471" i="541" s="1"/>
  <c r="J471" i="541" a="1"/>
  <c r="J471" i="541" s="1"/>
  <c r="H471" i="541"/>
  <c r="V470" i="541"/>
  <c r="W470" i="541" s="1"/>
  <c r="N470" i="541"/>
  <c r="M470" i="541"/>
  <c r="K470" i="541" a="1"/>
  <c r="K470" i="541" s="1"/>
  <c r="J470" i="541" a="1"/>
  <c r="J470" i="541" s="1"/>
  <c r="H470" i="541"/>
  <c r="V469" i="541"/>
  <c r="W469" i="541" s="1"/>
  <c r="N469" i="541"/>
  <c r="K469" i="541" a="1"/>
  <c r="K469" i="541" s="1"/>
  <c r="M469" i="541" s="1"/>
  <c r="J469" i="541" a="1"/>
  <c r="J469" i="541" s="1"/>
  <c r="H469" i="541"/>
  <c r="V468" i="541"/>
  <c r="W468" i="541" s="1"/>
  <c r="N468" i="541"/>
  <c r="M468" i="541"/>
  <c r="K468" i="541" a="1"/>
  <c r="K468" i="541" s="1"/>
  <c r="J468" i="541" a="1"/>
  <c r="J468" i="541" s="1"/>
  <c r="H468" i="541"/>
  <c r="V467" i="541"/>
  <c r="W467" i="541" s="1"/>
  <c r="N467" i="541"/>
  <c r="K467" i="541" a="1"/>
  <c r="K467" i="541" s="1"/>
  <c r="M467" i="541" s="1"/>
  <c r="J467" i="541" a="1"/>
  <c r="J467" i="541" s="1"/>
  <c r="H467" i="541"/>
  <c r="V466" i="541"/>
  <c r="W466" i="541" s="1"/>
  <c r="N466" i="541"/>
  <c r="M466" i="541"/>
  <c r="K466" i="541" a="1"/>
  <c r="K466" i="541" s="1"/>
  <c r="J466" i="541" a="1"/>
  <c r="J466" i="541" s="1"/>
  <c r="H466" i="541"/>
  <c r="V465" i="541"/>
  <c r="W465" i="541" s="1"/>
  <c r="N465" i="541"/>
  <c r="K465" i="541" a="1"/>
  <c r="K465" i="541" s="1"/>
  <c r="M465" i="541" s="1"/>
  <c r="J465" i="541" a="1"/>
  <c r="J465" i="541" s="1"/>
  <c r="H465" i="541"/>
  <c r="V464" i="541"/>
  <c r="N464" i="541"/>
  <c r="M464" i="541"/>
  <c r="K464" i="541" a="1"/>
  <c r="K464" i="541" s="1"/>
  <c r="J464" i="541" a="1"/>
  <c r="J464" i="541" s="1"/>
  <c r="H464" i="541"/>
  <c r="H479" i="541" s="1"/>
  <c r="AA463" i="541"/>
  <c r="Z463" i="541"/>
  <c r="Y463" i="541"/>
  <c r="X463" i="541"/>
  <c r="U463" i="541"/>
  <c r="T463" i="541"/>
  <c r="S463" i="541"/>
  <c r="R463" i="541"/>
  <c r="Q463" i="541"/>
  <c r="P463" i="541"/>
  <c r="O463" i="541"/>
  <c r="R511" i="541" s="1"/>
  <c r="I463" i="541"/>
  <c r="G463" i="541"/>
  <c r="V462" i="541"/>
  <c r="W462" i="541" s="1"/>
  <c r="N462" i="541"/>
  <c r="K462" i="541" a="1"/>
  <c r="K462" i="541" s="1"/>
  <c r="M462" i="541" s="1"/>
  <c r="J462" i="541" a="1"/>
  <c r="J462" i="541" s="1"/>
  <c r="H462" i="541"/>
  <c r="V461" i="541"/>
  <c r="W461" i="541" s="1"/>
  <c r="N461" i="541"/>
  <c r="K461" i="541"/>
  <c r="M461" i="541" s="1"/>
  <c r="K461" i="541" a="1"/>
  <c r="J461" i="541"/>
  <c r="J461" i="541" a="1"/>
  <c r="H461" i="541"/>
  <c r="V460" i="541"/>
  <c r="W460" i="541" s="1"/>
  <c r="N460" i="541"/>
  <c r="K460" i="541" a="1"/>
  <c r="K460" i="541" s="1"/>
  <c r="M460" i="541" s="1"/>
  <c r="J460" i="541" a="1"/>
  <c r="J460" i="541" s="1"/>
  <c r="H460" i="541"/>
  <c r="K459" i="541" a="1"/>
  <c r="K459" i="541" s="1"/>
  <c r="M459" i="541" s="1"/>
  <c r="H459" i="541"/>
  <c r="K458" i="541" a="1"/>
  <c r="K458" i="541" s="1"/>
  <c r="M458" i="541" s="1"/>
  <c r="H458" i="541"/>
  <c r="K457" i="541" a="1"/>
  <c r="K457" i="541" s="1"/>
  <c r="M457" i="541" s="1"/>
  <c r="H457" i="541"/>
  <c r="V456" i="541"/>
  <c r="W456" i="541" s="1"/>
  <c r="N456" i="541"/>
  <c r="K456" i="541" a="1"/>
  <c r="K456" i="541" s="1"/>
  <c r="M456" i="541" s="1"/>
  <c r="J456" i="541" a="1"/>
  <c r="J456" i="541" s="1"/>
  <c r="H456" i="541"/>
  <c r="V455" i="541"/>
  <c r="W455" i="541" s="1"/>
  <c r="N455" i="541"/>
  <c r="K455" i="541" a="1"/>
  <c r="K455" i="541" s="1"/>
  <c r="M455" i="541" s="1"/>
  <c r="J455" i="541" a="1"/>
  <c r="J455" i="541" s="1"/>
  <c r="H455" i="541"/>
  <c r="N454" i="541"/>
  <c r="K454" i="541"/>
  <c r="M454" i="541" s="1"/>
  <c r="K454" i="541" a="1"/>
  <c r="H454" i="541"/>
  <c r="N453" i="541"/>
  <c r="K453" i="541" a="1"/>
  <c r="K453" i="541" s="1"/>
  <c r="M453" i="541" s="1"/>
  <c r="H453" i="541"/>
  <c r="N452" i="541"/>
  <c r="K452" i="541" a="1"/>
  <c r="K452" i="541" s="1"/>
  <c r="M452" i="541" s="1"/>
  <c r="H452" i="541"/>
  <c r="N451" i="541"/>
  <c r="K451" i="541" a="1"/>
  <c r="K451" i="541" s="1"/>
  <c r="M451" i="541" s="1"/>
  <c r="H451" i="541"/>
  <c r="N450" i="541"/>
  <c r="K450" i="541"/>
  <c r="M450" i="541" s="1"/>
  <c r="K450" i="541" a="1"/>
  <c r="H450" i="541"/>
  <c r="N449" i="541"/>
  <c r="K449" i="541" a="1"/>
  <c r="K449" i="541" s="1"/>
  <c r="M449" i="541" s="1"/>
  <c r="H449" i="541"/>
  <c r="W448" i="541"/>
  <c r="V448" i="541"/>
  <c r="N448" i="541"/>
  <c r="K448" i="541" a="1"/>
  <c r="K448" i="541" s="1"/>
  <c r="M448" i="541" s="1"/>
  <c r="J448" i="541" a="1"/>
  <c r="J448" i="541" s="1"/>
  <c r="H448" i="541"/>
  <c r="V447" i="541"/>
  <c r="W447" i="541" s="1"/>
  <c r="N447" i="541"/>
  <c r="K447" i="541" a="1"/>
  <c r="K447" i="541" s="1"/>
  <c r="M447" i="541" s="1"/>
  <c r="J447" i="541" a="1"/>
  <c r="J447" i="541" s="1"/>
  <c r="H447" i="541"/>
  <c r="V446" i="541"/>
  <c r="W446" i="541" s="1"/>
  <c r="N446" i="541"/>
  <c r="K446" i="541"/>
  <c r="M446" i="541" s="1"/>
  <c r="K446" i="541" a="1"/>
  <c r="J446" i="541"/>
  <c r="J446" i="541" a="1"/>
  <c r="H446" i="541"/>
  <c r="V445" i="541"/>
  <c r="W445" i="541" s="1"/>
  <c r="N445" i="541"/>
  <c r="K445" i="541" a="1"/>
  <c r="K445" i="541" s="1"/>
  <c r="M445" i="541" s="1"/>
  <c r="J445" i="541" a="1"/>
  <c r="J445" i="541" s="1"/>
  <c r="H445" i="541"/>
  <c r="V444" i="541"/>
  <c r="W444" i="541" s="1"/>
  <c r="N444" i="541"/>
  <c r="K444" i="541" a="1"/>
  <c r="K444" i="541" s="1"/>
  <c r="M444" i="541" s="1"/>
  <c r="J444" i="541" a="1"/>
  <c r="J444" i="541" s="1"/>
  <c r="H444" i="541"/>
  <c r="V443" i="541"/>
  <c r="W443" i="541" s="1"/>
  <c r="N443" i="541"/>
  <c r="K443" i="541" a="1"/>
  <c r="K443" i="541" s="1"/>
  <c r="M443" i="541" s="1"/>
  <c r="J443" i="541" a="1"/>
  <c r="J443" i="541" s="1"/>
  <c r="H443" i="541"/>
  <c r="V442" i="541"/>
  <c r="W442" i="541" s="1"/>
  <c r="N442" i="541"/>
  <c r="K442" i="541"/>
  <c r="M442" i="541" s="1"/>
  <c r="K442" i="541" a="1"/>
  <c r="J442" i="541"/>
  <c r="J442" i="541" a="1"/>
  <c r="H442" i="541"/>
  <c r="V441" i="541"/>
  <c r="W441" i="541" s="1"/>
  <c r="N441" i="541"/>
  <c r="K441" i="541" a="1"/>
  <c r="K441" i="541" s="1"/>
  <c r="M441" i="541" s="1"/>
  <c r="J441" i="541" a="1"/>
  <c r="J441" i="541" s="1"/>
  <c r="H441" i="541"/>
  <c r="W440" i="541"/>
  <c r="V440" i="541"/>
  <c r="N440" i="541"/>
  <c r="K440" i="541" a="1"/>
  <c r="K440" i="541" s="1"/>
  <c r="M440" i="541" s="1"/>
  <c r="J440" i="541" a="1"/>
  <c r="J440" i="541" s="1"/>
  <c r="H440" i="541"/>
  <c r="V439" i="541"/>
  <c r="W439" i="541" s="1"/>
  <c r="N439" i="541"/>
  <c r="K439" i="541" a="1"/>
  <c r="K439" i="541" s="1"/>
  <c r="M439" i="541" s="1"/>
  <c r="J439" i="541" a="1"/>
  <c r="J439" i="541" s="1"/>
  <c r="H439" i="541"/>
  <c r="V438" i="541"/>
  <c r="W438" i="541" s="1"/>
  <c r="N438" i="541"/>
  <c r="K438" i="541"/>
  <c r="M438" i="541" s="1"/>
  <c r="K438" i="541" a="1"/>
  <c r="J438" i="541"/>
  <c r="J438" i="541" a="1"/>
  <c r="H438" i="541"/>
  <c r="V437" i="541"/>
  <c r="W437" i="541" s="1"/>
  <c r="N437" i="541"/>
  <c r="K437" i="541" a="1"/>
  <c r="K437" i="541" s="1"/>
  <c r="M437" i="541" s="1"/>
  <c r="J437" i="541" a="1"/>
  <c r="J437" i="541" s="1"/>
  <c r="H437" i="541"/>
  <c r="N436" i="541"/>
  <c r="K436" i="541" a="1"/>
  <c r="K436" i="541" s="1"/>
  <c r="M436" i="541" s="1"/>
  <c r="H436" i="541"/>
  <c r="V435" i="541"/>
  <c r="W435" i="541" s="1"/>
  <c r="N435" i="541"/>
  <c r="K435" i="541" a="1"/>
  <c r="K435" i="541" s="1"/>
  <c r="M435" i="541" s="1"/>
  <c r="J435" i="541" a="1"/>
  <c r="J435" i="541" s="1"/>
  <c r="H435" i="541"/>
  <c r="V434" i="541"/>
  <c r="W434" i="541" s="1"/>
  <c r="N434" i="541"/>
  <c r="K434" i="541" a="1"/>
  <c r="K434" i="541" s="1"/>
  <c r="M434" i="541" s="1"/>
  <c r="J434" i="541" a="1"/>
  <c r="J434" i="541" s="1"/>
  <c r="H434" i="541"/>
  <c r="V433" i="541"/>
  <c r="W433" i="541" s="1"/>
  <c r="N433" i="541"/>
  <c r="K433" i="541" a="1"/>
  <c r="K433" i="541" s="1"/>
  <c r="M433" i="541" s="1"/>
  <c r="J433" i="541" a="1"/>
  <c r="J433" i="541" s="1"/>
  <c r="H433" i="541"/>
  <c r="V432" i="541"/>
  <c r="W432" i="541" s="1"/>
  <c r="N432" i="541"/>
  <c r="K432" i="541" a="1"/>
  <c r="K432" i="541" s="1"/>
  <c r="M432" i="541" s="1"/>
  <c r="J432" i="541" a="1"/>
  <c r="J432" i="541" s="1"/>
  <c r="H432" i="541"/>
  <c r="V431" i="541"/>
  <c r="W431" i="541" s="1"/>
  <c r="N431" i="541"/>
  <c r="K431" i="541" a="1"/>
  <c r="K431" i="541" s="1"/>
  <c r="M431" i="541" s="1"/>
  <c r="J431" i="541" a="1"/>
  <c r="J431" i="541" s="1"/>
  <c r="H431" i="541"/>
  <c r="V430" i="541"/>
  <c r="W430" i="541" s="1"/>
  <c r="N430" i="541"/>
  <c r="K430" i="541"/>
  <c r="M430" i="541" s="1"/>
  <c r="K430" i="541" a="1"/>
  <c r="J430" i="541"/>
  <c r="J430" i="541" a="1"/>
  <c r="H430" i="541"/>
  <c r="V429" i="541"/>
  <c r="N429" i="541"/>
  <c r="K429" i="541" a="1"/>
  <c r="K429" i="541" s="1"/>
  <c r="J429" i="541" a="1"/>
  <c r="J429" i="541" s="1"/>
  <c r="H429" i="541"/>
  <c r="AA428" i="541"/>
  <c r="Z428" i="541"/>
  <c r="Y428" i="541"/>
  <c r="X428" i="541"/>
  <c r="U428" i="541"/>
  <c r="T428" i="541"/>
  <c r="S428" i="541"/>
  <c r="R428" i="541"/>
  <c r="Q428" i="541"/>
  <c r="P428" i="541"/>
  <c r="O428" i="541"/>
  <c r="R510" i="541" s="1"/>
  <c r="I428" i="541"/>
  <c r="G428" i="541"/>
  <c r="J428" i="541" s="1" a="1"/>
  <c r="J428" i="541" s="1"/>
  <c r="K427" i="541" a="1"/>
  <c r="K427" i="541" s="1"/>
  <c r="M427" i="541" s="1"/>
  <c r="H427" i="541"/>
  <c r="K426" i="541"/>
  <c r="M426" i="541" s="1"/>
  <c r="K426" i="541" a="1"/>
  <c r="H426" i="541"/>
  <c r="K425" i="541" a="1"/>
  <c r="K425" i="541" s="1"/>
  <c r="M425" i="541" s="1"/>
  <c r="H425" i="541"/>
  <c r="K424" i="541"/>
  <c r="M424" i="541" s="1"/>
  <c r="K424" i="541" a="1"/>
  <c r="H424" i="541"/>
  <c r="K423" i="541" a="1"/>
  <c r="K423" i="541" s="1"/>
  <c r="M423" i="541" s="1"/>
  <c r="H423" i="541"/>
  <c r="K422" i="541"/>
  <c r="M422" i="541" s="1"/>
  <c r="K422" i="541" a="1"/>
  <c r="H422" i="541"/>
  <c r="K421" i="541" a="1"/>
  <c r="K421" i="541" s="1"/>
  <c r="M421" i="541" s="1"/>
  <c r="H421" i="541"/>
  <c r="K420" i="541"/>
  <c r="M420" i="541" s="1"/>
  <c r="K420" i="541" a="1"/>
  <c r="H420" i="541"/>
  <c r="K419" i="541" a="1"/>
  <c r="K419" i="541" s="1"/>
  <c r="M419" i="541" s="1"/>
  <c r="H419" i="541"/>
  <c r="K418" i="541"/>
  <c r="M418" i="541" s="1"/>
  <c r="K418" i="541" a="1"/>
  <c r="H418" i="541"/>
  <c r="V417" i="541"/>
  <c r="W417" i="541" s="1"/>
  <c r="N417" i="541"/>
  <c r="K417" i="541" a="1"/>
  <c r="K417" i="541" s="1"/>
  <c r="M417" i="541" s="1"/>
  <c r="J417" i="541" a="1"/>
  <c r="J417" i="541" s="1"/>
  <c r="H417" i="541"/>
  <c r="V416" i="541"/>
  <c r="W416" i="541" s="1"/>
  <c r="N416" i="541"/>
  <c r="K416" i="541"/>
  <c r="M416" i="541" s="1"/>
  <c r="K416" i="541" a="1"/>
  <c r="J416" i="541"/>
  <c r="J416" i="541" a="1"/>
  <c r="H416" i="541"/>
  <c r="V415" i="541"/>
  <c r="W415" i="541" s="1"/>
  <c r="N415" i="541"/>
  <c r="K415" i="541" a="1"/>
  <c r="K415" i="541" s="1"/>
  <c r="M415" i="541" s="1"/>
  <c r="J415" i="541" a="1"/>
  <c r="J415" i="541" s="1"/>
  <c r="H415" i="541"/>
  <c r="V414" i="541"/>
  <c r="W414" i="541" s="1"/>
  <c r="N414" i="541"/>
  <c r="K414" i="541" a="1"/>
  <c r="K414" i="541" s="1"/>
  <c r="M414" i="541" s="1"/>
  <c r="J414" i="541" a="1"/>
  <c r="J414" i="541" s="1"/>
  <c r="H414" i="541"/>
  <c r="H413" i="541"/>
  <c r="V412" i="541"/>
  <c r="W412" i="541" s="1"/>
  <c r="N412" i="541"/>
  <c r="K412" i="541"/>
  <c r="M412" i="541" s="1"/>
  <c r="K412" i="541" a="1"/>
  <c r="J412" i="541"/>
  <c r="J412" i="541" a="1"/>
  <c r="H412" i="541"/>
  <c r="V411" i="541"/>
  <c r="W411" i="541" s="1"/>
  <c r="N411" i="541"/>
  <c r="K411" i="541" a="1"/>
  <c r="K411" i="541" s="1"/>
  <c r="M411" i="541" s="1"/>
  <c r="J411" i="541" a="1"/>
  <c r="J411" i="541" s="1"/>
  <c r="H411" i="541"/>
  <c r="H410" i="541"/>
  <c r="K409" i="541" a="1"/>
  <c r="K409" i="541" s="1"/>
  <c r="H409" i="541"/>
  <c r="V408" i="541"/>
  <c r="W408" i="541" s="1"/>
  <c r="N408" i="541"/>
  <c r="K408" i="541"/>
  <c r="M408" i="541" s="1"/>
  <c r="K408" i="541" a="1"/>
  <c r="J408" i="541"/>
  <c r="J408" i="541" a="1"/>
  <c r="H408" i="541"/>
  <c r="V407" i="541"/>
  <c r="W407" i="541" s="1"/>
  <c r="N407" i="541"/>
  <c r="K407" i="541" a="1"/>
  <c r="K407" i="541" s="1"/>
  <c r="M407" i="541" s="1"/>
  <c r="J407" i="541" a="1"/>
  <c r="J407" i="541" s="1"/>
  <c r="H407" i="541"/>
  <c r="V406" i="541"/>
  <c r="W406" i="541" s="1"/>
  <c r="N406" i="541"/>
  <c r="K406" i="541" a="1"/>
  <c r="K406" i="541" s="1"/>
  <c r="M406" i="541" s="1"/>
  <c r="J406" i="541" a="1"/>
  <c r="J406" i="541" s="1"/>
  <c r="H406" i="541"/>
  <c r="V405" i="541"/>
  <c r="W405" i="541" s="1"/>
  <c r="N405" i="541"/>
  <c r="K405" i="541" a="1"/>
  <c r="K405" i="541" s="1"/>
  <c r="M405" i="541" s="1"/>
  <c r="J405" i="541" a="1"/>
  <c r="J405" i="541" s="1"/>
  <c r="H405" i="541"/>
  <c r="V404" i="541"/>
  <c r="W404" i="541" s="1"/>
  <c r="N404" i="541"/>
  <c r="K404" i="541"/>
  <c r="M404" i="541" s="1"/>
  <c r="K404" i="541" a="1"/>
  <c r="J404" i="541"/>
  <c r="J404" i="541" a="1"/>
  <c r="H404" i="541"/>
  <c r="V403" i="541"/>
  <c r="W403" i="541" s="1"/>
  <c r="N403" i="541"/>
  <c r="K403" i="541" a="1"/>
  <c r="K403" i="541" s="1"/>
  <c r="M403" i="541" s="1"/>
  <c r="J403" i="541" a="1"/>
  <c r="J403" i="541" s="1"/>
  <c r="H403" i="541"/>
  <c r="W402" i="541"/>
  <c r="V402" i="541"/>
  <c r="N402" i="541"/>
  <c r="K402" i="541" a="1"/>
  <c r="K402" i="541" s="1"/>
  <c r="M402" i="541" s="1"/>
  <c r="J402" i="541" a="1"/>
  <c r="J402" i="541" s="1"/>
  <c r="H402" i="541"/>
  <c r="V401" i="541"/>
  <c r="W401" i="541" s="1"/>
  <c r="N401" i="541"/>
  <c r="K401" i="541" a="1"/>
  <c r="K401" i="541" s="1"/>
  <c r="M401" i="541" s="1"/>
  <c r="J401" i="541" a="1"/>
  <c r="J401" i="541" s="1"/>
  <c r="H401" i="541"/>
  <c r="V400" i="541"/>
  <c r="W400" i="541" s="1"/>
  <c r="N400" i="541"/>
  <c r="K400" i="541"/>
  <c r="M400" i="541" s="1"/>
  <c r="K400" i="541" a="1"/>
  <c r="J400" i="541"/>
  <c r="J400" i="541" a="1"/>
  <c r="H400" i="541"/>
  <c r="V399" i="541"/>
  <c r="W399" i="541" s="1"/>
  <c r="N399" i="541"/>
  <c r="K399" i="541" a="1"/>
  <c r="K399" i="541" s="1"/>
  <c r="M399" i="541" s="1"/>
  <c r="J399" i="541" a="1"/>
  <c r="J399" i="541" s="1"/>
  <c r="H399" i="541"/>
  <c r="K398" i="541" a="1"/>
  <c r="K398" i="541" s="1"/>
  <c r="M398" i="541" s="1"/>
  <c r="H398" i="541"/>
  <c r="K397" i="541" a="1"/>
  <c r="K397" i="541" s="1"/>
  <c r="M397" i="541" s="1"/>
  <c r="H397" i="541"/>
  <c r="K396" i="541" a="1"/>
  <c r="K396" i="541" s="1"/>
  <c r="M396" i="541" s="1"/>
  <c r="H396" i="541"/>
  <c r="K395" i="541" a="1"/>
  <c r="K395" i="541" s="1"/>
  <c r="M395" i="541" s="1"/>
  <c r="H395" i="541"/>
  <c r="N394" i="541"/>
  <c r="K394" i="541" a="1"/>
  <c r="K394" i="541" s="1"/>
  <c r="M394" i="541" s="1"/>
  <c r="H394" i="541"/>
  <c r="N393" i="541"/>
  <c r="K393" i="541" a="1"/>
  <c r="K393" i="541" s="1"/>
  <c r="M393" i="541" s="1"/>
  <c r="H393" i="541"/>
  <c r="N392" i="541"/>
  <c r="K392" i="541"/>
  <c r="M392" i="541" s="1"/>
  <c r="K392" i="541" a="1"/>
  <c r="H392" i="541"/>
  <c r="N391" i="541"/>
  <c r="K391" i="541" a="1"/>
  <c r="K391" i="541" s="1"/>
  <c r="M391" i="541" s="1"/>
  <c r="H391" i="541"/>
  <c r="W390" i="541"/>
  <c r="V390" i="541"/>
  <c r="N390" i="541"/>
  <c r="K390" i="541" a="1"/>
  <c r="K390" i="541" s="1"/>
  <c r="M390" i="541" s="1"/>
  <c r="J390" i="541" a="1"/>
  <c r="J390" i="541" s="1"/>
  <c r="H390" i="541"/>
  <c r="V389" i="541"/>
  <c r="W389" i="541" s="1"/>
  <c r="N389" i="541"/>
  <c r="K389" i="541" a="1"/>
  <c r="K389" i="541" s="1"/>
  <c r="M389" i="541" s="1"/>
  <c r="J389" i="541" a="1"/>
  <c r="J389" i="541" s="1"/>
  <c r="H389" i="541"/>
  <c r="V388" i="541"/>
  <c r="W388" i="541" s="1"/>
  <c r="N388" i="541"/>
  <c r="K388" i="541"/>
  <c r="M388" i="541" s="1"/>
  <c r="K388" i="541" a="1"/>
  <c r="J388" i="541"/>
  <c r="J388" i="541" a="1"/>
  <c r="H388" i="541"/>
  <c r="V387" i="541"/>
  <c r="W387" i="541" s="1"/>
  <c r="N387" i="541"/>
  <c r="K387" i="541" a="1"/>
  <c r="K387" i="541" s="1"/>
  <c r="M387" i="541" s="1"/>
  <c r="J387" i="541" a="1"/>
  <c r="J387" i="541" s="1"/>
  <c r="H387" i="541"/>
  <c r="V386" i="541"/>
  <c r="W386" i="541" s="1"/>
  <c r="N386" i="541"/>
  <c r="K386" i="541" a="1"/>
  <c r="K386" i="541" s="1"/>
  <c r="M386" i="541" s="1"/>
  <c r="J386" i="541" a="1"/>
  <c r="J386" i="541" s="1"/>
  <c r="H386" i="541"/>
  <c r="V385" i="541"/>
  <c r="W385" i="541" s="1"/>
  <c r="N385" i="541"/>
  <c r="K385" i="541" a="1"/>
  <c r="K385" i="541" s="1"/>
  <c r="M385" i="541" s="1"/>
  <c r="J385" i="541" a="1"/>
  <c r="J385" i="541" s="1"/>
  <c r="H385" i="541"/>
  <c r="V384" i="541"/>
  <c r="W384" i="541" s="1"/>
  <c r="N384" i="541"/>
  <c r="K384" i="541"/>
  <c r="M384" i="541" s="1"/>
  <c r="K384" i="541" a="1"/>
  <c r="J384" i="541"/>
  <c r="J384" i="541" a="1"/>
  <c r="H384" i="541"/>
  <c r="V383" i="541"/>
  <c r="W383" i="541" s="1"/>
  <c r="N383" i="541"/>
  <c r="K383" i="541" a="1"/>
  <c r="K383" i="541" s="1"/>
  <c r="M383" i="541" s="1"/>
  <c r="J383" i="541" a="1"/>
  <c r="J383" i="541" s="1"/>
  <c r="H383" i="541"/>
  <c r="W382" i="541"/>
  <c r="V382" i="541"/>
  <c r="N382" i="541"/>
  <c r="K382" i="541" a="1"/>
  <c r="K382" i="541" s="1"/>
  <c r="M382" i="541" s="1"/>
  <c r="J382" i="541" a="1"/>
  <c r="J382" i="541" s="1"/>
  <c r="H382" i="541"/>
  <c r="V381" i="541"/>
  <c r="W381" i="541" s="1"/>
  <c r="N381" i="541"/>
  <c r="K381" i="541" a="1"/>
  <c r="K381" i="541" s="1"/>
  <c r="M381" i="541" s="1"/>
  <c r="J381" i="541" a="1"/>
  <c r="J381" i="541" s="1"/>
  <c r="H381" i="541"/>
  <c r="V380" i="541"/>
  <c r="W380" i="541" s="1"/>
  <c r="N380" i="541"/>
  <c r="K380" i="541"/>
  <c r="M380" i="541" s="1"/>
  <c r="K380" i="541" a="1"/>
  <c r="J380" i="541"/>
  <c r="J380" i="541" a="1"/>
  <c r="H380" i="541"/>
  <c r="V379" i="541"/>
  <c r="W379" i="541" s="1"/>
  <c r="N379" i="541"/>
  <c r="K379" i="541" a="1"/>
  <c r="K379" i="541" s="1"/>
  <c r="M379" i="541" s="1"/>
  <c r="J379" i="541" a="1"/>
  <c r="J379" i="541" s="1"/>
  <c r="H379" i="541"/>
  <c r="K378" i="541" a="1"/>
  <c r="K378" i="541" s="1"/>
  <c r="M378" i="541" s="1"/>
  <c r="H378" i="541"/>
  <c r="K377" i="541" a="1"/>
  <c r="K377" i="541" s="1"/>
  <c r="M377" i="541" s="1"/>
  <c r="H377" i="541"/>
  <c r="K376" i="541" a="1"/>
  <c r="K376" i="541" s="1"/>
  <c r="M376" i="541" s="1"/>
  <c r="H376" i="541"/>
  <c r="V375" i="541"/>
  <c r="W375" i="541" s="1"/>
  <c r="N375" i="541"/>
  <c r="K375" i="541" a="1"/>
  <c r="K375" i="541" s="1"/>
  <c r="M375" i="541" s="1"/>
  <c r="J375" i="541" a="1"/>
  <c r="J375" i="541" s="1"/>
  <c r="H375" i="541"/>
  <c r="V374" i="541"/>
  <c r="W374" i="541" s="1"/>
  <c r="N374" i="541"/>
  <c r="K374" i="541" a="1"/>
  <c r="K374" i="541" s="1"/>
  <c r="M374" i="541" s="1"/>
  <c r="J374" i="541" a="1"/>
  <c r="J374" i="541" s="1"/>
  <c r="H374" i="541"/>
  <c r="V373" i="541"/>
  <c r="W373" i="541" s="1"/>
  <c r="N373" i="541"/>
  <c r="K373" i="541"/>
  <c r="M373" i="541" s="1"/>
  <c r="K373" i="541" a="1"/>
  <c r="J373" i="541"/>
  <c r="J373" i="541" a="1"/>
  <c r="H373" i="541"/>
  <c r="K372" i="541" a="1"/>
  <c r="K372" i="541" s="1"/>
  <c r="H372" i="541"/>
  <c r="V371" i="541"/>
  <c r="N371" i="541"/>
  <c r="K371" i="541"/>
  <c r="K371" i="541" a="1"/>
  <c r="J371" i="541"/>
  <c r="J371" i="541" a="1"/>
  <c r="H371" i="541"/>
  <c r="AA370" i="541"/>
  <c r="AA507" i="541" s="1"/>
  <c r="Z370" i="541"/>
  <c r="Z507" i="541" s="1"/>
  <c r="Y370" i="541"/>
  <c r="Y507" i="541" s="1"/>
  <c r="X370" i="541"/>
  <c r="X507" i="541" s="1"/>
  <c r="U370" i="541"/>
  <c r="U507" i="541" s="1"/>
  <c r="T370" i="541"/>
  <c r="T507" i="541" s="1"/>
  <c r="S370" i="541"/>
  <c r="S507" i="541" s="1"/>
  <c r="R370" i="541"/>
  <c r="R507" i="541" s="1"/>
  <c r="Q370" i="541"/>
  <c r="Q507" i="541" s="1"/>
  <c r="P370" i="541"/>
  <c r="P507" i="541" s="1"/>
  <c r="O370" i="541"/>
  <c r="I370" i="541"/>
  <c r="I507" i="541" s="1"/>
  <c r="B515" i="541" s="1"/>
  <c r="G370" i="541"/>
  <c r="G507" i="541" s="1"/>
  <c r="V369" i="541"/>
  <c r="W369" i="541" s="1"/>
  <c r="N369" i="541"/>
  <c r="K369" i="541" a="1"/>
  <c r="K369" i="541" s="1"/>
  <c r="M369" i="541" s="1"/>
  <c r="J369" i="541" a="1"/>
  <c r="J369" i="541" s="1"/>
  <c r="H369" i="541"/>
  <c r="V368" i="541"/>
  <c r="W368" i="541" s="1"/>
  <c r="N368" i="541"/>
  <c r="K368" i="541"/>
  <c r="M368" i="541" s="1"/>
  <c r="K368" i="541" a="1"/>
  <c r="J368" i="541"/>
  <c r="J368" i="541" a="1"/>
  <c r="H368" i="541"/>
  <c r="K367" i="541" a="1"/>
  <c r="K367" i="541" s="1"/>
  <c r="M367" i="541" s="1"/>
  <c r="H367" i="541"/>
  <c r="K366" i="541"/>
  <c r="M366" i="541" s="1"/>
  <c r="K366" i="541" a="1"/>
  <c r="H366" i="541"/>
  <c r="K365" i="541" a="1"/>
  <c r="K365" i="541" s="1"/>
  <c r="M365" i="541" s="1"/>
  <c r="H365" i="541"/>
  <c r="K364" i="541" a="1"/>
  <c r="K364" i="541" s="1"/>
  <c r="M364" i="541" s="1"/>
  <c r="H364" i="541"/>
  <c r="V363" i="541"/>
  <c r="W363" i="541" s="1"/>
  <c r="N363" i="541"/>
  <c r="K363" i="541" a="1"/>
  <c r="K363" i="541" s="1"/>
  <c r="M363" i="541" s="1"/>
  <c r="J363" i="541" a="1"/>
  <c r="J363" i="541" s="1"/>
  <c r="H363" i="541"/>
  <c r="V362" i="541"/>
  <c r="W362" i="541" s="1"/>
  <c r="N362" i="541"/>
  <c r="K362" i="541"/>
  <c r="M362" i="541" s="1"/>
  <c r="K362" i="541" a="1"/>
  <c r="J362" i="541"/>
  <c r="J362" i="541" a="1"/>
  <c r="H362" i="541"/>
  <c r="V361" i="541"/>
  <c r="W361" i="541" s="1"/>
  <c r="N361" i="541"/>
  <c r="K361" i="541" a="1"/>
  <c r="K361" i="541" s="1"/>
  <c r="M361" i="541" s="1"/>
  <c r="J361" i="541" a="1"/>
  <c r="J361" i="541" s="1"/>
  <c r="H361" i="541"/>
  <c r="H360" i="541"/>
  <c r="H359" i="541"/>
  <c r="W358" i="541"/>
  <c r="V358" i="541"/>
  <c r="N358" i="541"/>
  <c r="K358" i="541" a="1"/>
  <c r="K358" i="541" s="1"/>
  <c r="M358" i="541" s="1"/>
  <c r="J358" i="541" a="1"/>
  <c r="J358" i="541" s="1"/>
  <c r="H358" i="541"/>
  <c r="V357" i="541"/>
  <c r="W357" i="541" s="1"/>
  <c r="N357" i="541"/>
  <c r="K357" i="541" a="1"/>
  <c r="K357" i="541" s="1"/>
  <c r="M357" i="541" s="1"/>
  <c r="J357" i="541" a="1"/>
  <c r="J357" i="541" s="1"/>
  <c r="H357" i="541"/>
  <c r="K356" i="541" a="1"/>
  <c r="K356" i="541" s="1"/>
  <c r="M356" i="541" s="1"/>
  <c r="H356" i="541"/>
  <c r="K355" i="541" a="1"/>
  <c r="K355" i="541" s="1"/>
  <c r="M355" i="541" s="1"/>
  <c r="H355" i="541"/>
  <c r="V354" i="541"/>
  <c r="W354" i="541" s="1"/>
  <c r="N354" i="541"/>
  <c r="K354" i="541"/>
  <c r="M354" i="541" s="1"/>
  <c r="K354" i="541" a="1"/>
  <c r="J354" i="541"/>
  <c r="J354" i="541" a="1"/>
  <c r="H354" i="541"/>
  <c r="V353" i="541"/>
  <c r="W353" i="541" s="1"/>
  <c r="N353" i="541"/>
  <c r="K353" i="541" a="1"/>
  <c r="K353" i="541" s="1"/>
  <c r="M353" i="541" s="1"/>
  <c r="J353" i="541" a="1"/>
  <c r="J353" i="541" s="1"/>
  <c r="H353" i="541"/>
  <c r="W352" i="541"/>
  <c r="V352" i="541"/>
  <c r="N352" i="541"/>
  <c r="K352" i="541" a="1"/>
  <c r="K352" i="541" s="1"/>
  <c r="M352" i="541" s="1"/>
  <c r="J352" i="541" a="1"/>
  <c r="J352" i="541" s="1"/>
  <c r="H352" i="541"/>
  <c r="V351" i="541"/>
  <c r="W351" i="541" s="1"/>
  <c r="N351" i="541"/>
  <c r="K351" i="541" a="1"/>
  <c r="K351" i="541" s="1"/>
  <c r="M351" i="541" s="1"/>
  <c r="J351" i="541" a="1"/>
  <c r="J351" i="541" s="1"/>
  <c r="H351" i="541"/>
  <c r="V350" i="541"/>
  <c r="W350" i="541" s="1"/>
  <c r="N350" i="541"/>
  <c r="K350" i="541"/>
  <c r="M350" i="541" s="1"/>
  <c r="K350" i="541" a="1"/>
  <c r="J350" i="541"/>
  <c r="J350" i="541" a="1"/>
  <c r="H350" i="541"/>
  <c r="V349" i="541"/>
  <c r="N349" i="541"/>
  <c r="K349" i="541" a="1"/>
  <c r="K349" i="541" s="1"/>
  <c r="J349" i="541" a="1"/>
  <c r="J349" i="541" s="1"/>
  <c r="H349" i="541"/>
  <c r="X343" i="541"/>
  <c r="X342" i="541"/>
  <c r="X341" i="541"/>
  <c r="G341" i="541"/>
  <c r="C341" i="541"/>
  <c r="X340" i="541"/>
  <c r="I340" i="541"/>
  <c r="E340" i="541"/>
  <c r="K340" i="541" s="1"/>
  <c r="M340" i="541" s="1"/>
  <c r="I339" i="541"/>
  <c r="E339" i="541"/>
  <c r="K339" i="541" s="1"/>
  <c r="M339" i="541" s="1"/>
  <c r="I338" i="541"/>
  <c r="E338" i="541"/>
  <c r="K338" i="541" s="1"/>
  <c r="M338" i="541" s="1"/>
  <c r="X337" i="541"/>
  <c r="I337" i="541"/>
  <c r="I341" i="541" s="1"/>
  <c r="E337" i="541"/>
  <c r="E341" i="541" s="1"/>
  <c r="AA334" i="541"/>
  <c r="Z334" i="541"/>
  <c r="Y334" i="541"/>
  <c r="X334" i="541"/>
  <c r="U334" i="541"/>
  <c r="T334" i="541"/>
  <c r="S334" i="541"/>
  <c r="R334" i="541"/>
  <c r="Q334" i="541"/>
  <c r="P334" i="541"/>
  <c r="O334" i="541"/>
  <c r="R342" i="541" s="1"/>
  <c r="I334" i="541"/>
  <c r="G334" i="541"/>
  <c r="K333" i="541" a="1"/>
  <c r="K333" i="541" s="1"/>
  <c r="H333" i="541"/>
  <c r="K332" i="541" a="1"/>
  <c r="K332" i="541" s="1"/>
  <c r="H332" i="541"/>
  <c r="K331" i="541"/>
  <c r="K331" i="541" a="1"/>
  <c r="H331" i="541"/>
  <c r="V330" i="541"/>
  <c r="W330" i="541" s="1"/>
  <c r="N330" i="541"/>
  <c r="K330" i="541" a="1"/>
  <c r="K330" i="541" s="1"/>
  <c r="H330" i="541"/>
  <c r="D330" i="541"/>
  <c r="H329" i="541"/>
  <c r="K328" i="541" a="1"/>
  <c r="K328" i="541" s="1"/>
  <c r="H328" i="541"/>
  <c r="H327" i="541"/>
  <c r="V326" i="541"/>
  <c r="W326" i="541" s="1"/>
  <c r="N326" i="541"/>
  <c r="K326" i="541" a="1"/>
  <c r="K326" i="541" s="1"/>
  <c r="M326" i="541" s="1"/>
  <c r="J326" i="541" a="1"/>
  <c r="J326" i="541" s="1"/>
  <c r="H326" i="541"/>
  <c r="V325" i="541"/>
  <c r="W325" i="541" s="1"/>
  <c r="N325" i="541"/>
  <c r="K325" i="541" a="1"/>
  <c r="K325" i="541" s="1"/>
  <c r="M325" i="541" s="1"/>
  <c r="J325" i="541" a="1"/>
  <c r="J325" i="541" s="1"/>
  <c r="H325" i="541"/>
  <c r="H324" i="541"/>
  <c r="V323" i="541"/>
  <c r="W323" i="541" s="1"/>
  <c r="N323" i="541"/>
  <c r="K323" i="541"/>
  <c r="M323" i="541" s="1"/>
  <c r="K323" i="541" a="1"/>
  <c r="J323" i="541"/>
  <c r="J323" i="541" a="1"/>
  <c r="H323" i="541"/>
  <c r="V322" i="541"/>
  <c r="W322" i="541" s="1"/>
  <c r="N322" i="541"/>
  <c r="K322" i="541" a="1"/>
  <c r="K322" i="541" s="1"/>
  <c r="M322" i="541" s="1"/>
  <c r="J322" i="541" a="1"/>
  <c r="J322" i="541" s="1"/>
  <c r="H322" i="541"/>
  <c r="V321" i="541"/>
  <c r="W321" i="541" s="1"/>
  <c r="N321" i="541"/>
  <c r="K321" i="541" a="1"/>
  <c r="K321" i="541" s="1"/>
  <c r="M321" i="541" s="1"/>
  <c r="J321" i="541" a="1"/>
  <c r="J321" i="541" s="1"/>
  <c r="H321" i="541"/>
  <c r="V320" i="541"/>
  <c r="W320" i="541" s="1"/>
  <c r="N320" i="541"/>
  <c r="N334" i="541" s="1"/>
  <c r="K320" i="541" a="1"/>
  <c r="K320" i="541" s="1"/>
  <c r="J320" i="541" a="1"/>
  <c r="J320" i="541" s="1"/>
  <c r="H320" i="541"/>
  <c r="AA319" i="541"/>
  <c r="Z319" i="541"/>
  <c r="Y319" i="541"/>
  <c r="X319" i="541"/>
  <c r="U319" i="541"/>
  <c r="T319" i="541"/>
  <c r="S319" i="541"/>
  <c r="Q319" i="541"/>
  <c r="P319" i="541"/>
  <c r="O319" i="541"/>
  <c r="R341" i="541" s="1"/>
  <c r="I319" i="541"/>
  <c r="G319" i="541"/>
  <c r="V318" i="541"/>
  <c r="W318" i="541" s="1"/>
  <c r="N318" i="541"/>
  <c r="K318" i="541"/>
  <c r="M318" i="541" s="1"/>
  <c r="K318" i="541" a="1"/>
  <c r="J318" i="541"/>
  <c r="J318" i="541" a="1"/>
  <c r="H318" i="541"/>
  <c r="H316" i="541"/>
  <c r="H315" i="541"/>
  <c r="H314" i="541"/>
  <c r="V313" i="541"/>
  <c r="W313" i="541" s="1"/>
  <c r="N313" i="541"/>
  <c r="K313" i="541" a="1"/>
  <c r="K313" i="541" s="1"/>
  <c r="M313" i="541" s="1"/>
  <c r="J313" i="541" a="1"/>
  <c r="J313" i="541" s="1"/>
  <c r="H313" i="541"/>
  <c r="V312" i="541"/>
  <c r="W312" i="541" s="1"/>
  <c r="N312" i="541"/>
  <c r="K312" i="541" a="1"/>
  <c r="K312" i="541" s="1"/>
  <c r="M312" i="541" s="1"/>
  <c r="J312" i="541" a="1"/>
  <c r="J312" i="541" s="1"/>
  <c r="H312" i="541"/>
  <c r="V311" i="541"/>
  <c r="W311" i="541" s="1"/>
  <c r="N311" i="541"/>
  <c r="K311" i="541"/>
  <c r="M311" i="541" s="1"/>
  <c r="K311" i="541" a="1"/>
  <c r="J311" i="541"/>
  <c r="J311" i="541" a="1"/>
  <c r="H311" i="541"/>
  <c r="V310" i="541"/>
  <c r="W310" i="541" s="1"/>
  <c r="N310" i="541"/>
  <c r="K310" i="541" a="1"/>
  <c r="K310" i="541" s="1"/>
  <c r="M310" i="541" s="1"/>
  <c r="J310" i="541" a="1"/>
  <c r="J310" i="541" s="1"/>
  <c r="H310" i="541"/>
  <c r="V309" i="541"/>
  <c r="V319" i="541" s="1"/>
  <c r="N309" i="541"/>
  <c r="N319" i="541" s="1"/>
  <c r="K309" i="541" a="1"/>
  <c r="K309" i="541" s="1"/>
  <c r="M309" i="541" s="1"/>
  <c r="J309" i="541" a="1"/>
  <c r="J309" i="541" s="1"/>
  <c r="H309" i="541"/>
  <c r="AA308" i="541"/>
  <c r="Z308" i="541"/>
  <c r="Y308" i="541"/>
  <c r="X308" i="541"/>
  <c r="U308" i="541"/>
  <c r="T308" i="541"/>
  <c r="S308" i="541"/>
  <c r="Q308" i="541"/>
  <c r="P308" i="541"/>
  <c r="O308" i="541"/>
  <c r="I308" i="541"/>
  <c r="G308" i="541"/>
  <c r="V307" i="541"/>
  <c r="W307" i="541" s="1"/>
  <c r="N307" i="541"/>
  <c r="K307" i="541" a="1"/>
  <c r="K307" i="541" s="1"/>
  <c r="M307" i="541" s="1"/>
  <c r="J307" i="541" a="1"/>
  <c r="J307" i="541" s="1"/>
  <c r="H307" i="541"/>
  <c r="V306" i="541"/>
  <c r="W306" i="541" s="1"/>
  <c r="N306" i="541"/>
  <c r="K306" i="541" a="1"/>
  <c r="K306" i="541" s="1"/>
  <c r="M306" i="541" s="1"/>
  <c r="J306" i="541" a="1"/>
  <c r="J306" i="541" s="1"/>
  <c r="H306" i="541"/>
  <c r="V305" i="541"/>
  <c r="W305" i="541" s="1"/>
  <c r="N305" i="541"/>
  <c r="K305" i="541" a="1"/>
  <c r="K305" i="541" s="1"/>
  <c r="M305" i="541" s="1"/>
  <c r="J305" i="541" a="1"/>
  <c r="J305" i="541" s="1"/>
  <c r="H305" i="541"/>
  <c r="V304" i="541"/>
  <c r="W304" i="541" s="1"/>
  <c r="N304" i="541"/>
  <c r="K304" i="541"/>
  <c r="M304" i="541" s="1"/>
  <c r="K304" i="541" a="1"/>
  <c r="J304" i="541"/>
  <c r="J304" i="541" a="1"/>
  <c r="H304" i="541"/>
  <c r="V303" i="541"/>
  <c r="W303" i="541" s="1"/>
  <c r="N303" i="541"/>
  <c r="K303" i="541" a="1"/>
  <c r="K303" i="541" s="1"/>
  <c r="M303" i="541" s="1"/>
  <c r="J303" i="541" a="1"/>
  <c r="J303" i="541" s="1"/>
  <c r="H303" i="541"/>
  <c r="V302" i="541"/>
  <c r="W302" i="541" s="1"/>
  <c r="N302" i="541"/>
  <c r="K302" i="541" a="1"/>
  <c r="K302" i="541" s="1"/>
  <c r="M302" i="541" s="1"/>
  <c r="J302" i="541" a="1"/>
  <c r="J302" i="541" s="1"/>
  <c r="H302" i="541"/>
  <c r="V301" i="541"/>
  <c r="W301" i="541" s="1"/>
  <c r="N301" i="541"/>
  <c r="K301" i="541" a="1"/>
  <c r="K301" i="541" s="1"/>
  <c r="M301" i="541" s="1"/>
  <c r="J301" i="541" a="1"/>
  <c r="J301" i="541" s="1"/>
  <c r="H301" i="541"/>
  <c r="V300" i="541"/>
  <c r="W300" i="541" s="1"/>
  <c r="N300" i="541"/>
  <c r="K300" i="541"/>
  <c r="M300" i="541" s="1"/>
  <c r="K300" i="541" a="1"/>
  <c r="J300" i="541"/>
  <c r="J300" i="541" a="1"/>
  <c r="H300" i="541"/>
  <c r="V299" i="541"/>
  <c r="W299" i="541" s="1"/>
  <c r="N299" i="541"/>
  <c r="K299" i="541" a="1"/>
  <c r="K299" i="541" s="1"/>
  <c r="M299" i="541" s="1"/>
  <c r="J299" i="541" a="1"/>
  <c r="J299" i="541" s="1"/>
  <c r="H299" i="541"/>
  <c r="V298" i="541"/>
  <c r="W298" i="541" s="1"/>
  <c r="N298" i="541"/>
  <c r="K298" i="541" a="1"/>
  <c r="K298" i="541" s="1"/>
  <c r="M298" i="541" s="1"/>
  <c r="J298" i="541" a="1"/>
  <c r="J298" i="541" s="1"/>
  <c r="H298" i="541"/>
  <c r="V297" i="541"/>
  <c r="W297" i="541" s="1"/>
  <c r="N297" i="541"/>
  <c r="K297" i="541" a="1"/>
  <c r="K297" i="541" s="1"/>
  <c r="M297" i="541" s="1"/>
  <c r="J297" i="541" a="1"/>
  <c r="J297" i="541" s="1"/>
  <c r="H297" i="541"/>
  <c r="V296" i="541"/>
  <c r="W296" i="541" s="1"/>
  <c r="N296" i="541"/>
  <c r="K296" i="541"/>
  <c r="M296" i="541" s="1"/>
  <c r="K296" i="541" a="1"/>
  <c r="J296" i="541"/>
  <c r="J296" i="541" a="1"/>
  <c r="H296" i="541"/>
  <c r="V295" i="541"/>
  <c r="W295" i="541" s="1"/>
  <c r="N295" i="541"/>
  <c r="K295" i="541" a="1"/>
  <c r="K295" i="541" s="1"/>
  <c r="M295" i="541" s="1"/>
  <c r="J295" i="541" a="1"/>
  <c r="J295" i="541" s="1"/>
  <c r="H295" i="541"/>
  <c r="V294" i="541"/>
  <c r="W294" i="541" s="1"/>
  <c r="N294" i="541"/>
  <c r="K294" i="541" a="1"/>
  <c r="K294" i="541" s="1"/>
  <c r="M294" i="541" s="1"/>
  <c r="J294" i="541" a="1"/>
  <c r="J294" i="541" s="1"/>
  <c r="H294" i="541"/>
  <c r="V293" i="541"/>
  <c r="W293" i="541" s="1"/>
  <c r="N293" i="541"/>
  <c r="K293" i="541" a="1"/>
  <c r="K293" i="541" s="1"/>
  <c r="J293" i="541" a="1"/>
  <c r="J293" i="541" s="1"/>
  <c r="H293" i="541"/>
  <c r="AA292" i="541"/>
  <c r="Z292" i="541"/>
  <c r="Y292" i="541"/>
  <c r="X292" i="541"/>
  <c r="U292" i="541"/>
  <c r="T292" i="541"/>
  <c r="S292" i="541"/>
  <c r="R292" i="541"/>
  <c r="Q292" i="541"/>
  <c r="P292" i="541"/>
  <c r="O292" i="541"/>
  <c r="R339" i="541" s="1"/>
  <c r="I292" i="541"/>
  <c r="G292" i="541"/>
  <c r="V291" i="541"/>
  <c r="W291" i="541" s="1"/>
  <c r="N291" i="541"/>
  <c r="K291" i="541" a="1"/>
  <c r="K291" i="541" s="1"/>
  <c r="M291" i="541" s="1"/>
  <c r="J291" i="541" a="1"/>
  <c r="J291" i="541" s="1"/>
  <c r="H291" i="541"/>
  <c r="V290" i="541"/>
  <c r="W290" i="541" s="1"/>
  <c r="N290" i="541"/>
  <c r="K290" i="541" a="1"/>
  <c r="K290" i="541" s="1"/>
  <c r="M290" i="541" s="1"/>
  <c r="J290" i="541" a="1"/>
  <c r="J290" i="541" s="1"/>
  <c r="H290" i="541"/>
  <c r="V289" i="541"/>
  <c r="W289" i="541" s="1"/>
  <c r="N289" i="541"/>
  <c r="K289" i="541" a="1"/>
  <c r="K289" i="541" s="1"/>
  <c r="M289" i="541" s="1"/>
  <c r="J289" i="541" a="1"/>
  <c r="J289" i="541" s="1"/>
  <c r="H289" i="541"/>
  <c r="H288" i="541"/>
  <c r="H287" i="541"/>
  <c r="H286" i="541"/>
  <c r="V285" i="541"/>
  <c r="W285" i="541" s="1"/>
  <c r="N285" i="541"/>
  <c r="K285" i="541" a="1"/>
  <c r="K285" i="541" s="1"/>
  <c r="M285" i="541" s="1"/>
  <c r="H285" i="541"/>
  <c r="V284" i="541"/>
  <c r="W284" i="541" s="1"/>
  <c r="N284" i="541"/>
  <c r="K284" i="541"/>
  <c r="M284" i="541" s="1"/>
  <c r="K284" i="541" a="1"/>
  <c r="H284" i="541"/>
  <c r="N283" i="541"/>
  <c r="K283" i="541" a="1"/>
  <c r="K283" i="541" s="1"/>
  <c r="M283" i="541" s="1"/>
  <c r="H283" i="541"/>
  <c r="N282" i="541"/>
  <c r="K282" i="541" a="1"/>
  <c r="K282" i="541" s="1"/>
  <c r="M282" i="541" s="1"/>
  <c r="H282" i="541"/>
  <c r="N281" i="541"/>
  <c r="K281" i="541" a="1"/>
  <c r="K281" i="541" s="1"/>
  <c r="M281" i="541" s="1"/>
  <c r="H281" i="541"/>
  <c r="N280" i="541"/>
  <c r="K280" i="541"/>
  <c r="M280" i="541" s="1"/>
  <c r="K280" i="541" a="1"/>
  <c r="H280" i="541"/>
  <c r="N279" i="541"/>
  <c r="K279" i="541" a="1"/>
  <c r="K279" i="541" s="1"/>
  <c r="M279" i="541" s="1"/>
  <c r="H279" i="541"/>
  <c r="N278" i="541"/>
  <c r="K278" i="541" a="1"/>
  <c r="K278" i="541" s="1"/>
  <c r="M278" i="541" s="1"/>
  <c r="H278" i="541"/>
  <c r="V277" i="541"/>
  <c r="W277" i="541" s="1"/>
  <c r="N277" i="541"/>
  <c r="K277" i="541" a="1"/>
  <c r="K277" i="541" s="1"/>
  <c r="M277" i="541" s="1"/>
  <c r="H277" i="541"/>
  <c r="V276" i="541"/>
  <c r="W276" i="541" s="1"/>
  <c r="N276" i="541"/>
  <c r="K276" i="541"/>
  <c r="M276" i="541" s="1"/>
  <c r="K276" i="541" a="1"/>
  <c r="H276" i="541"/>
  <c r="V275" i="541"/>
  <c r="W275" i="541" s="1"/>
  <c r="N275" i="541"/>
  <c r="K275" i="541" a="1"/>
  <c r="K275" i="541" s="1"/>
  <c r="M275" i="541" s="1"/>
  <c r="H275" i="541"/>
  <c r="V274" i="541"/>
  <c r="W274" i="541" s="1"/>
  <c r="N274" i="541"/>
  <c r="K274" i="541" a="1"/>
  <c r="K274" i="541" s="1"/>
  <c r="M274" i="541" s="1"/>
  <c r="H274" i="541"/>
  <c r="V273" i="541"/>
  <c r="W273" i="541" s="1"/>
  <c r="N273" i="541"/>
  <c r="K273" i="541" a="1"/>
  <c r="K273" i="541" s="1"/>
  <c r="M273" i="541" s="1"/>
  <c r="H273" i="541"/>
  <c r="V272" i="541"/>
  <c r="W272" i="541" s="1"/>
  <c r="N272" i="541"/>
  <c r="K272" i="541"/>
  <c r="M272" i="541" s="1"/>
  <c r="K272" i="541" a="1"/>
  <c r="H272" i="541"/>
  <c r="V271" i="541"/>
  <c r="W271" i="541" s="1"/>
  <c r="N271" i="541"/>
  <c r="K271" i="541" a="1"/>
  <c r="K271" i="541" s="1"/>
  <c r="M271" i="541" s="1"/>
  <c r="H271" i="541"/>
  <c r="V270" i="541"/>
  <c r="W270" i="541" s="1"/>
  <c r="N270" i="541"/>
  <c r="K270" i="541" a="1"/>
  <c r="K270" i="541" s="1"/>
  <c r="M270" i="541" s="1"/>
  <c r="H270" i="541"/>
  <c r="V269" i="541"/>
  <c r="W269" i="541" s="1"/>
  <c r="N269" i="541"/>
  <c r="K269" i="541" a="1"/>
  <c r="K269" i="541" s="1"/>
  <c r="M269" i="541" s="1"/>
  <c r="H269" i="541"/>
  <c r="V268" i="541"/>
  <c r="W268" i="541" s="1"/>
  <c r="N268" i="541"/>
  <c r="K268" i="541"/>
  <c r="M268" i="541" s="1"/>
  <c r="K268" i="541" a="1"/>
  <c r="H268" i="541"/>
  <c r="V267" i="541"/>
  <c r="W267" i="541" s="1"/>
  <c r="N267" i="541"/>
  <c r="K267" i="541" a="1"/>
  <c r="K267" i="541" s="1"/>
  <c r="M267" i="541" s="1"/>
  <c r="H267" i="541"/>
  <c r="W266" i="541"/>
  <c r="V266" i="541"/>
  <c r="N266" i="541"/>
  <c r="K266" i="541" a="1"/>
  <c r="K266" i="541" s="1"/>
  <c r="M266" i="541" s="1"/>
  <c r="H266" i="541"/>
  <c r="N265" i="541"/>
  <c r="K265" i="541" a="1"/>
  <c r="K265" i="541" s="1"/>
  <c r="M265" i="541" s="1"/>
  <c r="H265" i="541"/>
  <c r="V264" i="541"/>
  <c r="W264" i="541" s="1"/>
  <c r="N264" i="541"/>
  <c r="K264" i="541"/>
  <c r="M264" i="541" s="1"/>
  <c r="K264" i="541" a="1"/>
  <c r="J264" i="541"/>
  <c r="J264" i="541" a="1"/>
  <c r="H264" i="541"/>
  <c r="V263" i="541"/>
  <c r="W263" i="541" s="1"/>
  <c r="N263" i="541"/>
  <c r="K263" i="541" a="1"/>
  <c r="K263" i="541" s="1"/>
  <c r="M263" i="541" s="1"/>
  <c r="J263" i="541" a="1"/>
  <c r="J263" i="541" s="1"/>
  <c r="H263" i="541"/>
  <c r="V262" i="541"/>
  <c r="W262" i="541" s="1"/>
  <c r="N262" i="541"/>
  <c r="K262" i="541" a="1"/>
  <c r="K262" i="541" s="1"/>
  <c r="M262" i="541" s="1"/>
  <c r="J262" i="541" a="1"/>
  <c r="J262" i="541" s="1"/>
  <c r="H262" i="541"/>
  <c r="V261" i="541"/>
  <c r="W261" i="541" s="1"/>
  <c r="N261" i="541"/>
  <c r="K261" i="541" a="1"/>
  <c r="K261" i="541" s="1"/>
  <c r="M261" i="541" s="1"/>
  <c r="J261" i="541" a="1"/>
  <c r="J261" i="541" s="1"/>
  <c r="H261" i="541"/>
  <c r="V260" i="541"/>
  <c r="W260" i="541" s="1"/>
  <c r="N260" i="541"/>
  <c r="K260" i="541"/>
  <c r="M260" i="541" s="1"/>
  <c r="K260" i="541" a="1"/>
  <c r="J260" i="541"/>
  <c r="J260" i="541" a="1"/>
  <c r="H260" i="541"/>
  <c r="V259" i="541"/>
  <c r="W259" i="541" s="1"/>
  <c r="N259" i="541"/>
  <c r="K259" i="541" a="1"/>
  <c r="K259" i="541" s="1"/>
  <c r="M259" i="541" s="1"/>
  <c r="J259" i="541" a="1"/>
  <c r="J259" i="541" s="1"/>
  <c r="H259" i="541"/>
  <c r="V258" i="541"/>
  <c r="W258" i="541" s="1"/>
  <c r="N258" i="541"/>
  <c r="N292" i="541" s="1"/>
  <c r="K258" i="541" a="1"/>
  <c r="K258" i="541" s="1"/>
  <c r="J258" i="541" a="1"/>
  <c r="J258" i="541" s="1"/>
  <c r="H258" i="541"/>
  <c r="AA257" i="541"/>
  <c r="Z257" i="541"/>
  <c r="Y257" i="541"/>
  <c r="X257" i="541"/>
  <c r="U257" i="541"/>
  <c r="T257" i="541"/>
  <c r="S257" i="541"/>
  <c r="R257" i="541"/>
  <c r="Q257" i="541"/>
  <c r="P257" i="541"/>
  <c r="O257" i="541"/>
  <c r="R338" i="541" s="1"/>
  <c r="I257" i="541"/>
  <c r="G257" i="541"/>
  <c r="H256" i="541"/>
  <c r="H255" i="541"/>
  <c r="H254" i="541"/>
  <c r="H253" i="541"/>
  <c r="H252" i="541"/>
  <c r="H251" i="541"/>
  <c r="K250" i="541" a="1"/>
  <c r="K250" i="541" s="1"/>
  <c r="M250" i="541" s="1"/>
  <c r="H250" i="541"/>
  <c r="K249" i="541" a="1"/>
  <c r="K249" i="541" s="1"/>
  <c r="M249" i="541" s="1"/>
  <c r="H249" i="541"/>
  <c r="M248" i="541"/>
  <c r="K248" i="541" a="1"/>
  <c r="K248" i="541" s="1"/>
  <c r="H248" i="541"/>
  <c r="K247" i="541" a="1"/>
  <c r="K247" i="541" s="1"/>
  <c r="M247" i="541" s="1"/>
  <c r="H247" i="541"/>
  <c r="V246" i="541"/>
  <c r="W246" i="541" s="1"/>
  <c r="N246" i="541"/>
  <c r="K246" i="541" a="1"/>
  <c r="K246" i="541" s="1"/>
  <c r="M246" i="541" s="1"/>
  <c r="J246" i="541" a="1"/>
  <c r="J246" i="541" s="1"/>
  <c r="H246" i="541"/>
  <c r="V245" i="541"/>
  <c r="W245" i="541" s="1"/>
  <c r="N245" i="541"/>
  <c r="K245" i="541"/>
  <c r="M245" i="541" s="1"/>
  <c r="K245" i="541" a="1"/>
  <c r="J245" i="541"/>
  <c r="J245" i="541" a="1"/>
  <c r="H245" i="541"/>
  <c r="V244" i="541"/>
  <c r="W244" i="541" s="1"/>
  <c r="N244" i="541"/>
  <c r="K244" i="541" a="1"/>
  <c r="K244" i="541" s="1"/>
  <c r="M244" i="541" s="1"/>
  <c r="J244" i="541" a="1"/>
  <c r="J244" i="541" s="1"/>
  <c r="H244" i="541"/>
  <c r="V243" i="541"/>
  <c r="W243" i="541" s="1"/>
  <c r="N243" i="541"/>
  <c r="K243" i="541" a="1"/>
  <c r="K243" i="541" s="1"/>
  <c r="M243" i="541" s="1"/>
  <c r="J243" i="541" a="1"/>
  <c r="J243" i="541" s="1"/>
  <c r="H243" i="541"/>
  <c r="M242" i="541"/>
  <c r="H242" i="541"/>
  <c r="V241" i="541"/>
  <c r="W241" i="541" s="1"/>
  <c r="N241" i="541"/>
  <c r="K241" i="541" a="1"/>
  <c r="K241" i="541" s="1"/>
  <c r="M241" i="541" s="1"/>
  <c r="J241" i="541" a="1"/>
  <c r="J241" i="541" s="1"/>
  <c r="H241" i="541"/>
  <c r="V240" i="541"/>
  <c r="W240" i="541" s="1"/>
  <c r="N240" i="541"/>
  <c r="K240" i="541"/>
  <c r="M240" i="541" s="1"/>
  <c r="K240" i="541" a="1"/>
  <c r="J240" i="541" a="1"/>
  <c r="J240" i="541" s="1"/>
  <c r="H240" i="541"/>
  <c r="K239" i="541" a="1"/>
  <c r="K239" i="541" s="1"/>
  <c r="M239" i="541" s="1"/>
  <c r="H239" i="541"/>
  <c r="H238" i="541"/>
  <c r="V237" i="541"/>
  <c r="W237" i="541" s="1"/>
  <c r="N237" i="541"/>
  <c r="K237" i="541" a="1"/>
  <c r="K237" i="541" s="1"/>
  <c r="M237" i="541" s="1"/>
  <c r="J237" i="541" a="1"/>
  <c r="J237" i="541" s="1"/>
  <c r="H237" i="541"/>
  <c r="V236" i="541"/>
  <c r="W236" i="541" s="1"/>
  <c r="N236" i="541"/>
  <c r="K236" i="541" a="1"/>
  <c r="K236" i="541" s="1"/>
  <c r="M236" i="541" s="1"/>
  <c r="J236" i="541" a="1"/>
  <c r="J236" i="541" s="1"/>
  <c r="H236" i="541"/>
  <c r="V235" i="541"/>
  <c r="W235" i="541" s="1"/>
  <c r="N235" i="541"/>
  <c r="K235" i="541" a="1"/>
  <c r="K235" i="541" s="1"/>
  <c r="M235" i="541" s="1"/>
  <c r="J235" i="541" a="1"/>
  <c r="J235" i="541" s="1"/>
  <c r="H235" i="541"/>
  <c r="V234" i="541"/>
  <c r="W234" i="541" s="1"/>
  <c r="N234" i="541"/>
  <c r="K234" i="541" a="1"/>
  <c r="K234" i="541" s="1"/>
  <c r="M234" i="541" s="1"/>
  <c r="J234" i="541" a="1"/>
  <c r="J234" i="541" s="1"/>
  <c r="H234" i="541"/>
  <c r="V233" i="541"/>
  <c r="W233" i="541" s="1"/>
  <c r="N233" i="541"/>
  <c r="K233" i="541" a="1"/>
  <c r="K233" i="541" s="1"/>
  <c r="M233" i="541" s="1"/>
  <c r="J233" i="541" a="1"/>
  <c r="J233" i="541" s="1"/>
  <c r="H233" i="541"/>
  <c r="V232" i="541"/>
  <c r="W232" i="541" s="1"/>
  <c r="N232" i="541"/>
  <c r="K232" i="541"/>
  <c r="M232" i="541" s="1"/>
  <c r="K232" i="541" a="1"/>
  <c r="J232" i="541"/>
  <c r="J232" i="541" a="1"/>
  <c r="H232" i="541"/>
  <c r="V231" i="541"/>
  <c r="W231" i="541" s="1"/>
  <c r="N231" i="541"/>
  <c r="K231" i="541" a="1"/>
  <c r="K231" i="541" s="1"/>
  <c r="M231" i="541" s="1"/>
  <c r="J231" i="541" a="1"/>
  <c r="J231" i="541" s="1"/>
  <c r="H231" i="541"/>
  <c r="V230" i="541"/>
  <c r="W230" i="541" s="1"/>
  <c r="N230" i="541"/>
  <c r="K230" i="541" a="1"/>
  <c r="K230" i="541" s="1"/>
  <c r="M230" i="541" s="1"/>
  <c r="J230" i="541" a="1"/>
  <c r="J230" i="541" s="1"/>
  <c r="H230" i="541"/>
  <c r="V229" i="541"/>
  <c r="W229" i="541" s="1"/>
  <c r="N229" i="541"/>
  <c r="K229" i="541" a="1"/>
  <c r="K229" i="541" s="1"/>
  <c r="M229" i="541" s="1"/>
  <c r="J229" i="541" a="1"/>
  <c r="J229" i="541" s="1"/>
  <c r="H229" i="541"/>
  <c r="V228" i="541"/>
  <c r="W228" i="541" s="1"/>
  <c r="N228" i="541"/>
  <c r="K228" i="541"/>
  <c r="M228" i="541" s="1"/>
  <c r="K228" i="541" a="1"/>
  <c r="J228" i="541"/>
  <c r="J228" i="541" a="1"/>
  <c r="H228" i="541"/>
  <c r="N227" i="541"/>
  <c r="K227" i="541" a="1"/>
  <c r="K227" i="541" s="1"/>
  <c r="M227" i="541" s="1"/>
  <c r="H227" i="541"/>
  <c r="N226" i="541"/>
  <c r="K226" i="541" a="1"/>
  <c r="K226" i="541" s="1"/>
  <c r="M226" i="541" s="1"/>
  <c r="H226" i="541"/>
  <c r="N225" i="541"/>
  <c r="K225" i="541" a="1"/>
  <c r="K225" i="541" s="1"/>
  <c r="M225" i="541" s="1"/>
  <c r="H225" i="541"/>
  <c r="N224" i="541"/>
  <c r="K224" i="541"/>
  <c r="M224" i="541" s="1"/>
  <c r="K224" i="541" a="1"/>
  <c r="H224" i="541"/>
  <c r="N223" i="541"/>
  <c r="K223" i="541" a="1"/>
  <c r="K223" i="541" s="1"/>
  <c r="M223" i="541" s="1"/>
  <c r="H223" i="541"/>
  <c r="N222" i="541"/>
  <c r="K222" i="541" a="1"/>
  <c r="K222" i="541" s="1"/>
  <c r="M222" i="541" s="1"/>
  <c r="H222" i="541"/>
  <c r="N221" i="541"/>
  <c r="K221" i="541" a="1"/>
  <c r="K221" i="541" s="1"/>
  <c r="M221" i="541" s="1"/>
  <c r="H221" i="541"/>
  <c r="N220" i="541"/>
  <c r="K220" i="541" a="1"/>
  <c r="K220" i="541" s="1"/>
  <c r="M220" i="541" s="1"/>
  <c r="H220" i="541"/>
  <c r="V219" i="541"/>
  <c r="W219" i="541" s="1"/>
  <c r="N219" i="541"/>
  <c r="K219" i="541" a="1"/>
  <c r="K219" i="541" s="1"/>
  <c r="M219" i="541" s="1"/>
  <c r="J219" i="541" a="1"/>
  <c r="J219" i="541" s="1"/>
  <c r="H219" i="541"/>
  <c r="V218" i="541"/>
  <c r="W218" i="541" s="1"/>
  <c r="N218" i="541"/>
  <c r="K218" i="541" a="1"/>
  <c r="K218" i="541" s="1"/>
  <c r="M218" i="541" s="1"/>
  <c r="J218" i="541" a="1"/>
  <c r="J218" i="541" s="1"/>
  <c r="H218" i="541"/>
  <c r="V217" i="541"/>
  <c r="W217" i="541" s="1"/>
  <c r="N217" i="541"/>
  <c r="K217" i="541" a="1"/>
  <c r="K217" i="541" s="1"/>
  <c r="M217" i="541" s="1"/>
  <c r="J217" i="541" a="1"/>
  <c r="J217" i="541" s="1"/>
  <c r="H217" i="541"/>
  <c r="V216" i="541"/>
  <c r="W216" i="541" s="1"/>
  <c r="N216" i="541"/>
  <c r="K216" i="541"/>
  <c r="M216" i="541" s="1"/>
  <c r="K216" i="541" a="1"/>
  <c r="J216" i="541"/>
  <c r="J216" i="541" a="1"/>
  <c r="H216" i="541"/>
  <c r="V215" i="541"/>
  <c r="W215" i="541" s="1"/>
  <c r="N215" i="541"/>
  <c r="K215" i="541" a="1"/>
  <c r="K215" i="541" s="1"/>
  <c r="M215" i="541" s="1"/>
  <c r="J215" i="541" a="1"/>
  <c r="J215" i="541" s="1"/>
  <c r="H215" i="541"/>
  <c r="V214" i="541"/>
  <c r="W214" i="541" s="1"/>
  <c r="N214" i="541"/>
  <c r="K214" i="541" a="1"/>
  <c r="K214" i="541" s="1"/>
  <c r="M214" i="541" s="1"/>
  <c r="J214" i="541" a="1"/>
  <c r="J214" i="541" s="1"/>
  <c r="H214" i="541"/>
  <c r="V213" i="541"/>
  <c r="W213" i="541" s="1"/>
  <c r="N213" i="541"/>
  <c r="K213" i="541" a="1"/>
  <c r="K213" i="541" s="1"/>
  <c r="M213" i="541" s="1"/>
  <c r="J213" i="541" a="1"/>
  <c r="J213" i="541" s="1"/>
  <c r="H213" i="541"/>
  <c r="V212" i="541"/>
  <c r="W212" i="541" s="1"/>
  <c r="N212" i="541"/>
  <c r="K212" i="541"/>
  <c r="M212" i="541" s="1"/>
  <c r="K212" i="541" a="1"/>
  <c r="J212" i="541"/>
  <c r="J212" i="541" a="1"/>
  <c r="H212" i="541"/>
  <c r="V211" i="541"/>
  <c r="W211" i="541" s="1"/>
  <c r="N211" i="541"/>
  <c r="K211" i="541" a="1"/>
  <c r="K211" i="541" s="1"/>
  <c r="M211" i="541" s="1"/>
  <c r="J211" i="541" a="1"/>
  <c r="J211" i="541" s="1"/>
  <c r="H211" i="541"/>
  <c r="V210" i="541"/>
  <c r="W210" i="541" s="1"/>
  <c r="N210" i="541"/>
  <c r="K210" i="541" a="1"/>
  <c r="K210" i="541" s="1"/>
  <c r="M210" i="541" s="1"/>
  <c r="J210" i="541" a="1"/>
  <c r="J210" i="541" s="1"/>
  <c r="H210" i="541"/>
  <c r="V209" i="541"/>
  <c r="W209" i="541" s="1"/>
  <c r="N209" i="541"/>
  <c r="K209" i="541" a="1"/>
  <c r="K209" i="541" s="1"/>
  <c r="M209" i="541" s="1"/>
  <c r="J209" i="541" a="1"/>
  <c r="J209" i="541" s="1"/>
  <c r="H209" i="541"/>
  <c r="V208" i="541"/>
  <c r="W208" i="541" s="1"/>
  <c r="N208" i="541"/>
  <c r="K208" i="541"/>
  <c r="M208" i="541" s="1"/>
  <c r="K208" i="541" a="1"/>
  <c r="J208" i="541"/>
  <c r="J208" i="541" a="1"/>
  <c r="H208" i="541"/>
  <c r="H207" i="541"/>
  <c r="H206" i="541"/>
  <c r="H205" i="541"/>
  <c r="W204" i="541"/>
  <c r="V204" i="541"/>
  <c r="N204" i="541"/>
  <c r="K204" i="541" a="1"/>
  <c r="K204" i="541" s="1"/>
  <c r="M204" i="541" s="1"/>
  <c r="J204" i="541" a="1"/>
  <c r="J204" i="541" s="1"/>
  <c r="H204" i="541"/>
  <c r="V203" i="541"/>
  <c r="W203" i="541" s="1"/>
  <c r="N203" i="541"/>
  <c r="K203" i="541"/>
  <c r="M203" i="541" s="1"/>
  <c r="K203" i="541" a="1"/>
  <c r="J203" i="541" a="1"/>
  <c r="J203" i="541" s="1"/>
  <c r="H203" i="541"/>
  <c r="W202" i="541"/>
  <c r="V202" i="541"/>
  <c r="N202" i="541"/>
  <c r="K202" i="541" a="1"/>
  <c r="K202" i="541" s="1"/>
  <c r="M202" i="541" s="1"/>
  <c r="J202" i="541" a="1"/>
  <c r="J202" i="541" s="1"/>
  <c r="H202" i="541"/>
  <c r="H201" i="541"/>
  <c r="V200" i="541"/>
  <c r="N200" i="541"/>
  <c r="K200" i="541" a="1"/>
  <c r="K200" i="541" s="1"/>
  <c r="J200" i="541" a="1"/>
  <c r="J200" i="541" s="1"/>
  <c r="H200" i="541"/>
  <c r="AA199" i="541"/>
  <c r="AA335" i="541" s="1"/>
  <c r="Z199" i="541"/>
  <c r="Z335" i="541" s="1"/>
  <c r="Y199" i="541"/>
  <c r="Y335" i="541" s="1"/>
  <c r="X199" i="541"/>
  <c r="X335" i="541" s="1"/>
  <c r="U199" i="541"/>
  <c r="U335" i="541" s="1"/>
  <c r="T199" i="541"/>
  <c r="T335" i="541" s="1"/>
  <c r="S199" i="541"/>
  <c r="S335" i="541" s="1"/>
  <c r="R199" i="541"/>
  <c r="R335" i="541" s="1"/>
  <c r="Q199" i="541"/>
  <c r="Q335" i="541" s="1"/>
  <c r="P199" i="541"/>
  <c r="O199" i="541"/>
  <c r="I199" i="541"/>
  <c r="I335" i="541" s="1"/>
  <c r="B343" i="541" s="1"/>
  <c r="G199" i="541"/>
  <c r="G335" i="541" s="1"/>
  <c r="V198" i="541"/>
  <c r="W198" i="541" s="1"/>
  <c r="N198" i="541"/>
  <c r="K198" i="541" a="1"/>
  <c r="K198" i="541" s="1"/>
  <c r="M198" i="541" s="1"/>
  <c r="J198" i="541" a="1"/>
  <c r="J198" i="541" s="1"/>
  <c r="H198" i="541"/>
  <c r="V197" i="541"/>
  <c r="W197" i="541" s="1"/>
  <c r="N197" i="541"/>
  <c r="K197" i="541" a="1"/>
  <c r="K197" i="541" s="1"/>
  <c r="M197" i="541" s="1"/>
  <c r="J197" i="541" a="1"/>
  <c r="J197" i="541" s="1"/>
  <c r="H197" i="541"/>
  <c r="K196" i="541"/>
  <c r="M196" i="541" s="1"/>
  <c r="K196" i="541" a="1"/>
  <c r="H196" i="541"/>
  <c r="K195" i="541" a="1"/>
  <c r="K195" i="541" s="1"/>
  <c r="M195" i="541" s="1"/>
  <c r="H195" i="541"/>
  <c r="K194" i="541"/>
  <c r="M194" i="541" s="1"/>
  <c r="K194" i="541" a="1"/>
  <c r="H194" i="541"/>
  <c r="K193" i="541" a="1"/>
  <c r="K193" i="541" s="1"/>
  <c r="M193" i="541" s="1"/>
  <c r="H193" i="541"/>
  <c r="V192" i="541"/>
  <c r="W192" i="541" s="1"/>
  <c r="N192" i="541"/>
  <c r="K192" i="541" a="1"/>
  <c r="K192" i="541" s="1"/>
  <c r="M192" i="541" s="1"/>
  <c r="J192" i="541" a="1"/>
  <c r="J192" i="541" s="1"/>
  <c r="H192" i="541"/>
  <c r="V191" i="541"/>
  <c r="W191" i="541" s="1"/>
  <c r="N191" i="541"/>
  <c r="K191" i="541" a="1"/>
  <c r="K191" i="541" s="1"/>
  <c r="M191" i="541" s="1"/>
  <c r="J191" i="541" a="1"/>
  <c r="J191" i="541" s="1"/>
  <c r="H191" i="541"/>
  <c r="V190" i="541"/>
  <c r="W190" i="541" s="1"/>
  <c r="N190" i="541"/>
  <c r="K190" i="541" a="1"/>
  <c r="K190" i="541" s="1"/>
  <c r="M190" i="541" s="1"/>
  <c r="J190" i="541" a="1"/>
  <c r="J190" i="541" s="1"/>
  <c r="H190" i="541"/>
  <c r="N189" i="541"/>
  <c r="K189" i="541" a="1"/>
  <c r="K189" i="541" s="1"/>
  <c r="M189" i="541" s="1"/>
  <c r="J189" i="541" a="1"/>
  <c r="J189" i="541" s="1"/>
  <c r="H189" i="541"/>
  <c r="N188" i="541"/>
  <c r="K188" i="541" a="1"/>
  <c r="K188" i="541" s="1"/>
  <c r="M188" i="541" s="1"/>
  <c r="J188" i="541" a="1"/>
  <c r="J188" i="541" s="1"/>
  <c r="H188" i="541"/>
  <c r="W187" i="541"/>
  <c r="V187" i="541"/>
  <c r="N187" i="541"/>
  <c r="K187" i="541"/>
  <c r="M187" i="541" s="1"/>
  <c r="K187" i="541" a="1"/>
  <c r="J187" i="541" a="1"/>
  <c r="J187" i="541" s="1"/>
  <c r="H187" i="541"/>
  <c r="V186" i="541"/>
  <c r="W186" i="541" s="1"/>
  <c r="N186" i="541"/>
  <c r="K186" i="541" a="1"/>
  <c r="K186" i="541" s="1"/>
  <c r="M186" i="541" s="1"/>
  <c r="J186" i="541" a="1"/>
  <c r="J186" i="541" s="1"/>
  <c r="H186" i="541"/>
  <c r="N185" i="541"/>
  <c r="K185" i="541" a="1"/>
  <c r="K185" i="541" s="1"/>
  <c r="M185" i="541" s="1"/>
  <c r="H185" i="541"/>
  <c r="N184" i="541"/>
  <c r="K184" i="541" a="1"/>
  <c r="K184" i="541" s="1"/>
  <c r="M184" i="541" s="1"/>
  <c r="H184" i="541"/>
  <c r="V183" i="541"/>
  <c r="W183" i="541" s="1"/>
  <c r="N183" i="541"/>
  <c r="K183" i="541" a="1"/>
  <c r="K183" i="541" s="1"/>
  <c r="M183" i="541" s="1"/>
  <c r="J183" i="541" a="1"/>
  <c r="J183" i="541" s="1"/>
  <c r="H183" i="541"/>
  <c r="V182" i="541"/>
  <c r="W182" i="541" s="1"/>
  <c r="N182" i="541"/>
  <c r="K182" i="541" a="1"/>
  <c r="K182" i="541" s="1"/>
  <c r="M182" i="541" s="1"/>
  <c r="J182" i="541" a="1"/>
  <c r="J182" i="541" s="1"/>
  <c r="H182" i="541"/>
  <c r="V181" i="541"/>
  <c r="W181" i="541" s="1"/>
  <c r="N181" i="541"/>
  <c r="K181" i="541" a="1"/>
  <c r="K181" i="541" s="1"/>
  <c r="M181" i="541" s="1"/>
  <c r="J181" i="541" a="1"/>
  <c r="J181" i="541" s="1"/>
  <c r="H181" i="541"/>
  <c r="V180" i="541"/>
  <c r="W180" i="541" s="1"/>
  <c r="N180" i="541"/>
  <c r="K180" i="541" a="1"/>
  <c r="K180" i="541" s="1"/>
  <c r="M180" i="541" s="1"/>
  <c r="J180" i="541" a="1"/>
  <c r="J180" i="541" s="1"/>
  <c r="H180" i="541"/>
  <c r="V179" i="541"/>
  <c r="W179" i="541" s="1"/>
  <c r="N179" i="541"/>
  <c r="K179" i="541" a="1"/>
  <c r="K179" i="541" s="1"/>
  <c r="M179" i="541" s="1"/>
  <c r="J179" i="541" a="1"/>
  <c r="J179" i="541" s="1"/>
  <c r="H179" i="541"/>
  <c r="V178" i="541"/>
  <c r="V199" i="541" s="1"/>
  <c r="N178" i="541"/>
  <c r="K178" i="541" a="1"/>
  <c r="K178" i="541" s="1"/>
  <c r="J178" i="541" a="1"/>
  <c r="J178" i="541" s="1"/>
  <c r="H178" i="541"/>
  <c r="X171" i="541"/>
  <c r="Q529" i="541" s="1"/>
  <c r="X170" i="541"/>
  <c r="Q528" i="541" s="1"/>
  <c r="G170" i="541"/>
  <c r="C170" i="541"/>
  <c r="X169" i="541"/>
  <c r="Q527" i="541" s="1"/>
  <c r="I169" i="541"/>
  <c r="E169" i="541"/>
  <c r="K169" i="541" s="1"/>
  <c r="M169" i="541" s="1"/>
  <c r="I168" i="541"/>
  <c r="E168" i="541"/>
  <c r="K168" i="541" s="1"/>
  <c r="M168" i="541" s="1"/>
  <c r="I167" i="541"/>
  <c r="E167" i="541"/>
  <c r="K167" i="541" s="1"/>
  <c r="M167" i="541" s="1"/>
  <c r="X166" i="541"/>
  <c r="Q524" i="541" s="1"/>
  <c r="I166" i="541"/>
  <c r="I170" i="541" s="1"/>
  <c r="E166" i="541"/>
  <c r="E170" i="541" s="1"/>
  <c r="AA163" i="541"/>
  <c r="Z163" i="541"/>
  <c r="Y163" i="541"/>
  <c r="X163" i="541"/>
  <c r="U163" i="541"/>
  <c r="T163" i="541"/>
  <c r="S163" i="541"/>
  <c r="R163" i="541"/>
  <c r="Q163" i="541"/>
  <c r="P163" i="541"/>
  <c r="O163" i="541"/>
  <c r="R171" i="541" s="1"/>
  <c r="I163" i="541"/>
  <c r="G163" i="541"/>
  <c r="C529" i="541" s="1"/>
  <c r="H162" i="541"/>
  <c r="H161" i="541"/>
  <c r="H160" i="541"/>
  <c r="V159" i="541"/>
  <c r="W159" i="541" s="1"/>
  <c r="N159" i="541"/>
  <c r="K159" i="541"/>
  <c r="K159" i="541" a="1"/>
  <c r="J159" i="541" a="1"/>
  <c r="J159" i="541" s="1"/>
  <c r="H159" i="541"/>
  <c r="D159" i="541"/>
  <c r="V158" i="541"/>
  <c r="W158" i="541" s="1"/>
  <c r="N158" i="541"/>
  <c r="K158" i="541" a="1"/>
  <c r="K158" i="541" s="1"/>
  <c r="M158" i="541" s="1"/>
  <c r="J158" i="541" a="1"/>
  <c r="J158" i="541" s="1"/>
  <c r="H158" i="541"/>
  <c r="H157" i="541"/>
  <c r="H156" i="541"/>
  <c r="V155" i="541"/>
  <c r="W155" i="541" s="1"/>
  <c r="N155" i="541"/>
  <c r="K155" i="541" a="1"/>
  <c r="K155" i="541" s="1"/>
  <c r="M155" i="541" s="1"/>
  <c r="J155" i="541" a="1"/>
  <c r="J155" i="541" s="1"/>
  <c r="H155" i="541"/>
  <c r="V154" i="541"/>
  <c r="W154" i="541" s="1"/>
  <c r="N154" i="541"/>
  <c r="K154" i="541"/>
  <c r="M154" i="541" s="1"/>
  <c r="K154" i="541" a="1"/>
  <c r="J154" i="541"/>
  <c r="J154" i="541" a="1"/>
  <c r="H154" i="541"/>
  <c r="H153" i="541"/>
  <c r="V152" i="541"/>
  <c r="W152" i="541" s="1"/>
  <c r="N152" i="541"/>
  <c r="K152" i="541" a="1"/>
  <c r="K152" i="541" s="1"/>
  <c r="M152" i="541" s="1"/>
  <c r="J152" i="541" a="1"/>
  <c r="J152" i="541" s="1"/>
  <c r="H152" i="541"/>
  <c r="V151" i="541"/>
  <c r="W151" i="541" s="1"/>
  <c r="N151" i="541"/>
  <c r="K151" i="541" a="1"/>
  <c r="K151" i="541" s="1"/>
  <c r="M151" i="541" s="1"/>
  <c r="J151" i="541" a="1"/>
  <c r="J151" i="541" s="1"/>
  <c r="H151" i="541"/>
  <c r="V150" i="541"/>
  <c r="W150" i="541" s="1"/>
  <c r="N150" i="541"/>
  <c r="K150" i="541"/>
  <c r="M150" i="541" s="1"/>
  <c r="K150" i="541" a="1"/>
  <c r="J150" i="541"/>
  <c r="J150" i="541" a="1"/>
  <c r="H150" i="541"/>
  <c r="V149" i="541"/>
  <c r="W149" i="541" s="1"/>
  <c r="N149" i="541"/>
  <c r="K149" i="541" a="1"/>
  <c r="K149" i="541" s="1"/>
  <c r="J149" i="541" a="1"/>
  <c r="J149" i="541" s="1"/>
  <c r="H149" i="541"/>
  <c r="AA148" i="541"/>
  <c r="Z148" i="541"/>
  <c r="Y148" i="541"/>
  <c r="X148" i="541"/>
  <c r="U148" i="541"/>
  <c r="T148" i="541"/>
  <c r="S148" i="541"/>
  <c r="Q148" i="541"/>
  <c r="P148" i="541"/>
  <c r="O148" i="541"/>
  <c r="I148" i="541"/>
  <c r="G148" i="541"/>
  <c r="C528" i="541" s="1"/>
  <c r="V147" i="541"/>
  <c r="W147" i="541" s="1"/>
  <c r="N147" i="541"/>
  <c r="K147" i="541" a="1"/>
  <c r="K147" i="541" s="1"/>
  <c r="M147" i="541" s="1"/>
  <c r="J147" i="541" a="1"/>
  <c r="J147" i="541" s="1"/>
  <c r="H147" i="541"/>
  <c r="K145" i="541" a="1"/>
  <c r="K145" i="541" s="1"/>
  <c r="H145" i="541"/>
  <c r="K144" i="541" a="1"/>
  <c r="K144" i="541" s="1"/>
  <c r="H144" i="541"/>
  <c r="K143" i="541" a="1"/>
  <c r="K143" i="541" s="1"/>
  <c r="H143" i="541"/>
  <c r="V142" i="541"/>
  <c r="W142" i="541" s="1"/>
  <c r="N142" i="541"/>
  <c r="K142" i="541"/>
  <c r="M142" i="541" s="1"/>
  <c r="K142" i="541" a="1"/>
  <c r="J142" i="541" a="1"/>
  <c r="J142" i="541" s="1"/>
  <c r="H142" i="541"/>
  <c r="V141" i="541"/>
  <c r="W141" i="541" s="1"/>
  <c r="N141" i="541"/>
  <c r="K141" i="541" a="1"/>
  <c r="K141" i="541" s="1"/>
  <c r="M141" i="541" s="1"/>
  <c r="J141" i="541" a="1"/>
  <c r="J141" i="541" s="1"/>
  <c r="H141" i="541"/>
  <c r="V140" i="541"/>
  <c r="W140" i="541" s="1"/>
  <c r="N140" i="541"/>
  <c r="K140" i="541"/>
  <c r="M140" i="541" s="1"/>
  <c r="K140" i="541" a="1"/>
  <c r="J140" i="541" a="1"/>
  <c r="J140" i="541" s="1"/>
  <c r="H140" i="541"/>
  <c r="V139" i="541"/>
  <c r="W139" i="541" s="1"/>
  <c r="N139" i="541"/>
  <c r="K139" i="541" a="1"/>
  <c r="K139" i="541" s="1"/>
  <c r="M139" i="541" s="1"/>
  <c r="J139" i="541" a="1"/>
  <c r="J139" i="541" s="1"/>
  <c r="H139" i="541"/>
  <c r="V138" i="541"/>
  <c r="V148" i="541" s="1"/>
  <c r="W148" i="541" s="1"/>
  <c r="N138" i="541"/>
  <c r="K138" i="541"/>
  <c r="M138" i="541" s="1"/>
  <c r="K138" i="541" a="1"/>
  <c r="J138" i="541" a="1"/>
  <c r="J138" i="541" s="1"/>
  <c r="H138" i="541"/>
  <c r="AA137" i="541"/>
  <c r="Z137" i="541"/>
  <c r="Y137" i="541"/>
  <c r="X137" i="541"/>
  <c r="U137" i="541"/>
  <c r="T137" i="541"/>
  <c r="S137" i="541"/>
  <c r="Q137" i="541"/>
  <c r="P137" i="541"/>
  <c r="O137" i="541"/>
  <c r="I137" i="541"/>
  <c r="G137" i="541"/>
  <c r="C527" i="541" s="1"/>
  <c r="V136" i="541"/>
  <c r="W136" i="541" s="1"/>
  <c r="N136" i="541"/>
  <c r="K136" i="541" a="1"/>
  <c r="K136" i="541" s="1"/>
  <c r="M136" i="541" s="1"/>
  <c r="J136" i="541" a="1"/>
  <c r="J136" i="541" s="1"/>
  <c r="H136" i="541"/>
  <c r="V135" i="541"/>
  <c r="W135" i="541" s="1"/>
  <c r="N135" i="541"/>
  <c r="K135" i="541" a="1"/>
  <c r="K135" i="541" s="1"/>
  <c r="M135" i="541" s="1"/>
  <c r="J135" i="541" a="1"/>
  <c r="J135" i="541" s="1"/>
  <c r="H135" i="541"/>
  <c r="V134" i="541"/>
  <c r="W134" i="541" s="1"/>
  <c r="N134" i="541"/>
  <c r="K134" i="541" a="1"/>
  <c r="K134" i="541" s="1"/>
  <c r="M134" i="541" s="1"/>
  <c r="J134" i="541" a="1"/>
  <c r="J134" i="541" s="1"/>
  <c r="H134" i="541"/>
  <c r="V133" i="541"/>
  <c r="W133" i="541" s="1"/>
  <c r="N133" i="541"/>
  <c r="K133" i="541"/>
  <c r="M133" i="541" s="1"/>
  <c r="K133" i="541" a="1"/>
  <c r="J133" i="541"/>
  <c r="J133" i="541" a="1"/>
  <c r="H133" i="541"/>
  <c r="V132" i="541"/>
  <c r="W132" i="541" s="1"/>
  <c r="N132" i="541"/>
  <c r="K132" i="541" a="1"/>
  <c r="K132" i="541" s="1"/>
  <c r="M132" i="541" s="1"/>
  <c r="J132" i="541" a="1"/>
  <c r="J132" i="541" s="1"/>
  <c r="H132" i="541"/>
  <c r="V131" i="541"/>
  <c r="W131" i="541" s="1"/>
  <c r="N131" i="541"/>
  <c r="K131" i="541" a="1"/>
  <c r="K131" i="541" s="1"/>
  <c r="M131" i="541" s="1"/>
  <c r="J131" i="541" a="1"/>
  <c r="J131" i="541" s="1"/>
  <c r="H131" i="541"/>
  <c r="V130" i="541"/>
  <c r="W130" i="541" s="1"/>
  <c r="N130" i="541"/>
  <c r="K130" i="541" a="1"/>
  <c r="K130" i="541" s="1"/>
  <c r="M130" i="541" s="1"/>
  <c r="J130" i="541" a="1"/>
  <c r="J130" i="541" s="1"/>
  <c r="H130" i="541"/>
  <c r="V129" i="541"/>
  <c r="W129" i="541" s="1"/>
  <c r="N129" i="541"/>
  <c r="K129" i="541"/>
  <c r="M129" i="541" s="1"/>
  <c r="K129" i="541" a="1"/>
  <c r="J129" i="541"/>
  <c r="J129" i="541" a="1"/>
  <c r="H129" i="541"/>
  <c r="V128" i="541"/>
  <c r="W128" i="541" s="1"/>
  <c r="N128" i="541"/>
  <c r="K128" i="541" a="1"/>
  <c r="K128" i="541" s="1"/>
  <c r="M128" i="541" s="1"/>
  <c r="J128" i="541" a="1"/>
  <c r="J128" i="541" s="1"/>
  <c r="H128" i="541"/>
  <c r="V127" i="541"/>
  <c r="W127" i="541" s="1"/>
  <c r="N127" i="541"/>
  <c r="K127" i="541" a="1"/>
  <c r="K127" i="541" s="1"/>
  <c r="M127" i="541" s="1"/>
  <c r="J127" i="541" a="1"/>
  <c r="J127" i="541" s="1"/>
  <c r="H127" i="541"/>
  <c r="V126" i="541"/>
  <c r="W126" i="541" s="1"/>
  <c r="N126" i="541"/>
  <c r="K126" i="541" a="1"/>
  <c r="K126" i="541" s="1"/>
  <c r="M126" i="541" s="1"/>
  <c r="J126" i="541" a="1"/>
  <c r="J126" i="541" s="1"/>
  <c r="H126" i="541"/>
  <c r="V125" i="541"/>
  <c r="W125" i="541" s="1"/>
  <c r="N125" i="541"/>
  <c r="K125" i="541"/>
  <c r="M125" i="541" s="1"/>
  <c r="K125" i="541" a="1"/>
  <c r="J125" i="541"/>
  <c r="J125" i="541" a="1"/>
  <c r="H125" i="541"/>
  <c r="V124" i="541"/>
  <c r="W124" i="541" s="1"/>
  <c r="N124" i="541"/>
  <c r="K124" i="541" a="1"/>
  <c r="K124" i="541" s="1"/>
  <c r="M124" i="541" s="1"/>
  <c r="J124" i="541" a="1"/>
  <c r="J124" i="541" s="1"/>
  <c r="H124" i="541"/>
  <c r="V123" i="541"/>
  <c r="W123" i="541" s="1"/>
  <c r="N123" i="541"/>
  <c r="K123" i="541" a="1"/>
  <c r="K123" i="541" s="1"/>
  <c r="M123" i="541" s="1"/>
  <c r="J123" i="541" a="1"/>
  <c r="J123" i="541" s="1"/>
  <c r="H123" i="541"/>
  <c r="V122" i="541"/>
  <c r="W122" i="541" s="1"/>
  <c r="N122" i="541"/>
  <c r="K122" i="541" a="1"/>
  <c r="K122" i="541" s="1"/>
  <c r="J122" i="541" a="1"/>
  <c r="J122" i="541" s="1"/>
  <c r="H122" i="541"/>
  <c r="AA121" i="541"/>
  <c r="Z121" i="541"/>
  <c r="Y121" i="541"/>
  <c r="X121" i="541"/>
  <c r="U121" i="541"/>
  <c r="T121" i="541"/>
  <c r="S121" i="541"/>
  <c r="R121" i="541"/>
  <c r="Q121" i="541"/>
  <c r="P121" i="541"/>
  <c r="O121" i="541"/>
  <c r="I121" i="541"/>
  <c r="G121" i="541"/>
  <c r="C526" i="541" s="1"/>
  <c r="V120" i="541"/>
  <c r="W120" i="541" s="1"/>
  <c r="N120" i="541"/>
  <c r="K120" i="541" a="1"/>
  <c r="K120" i="541" s="1"/>
  <c r="M120" i="541" s="1"/>
  <c r="J120" i="541" a="1"/>
  <c r="J120" i="541" s="1"/>
  <c r="H120" i="541"/>
  <c r="V119" i="541"/>
  <c r="W119" i="541" s="1"/>
  <c r="N119" i="541"/>
  <c r="K119" i="541"/>
  <c r="M119" i="541" s="1"/>
  <c r="K119" i="541" a="1"/>
  <c r="J119" i="541"/>
  <c r="J119" i="541" a="1"/>
  <c r="H119" i="541"/>
  <c r="V118" i="541"/>
  <c r="W118" i="541" s="1"/>
  <c r="N118" i="541"/>
  <c r="K118" i="541" a="1"/>
  <c r="K118" i="541" s="1"/>
  <c r="M118" i="541" s="1"/>
  <c r="J118" i="541" a="1"/>
  <c r="J118" i="541" s="1"/>
  <c r="H118" i="541"/>
  <c r="K117" i="541" a="1"/>
  <c r="K117" i="541" s="1"/>
  <c r="H117" i="541"/>
  <c r="K116" i="541" a="1"/>
  <c r="K116" i="541" s="1"/>
  <c r="H116" i="541"/>
  <c r="K115" i="541" a="1"/>
  <c r="K115" i="541" s="1"/>
  <c r="H115" i="541"/>
  <c r="V114" i="541"/>
  <c r="W114" i="541" s="1"/>
  <c r="N114" i="541"/>
  <c r="K114" i="541" a="1"/>
  <c r="K114" i="541" s="1"/>
  <c r="M114" i="541" s="1"/>
  <c r="H114" i="541"/>
  <c r="V113" i="541"/>
  <c r="W113" i="541" s="1"/>
  <c r="N113" i="541"/>
  <c r="K113" i="541"/>
  <c r="M113" i="541" s="1"/>
  <c r="K113" i="541" a="1"/>
  <c r="H113" i="541"/>
  <c r="N112" i="541"/>
  <c r="K112" i="541" a="1"/>
  <c r="K112" i="541" s="1"/>
  <c r="M112" i="541" s="1"/>
  <c r="H112" i="541"/>
  <c r="N111" i="541"/>
  <c r="K111" i="541" a="1"/>
  <c r="K111" i="541" s="1"/>
  <c r="M111" i="541" s="1"/>
  <c r="H111" i="541"/>
  <c r="N110" i="541"/>
  <c r="K110" i="541" a="1"/>
  <c r="K110" i="541" s="1"/>
  <c r="M110" i="541" s="1"/>
  <c r="H110" i="541"/>
  <c r="N109" i="541"/>
  <c r="K109" i="541"/>
  <c r="M109" i="541" s="1"/>
  <c r="K109" i="541" a="1"/>
  <c r="H109" i="541"/>
  <c r="N108" i="541"/>
  <c r="K108" i="541" a="1"/>
  <c r="K108" i="541" s="1"/>
  <c r="M108" i="541" s="1"/>
  <c r="H108" i="541"/>
  <c r="N107" i="541"/>
  <c r="K107" i="541" a="1"/>
  <c r="K107" i="541" s="1"/>
  <c r="M107" i="541" s="1"/>
  <c r="H107" i="541"/>
  <c r="V106" i="541"/>
  <c r="W106" i="541" s="1"/>
  <c r="N106" i="541"/>
  <c r="K106" i="541" a="1"/>
  <c r="K106" i="541" s="1"/>
  <c r="M106" i="541" s="1"/>
  <c r="H106" i="541"/>
  <c r="V105" i="541"/>
  <c r="W105" i="541" s="1"/>
  <c r="N105" i="541"/>
  <c r="K105" i="541"/>
  <c r="M105" i="541" s="1"/>
  <c r="K105" i="541" a="1"/>
  <c r="H105" i="541"/>
  <c r="V104" i="541"/>
  <c r="W104" i="541" s="1"/>
  <c r="N104" i="541"/>
  <c r="K104" i="541" a="1"/>
  <c r="K104" i="541" s="1"/>
  <c r="M104" i="541" s="1"/>
  <c r="H104" i="541"/>
  <c r="V103" i="541"/>
  <c r="W103" i="541" s="1"/>
  <c r="N103" i="541"/>
  <c r="K103" i="541" a="1"/>
  <c r="K103" i="541" s="1"/>
  <c r="M103" i="541" s="1"/>
  <c r="H103" i="541"/>
  <c r="V102" i="541"/>
  <c r="W102" i="541" s="1"/>
  <c r="N102" i="541"/>
  <c r="K102" i="541" a="1"/>
  <c r="K102" i="541" s="1"/>
  <c r="M102" i="541" s="1"/>
  <c r="H102" i="541"/>
  <c r="V101" i="541"/>
  <c r="W101" i="541" s="1"/>
  <c r="N101" i="541"/>
  <c r="K101" i="541"/>
  <c r="M101" i="541" s="1"/>
  <c r="K101" i="541" a="1"/>
  <c r="H101" i="541"/>
  <c r="V100" i="541"/>
  <c r="W100" i="541" s="1"/>
  <c r="N100" i="541"/>
  <c r="K100" i="541" a="1"/>
  <c r="K100" i="541" s="1"/>
  <c r="M100" i="541" s="1"/>
  <c r="H100" i="541"/>
  <c r="V99" i="541"/>
  <c r="W99" i="541" s="1"/>
  <c r="N99" i="541"/>
  <c r="K99" i="541" a="1"/>
  <c r="K99" i="541" s="1"/>
  <c r="M99" i="541" s="1"/>
  <c r="H99" i="541"/>
  <c r="V98" i="541"/>
  <c r="W98" i="541" s="1"/>
  <c r="N98" i="541"/>
  <c r="K98" i="541" a="1"/>
  <c r="K98" i="541" s="1"/>
  <c r="M98" i="541" s="1"/>
  <c r="H98" i="541"/>
  <c r="V97" i="541"/>
  <c r="W97" i="541" s="1"/>
  <c r="N97" i="541"/>
  <c r="K97" i="541"/>
  <c r="M97" i="541" s="1"/>
  <c r="K97" i="541" a="1"/>
  <c r="H97" i="541"/>
  <c r="V96" i="541"/>
  <c r="W96" i="541" s="1"/>
  <c r="N96" i="541"/>
  <c r="K96" i="541" a="1"/>
  <c r="K96" i="541" s="1"/>
  <c r="M96" i="541" s="1"/>
  <c r="H96" i="541"/>
  <c r="V95" i="541"/>
  <c r="W95" i="541" s="1"/>
  <c r="N95" i="541"/>
  <c r="K95" i="541" a="1"/>
  <c r="K95" i="541" s="1"/>
  <c r="M95" i="541" s="1"/>
  <c r="H95" i="541"/>
  <c r="K94" i="541" a="1"/>
  <c r="K94" i="541" s="1"/>
  <c r="M94" i="541" s="1"/>
  <c r="H94" i="541"/>
  <c r="V93" i="541"/>
  <c r="W93" i="541" s="1"/>
  <c r="N93" i="541"/>
  <c r="K93" i="541" a="1"/>
  <c r="K93" i="541" s="1"/>
  <c r="M93" i="541" s="1"/>
  <c r="J93" i="541" a="1"/>
  <c r="J93" i="541" s="1"/>
  <c r="H93" i="541"/>
  <c r="V92" i="541"/>
  <c r="W92" i="541" s="1"/>
  <c r="N92" i="541"/>
  <c r="K92" i="541"/>
  <c r="M92" i="541" s="1"/>
  <c r="K92" i="541" a="1"/>
  <c r="J92" i="541"/>
  <c r="J92" i="541" a="1"/>
  <c r="H92" i="541"/>
  <c r="V91" i="541"/>
  <c r="W91" i="541" s="1"/>
  <c r="N91" i="541"/>
  <c r="K91" i="541" a="1"/>
  <c r="K91" i="541" s="1"/>
  <c r="M91" i="541" s="1"/>
  <c r="J91" i="541" a="1"/>
  <c r="J91" i="541" s="1"/>
  <c r="H91" i="541"/>
  <c r="V90" i="541"/>
  <c r="W90" i="541" s="1"/>
  <c r="N90" i="541"/>
  <c r="K90" i="541" a="1"/>
  <c r="K90" i="541" s="1"/>
  <c r="M90" i="541" s="1"/>
  <c r="J90" i="541" a="1"/>
  <c r="J90" i="541" s="1"/>
  <c r="H90" i="541"/>
  <c r="V89" i="541"/>
  <c r="W89" i="541" s="1"/>
  <c r="N89" i="541"/>
  <c r="K89" i="541" a="1"/>
  <c r="K89" i="541" s="1"/>
  <c r="M89" i="541" s="1"/>
  <c r="J89" i="541" a="1"/>
  <c r="J89" i="541" s="1"/>
  <c r="H89" i="541"/>
  <c r="V88" i="541"/>
  <c r="W88" i="541" s="1"/>
  <c r="N88" i="541"/>
  <c r="K88" i="541"/>
  <c r="M88" i="541" s="1"/>
  <c r="K88" i="541" a="1"/>
  <c r="J88" i="541"/>
  <c r="J88" i="541" a="1"/>
  <c r="H88" i="541"/>
  <c r="V87" i="541"/>
  <c r="N87" i="541"/>
  <c r="K87" i="541" a="1"/>
  <c r="K87" i="541" s="1"/>
  <c r="J87" i="541" a="1"/>
  <c r="J87" i="541" s="1"/>
  <c r="H87" i="541"/>
  <c r="AA86" i="541"/>
  <c r="Z86" i="541"/>
  <c r="Y86" i="541"/>
  <c r="X86" i="541"/>
  <c r="U86" i="541"/>
  <c r="T86" i="541"/>
  <c r="S86" i="541"/>
  <c r="R86" i="541"/>
  <c r="Q86" i="541"/>
  <c r="P86" i="541"/>
  <c r="O86" i="541"/>
  <c r="R167" i="541" s="1"/>
  <c r="I86" i="541"/>
  <c r="G86" i="541"/>
  <c r="C525" i="541" s="1"/>
  <c r="K85" i="541" a="1"/>
  <c r="K85" i="541" s="1"/>
  <c r="H85" i="541"/>
  <c r="K84" i="541"/>
  <c r="K84" i="541" a="1"/>
  <c r="H84" i="541"/>
  <c r="K83" i="541" a="1"/>
  <c r="K83" i="541" s="1"/>
  <c r="H83" i="541"/>
  <c r="K82" i="541" a="1"/>
  <c r="K82" i="541" s="1"/>
  <c r="H82" i="541"/>
  <c r="K81" i="541" a="1"/>
  <c r="K81" i="541" s="1"/>
  <c r="H81" i="541"/>
  <c r="K80" i="541"/>
  <c r="K80" i="541" a="1"/>
  <c r="H80" i="541"/>
  <c r="K79" i="541" a="1"/>
  <c r="K79" i="541" s="1"/>
  <c r="M79" i="541" s="1"/>
  <c r="H79" i="541"/>
  <c r="K78" i="541"/>
  <c r="M78" i="541" s="1"/>
  <c r="K78" i="541" a="1"/>
  <c r="H78" i="541"/>
  <c r="K77" i="541" a="1"/>
  <c r="K77" i="541" s="1"/>
  <c r="M77" i="541" s="1"/>
  <c r="H77" i="541"/>
  <c r="K76" i="541" a="1"/>
  <c r="K76" i="541" s="1"/>
  <c r="M76" i="541" s="1"/>
  <c r="H76" i="541"/>
  <c r="V75" i="541"/>
  <c r="W75" i="541" s="1"/>
  <c r="N75" i="541"/>
  <c r="K75" i="541" a="1"/>
  <c r="K75" i="541" s="1"/>
  <c r="M75" i="541" s="1"/>
  <c r="J75" i="541" a="1"/>
  <c r="J75" i="541" s="1"/>
  <c r="H75" i="541"/>
  <c r="V74" i="541"/>
  <c r="W74" i="541" s="1"/>
  <c r="N74" i="541"/>
  <c r="K74" i="541"/>
  <c r="M74" i="541" s="1"/>
  <c r="K74" i="541" a="1"/>
  <c r="J74" i="541" a="1"/>
  <c r="J74" i="541" s="1"/>
  <c r="H74" i="541"/>
  <c r="V73" i="541"/>
  <c r="W73" i="541" s="1"/>
  <c r="N73" i="541"/>
  <c r="K73" i="541" a="1"/>
  <c r="K73" i="541" s="1"/>
  <c r="M73" i="541" s="1"/>
  <c r="J73" i="541" a="1"/>
  <c r="J73" i="541" s="1"/>
  <c r="H73" i="541"/>
  <c r="V72" i="541"/>
  <c r="W72" i="541" s="1"/>
  <c r="N72" i="541"/>
  <c r="K72" i="541"/>
  <c r="M72" i="541" s="1"/>
  <c r="K72" i="541" a="1"/>
  <c r="J72" i="541" a="1"/>
  <c r="J72" i="541" s="1"/>
  <c r="H72" i="541"/>
  <c r="H71" i="541"/>
  <c r="V70" i="541"/>
  <c r="W70" i="541" s="1"/>
  <c r="N70" i="541"/>
  <c r="K70" i="541" a="1"/>
  <c r="K70" i="541" s="1"/>
  <c r="M70" i="541" s="1"/>
  <c r="J70" i="541" a="1"/>
  <c r="J70" i="541" s="1"/>
  <c r="H70" i="541"/>
  <c r="V69" i="541"/>
  <c r="W69" i="541" s="1"/>
  <c r="N69" i="541"/>
  <c r="K69" i="541" a="1"/>
  <c r="K69" i="541" s="1"/>
  <c r="M69" i="541" s="1"/>
  <c r="J69" i="541" a="1"/>
  <c r="J69" i="541" s="1"/>
  <c r="H69" i="541"/>
  <c r="K68" i="541" a="1"/>
  <c r="K68" i="541" s="1"/>
  <c r="H68" i="541"/>
  <c r="K67" i="541"/>
  <c r="K67" i="541" a="1"/>
  <c r="H67" i="541"/>
  <c r="V66" i="541"/>
  <c r="W66" i="541" s="1"/>
  <c r="N66" i="541"/>
  <c r="K66" i="541" a="1"/>
  <c r="K66" i="541" s="1"/>
  <c r="M66" i="541" s="1"/>
  <c r="J66" i="541" a="1"/>
  <c r="J66" i="541" s="1"/>
  <c r="H66" i="541"/>
  <c r="V65" i="541"/>
  <c r="W65" i="541" s="1"/>
  <c r="N65" i="541"/>
  <c r="K65" i="541" a="1"/>
  <c r="K65" i="541" s="1"/>
  <c r="M65" i="541" s="1"/>
  <c r="J65" i="541" a="1"/>
  <c r="J65" i="541" s="1"/>
  <c r="H65" i="541"/>
  <c r="V64" i="541"/>
  <c r="W64" i="541" s="1"/>
  <c r="N64" i="541"/>
  <c r="K64" i="541" a="1"/>
  <c r="K64" i="541" s="1"/>
  <c r="M64" i="541" s="1"/>
  <c r="J64" i="541" a="1"/>
  <c r="J64" i="541" s="1"/>
  <c r="H64" i="541"/>
  <c r="V63" i="541"/>
  <c r="W63" i="541" s="1"/>
  <c r="N63" i="541"/>
  <c r="K63" i="541" a="1"/>
  <c r="K63" i="541" s="1"/>
  <c r="M63" i="541" s="1"/>
  <c r="J63" i="541" a="1"/>
  <c r="J63" i="541" s="1"/>
  <c r="H63" i="541"/>
  <c r="V62" i="541"/>
  <c r="W62" i="541" s="1"/>
  <c r="N62" i="541"/>
  <c r="K62" i="541" a="1"/>
  <c r="K62" i="541" s="1"/>
  <c r="M62" i="541" s="1"/>
  <c r="J62" i="541" a="1"/>
  <c r="J62" i="541" s="1"/>
  <c r="H62" i="541"/>
  <c r="V61" i="541"/>
  <c r="W61" i="541" s="1"/>
  <c r="N61" i="541"/>
  <c r="K61" i="541" a="1"/>
  <c r="K61" i="541" s="1"/>
  <c r="M61" i="541" s="1"/>
  <c r="J61" i="541" a="1"/>
  <c r="J61" i="541" s="1"/>
  <c r="H61" i="541"/>
  <c r="V60" i="541"/>
  <c r="W60" i="541" s="1"/>
  <c r="N60" i="541"/>
  <c r="K60" i="541" a="1"/>
  <c r="K60" i="541" s="1"/>
  <c r="M60" i="541" s="1"/>
  <c r="J60" i="541" a="1"/>
  <c r="J60" i="541" s="1"/>
  <c r="H60" i="541"/>
  <c r="V59" i="541"/>
  <c r="W59" i="541" s="1"/>
  <c r="N59" i="541"/>
  <c r="K59" i="541" a="1"/>
  <c r="K59" i="541" s="1"/>
  <c r="M59" i="541" s="1"/>
  <c r="J59" i="541" a="1"/>
  <c r="J59" i="541" s="1"/>
  <c r="H59" i="541"/>
  <c r="V58" i="541"/>
  <c r="W58" i="541" s="1"/>
  <c r="N58" i="541"/>
  <c r="K58" i="541" a="1"/>
  <c r="K58" i="541" s="1"/>
  <c r="M58" i="541" s="1"/>
  <c r="J58" i="541" a="1"/>
  <c r="J58" i="541" s="1"/>
  <c r="H58" i="541"/>
  <c r="V57" i="541"/>
  <c r="W57" i="541" s="1"/>
  <c r="N57" i="541"/>
  <c r="K57" i="541" a="1"/>
  <c r="K57" i="541" s="1"/>
  <c r="M57" i="541" s="1"/>
  <c r="J57" i="541" a="1"/>
  <c r="J57" i="541" s="1"/>
  <c r="H57" i="541"/>
  <c r="K56" i="541" a="1"/>
  <c r="K56" i="541" s="1"/>
  <c r="M56" i="541" s="1"/>
  <c r="H56" i="541"/>
  <c r="K55" i="541" a="1"/>
  <c r="K55" i="541" s="1"/>
  <c r="M55" i="541" s="1"/>
  <c r="H55" i="541"/>
  <c r="K54" i="541" a="1"/>
  <c r="K54" i="541" s="1"/>
  <c r="M54" i="541" s="1"/>
  <c r="H54" i="541"/>
  <c r="K53" i="541" a="1"/>
  <c r="K53" i="541" s="1"/>
  <c r="M53" i="541" s="1"/>
  <c r="H53" i="541"/>
  <c r="N52" i="541"/>
  <c r="K52" i="541" a="1"/>
  <c r="K52" i="541" s="1"/>
  <c r="M52" i="541" s="1"/>
  <c r="H52" i="541"/>
  <c r="N51" i="541"/>
  <c r="K51" i="541" a="1"/>
  <c r="K51" i="541" s="1"/>
  <c r="M51" i="541" s="1"/>
  <c r="H51" i="541"/>
  <c r="N50" i="541"/>
  <c r="K50" i="541"/>
  <c r="M50" i="541" s="1"/>
  <c r="K50" i="541" a="1"/>
  <c r="H50" i="541"/>
  <c r="N49" i="541"/>
  <c r="K49" i="541" a="1"/>
  <c r="K49" i="541" s="1"/>
  <c r="M49" i="541" s="1"/>
  <c r="H49" i="541"/>
  <c r="V48" i="541"/>
  <c r="W48" i="541" s="1"/>
  <c r="N48" i="541"/>
  <c r="K48" i="541" a="1"/>
  <c r="K48" i="541" s="1"/>
  <c r="M48" i="541" s="1"/>
  <c r="J48" i="541" a="1"/>
  <c r="J48" i="541" s="1"/>
  <c r="H48" i="541"/>
  <c r="V47" i="541"/>
  <c r="W47" i="541" s="1"/>
  <c r="N47" i="541"/>
  <c r="K47" i="541" a="1"/>
  <c r="K47" i="541" s="1"/>
  <c r="M47" i="541" s="1"/>
  <c r="J47" i="541" a="1"/>
  <c r="J47" i="541" s="1"/>
  <c r="H47" i="541"/>
  <c r="V46" i="541"/>
  <c r="W46" i="541" s="1"/>
  <c r="N46" i="541"/>
  <c r="K46" i="541" a="1"/>
  <c r="K46" i="541" s="1"/>
  <c r="M46" i="541" s="1"/>
  <c r="J46" i="541" a="1"/>
  <c r="J46" i="541" s="1"/>
  <c r="H46" i="541"/>
  <c r="V45" i="541"/>
  <c r="W45" i="541" s="1"/>
  <c r="N45" i="541"/>
  <c r="K45" i="541" a="1"/>
  <c r="K45" i="541" s="1"/>
  <c r="M45" i="541" s="1"/>
  <c r="J45" i="541" a="1"/>
  <c r="J45" i="541" s="1"/>
  <c r="H45" i="541"/>
  <c r="V44" i="541"/>
  <c r="W44" i="541" s="1"/>
  <c r="N44" i="541"/>
  <c r="K44" i="541" a="1"/>
  <c r="K44" i="541" s="1"/>
  <c r="M44" i="541" s="1"/>
  <c r="J44" i="541" a="1"/>
  <c r="J44" i="541" s="1"/>
  <c r="H44" i="541"/>
  <c r="V43" i="541"/>
  <c r="W43" i="541" s="1"/>
  <c r="N43" i="541"/>
  <c r="K43" i="541" a="1"/>
  <c r="K43" i="541" s="1"/>
  <c r="M43" i="541" s="1"/>
  <c r="J43" i="541" a="1"/>
  <c r="J43" i="541" s="1"/>
  <c r="H43" i="541"/>
  <c r="V42" i="541"/>
  <c r="W42" i="541" s="1"/>
  <c r="N42" i="541"/>
  <c r="K42" i="541"/>
  <c r="M42" i="541" s="1"/>
  <c r="K42" i="541" a="1"/>
  <c r="J42" i="541"/>
  <c r="J42" i="541" a="1"/>
  <c r="H42" i="541"/>
  <c r="V41" i="541"/>
  <c r="W41" i="541" s="1"/>
  <c r="N41" i="541"/>
  <c r="K41" i="541" a="1"/>
  <c r="K41" i="541" s="1"/>
  <c r="M41" i="541" s="1"/>
  <c r="J41" i="541" a="1"/>
  <c r="J41" i="541" s="1"/>
  <c r="H41" i="541"/>
  <c r="V40" i="541"/>
  <c r="W40" i="541" s="1"/>
  <c r="N40" i="541"/>
  <c r="K40" i="541" a="1"/>
  <c r="K40" i="541" s="1"/>
  <c r="M40" i="541" s="1"/>
  <c r="J40" i="541" a="1"/>
  <c r="J40" i="541" s="1"/>
  <c r="H40" i="541"/>
  <c r="V39" i="541"/>
  <c r="W39" i="541" s="1"/>
  <c r="N39" i="541"/>
  <c r="K39" i="541" a="1"/>
  <c r="K39" i="541" s="1"/>
  <c r="M39" i="541" s="1"/>
  <c r="J39" i="541" a="1"/>
  <c r="J39" i="541" s="1"/>
  <c r="H39" i="541"/>
  <c r="V38" i="541"/>
  <c r="W38" i="541" s="1"/>
  <c r="N38" i="541"/>
  <c r="K38" i="541" a="1"/>
  <c r="K38" i="541" s="1"/>
  <c r="M38" i="541" s="1"/>
  <c r="J38" i="541" a="1"/>
  <c r="J38" i="541" s="1"/>
  <c r="H38" i="541"/>
  <c r="V37" i="541"/>
  <c r="W37" i="541" s="1"/>
  <c r="N37" i="541"/>
  <c r="K37" i="541" a="1"/>
  <c r="K37" i="541" s="1"/>
  <c r="M37" i="541" s="1"/>
  <c r="J37" i="541" a="1"/>
  <c r="J37" i="541" s="1"/>
  <c r="H37" i="541"/>
  <c r="H36" i="541"/>
  <c r="H35" i="541"/>
  <c r="H34" i="541"/>
  <c r="V33" i="541"/>
  <c r="W33" i="541" s="1"/>
  <c r="N33" i="541"/>
  <c r="K33" i="541" a="1"/>
  <c r="K33" i="541" s="1"/>
  <c r="M33" i="541" s="1"/>
  <c r="J33" i="541" a="1"/>
  <c r="J33" i="541" s="1"/>
  <c r="H33" i="541"/>
  <c r="V32" i="541"/>
  <c r="W32" i="541" s="1"/>
  <c r="N32" i="541"/>
  <c r="K32" i="541" a="1"/>
  <c r="K32" i="541" s="1"/>
  <c r="M32" i="541" s="1"/>
  <c r="J32" i="541" a="1"/>
  <c r="J32" i="541" s="1"/>
  <c r="H32" i="541"/>
  <c r="V31" i="541"/>
  <c r="W31" i="541" s="1"/>
  <c r="N31" i="541"/>
  <c r="K31" i="541" a="1"/>
  <c r="K31" i="541" s="1"/>
  <c r="M31" i="541" s="1"/>
  <c r="J31" i="541" a="1"/>
  <c r="J31" i="541" s="1"/>
  <c r="H31" i="541"/>
  <c r="K30" i="541" a="1"/>
  <c r="K30" i="541" s="1"/>
  <c r="H30" i="541"/>
  <c r="V29" i="541"/>
  <c r="N29" i="541"/>
  <c r="K29" i="541" a="1"/>
  <c r="K29" i="541" s="1"/>
  <c r="J29" i="541" a="1"/>
  <c r="J29" i="541" s="1"/>
  <c r="H29" i="541"/>
  <c r="AA28" i="541"/>
  <c r="AA164" i="541" s="1"/>
  <c r="Z28" i="541"/>
  <c r="Y28" i="541"/>
  <c r="Y164" i="541" s="1"/>
  <c r="X28" i="541"/>
  <c r="U28" i="541"/>
  <c r="U164" i="541" s="1"/>
  <c r="T28" i="541"/>
  <c r="S28" i="541"/>
  <c r="S164" i="541" s="1"/>
  <c r="R28" i="541"/>
  <c r="Q28" i="541"/>
  <c r="Q164" i="541" s="1"/>
  <c r="P28" i="541"/>
  <c r="O28" i="541"/>
  <c r="O164" i="541" s="1"/>
  <c r="I28" i="541"/>
  <c r="G28" i="541"/>
  <c r="C524" i="541" s="1"/>
  <c r="V27" i="541"/>
  <c r="W27" i="541" s="1"/>
  <c r="N27" i="541"/>
  <c r="K27" i="541" a="1"/>
  <c r="K27" i="541" s="1"/>
  <c r="M27" i="541" s="1"/>
  <c r="J27" i="541" a="1"/>
  <c r="J27" i="541" s="1"/>
  <c r="H27" i="541"/>
  <c r="V26" i="541"/>
  <c r="W26" i="541" s="1"/>
  <c r="N26" i="541"/>
  <c r="K26" i="541"/>
  <c r="M26" i="541" s="1"/>
  <c r="K26" i="541" a="1"/>
  <c r="J26" i="541"/>
  <c r="J26" i="541" a="1"/>
  <c r="H26" i="541"/>
  <c r="K25" i="541" a="1"/>
  <c r="K25" i="541" s="1"/>
  <c r="M25" i="541" s="1"/>
  <c r="J25" i="541" a="1"/>
  <c r="J25" i="541" s="1"/>
  <c r="H25" i="541"/>
  <c r="K24" i="541" a="1"/>
  <c r="K24" i="541" s="1"/>
  <c r="M24" i="541" s="1"/>
  <c r="J24" i="541" a="1"/>
  <c r="J24" i="541" s="1"/>
  <c r="H24" i="541"/>
  <c r="K23" i="541" a="1"/>
  <c r="K23" i="541" s="1"/>
  <c r="M23" i="541" s="1"/>
  <c r="J23" i="541" a="1"/>
  <c r="J23" i="541" s="1"/>
  <c r="H23" i="541"/>
  <c r="K22" i="541" a="1"/>
  <c r="K22" i="541" s="1"/>
  <c r="M22" i="541" s="1"/>
  <c r="J22" i="541" a="1"/>
  <c r="J22" i="541" s="1"/>
  <c r="H22" i="541"/>
  <c r="V21" i="541"/>
  <c r="W21" i="541" s="1"/>
  <c r="N21" i="541"/>
  <c r="K21" i="541" a="1"/>
  <c r="K21" i="541" s="1"/>
  <c r="M21" i="541" s="1"/>
  <c r="J21" i="541" a="1"/>
  <c r="J21" i="541" s="1"/>
  <c r="H21" i="541"/>
  <c r="V20" i="541"/>
  <c r="W20" i="541" s="1"/>
  <c r="N20" i="541"/>
  <c r="K20" i="541" a="1"/>
  <c r="K20" i="541" s="1"/>
  <c r="M20" i="541" s="1"/>
  <c r="J20" i="541" a="1"/>
  <c r="J20" i="541" s="1"/>
  <c r="H20" i="541"/>
  <c r="V19" i="541"/>
  <c r="W19" i="541" s="1"/>
  <c r="N19" i="541"/>
  <c r="K19" i="541" a="1"/>
  <c r="K19" i="541" s="1"/>
  <c r="M19" i="541" s="1"/>
  <c r="J19" i="541" a="1"/>
  <c r="J19" i="541" s="1"/>
  <c r="H19" i="541"/>
  <c r="N18" i="541"/>
  <c r="K18" i="541" a="1"/>
  <c r="K18" i="541" s="1"/>
  <c r="M18" i="541" s="1"/>
  <c r="J18" i="541" a="1"/>
  <c r="J18" i="541" s="1"/>
  <c r="H18" i="541"/>
  <c r="N17" i="541"/>
  <c r="K17" i="541" a="1"/>
  <c r="K17" i="541" s="1"/>
  <c r="M17" i="541" s="1"/>
  <c r="J17" i="541" a="1"/>
  <c r="J17" i="541" s="1"/>
  <c r="H17" i="541"/>
  <c r="V16" i="541"/>
  <c r="W16" i="541" s="1"/>
  <c r="N16" i="541"/>
  <c r="K16" i="541" a="1"/>
  <c r="K16" i="541" s="1"/>
  <c r="M16" i="541" s="1"/>
  <c r="J16" i="541" a="1"/>
  <c r="J16" i="541" s="1"/>
  <c r="H16" i="541"/>
  <c r="W15" i="541"/>
  <c r="V15" i="541"/>
  <c r="N15" i="541"/>
  <c r="K15" i="541" a="1"/>
  <c r="K15" i="541" s="1"/>
  <c r="M15" i="541" s="1"/>
  <c r="J15" i="541" a="1"/>
  <c r="J15" i="541" s="1"/>
  <c r="H15" i="541"/>
  <c r="N14" i="541"/>
  <c r="K14" i="541" a="1"/>
  <c r="K14" i="541" s="1"/>
  <c r="M14" i="541" s="1"/>
  <c r="H14" i="541"/>
  <c r="N13" i="541"/>
  <c r="K13" i="541" a="1"/>
  <c r="K13" i="541" s="1"/>
  <c r="M13" i="541" s="1"/>
  <c r="H13" i="541"/>
  <c r="V12" i="541"/>
  <c r="W12" i="541" s="1"/>
  <c r="N12" i="541"/>
  <c r="K12" i="541" a="1"/>
  <c r="K12" i="541" s="1"/>
  <c r="M12" i="541" s="1"/>
  <c r="J12" i="541" a="1"/>
  <c r="J12" i="541" s="1"/>
  <c r="H12" i="541"/>
  <c r="V11" i="541"/>
  <c r="W11" i="541" s="1"/>
  <c r="N11" i="541"/>
  <c r="K11" i="541" a="1"/>
  <c r="K11" i="541" s="1"/>
  <c r="M11" i="541" s="1"/>
  <c r="J11" i="541" a="1"/>
  <c r="J11" i="541" s="1"/>
  <c r="H11" i="541"/>
  <c r="V10" i="541"/>
  <c r="W10" i="541" s="1"/>
  <c r="N10" i="541"/>
  <c r="K10" i="541" a="1"/>
  <c r="K10" i="541" s="1"/>
  <c r="M10" i="541" s="1"/>
  <c r="J10" i="541" a="1"/>
  <c r="J10" i="541" s="1"/>
  <c r="H10" i="541"/>
  <c r="V9" i="541"/>
  <c r="W9" i="541" s="1"/>
  <c r="N9" i="541"/>
  <c r="K9" i="541"/>
  <c r="M9" i="541" s="1"/>
  <c r="K9" i="541" a="1"/>
  <c r="J9" i="541"/>
  <c r="J9" i="541" a="1"/>
  <c r="H9" i="541"/>
  <c r="V8" i="541"/>
  <c r="W8" i="541" s="1"/>
  <c r="N8" i="541"/>
  <c r="K8" i="541" a="1"/>
  <c r="K8" i="541" s="1"/>
  <c r="M8" i="541" s="1"/>
  <c r="J8" i="541" a="1"/>
  <c r="J8" i="541" s="1"/>
  <c r="H8" i="541"/>
  <c r="V7" i="541"/>
  <c r="W7" i="541" s="1"/>
  <c r="N7" i="541"/>
  <c r="K7" i="541" a="1"/>
  <c r="K7" i="541" s="1"/>
  <c r="J7" i="541" a="1"/>
  <c r="J7" i="541" s="1"/>
  <c r="H7" i="541"/>
  <c r="W480" i="541" l="1"/>
  <c r="N190" i="508"/>
  <c r="H292" i="542"/>
  <c r="H334" i="541"/>
  <c r="N370" i="541"/>
  <c r="H428" i="541"/>
  <c r="V428" i="541"/>
  <c r="W428" i="541" s="1"/>
  <c r="N217" i="508"/>
  <c r="M308" i="542"/>
  <c r="H479" i="542"/>
  <c r="N21" i="489"/>
  <c r="H257" i="541"/>
  <c r="V257" i="541"/>
  <c r="W257" i="541" s="1"/>
  <c r="N38" i="489"/>
  <c r="N121" i="542"/>
  <c r="H137" i="542"/>
  <c r="N148" i="542"/>
  <c r="N163" i="542"/>
  <c r="N151" i="489"/>
  <c r="N191" i="489"/>
  <c r="N209" i="489"/>
  <c r="N213" i="489"/>
  <c r="N240" i="489"/>
  <c r="J534" i="542"/>
  <c r="Q534" i="542" s="1"/>
  <c r="D534" i="541"/>
  <c r="N21" i="508"/>
  <c r="N181" i="489"/>
  <c r="N182" i="489"/>
  <c r="N192" i="489"/>
  <c r="W309" i="541"/>
  <c r="N10" i="489"/>
  <c r="N16" i="489"/>
  <c r="N20" i="489"/>
  <c r="N69" i="489"/>
  <c r="N102" i="508"/>
  <c r="H103" i="489"/>
  <c r="N106" i="508"/>
  <c r="H107" i="489"/>
  <c r="N109" i="489"/>
  <c r="H111" i="489"/>
  <c r="N114" i="508"/>
  <c r="N136" i="489"/>
  <c r="V199" i="542"/>
  <c r="N187" i="489"/>
  <c r="N218" i="489"/>
  <c r="J533" i="542"/>
  <c r="D533" i="541"/>
  <c r="J535" i="542"/>
  <c r="Q535" i="542" s="1"/>
  <c r="D535" i="541"/>
  <c r="N181" i="508"/>
  <c r="N182" i="508"/>
  <c r="N192" i="508"/>
  <c r="N190" i="489"/>
  <c r="N217" i="489"/>
  <c r="J308" i="541" a="1"/>
  <c r="J308" i="541" s="1"/>
  <c r="J292" i="541" a="1"/>
  <c r="J292" i="541" s="1"/>
  <c r="J257" i="541" a="1"/>
  <c r="J257" i="541" s="1"/>
  <c r="J319" i="541" a="1"/>
  <c r="J319" i="541" s="1"/>
  <c r="H308" i="541"/>
  <c r="H152" i="489"/>
  <c r="H153" i="489"/>
  <c r="N154" i="489"/>
  <c r="H155" i="489"/>
  <c r="H161" i="489"/>
  <c r="N152" i="489"/>
  <c r="H154" i="489"/>
  <c r="N155" i="489"/>
  <c r="H156" i="489"/>
  <c r="H159" i="489"/>
  <c r="N159" i="489"/>
  <c r="J148" i="541" a="1"/>
  <c r="J148" i="541" s="1"/>
  <c r="N163" i="541"/>
  <c r="H140" i="489"/>
  <c r="H142" i="489"/>
  <c r="H144" i="508"/>
  <c r="H147" i="489"/>
  <c r="H150" i="489"/>
  <c r="H148" i="541"/>
  <c r="N148" i="541"/>
  <c r="W138" i="541"/>
  <c r="R170" i="541"/>
  <c r="H163" i="541"/>
  <c r="N140" i="489"/>
  <c r="N142" i="489"/>
  <c r="N147" i="489"/>
  <c r="N150" i="489"/>
  <c r="N137" i="541"/>
  <c r="N123" i="489"/>
  <c r="H125" i="489"/>
  <c r="H127" i="489"/>
  <c r="N129" i="489"/>
  <c r="N131" i="489"/>
  <c r="H133" i="489"/>
  <c r="S137" i="489"/>
  <c r="U137" i="489"/>
  <c r="Y137" i="489"/>
  <c r="AA137" i="489"/>
  <c r="N135" i="508"/>
  <c r="H137" i="541"/>
  <c r="R169" i="541"/>
  <c r="H123" i="489"/>
  <c r="N125" i="489"/>
  <c r="N127" i="489"/>
  <c r="H129" i="489"/>
  <c r="H131" i="489"/>
  <c r="N133" i="489"/>
  <c r="Q137" i="489"/>
  <c r="N135" i="489"/>
  <c r="H118" i="489"/>
  <c r="H120" i="489"/>
  <c r="N118" i="489"/>
  <c r="N120" i="489"/>
  <c r="H116" i="489"/>
  <c r="I164" i="541"/>
  <c r="B172" i="541" s="1"/>
  <c r="X167" i="541"/>
  <c r="R164" i="541"/>
  <c r="T164" i="541"/>
  <c r="X164" i="541"/>
  <c r="Z164" i="541"/>
  <c r="R168" i="541"/>
  <c r="N95" i="489"/>
  <c r="N96" i="508"/>
  <c r="H97" i="489"/>
  <c r="N98" i="508"/>
  <c r="H99" i="489"/>
  <c r="H100" i="508"/>
  <c r="N101" i="489"/>
  <c r="H102" i="508"/>
  <c r="N103" i="489"/>
  <c r="H104" i="508"/>
  <c r="N105" i="489"/>
  <c r="H106" i="508"/>
  <c r="N108" i="508"/>
  <c r="H110" i="508"/>
  <c r="N110" i="508"/>
  <c r="H112" i="508"/>
  <c r="N112" i="508"/>
  <c r="N113" i="489"/>
  <c r="H114" i="508"/>
  <c r="H95" i="489"/>
  <c r="H96" i="508"/>
  <c r="N97" i="489"/>
  <c r="H98" i="508"/>
  <c r="N99" i="489"/>
  <c r="N100" i="508"/>
  <c r="H101" i="489"/>
  <c r="N104" i="508"/>
  <c r="H105" i="489"/>
  <c r="N107" i="489"/>
  <c r="H109" i="489"/>
  <c r="N111" i="489"/>
  <c r="H113" i="489"/>
  <c r="V121" i="541"/>
  <c r="W121" i="541" s="1"/>
  <c r="H88" i="508"/>
  <c r="N89" i="489"/>
  <c r="H90" i="508"/>
  <c r="H91" i="508"/>
  <c r="N93" i="489"/>
  <c r="N91" i="489"/>
  <c r="N92" i="489"/>
  <c r="N121" i="541"/>
  <c r="N88" i="508"/>
  <c r="H89" i="489"/>
  <c r="N90" i="508"/>
  <c r="H92" i="489"/>
  <c r="H93" i="489"/>
  <c r="N91" i="508"/>
  <c r="N92" i="508"/>
  <c r="H86" i="541"/>
  <c r="V86" i="541"/>
  <c r="W86" i="541" s="1"/>
  <c r="N73" i="489"/>
  <c r="N75" i="489"/>
  <c r="N70" i="489"/>
  <c r="N72" i="489"/>
  <c r="N74" i="489"/>
  <c r="N49" i="489"/>
  <c r="N51" i="489"/>
  <c r="N52" i="489"/>
  <c r="N59" i="489"/>
  <c r="N61" i="489"/>
  <c r="N62" i="489"/>
  <c r="N64" i="489"/>
  <c r="N48" i="489"/>
  <c r="N50" i="489"/>
  <c r="N57" i="489"/>
  <c r="N58" i="489"/>
  <c r="N60" i="489"/>
  <c r="N63" i="489"/>
  <c r="N65" i="489"/>
  <c r="N66" i="489"/>
  <c r="N48" i="508"/>
  <c r="N40" i="489"/>
  <c r="N41" i="489"/>
  <c r="N43" i="489"/>
  <c r="N45" i="508"/>
  <c r="N45" i="489"/>
  <c r="N39" i="489"/>
  <c r="N42" i="489"/>
  <c r="N44" i="489"/>
  <c r="N86" i="541"/>
  <c r="N32" i="489"/>
  <c r="N37" i="508"/>
  <c r="N31" i="489"/>
  <c r="N33" i="489"/>
  <c r="N37" i="489"/>
  <c r="N27" i="489"/>
  <c r="N26" i="489"/>
  <c r="N19" i="508"/>
  <c r="N17" i="489"/>
  <c r="N18" i="489"/>
  <c r="N19" i="489"/>
  <c r="N13" i="489"/>
  <c r="N14" i="489"/>
  <c r="N15" i="489"/>
  <c r="N11" i="508"/>
  <c r="N11" i="489"/>
  <c r="N12" i="489"/>
  <c r="N28" i="541"/>
  <c r="H28" i="541"/>
  <c r="V28" i="541"/>
  <c r="N8" i="489"/>
  <c r="N9" i="489"/>
  <c r="N7" i="489"/>
  <c r="J163" i="541" a="1"/>
  <c r="J163" i="541" s="1"/>
  <c r="H151" i="489"/>
  <c r="H94" i="508"/>
  <c r="H136" i="489"/>
  <c r="H121" i="541"/>
  <c r="H108" i="508"/>
  <c r="N308" i="541"/>
  <c r="R340" i="541"/>
  <c r="H292" i="541"/>
  <c r="K292" i="541"/>
  <c r="V292" i="541"/>
  <c r="W292" i="541" s="1"/>
  <c r="N243" i="489"/>
  <c r="N244" i="489"/>
  <c r="N246" i="489"/>
  <c r="N241" i="489"/>
  <c r="N245" i="489"/>
  <c r="N219" i="489"/>
  <c r="N220" i="489"/>
  <c r="N222" i="489"/>
  <c r="N223" i="489"/>
  <c r="N225" i="489"/>
  <c r="N229" i="489"/>
  <c r="N230" i="489"/>
  <c r="N232" i="489"/>
  <c r="N235" i="489"/>
  <c r="N237" i="489"/>
  <c r="N221" i="489"/>
  <c r="N224" i="489"/>
  <c r="N226" i="489"/>
  <c r="N227" i="489"/>
  <c r="N228" i="489"/>
  <c r="N231" i="489"/>
  <c r="N233" i="489"/>
  <c r="N234" i="489"/>
  <c r="N236" i="489"/>
  <c r="N215" i="489"/>
  <c r="N214" i="489"/>
  <c r="N211" i="489"/>
  <c r="N210" i="489"/>
  <c r="N212" i="489"/>
  <c r="N203" i="489"/>
  <c r="N257" i="541"/>
  <c r="N202" i="489"/>
  <c r="N204" i="489"/>
  <c r="N208" i="489"/>
  <c r="N198" i="489"/>
  <c r="N197" i="508"/>
  <c r="N197" i="489"/>
  <c r="N188" i="489"/>
  <c r="N189" i="489"/>
  <c r="N184" i="489"/>
  <c r="N185" i="489"/>
  <c r="N186" i="489"/>
  <c r="N183" i="489"/>
  <c r="N180" i="489"/>
  <c r="N199" i="541"/>
  <c r="N179" i="489"/>
  <c r="H199" i="541"/>
  <c r="H319" i="541"/>
  <c r="W319" i="541"/>
  <c r="K28" i="541"/>
  <c r="M490" i="541"/>
  <c r="K479" i="541"/>
  <c r="M479" i="541"/>
  <c r="V506" i="541"/>
  <c r="V463" i="541"/>
  <c r="W463" i="541" s="1"/>
  <c r="H370" i="541"/>
  <c r="V370" i="541"/>
  <c r="N428" i="541"/>
  <c r="W371" i="541"/>
  <c r="J319" i="542" a="1"/>
  <c r="J319" i="542" s="1"/>
  <c r="J308" i="542" a="1"/>
  <c r="J308" i="542" s="1"/>
  <c r="J292" i="542" a="1"/>
  <c r="J292" i="542" s="1"/>
  <c r="J463" i="542" a="1"/>
  <c r="J463" i="542" s="1"/>
  <c r="N219" i="508"/>
  <c r="N200" i="508"/>
  <c r="N202" i="508"/>
  <c r="N216" i="508"/>
  <c r="N216" i="489"/>
  <c r="Z341" i="543"/>
  <c r="Z343" i="543"/>
  <c r="M490" i="542"/>
  <c r="N479" i="542"/>
  <c r="K479" i="542"/>
  <c r="R512" i="542"/>
  <c r="V506" i="542"/>
  <c r="H463" i="542"/>
  <c r="M463" i="542"/>
  <c r="W370" i="542"/>
  <c r="K428" i="542"/>
  <c r="H370" i="542"/>
  <c r="H507" i="542" s="1"/>
  <c r="E514" i="542" s="1"/>
  <c r="V370" i="542"/>
  <c r="N428" i="542"/>
  <c r="N507" i="542" s="1"/>
  <c r="B516" i="542" s="1"/>
  <c r="E516" i="542" s="1"/>
  <c r="W371" i="542"/>
  <c r="N208" i="508"/>
  <c r="N198" i="508"/>
  <c r="I335" i="542"/>
  <c r="B343" i="542" s="1"/>
  <c r="R335" i="542"/>
  <c r="T335" i="542"/>
  <c r="X335" i="542"/>
  <c r="Z335" i="542"/>
  <c r="V334" i="542"/>
  <c r="R342" i="542"/>
  <c r="H334" i="542"/>
  <c r="K334" i="542"/>
  <c r="W320" i="542"/>
  <c r="W334" i="542" s="1"/>
  <c r="H308" i="542"/>
  <c r="V308" i="542"/>
  <c r="W308" i="542" s="1"/>
  <c r="N292" i="542"/>
  <c r="N240" i="508"/>
  <c r="N241" i="508"/>
  <c r="N243" i="508"/>
  <c r="N244" i="508"/>
  <c r="N245" i="508"/>
  <c r="N246" i="508"/>
  <c r="N220" i="508"/>
  <c r="N221" i="508"/>
  <c r="N222" i="508"/>
  <c r="N223" i="508"/>
  <c r="N224" i="508"/>
  <c r="N225" i="508"/>
  <c r="N226" i="508"/>
  <c r="N227" i="508"/>
  <c r="N228" i="508"/>
  <c r="N229" i="508"/>
  <c r="N230" i="508"/>
  <c r="N231" i="508"/>
  <c r="N232" i="508"/>
  <c r="N233" i="508"/>
  <c r="N234" i="508"/>
  <c r="N235" i="508"/>
  <c r="N236" i="508"/>
  <c r="N237" i="508"/>
  <c r="N218" i="508"/>
  <c r="N209" i="508"/>
  <c r="N210" i="508"/>
  <c r="N211" i="508"/>
  <c r="N212" i="508"/>
  <c r="N213" i="508"/>
  <c r="N214" i="508"/>
  <c r="N215" i="508"/>
  <c r="N203" i="508"/>
  <c r="N257" i="542"/>
  <c r="J257" i="542" a="1"/>
  <c r="J257" i="542" s="1"/>
  <c r="R338" i="542"/>
  <c r="N204" i="508"/>
  <c r="N200" i="489"/>
  <c r="N199" i="542"/>
  <c r="N191" i="508"/>
  <c r="H199" i="542"/>
  <c r="N183" i="508"/>
  <c r="N184" i="508"/>
  <c r="N185" i="508"/>
  <c r="N186" i="508"/>
  <c r="N187" i="508"/>
  <c r="N188" i="508"/>
  <c r="N189" i="508"/>
  <c r="N178" i="508"/>
  <c r="N179" i="508"/>
  <c r="N180" i="508"/>
  <c r="N178" i="489"/>
  <c r="H319" i="542"/>
  <c r="G519" i="543"/>
  <c r="J148" i="542" a="1"/>
  <c r="J148" i="542" s="1"/>
  <c r="J163" i="542" a="1"/>
  <c r="J163" i="542" s="1"/>
  <c r="H138" i="508"/>
  <c r="N138" i="508"/>
  <c r="H140" i="508"/>
  <c r="N140" i="508"/>
  <c r="H142" i="508"/>
  <c r="N142" i="508"/>
  <c r="H145" i="508"/>
  <c r="H147" i="508"/>
  <c r="N147" i="508"/>
  <c r="H150" i="508"/>
  <c r="N150" i="508"/>
  <c r="H152" i="508"/>
  <c r="N152" i="508"/>
  <c r="H154" i="508"/>
  <c r="N154" i="508"/>
  <c r="H156" i="508"/>
  <c r="H159" i="508"/>
  <c r="N159" i="508"/>
  <c r="H161" i="508"/>
  <c r="H139" i="489"/>
  <c r="N139" i="489"/>
  <c r="H141" i="489"/>
  <c r="N141" i="489"/>
  <c r="H143" i="489"/>
  <c r="H144" i="489"/>
  <c r="H145" i="489"/>
  <c r="H157" i="489"/>
  <c r="H158" i="489"/>
  <c r="N158" i="489"/>
  <c r="H160" i="489"/>
  <c r="H162" i="489"/>
  <c r="H148" i="542"/>
  <c r="V148" i="542"/>
  <c r="W148" i="542" s="1"/>
  <c r="R170" i="542"/>
  <c r="H163" i="542"/>
  <c r="H139" i="508"/>
  <c r="N139" i="508"/>
  <c r="H141" i="508"/>
  <c r="N141" i="508"/>
  <c r="H143" i="508"/>
  <c r="H149" i="508"/>
  <c r="N149" i="508"/>
  <c r="H151" i="508"/>
  <c r="N151" i="508"/>
  <c r="H153" i="508"/>
  <c r="H155" i="508"/>
  <c r="N155" i="508"/>
  <c r="H157" i="508"/>
  <c r="H158" i="508"/>
  <c r="N158" i="508"/>
  <c r="H160" i="508"/>
  <c r="H162" i="508"/>
  <c r="H138" i="489"/>
  <c r="N138" i="489"/>
  <c r="H149" i="489"/>
  <c r="N149" i="489"/>
  <c r="H136" i="508"/>
  <c r="N136" i="508"/>
  <c r="N137" i="542"/>
  <c r="H123" i="508"/>
  <c r="N123" i="508"/>
  <c r="H125" i="508"/>
  <c r="N125" i="508"/>
  <c r="H127" i="508"/>
  <c r="N127" i="508"/>
  <c r="H129" i="508"/>
  <c r="N129" i="508"/>
  <c r="H131" i="508"/>
  <c r="N131" i="508"/>
  <c r="H133" i="508"/>
  <c r="N133" i="508"/>
  <c r="O137" i="508"/>
  <c r="Q137" i="508"/>
  <c r="S137" i="508"/>
  <c r="U137" i="508"/>
  <c r="Y137" i="508"/>
  <c r="AA137" i="508"/>
  <c r="H122" i="489"/>
  <c r="N122" i="489"/>
  <c r="H124" i="489"/>
  <c r="N124" i="489"/>
  <c r="H126" i="489"/>
  <c r="N126" i="489"/>
  <c r="H128" i="489"/>
  <c r="N128" i="489"/>
  <c r="H130" i="489"/>
  <c r="N130" i="489"/>
  <c r="H132" i="489"/>
  <c r="N132" i="489"/>
  <c r="H134" i="489"/>
  <c r="N134" i="489"/>
  <c r="P137" i="489"/>
  <c r="T137" i="489"/>
  <c r="X137" i="489"/>
  <c r="Z137" i="489"/>
  <c r="R169" i="542"/>
  <c r="H122" i="508"/>
  <c r="N122" i="508"/>
  <c r="H124" i="508"/>
  <c r="N124" i="508"/>
  <c r="H126" i="508"/>
  <c r="N126" i="508"/>
  <c r="H128" i="508"/>
  <c r="N128" i="508"/>
  <c r="H130" i="508"/>
  <c r="N130" i="508"/>
  <c r="H132" i="508"/>
  <c r="N132" i="508"/>
  <c r="H134" i="508"/>
  <c r="N134" i="508"/>
  <c r="P137" i="508"/>
  <c r="T137" i="508"/>
  <c r="X137" i="508"/>
  <c r="Z137" i="508"/>
  <c r="O137" i="489"/>
  <c r="H116" i="508"/>
  <c r="H118" i="508"/>
  <c r="N118" i="508"/>
  <c r="H120" i="508"/>
  <c r="N120" i="508"/>
  <c r="H117" i="489"/>
  <c r="H119" i="489"/>
  <c r="N119" i="489"/>
  <c r="H117" i="508"/>
  <c r="H119" i="508"/>
  <c r="N119" i="508"/>
  <c r="H93" i="508"/>
  <c r="N93" i="508"/>
  <c r="H95" i="508"/>
  <c r="N95" i="508"/>
  <c r="H97" i="508"/>
  <c r="N97" i="508"/>
  <c r="H99" i="508"/>
  <c r="N99" i="508"/>
  <c r="H101" i="508"/>
  <c r="N101" i="508"/>
  <c r="H103" i="508"/>
  <c r="N103" i="508"/>
  <c r="H105" i="508"/>
  <c r="N105" i="508"/>
  <c r="H107" i="508"/>
  <c r="N107" i="508"/>
  <c r="H109" i="508"/>
  <c r="N109" i="508"/>
  <c r="H111" i="508"/>
  <c r="N111" i="508"/>
  <c r="H113" i="508"/>
  <c r="N113" i="508"/>
  <c r="H94" i="489"/>
  <c r="H96" i="489"/>
  <c r="N96" i="489"/>
  <c r="H98" i="489"/>
  <c r="N98" i="489"/>
  <c r="H100" i="489"/>
  <c r="N100" i="489"/>
  <c r="H102" i="489"/>
  <c r="N102" i="489"/>
  <c r="H104" i="489"/>
  <c r="N104" i="489"/>
  <c r="H106" i="489"/>
  <c r="N106" i="489"/>
  <c r="H108" i="489"/>
  <c r="N108" i="489"/>
  <c r="H110" i="489"/>
  <c r="N110" i="489"/>
  <c r="H112" i="489"/>
  <c r="N112" i="489"/>
  <c r="H114" i="489"/>
  <c r="N114" i="489"/>
  <c r="H121" i="542"/>
  <c r="V121" i="542"/>
  <c r="W121" i="542" s="1"/>
  <c r="H87" i="508"/>
  <c r="N87" i="508"/>
  <c r="H89" i="508"/>
  <c r="N89" i="508"/>
  <c r="H88" i="489"/>
  <c r="N88" i="489"/>
  <c r="H90" i="489"/>
  <c r="N90" i="489"/>
  <c r="H87" i="489"/>
  <c r="N87" i="489"/>
  <c r="N69" i="508"/>
  <c r="N70" i="508"/>
  <c r="N72" i="508"/>
  <c r="N73" i="508"/>
  <c r="N74" i="508"/>
  <c r="N75" i="508"/>
  <c r="H86" i="542"/>
  <c r="V86" i="542"/>
  <c r="W86" i="542" s="1"/>
  <c r="N49" i="508"/>
  <c r="N50" i="508"/>
  <c r="N51" i="508"/>
  <c r="N52" i="508"/>
  <c r="N57" i="508"/>
  <c r="N58" i="508"/>
  <c r="N59" i="508"/>
  <c r="N60" i="508"/>
  <c r="N61" i="508"/>
  <c r="N62" i="508"/>
  <c r="N63" i="508"/>
  <c r="N64" i="508"/>
  <c r="N65" i="508"/>
  <c r="N66" i="508"/>
  <c r="N46" i="508"/>
  <c r="N47" i="508"/>
  <c r="N46" i="489"/>
  <c r="N47" i="489"/>
  <c r="N38" i="508"/>
  <c r="N39" i="508"/>
  <c r="N40" i="508"/>
  <c r="N41" i="508"/>
  <c r="N42" i="508"/>
  <c r="N43" i="508"/>
  <c r="N44" i="508"/>
  <c r="N29" i="508"/>
  <c r="N31" i="508"/>
  <c r="N32" i="508"/>
  <c r="N33" i="508"/>
  <c r="N29" i="489"/>
  <c r="N26" i="508"/>
  <c r="N27" i="508"/>
  <c r="N20" i="508"/>
  <c r="V28" i="542"/>
  <c r="N12" i="508"/>
  <c r="N13" i="508"/>
  <c r="N14" i="508"/>
  <c r="N15" i="508"/>
  <c r="N16" i="508"/>
  <c r="N17" i="508"/>
  <c r="N18" i="508"/>
  <c r="N7" i="508"/>
  <c r="N8" i="508"/>
  <c r="N9" i="508"/>
  <c r="N10" i="508"/>
  <c r="H91" i="489"/>
  <c r="H115" i="489"/>
  <c r="H115" i="508"/>
  <c r="H92" i="508"/>
  <c r="H135" i="489"/>
  <c r="H135" i="508"/>
  <c r="M173" i="543" a="1"/>
  <c r="M173" i="543" s="1"/>
  <c r="M526" i="543"/>
  <c r="K335" i="543"/>
  <c r="E343" i="543" s="1"/>
  <c r="I343" i="543" s="1"/>
  <c r="M343" i="543" s="1"/>
  <c r="T343" i="543"/>
  <c r="T338" i="543"/>
  <c r="T341" i="543"/>
  <c r="T339" i="543"/>
  <c r="T342" i="543"/>
  <c r="Z509" i="543" a="1"/>
  <c r="Z509" i="543" s="1"/>
  <c r="M525" i="543"/>
  <c r="M528" i="543"/>
  <c r="B342" i="543"/>
  <c r="C519" i="543" s="1"/>
  <c r="J335" i="543" a="1"/>
  <c r="J335" i="543" s="1"/>
  <c r="M342" i="543" s="1"/>
  <c r="M344" i="543" a="1"/>
  <c r="M344" i="543" s="1"/>
  <c r="T340" i="543"/>
  <c r="I172" i="543"/>
  <c r="M172" i="543" s="1"/>
  <c r="E526" i="543"/>
  <c r="E528" i="543"/>
  <c r="E529" i="543"/>
  <c r="E525" i="543"/>
  <c r="L164" i="543"/>
  <c r="I171" i="543" s="1"/>
  <c r="I516" i="543"/>
  <c r="M516" i="543" s="1" a="1"/>
  <c r="M516" i="543" s="1"/>
  <c r="W507" i="543"/>
  <c r="Z515" i="543"/>
  <c r="Z514" i="543"/>
  <c r="Z511" i="543"/>
  <c r="Z512" i="543"/>
  <c r="Z513" i="543"/>
  <c r="T515" i="543"/>
  <c r="T510" i="543"/>
  <c r="T511" i="543"/>
  <c r="T512" i="543"/>
  <c r="T514" i="543"/>
  <c r="M527" i="543"/>
  <c r="W335" i="543"/>
  <c r="E527" i="543"/>
  <c r="Q530" i="543"/>
  <c r="S526" i="543" s="1"/>
  <c r="E515" i="543"/>
  <c r="I515" i="543" s="1"/>
  <c r="M515" i="543" s="1"/>
  <c r="L507" i="543"/>
  <c r="I514" i="543" s="1"/>
  <c r="T513" i="543"/>
  <c r="K28" i="542"/>
  <c r="M7" i="542"/>
  <c r="M28" i="542" s="1"/>
  <c r="H28" i="542"/>
  <c r="H164" i="542" s="1"/>
  <c r="E171" i="542" s="1"/>
  <c r="N28" i="542"/>
  <c r="N164" i="542" s="1"/>
  <c r="B173" i="542" s="1"/>
  <c r="W7" i="542"/>
  <c r="K525" i="542"/>
  <c r="K526" i="542"/>
  <c r="K199" i="542"/>
  <c r="M178" i="542"/>
  <c r="M199" i="542" s="1"/>
  <c r="W28" i="542"/>
  <c r="C520" i="542"/>
  <c r="Q525" i="542"/>
  <c r="K86" i="542"/>
  <c r="M29" i="542"/>
  <c r="M86" i="542" s="1"/>
  <c r="K121" i="542"/>
  <c r="M87" i="542"/>
  <c r="M121" i="542" s="1"/>
  <c r="K137" i="542"/>
  <c r="M122" i="542"/>
  <c r="M137" i="542" s="1"/>
  <c r="K527" i="542"/>
  <c r="K528" i="542"/>
  <c r="K163" i="542"/>
  <c r="M149" i="542"/>
  <c r="M163" i="542" s="1"/>
  <c r="K529" i="542"/>
  <c r="K257" i="542"/>
  <c r="M200" i="542"/>
  <c r="M257" i="542" s="1"/>
  <c r="C530" i="542"/>
  <c r="E524" i="542" s="1"/>
  <c r="V137" i="542"/>
  <c r="W137" i="542" s="1"/>
  <c r="K148" i="542"/>
  <c r="V163" i="542"/>
  <c r="W163" i="542" s="1"/>
  <c r="G164" i="542"/>
  <c r="P164" i="542"/>
  <c r="X168" i="542" s="1"/>
  <c r="X173" i="542" s="1"/>
  <c r="K166" i="542"/>
  <c r="R166" i="542"/>
  <c r="J335" i="542" a="1"/>
  <c r="J335" i="542" s="1"/>
  <c r="M342" i="542" s="1"/>
  <c r="B342" i="542"/>
  <c r="O335" i="542"/>
  <c r="R337" i="542"/>
  <c r="J28" i="542" a="1"/>
  <c r="J28" i="542" s="1"/>
  <c r="W29" i="542"/>
  <c r="J86" i="542" a="1"/>
  <c r="J86" i="542" s="1"/>
  <c r="W87" i="542"/>
  <c r="J121" i="542" a="1"/>
  <c r="J121" i="542" s="1"/>
  <c r="J137" i="542" a="1"/>
  <c r="J137" i="542" s="1"/>
  <c r="W178" i="542"/>
  <c r="W199" i="542" s="1"/>
  <c r="J199" i="542" a="1"/>
  <c r="J199" i="542" s="1"/>
  <c r="X338" i="542"/>
  <c r="X344" i="542" s="1"/>
  <c r="P335" i="542"/>
  <c r="X339" i="542" s="1"/>
  <c r="H257" i="542"/>
  <c r="H335" i="542" s="1"/>
  <c r="E342" i="542" s="1"/>
  <c r="W200" i="542"/>
  <c r="K292" i="542"/>
  <c r="M258" i="542"/>
  <c r="M292" i="542" s="1"/>
  <c r="K319" i="542"/>
  <c r="M309" i="542"/>
  <c r="M319" i="542" s="1"/>
  <c r="V292" i="542"/>
  <c r="W292" i="542" s="1"/>
  <c r="K308" i="542"/>
  <c r="V319" i="542"/>
  <c r="W319" i="542" s="1"/>
  <c r="R339" i="542"/>
  <c r="R340" i="542"/>
  <c r="M320" i="542"/>
  <c r="M334" i="542" s="1"/>
  <c r="M370" i="542"/>
  <c r="K337" i="542"/>
  <c r="J370" i="542" a="1"/>
  <c r="J370" i="542" s="1"/>
  <c r="K370" i="542"/>
  <c r="V463" i="542"/>
  <c r="W463" i="542" s="1"/>
  <c r="M464" i="542"/>
  <c r="M479" i="542" s="1"/>
  <c r="W464" i="542"/>
  <c r="V479" i="542"/>
  <c r="W479" i="542" s="1"/>
  <c r="B514" i="542"/>
  <c r="J507" i="542" a="1"/>
  <c r="J507" i="542" s="1"/>
  <c r="M514" i="542" s="1"/>
  <c r="R509" i="542"/>
  <c r="X509" i="542"/>
  <c r="O507" i="542"/>
  <c r="X510" i="542" s="1"/>
  <c r="M371" i="542"/>
  <c r="M428" i="542" s="1"/>
  <c r="K463" i="542"/>
  <c r="K506" i="542"/>
  <c r="M491" i="542"/>
  <c r="M506" i="542" s="1"/>
  <c r="K490" i="542"/>
  <c r="R534" i="542"/>
  <c r="S534" i="542" a="1"/>
  <c r="S534" i="542" s="1"/>
  <c r="R513" i="542"/>
  <c r="W491" i="542"/>
  <c r="W506" i="542" s="1"/>
  <c r="K513" i="542"/>
  <c r="M509" i="542"/>
  <c r="J536" i="542"/>
  <c r="Q533" i="542"/>
  <c r="R535" i="542"/>
  <c r="S535" i="542" a="1"/>
  <c r="S535" i="542" s="1"/>
  <c r="E513" i="542"/>
  <c r="T533" i="542" a="1"/>
  <c r="T533" i="542" s="1"/>
  <c r="T534" i="542" a="1"/>
  <c r="T534" i="542" s="1"/>
  <c r="T535" i="542" a="1"/>
  <c r="T535" i="542" s="1"/>
  <c r="C536" i="542"/>
  <c r="T536" i="542" s="1" a="1"/>
  <c r="T536" i="542" s="1"/>
  <c r="K121" i="541"/>
  <c r="M87" i="541"/>
  <c r="M121" i="541" s="1"/>
  <c r="K137" i="541"/>
  <c r="M122" i="541"/>
  <c r="M137" i="541" s="1"/>
  <c r="K527" i="541"/>
  <c r="K528" i="541"/>
  <c r="K163" i="541"/>
  <c r="M149" i="541"/>
  <c r="M163" i="541" s="1"/>
  <c r="K529" i="541"/>
  <c r="K257" i="541"/>
  <c r="M200" i="541"/>
  <c r="M257" i="541" s="1"/>
  <c r="W28" i="541"/>
  <c r="C520" i="541"/>
  <c r="Q525" i="541"/>
  <c r="K86" i="541"/>
  <c r="M29" i="541"/>
  <c r="M86" i="541" s="1"/>
  <c r="K525" i="541"/>
  <c r="K526" i="541"/>
  <c r="M148" i="541"/>
  <c r="K199" i="541"/>
  <c r="M178" i="541"/>
  <c r="M199" i="541" s="1"/>
  <c r="M7" i="541"/>
  <c r="M28" i="541" s="1"/>
  <c r="M164" i="541" s="1"/>
  <c r="C530" i="541"/>
  <c r="E524" i="541" s="1"/>
  <c r="V137" i="541"/>
  <c r="W137" i="541" s="1"/>
  <c r="K148" i="541"/>
  <c r="V163" i="541"/>
  <c r="W163" i="541" s="1"/>
  <c r="G164" i="541"/>
  <c r="P164" i="541"/>
  <c r="X168" i="541" s="1"/>
  <c r="X173" i="541" s="1"/>
  <c r="K166" i="541"/>
  <c r="R166" i="541"/>
  <c r="J335" i="541" a="1"/>
  <c r="J335" i="541" s="1"/>
  <c r="M342" i="541" s="1"/>
  <c r="B342" i="541"/>
  <c r="O335" i="541"/>
  <c r="R337" i="541"/>
  <c r="K308" i="541"/>
  <c r="M293" i="541"/>
  <c r="M308" i="541" s="1"/>
  <c r="M319" i="541"/>
  <c r="K334" i="541"/>
  <c r="M320" i="541"/>
  <c r="M334" i="541" s="1"/>
  <c r="W334" i="541"/>
  <c r="J28" i="541" a="1"/>
  <c r="J28" i="541" s="1"/>
  <c r="W29" i="541"/>
  <c r="J86" i="541" a="1"/>
  <c r="J86" i="541" s="1"/>
  <c r="W87" i="541"/>
  <c r="J121" i="541" a="1"/>
  <c r="J121" i="541" s="1"/>
  <c r="J137" i="541" a="1"/>
  <c r="J137" i="541" s="1"/>
  <c r="W178" i="541"/>
  <c r="W199" i="541" s="1"/>
  <c r="J199" i="541" a="1"/>
  <c r="J199" i="541" s="1"/>
  <c r="X338" i="541"/>
  <c r="P335" i="541"/>
  <c r="X339" i="541" s="1"/>
  <c r="W200" i="541"/>
  <c r="V308" i="541"/>
  <c r="W308" i="541" s="1"/>
  <c r="K319" i="541"/>
  <c r="V334" i="541"/>
  <c r="K337" i="541"/>
  <c r="K370" i="541"/>
  <c r="M349" i="541"/>
  <c r="M370" i="541" s="1"/>
  <c r="M258" i="541"/>
  <c r="M292" i="541" s="1"/>
  <c r="K428" i="541"/>
  <c r="K463" i="541"/>
  <c r="M429" i="541"/>
  <c r="M463" i="541" s="1"/>
  <c r="B514" i="541"/>
  <c r="J507" i="541" a="1"/>
  <c r="J507" i="541" s="1"/>
  <c r="M514" i="541" s="1"/>
  <c r="X509" i="541"/>
  <c r="O507" i="541"/>
  <c r="X510" i="541" s="1"/>
  <c r="R509" i="541"/>
  <c r="M371" i="541"/>
  <c r="M428" i="541" s="1"/>
  <c r="H463" i="541"/>
  <c r="H507" i="541" s="1"/>
  <c r="E514" i="541" s="1"/>
  <c r="N463" i="541"/>
  <c r="W429" i="541"/>
  <c r="J463" i="541" a="1"/>
  <c r="J463" i="541" s="1"/>
  <c r="N479" i="541"/>
  <c r="W349" i="541"/>
  <c r="W370" i="541" s="1"/>
  <c r="J370" i="541" a="1"/>
  <c r="J370" i="541" s="1"/>
  <c r="W464" i="541"/>
  <c r="V479" i="541"/>
  <c r="W479" i="541" s="1"/>
  <c r="K506" i="541"/>
  <c r="M491" i="541"/>
  <c r="M506" i="541" s="1"/>
  <c r="K490" i="541"/>
  <c r="R513" i="541"/>
  <c r="W491" i="541"/>
  <c r="W506" i="541" s="1"/>
  <c r="K509" i="541"/>
  <c r="AC486" i="489"/>
  <c r="AC487" i="489"/>
  <c r="AC359" i="489"/>
  <c r="AC360" i="489"/>
  <c r="AC315" i="489"/>
  <c r="AC316" i="489"/>
  <c r="AC144" i="489"/>
  <c r="AC145" i="489"/>
  <c r="N335" i="542" l="1"/>
  <c r="B344" i="542" s="1"/>
  <c r="C533" i="541"/>
  <c r="D533" i="508"/>
  <c r="D536" i="541"/>
  <c r="D534" i="508"/>
  <c r="C534" i="541"/>
  <c r="C535" i="541"/>
  <c r="D535" i="508"/>
  <c r="X344" i="541"/>
  <c r="Z341" i="541" s="1"/>
  <c r="N164" i="541"/>
  <c r="B173" i="541" s="1"/>
  <c r="E173" i="541" s="1"/>
  <c r="H164" i="541"/>
  <c r="E171" i="541" s="1"/>
  <c r="Z167" i="541"/>
  <c r="Z170" i="541"/>
  <c r="Z169" i="541"/>
  <c r="Z171" i="541"/>
  <c r="K164" i="541"/>
  <c r="E172" i="541" s="1"/>
  <c r="N335" i="541"/>
  <c r="B344" i="541" s="1"/>
  <c r="E344" i="541" s="1"/>
  <c r="H335" i="541"/>
  <c r="E342" i="541" s="1"/>
  <c r="N507" i="541"/>
  <c r="B516" i="541" s="1"/>
  <c r="E529" i="541"/>
  <c r="E527" i="541"/>
  <c r="E525" i="541"/>
  <c r="E528" i="541"/>
  <c r="E526" i="541"/>
  <c r="E344" i="542"/>
  <c r="L335" i="543"/>
  <c r="I342" i="543" s="1"/>
  <c r="Z337" i="542" a="1"/>
  <c r="Z337" i="542" s="1"/>
  <c r="Z343" i="542"/>
  <c r="Z340" i="542"/>
  <c r="Z341" i="542"/>
  <c r="Z342" i="542"/>
  <c r="E530" i="543"/>
  <c r="Z169" i="542"/>
  <c r="Z171" i="542"/>
  <c r="Z170" i="542"/>
  <c r="E529" i="542"/>
  <c r="E528" i="542"/>
  <c r="O519" i="543" a="1"/>
  <c r="O519" i="543" s="1"/>
  <c r="G520" i="543"/>
  <c r="K520" i="543" s="1"/>
  <c r="O520" i="543" s="1"/>
  <c r="K521" i="543"/>
  <c r="O521" i="543" s="1" a="1"/>
  <c r="O521" i="543" s="1"/>
  <c r="S527" i="543"/>
  <c r="S529" i="543"/>
  <c r="S524" i="543" a="1"/>
  <c r="S524" i="543" s="1"/>
  <c r="S528" i="543"/>
  <c r="S525" i="543"/>
  <c r="E527" i="542"/>
  <c r="E525" i="542"/>
  <c r="E526" i="542"/>
  <c r="R533" i="542"/>
  <c r="R536" i="542" s="1"/>
  <c r="Q536" i="542"/>
  <c r="S536" i="542" s="1" a="1"/>
  <c r="S536" i="542" s="1"/>
  <c r="S533" i="542" a="1"/>
  <c r="S533" i="542" s="1"/>
  <c r="X516" i="542"/>
  <c r="Z509" i="542" s="1" a="1"/>
  <c r="Z509" i="542" s="1"/>
  <c r="V507" i="542"/>
  <c r="Z339" i="542"/>
  <c r="M166" i="542"/>
  <c r="K170" i="542"/>
  <c r="M170" i="542" s="1"/>
  <c r="J164" i="542" a="1"/>
  <c r="J164" i="542" s="1"/>
  <c r="M171" i="542" s="1"/>
  <c r="B171" i="542"/>
  <c r="C519" i="542" s="1"/>
  <c r="V164" i="542"/>
  <c r="I173" i="542" s="1"/>
  <c r="M335" i="542"/>
  <c r="C521" i="542"/>
  <c r="G521" i="542" s="1"/>
  <c r="E173" i="542"/>
  <c r="M164" i="542"/>
  <c r="M513" i="542"/>
  <c r="Z510" i="542"/>
  <c r="R516" i="542"/>
  <c r="T509" i="542" s="1" a="1"/>
  <c r="T509" i="542" s="1"/>
  <c r="K507" i="542"/>
  <c r="M337" i="542"/>
  <c r="K341" i="542"/>
  <c r="M341" i="542" s="1"/>
  <c r="M507" i="542"/>
  <c r="Z338" i="542"/>
  <c r="W335" i="542"/>
  <c r="R344" i="542"/>
  <c r="T337" i="542" s="1" a="1"/>
  <c r="T337" i="542" s="1"/>
  <c r="Z172" i="542"/>
  <c r="Z166" i="542" a="1"/>
  <c r="Z166" i="542" s="1"/>
  <c r="K524" i="542"/>
  <c r="R173" i="542"/>
  <c r="T166" i="542" s="1" a="1"/>
  <c r="T166" i="542" s="1"/>
  <c r="Q526" i="542"/>
  <c r="Z168" i="542"/>
  <c r="Z167" i="542"/>
  <c r="W164" i="542"/>
  <c r="V335" i="542"/>
  <c r="I344" i="542" s="1"/>
  <c r="M344" i="542" s="1" a="1"/>
  <c r="M344" i="542" s="1"/>
  <c r="K335" i="542"/>
  <c r="G519" i="542"/>
  <c r="K164" i="542"/>
  <c r="E172" i="542" s="1"/>
  <c r="I172" i="541"/>
  <c r="M172" i="541" s="1"/>
  <c r="E516" i="541"/>
  <c r="C521" i="541"/>
  <c r="G521" i="541" s="1"/>
  <c r="R516" i="541"/>
  <c r="T509" i="541" s="1" a="1"/>
  <c r="T509" i="541" s="1"/>
  <c r="X516" i="541"/>
  <c r="Z509" i="541" s="1" a="1"/>
  <c r="Z509" i="541" s="1"/>
  <c r="M507" i="541"/>
  <c r="M337" i="541"/>
  <c r="K341" i="541"/>
  <c r="M341" i="541" s="1"/>
  <c r="Z339" i="541"/>
  <c r="M166" i="541"/>
  <c r="K170" i="541"/>
  <c r="M170" i="541" s="1"/>
  <c r="J164" i="541" a="1"/>
  <c r="J164" i="541" s="1"/>
  <c r="M171" i="541" s="1"/>
  <c r="B171" i="541"/>
  <c r="C519" i="541" s="1"/>
  <c r="V335" i="541"/>
  <c r="I344" i="541" s="1"/>
  <c r="M344" i="541" s="1" a="1"/>
  <c r="M344" i="541" s="1"/>
  <c r="K335" i="541"/>
  <c r="W164" i="541"/>
  <c r="K513" i="541"/>
  <c r="M513" i="541" s="1"/>
  <c r="M509" i="541"/>
  <c r="Z510" i="541"/>
  <c r="Z342" i="541"/>
  <c r="Z337" i="541" a="1"/>
  <c r="Z337" i="541" s="1"/>
  <c r="V507" i="541"/>
  <c r="K507" i="541"/>
  <c r="Z343" i="541"/>
  <c r="Z338" i="541"/>
  <c r="W335" i="541"/>
  <c r="Z340" i="541"/>
  <c r="R344" i="541"/>
  <c r="T337" i="541" s="1" a="1"/>
  <c r="T337" i="541" s="1"/>
  <c r="Z172" i="541"/>
  <c r="Z166" i="541" a="1"/>
  <c r="Z166" i="541" s="1"/>
  <c r="K524" i="541"/>
  <c r="R173" i="541"/>
  <c r="Q526" i="541"/>
  <c r="Z168" i="541"/>
  <c r="M335" i="541"/>
  <c r="V164" i="541"/>
  <c r="I173" i="541" s="1"/>
  <c r="D533" i="544" l="1"/>
  <c r="J533" i="541"/>
  <c r="T533" i="541" a="1"/>
  <c r="T533" i="541" s="1"/>
  <c r="C536" i="541"/>
  <c r="T536" i="541" s="1" a="1"/>
  <c r="T536" i="541" s="1"/>
  <c r="C533" i="508"/>
  <c r="D535" i="544"/>
  <c r="T535" i="541" a="1"/>
  <c r="T535" i="541" s="1"/>
  <c r="J535" i="541"/>
  <c r="Q535" i="541" s="1"/>
  <c r="C535" i="508"/>
  <c r="D534" i="544"/>
  <c r="J534" i="541"/>
  <c r="Q534" i="541" s="1"/>
  <c r="C534" i="508"/>
  <c r="T534" i="541" a="1"/>
  <c r="T534" i="541" s="1"/>
  <c r="G519" i="541"/>
  <c r="L164" i="541"/>
  <c r="I171" i="541" s="1"/>
  <c r="E530" i="541"/>
  <c r="T513" i="541"/>
  <c r="E530" i="542"/>
  <c r="S530" i="543"/>
  <c r="K519" i="543"/>
  <c r="O519" i="542" a="1"/>
  <c r="O519" i="542" s="1"/>
  <c r="I516" i="542"/>
  <c r="M516" i="542" s="1" a="1"/>
  <c r="M516" i="542" s="1"/>
  <c r="W507" i="542"/>
  <c r="I172" i="542"/>
  <c r="M172" i="542" s="1"/>
  <c r="E343" i="542"/>
  <c r="I343" i="542" s="1"/>
  <c r="M343" i="542" s="1"/>
  <c r="L335" i="542"/>
  <c r="I342" i="542" s="1"/>
  <c r="Q530" i="542"/>
  <c r="S526" i="542" s="1"/>
  <c r="K530" i="542"/>
  <c r="T172" i="542"/>
  <c r="T167" i="542"/>
  <c r="T168" i="542"/>
  <c r="T169" i="542"/>
  <c r="T170" i="542"/>
  <c r="T171" i="542"/>
  <c r="T343" i="542"/>
  <c r="T338" i="542"/>
  <c r="T341" i="542"/>
  <c r="T342" i="542"/>
  <c r="T340" i="542"/>
  <c r="E515" i="542"/>
  <c r="I515" i="542" s="1"/>
  <c r="M515" i="542" s="1"/>
  <c r="L507" i="542"/>
  <c r="I514" i="542" s="1"/>
  <c r="T515" i="542"/>
  <c r="T512" i="542"/>
  <c r="T514" i="542"/>
  <c r="T510" i="542"/>
  <c r="T511" i="542"/>
  <c r="T513" i="542"/>
  <c r="K521" i="542"/>
  <c r="O521" i="542" s="1" a="1"/>
  <c r="O521" i="542" s="1"/>
  <c r="M173" i="542" a="1"/>
  <c r="M173" i="542" s="1"/>
  <c r="L164" i="542"/>
  <c r="I171" i="542" s="1"/>
  <c r="T339" i="542"/>
  <c r="Z515" i="542"/>
  <c r="Z514" i="542"/>
  <c r="Z511" i="542"/>
  <c r="Z512" i="542"/>
  <c r="Z513" i="542"/>
  <c r="M173" i="541" a="1"/>
  <c r="M173" i="541" s="1"/>
  <c r="Q530" i="541"/>
  <c r="K530" i="541"/>
  <c r="T172" i="541"/>
  <c r="T169" i="541"/>
  <c r="T170" i="541"/>
  <c r="T171" i="541"/>
  <c r="T167" i="541"/>
  <c r="T168" i="541"/>
  <c r="E515" i="541"/>
  <c r="I515" i="541" s="1"/>
  <c r="M515" i="541" s="1"/>
  <c r="L507" i="541"/>
  <c r="I514" i="541" s="1"/>
  <c r="O519" i="541" a="1"/>
  <c r="O519" i="541" s="1"/>
  <c r="T166" i="541" a="1"/>
  <c r="T166" i="541" s="1"/>
  <c r="M524" i="541" a="1"/>
  <c r="M524" i="541" s="1"/>
  <c r="T343" i="541"/>
  <c r="T339" i="541"/>
  <c r="T340" i="541"/>
  <c r="T341" i="541"/>
  <c r="T342" i="541"/>
  <c r="T338" i="541"/>
  <c r="I516" i="541"/>
  <c r="M516" i="541" s="1" a="1"/>
  <c r="M516" i="541" s="1"/>
  <c r="W507" i="541"/>
  <c r="E343" i="541"/>
  <c r="L335" i="541"/>
  <c r="I342" i="541" s="1"/>
  <c r="Z515" i="541"/>
  <c r="Z514" i="541"/>
  <c r="Z513" i="541"/>
  <c r="Z512" i="541"/>
  <c r="Z511" i="541"/>
  <c r="T515" i="541"/>
  <c r="T512" i="541"/>
  <c r="T514" i="541"/>
  <c r="T511" i="541"/>
  <c r="T510" i="541"/>
  <c r="S534" i="541" l="1" a="1"/>
  <c r="S534" i="541" s="1"/>
  <c r="R534" i="541"/>
  <c r="C534" i="544"/>
  <c r="R535" i="541"/>
  <c r="S535" i="541" a="1"/>
  <c r="S535" i="541" s="1"/>
  <c r="C535" i="544"/>
  <c r="J536" i="541"/>
  <c r="Q533" i="541"/>
  <c r="D536" i="544"/>
  <c r="C533" i="544"/>
  <c r="M528" i="542"/>
  <c r="M526" i="542"/>
  <c r="M529" i="542"/>
  <c r="M527" i="542"/>
  <c r="M525" i="542"/>
  <c r="G520" i="542"/>
  <c r="S528" i="542"/>
  <c r="S527" i="542"/>
  <c r="S529" i="542"/>
  <c r="S524" i="542" a="1"/>
  <c r="S524" i="542" s="1"/>
  <c r="S525" i="542"/>
  <c r="M524" i="542" a="1"/>
  <c r="M524" i="542" s="1"/>
  <c r="I343" i="541"/>
  <c r="M343" i="541" s="1"/>
  <c r="G520" i="541"/>
  <c r="S528" i="541"/>
  <c r="S527" i="541"/>
  <c r="S529" i="541"/>
  <c r="S524" i="541" a="1"/>
  <c r="S524" i="541" s="1"/>
  <c r="S525" i="541"/>
  <c r="M529" i="541"/>
  <c r="M527" i="541"/>
  <c r="M525" i="541"/>
  <c r="M528" i="541"/>
  <c r="M526" i="541"/>
  <c r="S526" i="541"/>
  <c r="K521" i="541"/>
  <c r="O521" i="541" s="1" a="1"/>
  <c r="O521" i="541" s="1"/>
  <c r="J533" i="544" l="1"/>
  <c r="D533" i="545"/>
  <c r="C536" i="544"/>
  <c r="T536" i="544" s="1" a="1"/>
  <c r="T536" i="544" s="1"/>
  <c r="T533" i="544" a="1"/>
  <c r="T533" i="544" s="1"/>
  <c r="Q536" i="541"/>
  <c r="S536" i="541" s="1" a="1"/>
  <c r="S536" i="541" s="1"/>
  <c r="R533" i="541"/>
  <c r="R536" i="541" s="1"/>
  <c r="S533" i="541" a="1"/>
  <c r="S533" i="541" s="1"/>
  <c r="J535" i="544"/>
  <c r="Q535" i="544" s="1"/>
  <c r="D535" i="545"/>
  <c r="T535" i="544" a="1"/>
  <c r="T535" i="544" s="1"/>
  <c r="J534" i="544"/>
  <c r="Q534" i="544" s="1"/>
  <c r="D534" i="545"/>
  <c r="T534" i="544" a="1"/>
  <c r="T534" i="544" s="1"/>
  <c r="S530" i="542"/>
  <c r="K520" i="542"/>
  <c r="O520" i="542" s="1"/>
  <c r="K519" i="542"/>
  <c r="S530" i="541"/>
  <c r="K520" i="541"/>
  <c r="O520" i="541" s="1"/>
  <c r="K519" i="541"/>
  <c r="C534" i="545" l="1"/>
  <c r="C535" i="545"/>
  <c r="D536" i="545"/>
  <c r="C533" i="545"/>
  <c r="R534" i="544"/>
  <c r="S534" i="544" a="1"/>
  <c r="S534" i="544" s="1"/>
  <c r="S535" i="544" a="1"/>
  <c r="S535" i="544" s="1"/>
  <c r="R535" i="544"/>
  <c r="Q533" i="544"/>
  <c r="J536" i="544"/>
  <c r="K10" i="534"/>
  <c r="I11" i="534"/>
  <c r="F11" i="534"/>
  <c r="C11" i="534"/>
  <c r="J10" i="534"/>
  <c r="G10" i="534"/>
  <c r="D10" i="534"/>
  <c r="Q536" i="544" l="1"/>
  <c r="S536" i="544" s="1" a="1"/>
  <c r="S536" i="544" s="1"/>
  <c r="R533" i="544"/>
  <c r="R536" i="544" s="1"/>
  <c r="S533" i="544" a="1"/>
  <c r="S533" i="544" s="1"/>
  <c r="J533" i="545"/>
  <c r="T533" i="545" a="1"/>
  <c r="T533" i="545" s="1"/>
  <c r="C536" i="545"/>
  <c r="T536" i="545" s="1" a="1"/>
  <c r="T536" i="545" s="1"/>
  <c r="J535" i="545"/>
  <c r="Q535" i="545" s="1"/>
  <c r="T535" i="545" a="1"/>
  <c r="T535" i="545" s="1"/>
  <c r="J534" i="545"/>
  <c r="Q534" i="545" s="1"/>
  <c r="T534" i="545" a="1"/>
  <c r="T534" i="545" s="1"/>
  <c r="H486" i="434"/>
  <c r="H487" i="434"/>
  <c r="H486" i="508"/>
  <c r="H487" i="508"/>
  <c r="H486" i="505"/>
  <c r="H487" i="505"/>
  <c r="H486" i="489"/>
  <c r="H487" i="489"/>
  <c r="H316" i="434"/>
  <c r="H316" i="508"/>
  <c r="H316" i="505"/>
  <c r="H316" i="489"/>
  <c r="K143" i="434" a="1"/>
  <c r="K143" i="434" s="1"/>
  <c r="K144" i="434" a="1"/>
  <c r="K144" i="434" s="1"/>
  <c r="K145" i="434" a="1"/>
  <c r="K145" i="434" s="1"/>
  <c r="K144" i="508" a="1"/>
  <c r="K144" i="508" s="1"/>
  <c r="K145" i="508" a="1"/>
  <c r="K145" i="508" s="1"/>
  <c r="K145" i="505" a="1"/>
  <c r="K145" i="505" s="1"/>
  <c r="K144" i="489" a="1"/>
  <c r="K144" i="489" s="1"/>
  <c r="K145" i="489" a="1"/>
  <c r="K145" i="489" s="1"/>
  <c r="H145" i="434"/>
  <c r="R535" i="545" l="1"/>
  <c r="S535" i="545" a="1"/>
  <c r="S535" i="545" s="1"/>
  <c r="J536" i="545"/>
  <c r="Q533" i="545"/>
  <c r="R534" i="545"/>
  <c r="S534" i="545" a="1"/>
  <c r="S534" i="545" s="1"/>
  <c r="J315" i="505" a="1"/>
  <c r="J315" i="505" s="1"/>
  <c r="J314" i="505" a="1"/>
  <c r="J314" i="505" s="1"/>
  <c r="J312" i="505" a="1"/>
  <c r="J312" i="505" s="1"/>
  <c r="J142" i="505" a="1"/>
  <c r="J142" i="505" s="1"/>
  <c r="Q536" i="545" l="1"/>
  <c r="S536" i="545" s="1" a="1"/>
  <c r="S536" i="545" s="1"/>
  <c r="R533" i="545"/>
  <c r="R536" i="545" s="1"/>
  <c r="S533" i="545" a="1"/>
  <c r="S533" i="545" s="1"/>
  <c r="J141" i="505" a="1"/>
  <c r="J141" i="505" s="1"/>
  <c r="J143" i="505" a="1"/>
  <c r="J143" i="505" s="1"/>
  <c r="K143" i="505" a="1"/>
  <c r="K143" i="505" s="1"/>
  <c r="J144" i="505" a="1"/>
  <c r="J144" i="505" s="1"/>
  <c r="K144" i="505" a="1"/>
  <c r="K144" i="505" s="1"/>
  <c r="J313" i="505" a="1"/>
  <c r="J313" i="505" s="1"/>
  <c r="K318" i="505" l="1" a="1"/>
  <c r="K318" i="505" s="1"/>
  <c r="H315" i="434" l="1"/>
  <c r="H314" i="434"/>
  <c r="H315" i="508"/>
  <c r="H315" i="505"/>
  <c r="H315" i="489"/>
  <c r="H144" i="434"/>
  <c r="H314" i="505" l="1"/>
  <c r="H314" i="489" l="1"/>
  <c r="K143" i="489" a="1"/>
  <c r="K143" i="489" s="1"/>
  <c r="H314" i="508"/>
  <c r="K143" i="508" a="1"/>
  <c r="K143" i="508" s="1"/>
  <c r="P536" i="508" l="1"/>
  <c r="O536" i="508"/>
  <c r="N536" i="508"/>
  <c r="M536" i="508"/>
  <c r="L536" i="508"/>
  <c r="K536" i="508"/>
  <c r="I536" i="508"/>
  <c r="H536" i="508"/>
  <c r="G536" i="508"/>
  <c r="F536" i="508"/>
  <c r="E536" i="508"/>
  <c r="D536" i="508"/>
  <c r="G517" i="508"/>
  <c r="N517" i="508" s="1"/>
  <c r="G513" i="508"/>
  <c r="E513" i="508"/>
  <c r="I512" i="508"/>
  <c r="E512" i="508"/>
  <c r="K512" i="508" s="1"/>
  <c r="M512" i="508" s="1"/>
  <c r="I511" i="508"/>
  <c r="E511" i="508"/>
  <c r="K511" i="508" s="1"/>
  <c r="M511" i="508" s="1"/>
  <c r="I510" i="508"/>
  <c r="E510" i="508"/>
  <c r="K510" i="508" s="1"/>
  <c r="M510" i="508" s="1"/>
  <c r="I509" i="508"/>
  <c r="I513" i="508" s="1"/>
  <c r="E509" i="508"/>
  <c r="K509" i="508" s="1"/>
  <c r="H505" i="508"/>
  <c r="H504" i="508"/>
  <c r="H503" i="508"/>
  <c r="D502" i="508"/>
  <c r="N501" i="508"/>
  <c r="K501" i="508" a="1"/>
  <c r="K501" i="508" s="1"/>
  <c r="H500" i="508"/>
  <c r="H499" i="508"/>
  <c r="V498" i="508"/>
  <c r="W498" i="508" s="1"/>
  <c r="K498" i="508" a="1"/>
  <c r="K498" i="508" s="1"/>
  <c r="V497" i="508"/>
  <c r="N497" i="508"/>
  <c r="K497" i="508" a="1"/>
  <c r="K497" i="508" s="1"/>
  <c r="H496" i="508"/>
  <c r="H495" i="508"/>
  <c r="V494" i="508"/>
  <c r="K494" i="508" a="1"/>
  <c r="K494" i="508" s="1"/>
  <c r="V493" i="508"/>
  <c r="N493" i="508"/>
  <c r="K493" i="508" a="1"/>
  <c r="K493" i="508" s="1"/>
  <c r="V492" i="508"/>
  <c r="W492" i="508" s="1"/>
  <c r="K492" i="508" a="1"/>
  <c r="K492" i="508" s="1"/>
  <c r="M492" i="508" s="1"/>
  <c r="AA506" i="508"/>
  <c r="Z506" i="508"/>
  <c r="Y506" i="508"/>
  <c r="X506" i="508"/>
  <c r="V491" i="508"/>
  <c r="U506" i="508"/>
  <c r="T506" i="508"/>
  <c r="S506" i="508"/>
  <c r="R506" i="508"/>
  <c r="Q506" i="508"/>
  <c r="P506" i="508"/>
  <c r="O506" i="508"/>
  <c r="N491" i="508"/>
  <c r="I506" i="508"/>
  <c r="G506" i="508"/>
  <c r="V489" i="508"/>
  <c r="N489" i="508"/>
  <c r="K489" i="508" a="1"/>
  <c r="K489" i="508" s="1"/>
  <c r="H485" i="508"/>
  <c r="V484" i="508"/>
  <c r="N484" i="508"/>
  <c r="K484" i="508" a="1"/>
  <c r="K484" i="508" s="1"/>
  <c r="M484" i="508" s="1"/>
  <c r="J483" i="508" a="1"/>
  <c r="J483" i="508" s="1"/>
  <c r="H483" i="508"/>
  <c r="K483" i="508" a="1"/>
  <c r="K483" i="508" s="1"/>
  <c r="M483" i="508" s="1"/>
  <c r="V482" i="508"/>
  <c r="N482" i="508"/>
  <c r="K482" i="508" a="1"/>
  <c r="K482" i="508" s="1"/>
  <c r="M482" i="508" s="1"/>
  <c r="J481" i="508" a="1"/>
  <c r="J481" i="508" s="1"/>
  <c r="H481" i="508"/>
  <c r="K481" i="508" a="1"/>
  <c r="K481" i="508" s="1"/>
  <c r="M481" i="508" s="1"/>
  <c r="AA490" i="508"/>
  <c r="Z490" i="508"/>
  <c r="Y490" i="508"/>
  <c r="X490" i="508"/>
  <c r="U490" i="508"/>
  <c r="T490" i="508"/>
  <c r="S490" i="508"/>
  <c r="Q490" i="508"/>
  <c r="P490" i="508"/>
  <c r="N480" i="508"/>
  <c r="I490" i="508"/>
  <c r="G490" i="508"/>
  <c r="V478" i="508"/>
  <c r="N478" i="508"/>
  <c r="K478" i="508" a="1"/>
  <c r="K478" i="508" s="1"/>
  <c r="N477" i="508"/>
  <c r="K477" i="508" a="1"/>
  <c r="K477" i="508" s="1"/>
  <c r="V476" i="508"/>
  <c r="N476" i="508"/>
  <c r="K476" i="508" a="1"/>
  <c r="K476" i="508" s="1"/>
  <c r="N475" i="508"/>
  <c r="K475" i="508" a="1"/>
  <c r="K475" i="508" s="1"/>
  <c r="V474" i="508"/>
  <c r="N474" i="508"/>
  <c r="K474" i="508" a="1"/>
  <c r="K474" i="508" s="1"/>
  <c r="N473" i="508"/>
  <c r="K473" i="508" a="1"/>
  <c r="K473" i="508" s="1"/>
  <c r="V472" i="508"/>
  <c r="N472" i="508"/>
  <c r="K472" i="508" a="1"/>
  <c r="K472" i="508" s="1"/>
  <c r="N471" i="508"/>
  <c r="K471" i="508" a="1"/>
  <c r="K471" i="508" s="1"/>
  <c r="V470" i="508"/>
  <c r="N470" i="508"/>
  <c r="K470" i="508" a="1"/>
  <c r="K470" i="508" s="1"/>
  <c r="V469" i="508"/>
  <c r="K469" i="508" a="1"/>
  <c r="K469" i="508" s="1"/>
  <c r="V468" i="508"/>
  <c r="N468" i="508"/>
  <c r="K468" i="508" a="1"/>
  <c r="K468" i="508" s="1"/>
  <c r="V467" i="508"/>
  <c r="K467" i="508" a="1"/>
  <c r="K467" i="508" s="1"/>
  <c r="M467" i="508" s="1"/>
  <c r="V466" i="508"/>
  <c r="N466" i="508"/>
  <c r="K466" i="508" a="1"/>
  <c r="K466" i="508" s="1"/>
  <c r="V465" i="508"/>
  <c r="K465" i="508" a="1"/>
  <c r="K465" i="508" s="1"/>
  <c r="M465" i="508" s="1"/>
  <c r="AA479" i="508"/>
  <c r="Y479" i="508"/>
  <c r="V464" i="508"/>
  <c r="T479" i="508"/>
  <c r="R479" i="508"/>
  <c r="P479" i="508"/>
  <c r="N464" i="508"/>
  <c r="K464" i="508" a="1"/>
  <c r="K464" i="508" s="1"/>
  <c r="K461" i="508" a="1"/>
  <c r="K461" i="508" s="1"/>
  <c r="M461" i="508" s="1"/>
  <c r="K460" i="508" a="1"/>
  <c r="K460" i="508" s="1"/>
  <c r="M460" i="508" s="1"/>
  <c r="K459" i="508" a="1"/>
  <c r="K459" i="508" s="1"/>
  <c r="K458" i="508" a="1"/>
  <c r="K458" i="508" s="1"/>
  <c r="M458" i="508" s="1"/>
  <c r="K457" i="508" a="1"/>
  <c r="K457" i="508" s="1"/>
  <c r="N455" i="508"/>
  <c r="K455" i="508" a="1"/>
  <c r="K455" i="508" s="1"/>
  <c r="K454" i="508" a="1"/>
  <c r="K454" i="508" s="1"/>
  <c r="N453" i="508"/>
  <c r="K453" i="508" a="1"/>
  <c r="K453" i="508" s="1"/>
  <c r="K452" i="508" a="1"/>
  <c r="K452" i="508" s="1"/>
  <c r="N451" i="508"/>
  <c r="K451" i="508" a="1"/>
  <c r="K451" i="508" s="1"/>
  <c r="K450" i="508" a="1"/>
  <c r="K450" i="508" s="1"/>
  <c r="N449" i="508"/>
  <c r="K449" i="508" a="1"/>
  <c r="K449" i="508" s="1"/>
  <c r="V448" i="508"/>
  <c r="N448" i="508"/>
  <c r="K448" i="508" a="1"/>
  <c r="K448" i="508" s="1"/>
  <c r="N447" i="508"/>
  <c r="K447" i="508" a="1"/>
  <c r="K447" i="508" s="1"/>
  <c r="V446" i="508"/>
  <c r="N446" i="508"/>
  <c r="K446" i="508" a="1"/>
  <c r="K446" i="508" s="1"/>
  <c r="N445" i="508"/>
  <c r="K445" i="508" a="1"/>
  <c r="K445" i="508" s="1"/>
  <c r="V444" i="508"/>
  <c r="N444" i="508"/>
  <c r="K444" i="508" a="1"/>
  <c r="K444" i="508" s="1"/>
  <c r="N443" i="508"/>
  <c r="K443" i="508" a="1"/>
  <c r="K443" i="508" s="1"/>
  <c r="V442" i="508"/>
  <c r="N442" i="508"/>
  <c r="K442" i="508" a="1"/>
  <c r="K442" i="508" s="1"/>
  <c r="N441" i="508"/>
  <c r="K441" i="508" a="1"/>
  <c r="K441" i="508" s="1"/>
  <c r="V440" i="508"/>
  <c r="N440" i="508"/>
  <c r="K440" i="508" a="1"/>
  <c r="K440" i="508" s="1"/>
  <c r="N439" i="508"/>
  <c r="K439" i="508" a="1"/>
  <c r="K439" i="508" s="1"/>
  <c r="V438" i="508"/>
  <c r="N438" i="508"/>
  <c r="K438" i="508" a="1"/>
  <c r="K438" i="508" s="1"/>
  <c r="N437" i="508"/>
  <c r="K437" i="508" a="1"/>
  <c r="K437" i="508" s="1"/>
  <c r="K436" i="508" a="1"/>
  <c r="K436" i="508" s="1"/>
  <c r="V435" i="508"/>
  <c r="N435" i="508"/>
  <c r="K435" i="508" a="1"/>
  <c r="K435" i="508" s="1"/>
  <c r="V434" i="508"/>
  <c r="W434" i="508" s="1"/>
  <c r="K434" i="508" a="1"/>
  <c r="K434" i="508" s="1"/>
  <c r="V433" i="508"/>
  <c r="X514" i="508"/>
  <c r="N433" i="508"/>
  <c r="K433" i="508" a="1"/>
  <c r="K433" i="508" s="1"/>
  <c r="V432" i="508"/>
  <c r="K432" i="508" a="1"/>
  <c r="K432" i="508" s="1"/>
  <c r="V431" i="508"/>
  <c r="N431" i="508"/>
  <c r="K431" i="508" a="1"/>
  <c r="K431" i="508" s="1"/>
  <c r="V430" i="508"/>
  <c r="K430" i="508" a="1"/>
  <c r="K430" i="508" s="1"/>
  <c r="AA463" i="508"/>
  <c r="Y463" i="508"/>
  <c r="V429" i="508"/>
  <c r="U463" i="508"/>
  <c r="T463" i="508"/>
  <c r="S463" i="508"/>
  <c r="R463" i="508"/>
  <c r="Q463" i="508"/>
  <c r="P463" i="508"/>
  <c r="O463" i="508"/>
  <c r="N429" i="508"/>
  <c r="G463" i="508"/>
  <c r="K427" i="508" a="1"/>
  <c r="K427" i="508" s="1"/>
  <c r="K426" i="508" a="1"/>
  <c r="K426" i="508" s="1"/>
  <c r="M426" i="508" s="1"/>
  <c r="K425" i="508" a="1"/>
  <c r="K425" i="508" s="1"/>
  <c r="K424" i="508" a="1"/>
  <c r="K424" i="508" s="1"/>
  <c r="K423" i="508" a="1"/>
  <c r="K423" i="508" s="1"/>
  <c r="K422" i="508" a="1"/>
  <c r="K422" i="508" s="1"/>
  <c r="K421" i="508" a="1"/>
  <c r="K421" i="508" s="1"/>
  <c r="K420" i="508" a="1"/>
  <c r="K420" i="508" s="1"/>
  <c r="K419" i="508" a="1"/>
  <c r="K419" i="508" s="1"/>
  <c r="K418" i="508" a="1"/>
  <c r="K418" i="508" s="1"/>
  <c r="V417" i="508"/>
  <c r="N417" i="508"/>
  <c r="K417" i="508" a="1"/>
  <c r="K417" i="508" s="1"/>
  <c r="V416" i="508"/>
  <c r="K416" i="508" a="1"/>
  <c r="K416" i="508" s="1"/>
  <c r="V415" i="508"/>
  <c r="N415" i="508"/>
  <c r="K415" i="508" a="1"/>
  <c r="K415" i="508" s="1"/>
  <c r="V414" i="508"/>
  <c r="K414" i="508" a="1"/>
  <c r="K414" i="508" s="1"/>
  <c r="H413" i="508"/>
  <c r="V412" i="508"/>
  <c r="K412" i="508" a="1"/>
  <c r="K412" i="508" s="1"/>
  <c r="V411" i="508"/>
  <c r="N411" i="508"/>
  <c r="K411" i="508" a="1"/>
  <c r="K411" i="508" s="1"/>
  <c r="H410" i="508"/>
  <c r="K409" i="508" a="1"/>
  <c r="K409" i="508" s="1"/>
  <c r="J407" i="508" a="1"/>
  <c r="J407" i="508" s="1"/>
  <c r="J405" i="508" a="1"/>
  <c r="J405" i="508" s="1"/>
  <c r="J403" i="508" a="1"/>
  <c r="J403" i="508" s="1"/>
  <c r="J401" i="508" a="1"/>
  <c r="J401" i="508" s="1"/>
  <c r="N399" i="508"/>
  <c r="J399" i="508" a="1"/>
  <c r="J399" i="508" s="1"/>
  <c r="K398" i="508" a="1"/>
  <c r="K398" i="508" s="1"/>
  <c r="K397" i="508" a="1"/>
  <c r="K397" i="508" s="1"/>
  <c r="M397" i="508" s="1"/>
  <c r="K396" i="508" a="1"/>
  <c r="K396" i="508" s="1"/>
  <c r="H395" i="508"/>
  <c r="K395" i="508" a="1"/>
  <c r="K395" i="508" s="1"/>
  <c r="M395" i="508" s="1"/>
  <c r="N394" i="508"/>
  <c r="K394" i="508" a="1"/>
  <c r="K394" i="508" s="1"/>
  <c r="M394" i="508" s="1"/>
  <c r="K393" i="508" a="1"/>
  <c r="K393" i="508" s="1"/>
  <c r="M393" i="508" s="1"/>
  <c r="K392" i="508" a="1"/>
  <c r="K392" i="508" s="1"/>
  <c r="H391" i="508"/>
  <c r="K391" i="508" a="1"/>
  <c r="K391" i="508" s="1"/>
  <c r="M391" i="508" s="1"/>
  <c r="V390" i="508"/>
  <c r="N390" i="508"/>
  <c r="K390" i="508" a="1"/>
  <c r="K390" i="508" s="1"/>
  <c r="M390" i="508" s="1"/>
  <c r="J389" i="508" a="1"/>
  <c r="J389" i="508" s="1"/>
  <c r="H389" i="508"/>
  <c r="K389" i="508" a="1"/>
  <c r="K389" i="508" s="1"/>
  <c r="M389" i="508" s="1"/>
  <c r="V388" i="508"/>
  <c r="N388" i="508"/>
  <c r="K388" i="508" a="1"/>
  <c r="K388" i="508" s="1"/>
  <c r="M388" i="508" s="1"/>
  <c r="J387" i="508" a="1"/>
  <c r="J387" i="508" s="1"/>
  <c r="H387" i="508"/>
  <c r="K387" i="508" a="1"/>
  <c r="K387" i="508" s="1"/>
  <c r="M387" i="508" s="1"/>
  <c r="V386" i="508"/>
  <c r="N386" i="508"/>
  <c r="K386" i="508" a="1"/>
  <c r="K386" i="508" s="1"/>
  <c r="M386" i="508" s="1"/>
  <c r="J385" i="508" a="1"/>
  <c r="J385" i="508" s="1"/>
  <c r="H385" i="508"/>
  <c r="K385" i="508" a="1"/>
  <c r="K385" i="508" s="1"/>
  <c r="M385" i="508" s="1"/>
  <c r="V384" i="508"/>
  <c r="N384" i="508"/>
  <c r="K384" i="508" a="1"/>
  <c r="K384" i="508" s="1"/>
  <c r="M384" i="508" s="1"/>
  <c r="J383" i="508" a="1"/>
  <c r="J383" i="508" s="1"/>
  <c r="H383" i="508"/>
  <c r="V382" i="508"/>
  <c r="N382" i="508"/>
  <c r="K382" i="508" a="1"/>
  <c r="K382" i="508" s="1"/>
  <c r="M382" i="508" s="1"/>
  <c r="J381" i="508" a="1"/>
  <c r="J381" i="508" s="1"/>
  <c r="H381" i="508"/>
  <c r="K381" i="508" a="1"/>
  <c r="K381" i="508" s="1"/>
  <c r="M381" i="508" s="1"/>
  <c r="V380" i="508"/>
  <c r="N380" i="508"/>
  <c r="K380" i="508" a="1"/>
  <c r="K380" i="508" s="1"/>
  <c r="M380" i="508" s="1"/>
  <c r="J379" i="508" a="1"/>
  <c r="J379" i="508" s="1"/>
  <c r="H379" i="508"/>
  <c r="K379" i="508" a="1"/>
  <c r="K379" i="508" s="1"/>
  <c r="M379" i="508" s="1"/>
  <c r="K378" i="508" a="1"/>
  <c r="K378" i="508" s="1"/>
  <c r="M378" i="508" s="1"/>
  <c r="H378" i="508"/>
  <c r="K377" i="508" a="1"/>
  <c r="K377" i="508" s="1"/>
  <c r="M377" i="508" s="1"/>
  <c r="H377" i="508"/>
  <c r="K376" i="508" a="1"/>
  <c r="K376" i="508" s="1"/>
  <c r="M376" i="508" s="1"/>
  <c r="H376" i="508"/>
  <c r="V375" i="508"/>
  <c r="X513" i="508"/>
  <c r="K375" i="508" a="1"/>
  <c r="K375" i="508" s="1"/>
  <c r="M375" i="508" s="1"/>
  <c r="X512" i="508"/>
  <c r="J374" i="508" a="1"/>
  <c r="J374" i="508" s="1"/>
  <c r="H374" i="508"/>
  <c r="K374" i="508" a="1"/>
  <c r="K374" i="508" s="1"/>
  <c r="M374" i="508" s="1"/>
  <c r="V373" i="508"/>
  <c r="X511" i="508"/>
  <c r="K373" i="508" a="1"/>
  <c r="K373" i="508" s="1"/>
  <c r="M373" i="508" s="1"/>
  <c r="K372" i="508" a="1"/>
  <c r="K372" i="508" s="1"/>
  <c r="Z428" i="508"/>
  <c r="X428" i="508"/>
  <c r="T428" i="508"/>
  <c r="R428" i="508"/>
  <c r="Q428" i="508"/>
  <c r="P428" i="508"/>
  <c r="J371" i="508" a="1"/>
  <c r="J371" i="508" s="1"/>
  <c r="I428" i="508"/>
  <c r="H371" i="508"/>
  <c r="G428" i="508"/>
  <c r="V369" i="508"/>
  <c r="N369" i="508"/>
  <c r="K369" i="508" a="1"/>
  <c r="K369" i="508" s="1"/>
  <c r="K368" i="508" a="1"/>
  <c r="K368" i="508" s="1"/>
  <c r="M368" i="508" s="1"/>
  <c r="H368" i="508"/>
  <c r="K367" i="508" a="1"/>
  <c r="K367" i="508" s="1"/>
  <c r="K366" i="508" a="1"/>
  <c r="K366" i="508" s="1"/>
  <c r="M366" i="508" s="1"/>
  <c r="H366" i="508"/>
  <c r="K365" i="508" a="1"/>
  <c r="K365" i="508" s="1"/>
  <c r="V364" i="508"/>
  <c r="W364" i="508" s="1"/>
  <c r="K364" i="508" a="1"/>
  <c r="K364" i="508" s="1"/>
  <c r="M364" i="508" s="1"/>
  <c r="V363" i="508"/>
  <c r="N363" i="508"/>
  <c r="K363" i="508" a="1"/>
  <c r="K363" i="508" s="1"/>
  <c r="V362" i="508"/>
  <c r="W362" i="508" s="1"/>
  <c r="K362" i="508" a="1"/>
  <c r="K362" i="508" s="1"/>
  <c r="M362" i="508" s="1"/>
  <c r="V361" i="508"/>
  <c r="N361" i="508"/>
  <c r="K361" i="508" a="1"/>
  <c r="K361" i="508" s="1"/>
  <c r="H360" i="508"/>
  <c r="H359" i="508"/>
  <c r="V358" i="508"/>
  <c r="W358" i="508" s="1"/>
  <c r="K358" i="508" a="1"/>
  <c r="K358" i="508" s="1"/>
  <c r="M358" i="508" s="1"/>
  <c r="V357" i="508"/>
  <c r="N357" i="508"/>
  <c r="K357" i="508" a="1"/>
  <c r="K357" i="508" s="1"/>
  <c r="V356" i="508"/>
  <c r="W356" i="508" s="1"/>
  <c r="K356" i="508" a="1"/>
  <c r="K356" i="508" s="1"/>
  <c r="M356" i="508" s="1"/>
  <c r="V355" i="508"/>
  <c r="N355" i="508"/>
  <c r="K355" i="508" a="1"/>
  <c r="K355" i="508" s="1"/>
  <c r="V354" i="508"/>
  <c r="W354" i="508" s="1"/>
  <c r="K354" i="508" a="1"/>
  <c r="K354" i="508" s="1"/>
  <c r="M354" i="508" s="1"/>
  <c r="V353" i="508"/>
  <c r="N353" i="508"/>
  <c r="K353" i="508" a="1"/>
  <c r="K353" i="508" s="1"/>
  <c r="V352" i="508"/>
  <c r="W352" i="508" s="1"/>
  <c r="K352" i="508" a="1"/>
  <c r="K352" i="508" s="1"/>
  <c r="M352" i="508" s="1"/>
  <c r="V351" i="508"/>
  <c r="N351" i="508"/>
  <c r="K351" i="508"/>
  <c r="K350" i="508"/>
  <c r="U370" i="508"/>
  <c r="S370" i="508"/>
  <c r="Q370" i="508"/>
  <c r="O370" i="508"/>
  <c r="E341" i="508"/>
  <c r="I340" i="508"/>
  <c r="K340" i="508" s="1"/>
  <c r="M340" i="508" s="1"/>
  <c r="E340" i="508"/>
  <c r="I339" i="508"/>
  <c r="K339" i="508" s="1"/>
  <c r="M339" i="508" s="1"/>
  <c r="E339" i="508"/>
  <c r="I338" i="508"/>
  <c r="K338" i="508" s="1"/>
  <c r="M338" i="508" s="1"/>
  <c r="E338" i="508"/>
  <c r="E337" i="508"/>
  <c r="K333" i="508" a="1"/>
  <c r="K333" i="508" s="1"/>
  <c r="K332" i="508" a="1"/>
  <c r="K332" i="508" s="1"/>
  <c r="M332" i="508" s="1"/>
  <c r="H332" i="508"/>
  <c r="K331" i="508" a="1"/>
  <c r="K331" i="508" s="1"/>
  <c r="J330" i="508" a="1"/>
  <c r="J330" i="508" s="1"/>
  <c r="D330" i="508"/>
  <c r="H329" i="508"/>
  <c r="K328" i="508" a="1"/>
  <c r="K328" i="508" s="1"/>
  <c r="H327" i="508"/>
  <c r="N326" i="508"/>
  <c r="K326" i="508" a="1"/>
  <c r="K326" i="508" s="1"/>
  <c r="V325" i="508"/>
  <c r="N325" i="508"/>
  <c r="K325" i="508" a="1"/>
  <c r="K325" i="508" s="1"/>
  <c r="H324" i="508"/>
  <c r="V323" i="508"/>
  <c r="N323" i="508"/>
  <c r="K323" i="508" a="1"/>
  <c r="K323" i="508" s="1"/>
  <c r="N322" i="508"/>
  <c r="K322" i="508" a="1"/>
  <c r="K322" i="508" s="1"/>
  <c r="V321" i="508"/>
  <c r="N321" i="508"/>
  <c r="K321" i="508" a="1"/>
  <c r="K321" i="508" s="1"/>
  <c r="AA334" i="508"/>
  <c r="Y334" i="508"/>
  <c r="U334" i="508"/>
  <c r="T334" i="508"/>
  <c r="S334" i="508"/>
  <c r="R334" i="508"/>
  <c r="Q334" i="508"/>
  <c r="P334" i="508"/>
  <c r="O334" i="508"/>
  <c r="G334" i="508"/>
  <c r="V318" i="508"/>
  <c r="N318" i="508"/>
  <c r="K318" i="508" a="1"/>
  <c r="K318" i="508" s="1"/>
  <c r="J313" i="508" a="1"/>
  <c r="J313" i="508" s="1"/>
  <c r="H313" i="508"/>
  <c r="K313" i="508" a="1"/>
  <c r="K313" i="508" s="1"/>
  <c r="M313" i="508" s="1"/>
  <c r="V312" i="508"/>
  <c r="N312" i="508"/>
  <c r="K312" i="508" a="1"/>
  <c r="K312" i="508" s="1"/>
  <c r="M312" i="508" s="1"/>
  <c r="J311" i="508" a="1"/>
  <c r="J311" i="508" s="1"/>
  <c r="H311" i="508"/>
  <c r="K311" i="508" a="1"/>
  <c r="K311" i="508" s="1"/>
  <c r="M311" i="508" s="1"/>
  <c r="V310" i="508"/>
  <c r="N310" i="508"/>
  <c r="K310" i="508" a="1"/>
  <c r="K310" i="508" s="1"/>
  <c r="M310" i="508" s="1"/>
  <c r="AA319" i="508"/>
  <c r="Z319" i="508"/>
  <c r="Y319" i="508"/>
  <c r="X319" i="508"/>
  <c r="U319" i="508"/>
  <c r="T319" i="508"/>
  <c r="S319" i="508"/>
  <c r="Q319" i="508"/>
  <c r="P319" i="508"/>
  <c r="O319" i="508"/>
  <c r="J309" i="508" a="1"/>
  <c r="J309" i="508" s="1"/>
  <c r="I319" i="508"/>
  <c r="H309" i="508"/>
  <c r="G319" i="508"/>
  <c r="J319" i="508" s="1" a="1"/>
  <c r="J319" i="508" s="1"/>
  <c r="V307" i="508"/>
  <c r="N307" i="508"/>
  <c r="K307" i="508" a="1"/>
  <c r="K307" i="508" s="1"/>
  <c r="V306" i="508"/>
  <c r="W306" i="508" s="1"/>
  <c r="K306" i="508" a="1"/>
  <c r="K306" i="508" s="1"/>
  <c r="V305" i="508"/>
  <c r="N305" i="508"/>
  <c r="V304" i="508"/>
  <c r="N303" i="508"/>
  <c r="V302" i="508"/>
  <c r="N302" i="508"/>
  <c r="N301" i="508"/>
  <c r="J300" i="508" a="1"/>
  <c r="J300" i="508" s="1"/>
  <c r="J298" i="508" a="1"/>
  <c r="J298" i="508" s="1"/>
  <c r="J296" i="508" a="1"/>
  <c r="J296" i="508" s="1"/>
  <c r="J294" i="508" a="1"/>
  <c r="J294" i="508" s="1"/>
  <c r="Z308" i="508"/>
  <c r="Y308" i="508"/>
  <c r="X308" i="508"/>
  <c r="U308" i="508"/>
  <c r="T308" i="508"/>
  <c r="S308" i="508"/>
  <c r="R308" i="508"/>
  <c r="Q308" i="508"/>
  <c r="P308" i="508"/>
  <c r="O308" i="508"/>
  <c r="I308" i="508"/>
  <c r="L562" i="508" s="1"/>
  <c r="G308" i="508"/>
  <c r="N291" i="508"/>
  <c r="K291" i="508" a="1"/>
  <c r="K291" i="508" s="1"/>
  <c r="V290" i="508"/>
  <c r="N290" i="508"/>
  <c r="K290" i="508" a="1"/>
  <c r="K290" i="508" s="1"/>
  <c r="N289" i="508"/>
  <c r="K289" i="508" a="1"/>
  <c r="K289" i="508" s="1"/>
  <c r="H288" i="508"/>
  <c r="H287" i="508"/>
  <c r="H286" i="508"/>
  <c r="V285" i="508"/>
  <c r="N285" i="508"/>
  <c r="K285" i="508" a="1"/>
  <c r="K285" i="508" s="1"/>
  <c r="N284" i="508"/>
  <c r="K284" i="508" a="1"/>
  <c r="K284" i="508" s="1"/>
  <c r="N283" i="508"/>
  <c r="K283" i="508" a="1"/>
  <c r="K283" i="508" s="1"/>
  <c r="N282" i="508"/>
  <c r="K282" i="508" a="1"/>
  <c r="K282" i="508" s="1"/>
  <c r="N281" i="508"/>
  <c r="K281" i="508" a="1"/>
  <c r="K281" i="508" s="1"/>
  <c r="N280" i="508"/>
  <c r="K280" i="508" a="1"/>
  <c r="K280" i="508" s="1"/>
  <c r="N279" i="508"/>
  <c r="K279" i="508" a="1"/>
  <c r="K279" i="508" s="1"/>
  <c r="N278" i="508"/>
  <c r="K278" i="508" a="1"/>
  <c r="K278" i="508" s="1"/>
  <c r="V277" i="508"/>
  <c r="W277" i="508" s="1"/>
  <c r="K277" i="508" a="1"/>
  <c r="K277" i="508" s="1"/>
  <c r="V276" i="508"/>
  <c r="N276" i="508"/>
  <c r="K276" i="508" a="1"/>
  <c r="K276" i="508" s="1"/>
  <c r="V275" i="508"/>
  <c r="W275" i="508" s="1"/>
  <c r="K275" i="508" a="1"/>
  <c r="K275" i="508" s="1"/>
  <c r="V274" i="508"/>
  <c r="N274" i="508"/>
  <c r="K274" i="508" a="1"/>
  <c r="K274" i="508" s="1"/>
  <c r="V273" i="508"/>
  <c r="W273" i="508" s="1"/>
  <c r="K273" i="508" a="1"/>
  <c r="K273" i="508" s="1"/>
  <c r="V272" i="508"/>
  <c r="N272" i="508"/>
  <c r="K272" i="508" a="1"/>
  <c r="K272" i="508" s="1"/>
  <c r="V271" i="508"/>
  <c r="N271" i="508"/>
  <c r="K271" i="508" a="1"/>
  <c r="K271" i="508" s="1"/>
  <c r="V270" i="508"/>
  <c r="W270" i="508" s="1"/>
  <c r="K270" i="508" a="1"/>
  <c r="K270" i="508" s="1"/>
  <c r="M270" i="508" s="1"/>
  <c r="V269" i="508"/>
  <c r="N269" i="508"/>
  <c r="K269" i="508" a="1"/>
  <c r="K269" i="508" s="1"/>
  <c r="V268" i="508"/>
  <c r="W268" i="508" s="1"/>
  <c r="K268" i="508" a="1"/>
  <c r="K268" i="508" s="1"/>
  <c r="M268" i="508" s="1"/>
  <c r="V267" i="508"/>
  <c r="N267" i="508"/>
  <c r="K267" i="508" a="1"/>
  <c r="K267" i="508" s="1"/>
  <c r="V266" i="508"/>
  <c r="W266" i="508" s="1"/>
  <c r="K266" i="508" a="1"/>
  <c r="K266" i="508" s="1"/>
  <c r="M266" i="508" s="1"/>
  <c r="N265" i="508"/>
  <c r="K265" i="508" a="1"/>
  <c r="K265" i="508" s="1"/>
  <c r="V264" i="508"/>
  <c r="N264" i="508"/>
  <c r="K264" i="508" a="1"/>
  <c r="K264" i="508" s="1"/>
  <c r="N263" i="508"/>
  <c r="K263" i="508" a="1"/>
  <c r="K263" i="508" s="1"/>
  <c r="V262" i="508"/>
  <c r="X343" i="508"/>
  <c r="N262" i="508"/>
  <c r="K262" i="508" a="1"/>
  <c r="K262" i="508" s="1"/>
  <c r="N261" i="508"/>
  <c r="K261" i="508" a="1"/>
  <c r="K261" i="508" s="1"/>
  <c r="V260" i="508"/>
  <c r="N260" i="508"/>
  <c r="K260" i="508" a="1"/>
  <c r="K260" i="508" s="1"/>
  <c r="N259" i="508"/>
  <c r="K259" i="508" a="1"/>
  <c r="K259" i="508" s="1"/>
  <c r="V258" i="508"/>
  <c r="T292" i="508"/>
  <c r="R292" i="508"/>
  <c r="P292" i="508"/>
  <c r="N258" i="508"/>
  <c r="G292" i="508"/>
  <c r="H256" i="508"/>
  <c r="H255" i="508"/>
  <c r="H254" i="508"/>
  <c r="H253" i="508"/>
  <c r="H252" i="508"/>
  <c r="H251" i="508"/>
  <c r="K250" i="508" a="1"/>
  <c r="K250" i="508" s="1"/>
  <c r="K249" i="508" a="1"/>
  <c r="K249" i="508" s="1"/>
  <c r="K248" i="508" a="1"/>
  <c r="K248" i="508" s="1"/>
  <c r="K247" i="508" a="1"/>
  <c r="K247" i="508" s="1"/>
  <c r="K246" i="508" a="1"/>
  <c r="K246" i="508" s="1"/>
  <c r="V245" i="508"/>
  <c r="W245" i="508" s="1"/>
  <c r="K245" i="508" a="1"/>
  <c r="K245" i="508" s="1"/>
  <c r="K244" i="508" a="1"/>
  <c r="K244" i="508" s="1"/>
  <c r="V243" i="508"/>
  <c r="W243" i="508" s="1"/>
  <c r="K243" i="508" a="1"/>
  <c r="K243" i="508" s="1"/>
  <c r="M242" i="508"/>
  <c r="H242" i="508"/>
  <c r="V241" i="508"/>
  <c r="K241" i="508" a="1"/>
  <c r="K241" i="508" s="1"/>
  <c r="V240" i="508"/>
  <c r="K240" i="508" a="1"/>
  <c r="K240" i="508" s="1"/>
  <c r="K239" i="508" a="1"/>
  <c r="K239" i="508" s="1"/>
  <c r="H238" i="508"/>
  <c r="K237" i="508" a="1"/>
  <c r="K237" i="508" s="1"/>
  <c r="V236" i="508"/>
  <c r="K236" i="508" a="1"/>
  <c r="K236" i="508" s="1"/>
  <c r="V235" i="508"/>
  <c r="K235" i="508" a="1"/>
  <c r="K235" i="508" s="1"/>
  <c r="V234" i="508"/>
  <c r="K234" i="508" a="1"/>
  <c r="K234" i="508" s="1"/>
  <c r="V233" i="508"/>
  <c r="K233" i="508" a="1"/>
  <c r="K233" i="508" s="1"/>
  <c r="V232" i="508"/>
  <c r="K232" i="508" a="1"/>
  <c r="K232" i="508" s="1"/>
  <c r="V231" i="508"/>
  <c r="K231" i="508" a="1"/>
  <c r="K231" i="508" s="1"/>
  <c r="V230" i="508"/>
  <c r="K230" i="508" a="1"/>
  <c r="K230" i="508" s="1"/>
  <c r="V229" i="508"/>
  <c r="K229" i="508" a="1"/>
  <c r="K229" i="508" s="1"/>
  <c r="V228" i="508"/>
  <c r="K228" i="508" a="1"/>
  <c r="K228" i="508" s="1"/>
  <c r="K227" i="508" a="1"/>
  <c r="K227" i="508" s="1"/>
  <c r="K226" i="508" a="1"/>
  <c r="K226" i="508" s="1"/>
  <c r="K225" i="508" a="1"/>
  <c r="K225" i="508" s="1"/>
  <c r="K224" i="508" a="1"/>
  <c r="K224" i="508" s="1"/>
  <c r="K223" i="508" a="1"/>
  <c r="K223" i="508" s="1"/>
  <c r="K222" i="508" a="1"/>
  <c r="K222" i="508" s="1"/>
  <c r="K221" i="508" a="1"/>
  <c r="K221" i="508" s="1"/>
  <c r="K220" i="508" a="1"/>
  <c r="K220" i="508" s="1"/>
  <c r="V219" i="508"/>
  <c r="K219" i="508" a="1"/>
  <c r="K219" i="508" s="1"/>
  <c r="V218" i="508"/>
  <c r="K218" i="508" a="1"/>
  <c r="K218" i="508" s="1"/>
  <c r="V217" i="508"/>
  <c r="K217" i="508" a="1"/>
  <c r="K217" i="508" s="1"/>
  <c r="V216" i="508"/>
  <c r="H216" i="508"/>
  <c r="K216" i="508" a="1"/>
  <c r="K216" i="508" s="1"/>
  <c r="V215" i="508"/>
  <c r="K215" i="508" a="1"/>
  <c r="K215" i="508" s="1"/>
  <c r="M215" i="508" s="1"/>
  <c r="J214" i="508" a="1"/>
  <c r="J214" i="508" s="1"/>
  <c r="H214" i="508"/>
  <c r="K214" i="508" a="1"/>
  <c r="K214" i="508" s="1"/>
  <c r="M214" i="508" s="1"/>
  <c r="V213" i="508"/>
  <c r="K213" i="508" a="1"/>
  <c r="K213" i="508" s="1"/>
  <c r="V212" i="508"/>
  <c r="K212" i="508" a="1"/>
  <c r="K212" i="508" s="1"/>
  <c r="M212" i="508" s="1"/>
  <c r="V211" i="508"/>
  <c r="K211" i="508" a="1"/>
  <c r="K211" i="508" s="1"/>
  <c r="M211" i="508" s="1"/>
  <c r="K210" i="508" a="1"/>
  <c r="K210" i="508" s="1"/>
  <c r="M210" i="508" s="1"/>
  <c r="K208" i="508" a="1"/>
  <c r="K208" i="508" s="1"/>
  <c r="M208" i="508" s="1"/>
  <c r="H207" i="508"/>
  <c r="H206" i="508"/>
  <c r="H205" i="508"/>
  <c r="V204" i="508"/>
  <c r="W204" i="508" s="1"/>
  <c r="X342" i="508"/>
  <c r="K204" i="508" a="1"/>
  <c r="K204" i="508" s="1"/>
  <c r="V203" i="508"/>
  <c r="X341" i="508"/>
  <c r="K203" i="508" a="1"/>
  <c r="K203" i="508" s="1"/>
  <c r="X340" i="508"/>
  <c r="K202" i="508" a="1"/>
  <c r="K202" i="508" s="1"/>
  <c r="H201" i="508"/>
  <c r="AA257" i="508"/>
  <c r="Z257" i="508"/>
  <c r="Y257" i="508"/>
  <c r="X257" i="508"/>
  <c r="U257" i="508"/>
  <c r="T257" i="508"/>
  <c r="S257" i="508"/>
  <c r="R257" i="508"/>
  <c r="Q257" i="508"/>
  <c r="P257" i="508"/>
  <c r="O257" i="508"/>
  <c r="I257" i="508"/>
  <c r="L560" i="508" s="1"/>
  <c r="K200" i="508" a="1"/>
  <c r="K200" i="508" s="1"/>
  <c r="X337" i="508"/>
  <c r="K198" i="508" a="1"/>
  <c r="K198" i="508" s="1"/>
  <c r="J194" i="508" a="1"/>
  <c r="J194" i="508" s="1"/>
  <c r="H194" i="508"/>
  <c r="K194" i="508" a="1"/>
  <c r="K194" i="508" s="1"/>
  <c r="M194" i="508" s="1"/>
  <c r="V193" i="508"/>
  <c r="K193" i="508" a="1"/>
  <c r="K193" i="508" s="1"/>
  <c r="K192" i="508" a="1"/>
  <c r="K192" i="508" s="1"/>
  <c r="M192" i="508" s="1"/>
  <c r="K191" i="508" a="1"/>
  <c r="K191" i="508" s="1"/>
  <c r="M191" i="508" s="1"/>
  <c r="K190" i="508" a="1"/>
  <c r="K190" i="508" s="1"/>
  <c r="M190" i="508" s="1"/>
  <c r="K189" i="508" a="1"/>
  <c r="K189" i="508" s="1"/>
  <c r="M189" i="508" s="1"/>
  <c r="J188" i="508" a="1"/>
  <c r="J188" i="508" s="1"/>
  <c r="H188" i="508"/>
  <c r="K188" i="508" a="1"/>
  <c r="K188" i="508" s="1"/>
  <c r="M188" i="508" s="1"/>
  <c r="V187" i="508"/>
  <c r="K187" i="508" a="1"/>
  <c r="K187" i="508" s="1"/>
  <c r="M187" i="508" s="1"/>
  <c r="K186" i="508" a="1"/>
  <c r="K186" i="508" s="1"/>
  <c r="M186" i="508" s="1"/>
  <c r="H184" i="508"/>
  <c r="K184" i="508" a="1"/>
  <c r="K184" i="508" s="1"/>
  <c r="M184" i="508" s="1"/>
  <c r="J183" i="508" a="1"/>
  <c r="J183" i="508" s="1"/>
  <c r="J182" i="508" a="1"/>
  <c r="J182" i="508" s="1"/>
  <c r="H182" i="508"/>
  <c r="K182" i="508" a="1"/>
  <c r="K182" i="508" s="1"/>
  <c r="M182" i="508" s="1"/>
  <c r="V181" i="508"/>
  <c r="J181" i="508" a="1"/>
  <c r="J181" i="508" s="1"/>
  <c r="J180" i="508" a="1"/>
  <c r="J180" i="508" s="1"/>
  <c r="H180" i="508"/>
  <c r="K180" i="508" a="1"/>
  <c r="K180" i="508" s="1"/>
  <c r="M180" i="508" s="1"/>
  <c r="V179" i="508"/>
  <c r="J179" i="508" a="1"/>
  <c r="J179" i="508" s="1"/>
  <c r="E170" i="508"/>
  <c r="I169" i="508"/>
  <c r="K169" i="508" s="1"/>
  <c r="M169" i="508" s="1"/>
  <c r="E169" i="508"/>
  <c r="I168" i="508"/>
  <c r="K168" i="508" s="1"/>
  <c r="M168" i="508" s="1"/>
  <c r="E168" i="508"/>
  <c r="I167" i="508"/>
  <c r="K167" i="508" s="1"/>
  <c r="M167" i="508" s="1"/>
  <c r="E167" i="508"/>
  <c r="E166" i="508"/>
  <c r="K161" i="508" a="1"/>
  <c r="K161" i="508" s="1"/>
  <c r="K160" i="508" a="1"/>
  <c r="K160" i="508" s="1"/>
  <c r="V159" i="508"/>
  <c r="W159" i="508" s="1"/>
  <c r="K159" i="508" a="1"/>
  <c r="K159" i="508" s="1"/>
  <c r="D159" i="508"/>
  <c r="K158" i="508" a="1"/>
  <c r="K158" i="508" s="1"/>
  <c r="M158" i="508" s="1"/>
  <c r="K155" i="508" a="1"/>
  <c r="K155" i="508" s="1"/>
  <c r="V154" i="508"/>
  <c r="W154" i="508" s="1"/>
  <c r="K154" i="508" a="1"/>
  <c r="K154" i="508" s="1"/>
  <c r="V152" i="508"/>
  <c r="K152" i="508" a="1"/>
  <c r="K152" i="508" s="1"/>
  <c r="M152" i="508" s="1"/>
  <c r="K151" i="508" a="1"/>
  <c r="K151" i="508" s="1"/>
  <c r="M151" i="508" s="1"/>
  <c r="K150" i="508" a="1"/>
  <c r="K150" i="508" s="1"/>
  <c r="J149" i="508" a="1"/>
  <c r="J149" i="508" s="1"/>
  <c r="V147" i="508"/>
  <c r="K147" i="508" a="1"/>
  <c r="K147" i="508" s="1"/>
  <c r="M147" i="508" s="1"/>
  <c r="V142" i="508"/>
  <c r="W142" i="508" s="1"/>
  <c r="K142" i="508" a="1"/>
  <c r="K142" i="508" s="1"/>
  <c r="V141" i="508"/>
  <c r="W141" i="508" s="1"/>
  <c r="K141" i="508" a="1"/>
  <c r="K141" i="508" s="1"/>
  <c r="V140" i="508"/>
  <c r="W140" i="508" s="1"/>
  <c r="K140" i="508" a="1"/>
  <c r="K140" i="508" s="1"/>
  <c r="V139" i="508"/>
  <c r="W139" i="508" s="1"/>
  <c r="K139" i="508" a="1"/>
  <c r="K139" i="508" s="1"/>
  <c r="Z148" i="508"/>
  <c r="X148" i="508"/>
  <c r="U148" i="508"/>
  <c r="T148" i="508"/>
  <c r="S148" i="508"/>
  <c r="Q148" i="508"/>
  <c r="P148" i="508"/>
  <c r="O148" i="508"/>
  <c r="I148" i="508"/>
  <c r="G148" i="508"/>
  <c r="K136" i="508" a="1"/>
  <c r="K136" i="508" s="1"/>
  <c r="V135" i="508"/>
  <c r="K135" i="508" a="1"/>
  <c r="K135" i="508" s="1"/>
  <c r="M135" i="508" s="1"/>
  <c r="K134" i="508" a="1"/>
  <c r="K134" i="508" s="1"/>
  <c r="M134" i="508" s="1"/>
  <c r="K132" i="508" a="1"/>
  <c r="K132" i="508" s="1"/>
  <c r="M132" i="508" s="1"/>
  <c r="K131" i="508" a="1"/>
  <c r="K131" i="508" s="1"/>
  <c r="M131" i="508" s="1"/>
  <c r="K130" i="508" a="1"/>
  <c r="K130" i="508" s="1"/>
  <c r="K129" i="508" a="1"/>
  <c r="K129" i="508" s="1"/>
  <c r="V128" i="508"/>
  <c r="K128" i="508" a="1"/>
  <c r="K128" i="508" s="1"/>
  <c r="M128" i="508" s="1"/>
  <c r="K127" i="508" a="1"/>
  <c r="K127" i="508" s="1"/>
  <c r="M127" i="508" s="1"/>
  <c r="K126" i="508" a="1"/>
  <c r="K126" i="508" s="1"/>
  <c r="K125" i="508" a="1"/>
  <c r="K125" i="508" s="1"/>
  <c r="V124" i="508"/>
  <c r="K124" i="508" a="1"/>
  <c r="K124" i="508" s="1"/>
  <c r="M124" i="508" s="1"/>
  <c r="K123" i="508" a="1"/>
  <c r="K123" i="508" s="1"/>
  <c r="M123" i="508" s="1"/>
  <c r="I137" i="508"/>
  <c r="L555" i="508" s="1"/>
  <c r="V120" i="508"/>
  <c r="W120" i="508" s="1"/>
  <c r="K120" i="508" a="1"/>
  <c r="K120" i="508" s="1"/>
  <c r="V119" i="508"/>
  <c r="W119" i="508" s="1"/>
  <c r="K119" i="508" a="1"/>
  <c r="K119" i="508" s="1"/>
  <c r="V118" i="508"/>
  <c r="W118" i="508" s="1"/>
  <c r="K118" i="508" a="1"/>
  <c r="K118" i="508" s="1"/>
  <c r="K117" i="508" a="1"/>
  <c r="K117" i="508" s="1"/>
  <c r="K116" i="508" a="1"/>
  <c r="K116" i="508" s="1"/>
  <c r="K115" i="508" a="1"/>
  <c r="K115" i="508" s="1"/>
  <c r="K114" i="508" a="1"/>
  <c r="K114" i="508" s="1"/>
  <c r="M114" i="508" s="1"/>
  <c r="K113" i="508" a="1"/>
  <c r="K113" i="508" s="1"/>
  <c r="K112" i="508" a="1"/>
  <c r="K112" i="508" s="1"/>
  <c r="M112" i="508" s="1"/>
  <c r="K111" i="508" a="1"/>
  <c r="K111" i="508" s="1"/>
  <c r="K110" i="508" a="1"/>
  <c r="K110" i="508" s="1"/>
  <c r="M110" i="508" s="1"/>
  <c r="K109" i="508" a="1"/>
  <c r="K109" i="508" s="1"/>
  <c r="K108" i="508" a="1"/>
  <c r="K108" i="508" s="1"/>
  <c r="M108" i="508" s="1"/>
  <c r="K107" i="508" a="1"/>
  <c r="K107" i="508" s="1"/>
  <c r="K106" i="508" a="1"/>
  <c r="K106" i="508" s="1"/>
  <c r="V105" i="508"/>
  <c r="K105" i="508" a="1"/>
  <c r="K105" i="508" s="1"/>
  <c r="M105" i="508" s="1"/>
  <c r="K104" i="508" a="1"/>
  <c r="K104" i="508" s="1"/>
  <c r="M104" i="508" s="1"/>
  <c r="K103" i="508" a="1"/>
  <c r="K103" i="508" s="1"/>
  <c r="K102" i="508" a="1"/>
  <c r="K102" i="508" s="1"/>
  <c r="V101" i="508"/>
  <c r="K101" i="508" a="1"/>
  <c r="K101" i="508" s="1"/>
  <c r="M101" i="508" s="1"/>
  <c r="K100" i="508" a="1"/>
  <c r="K100" i="508" s="1"/>
  <c r="M100" i="508" s="1"/>
  <c r="K99" i="508" a="1"/>
  <c r="K99" i="508" s="1"/>
  <c r="K98" i="508" a="1"/>
  <c r="K98" i="508" s="1"/>
  <c r="V97" i="508"/>
  <c r="K97" i="508" a="1"/>
  <c r="K97" i="508" s="1"/>
  <c r="M97" i="508" s="1"/>
  <c r="K96" i="508" a="1"/>
  <c r="K96" i="508" s="1"/>
  <c r="M96" i="508" s="1"/>
  <c r="K94" i="508" a="1"/>
  <c r="K94" i="508" s="1"/>
  <c r="K93" i="508" a="1"/>
  <c r="K93" i="508" s="1"/>
  <c r="M93" i="508" s="1"/>
  <c r="K91" i="508" a="1"/>
  <c r="K91" i="508" s="1"/>
  <c r="M91" i="508" s="1"/>
  <c r="K89" i="508" a="1"/>
  <c r="K89" i="508" s="1"/>
  <c r="M89" i="508" s="1"/>
  <c r="AA121" i="508"/>
  <c r="Y121" i="508"/>
  <c r="U121" i="508"/>
  <c r="S121" i="508"/>
  <c r="Q121" i="508"/>
  <c r="O121" i="508"/>
  <c r="G121" i="508"/>
  <c r="H85" i="508"/>
  <c r="H84" i="508"/>
  <c r="H83" i="508"/>
  <c r="H82" i="508"/>
  <c r="H81" i="508"/>
  <c r="H80" i="508"/>
  <c r="K79" i="508" a="1"/>
  <c r="K79" i="508" s="1"/>
  <c r="K78" i="508" a="1"/>
  <c r="K78" i="508" s="1"/>
  <c r="K77" i="508" a="1"/>
  <c r="K77" i="508" s="1"/>
  <c r="K76" i="508" a="1"/>
  <c r="K76" i="508" s="1"/>
  <c r="V75" i="508"/>
  <c r="W75" i="508" s="1"/>
  <c r="K75" i="508" a="1"/>
  <c r="K75" i="508" s="1"/>
  <c r="M75" i="508" s="1"/>
  <c r="V74" i="508"/>
  <c r="K74" i="508" a="1"/>
  <c r="K74" i="508" s="1"/>
  <c r="K73" i="508" a="1"/>
  <c r="K73" i="508" s="1"/>
  <c r="V72" i="508"/>
  <c r="K72" i="508" a="1"/>
  <c r="K72" i="508" s="1"/>
  <c r="H71" i="508"/>
  <c r="V70" i="508"/>
  <c r="J70" i="508" a="1"/>
  <c r="J70" i="508" s="1"/>
  <c r="J69" i="508" a="1"/>
  <c r="J69" i="508" s="1"/>
  <c r="H69" i="508"/>
  <c r="K69" i="508" a="1"/>
  <c r="K69" i="508" s="1"/>
  <c r="M69" i="508" s="1"/>
  <c r="K68" i="508" a="1"/>
  <c r="K68" i="508" s="1"/>
  <c r="K67" i="508" a="1"/>
  <c r="K67" i="508" s="1"/>
  <c r="H67" i="508"/>
  <c r="V66" i="508"/>
  <c r="J66" i="508" a="1"/>
  <c r="J66" i="508" s="1"/>
  <c r="J65" i="508" a="1"/>
  <c r="J65" i="508" s="1"/>
  <c r="H65" i="508"/>
  <c r="K65" i="508" a="1"/>
  <c r="K65" i="508" s="1"/>
  <c r="M65" i="508" s="1"/>
  <c r="V64" i="508"/>
  <c r="J64" i="508" a="1"/>
  <c r="J64" i="508" s="1"/>
  <c r="J63" i="508" a="1"/>
  <c r="J63" i="508" s="1"/>
  <c r="H63" i="508"/>
  <c r="K63" i="508" a="1"/>
  <c r="K63" i="508" s="1"/>
  <c r="M63" i="508" s="1"/>
  <c r="V62" i="508"/>
  <c r="J62" i="508" a="1"/>
  <c r="J62" i="508" s="1"/>
  <c r="J61" i="508" a="1"/>
  <c r="J61" i="508" s="1"/>
  <c r="H61" i="508"/>
  <c r="K61" i="508" a="1"/>
  <c r="K61" i="508" s="1"/>
  <c r="M61" i="508" s="1"/>
  <c r="V60" i="508"/>
  <c r="J60" i="508" a="1"/>
  <c r="J60" i="508" s="1"/>
  <c r="J59" i="508" a="1"/>
  <c r="J59" i="508" s="1"/>
  <c r="H59" i="508"/>
  <c r="K59" i="508" a="1"/>
  <c r="K59" i="508" s="1"/>
  <c r="M59" i="508" s="1"/>
  <c r="V58" i="508"/>
  <c r="J58" i="508" a="1"/>
  <c r="J58" i="508" s="1"/>
  <c r="J57" i="508" a="1"/>
  <c r="J57" i="508" s="1"/>
  <c r="H57" i="508"/>
  <c r="K57" i="508" a="1"/>
  <c r="K57" i="508" s="1"/>
  <c r="M57" i="508" s="1"/>
  <c r="K56" i="508" a="1"/>
  <c r="K56" i="508" s="1"/>
  <c r="M56" i="508" s="1"/>
  <c r="H56" i="508"/>
  <c r="K55" i="508" a="1"/>
  <c r="K55" i="508" s="1"/>
  <c r="M55" i="508" s="1"/>
  <c r="H55" i="508"/>
  <c r="K54" i="508" a="1"/>
  <c r="K54" i="508" s="1"/>
  <c r="M54" i="508" s="1"/>
  <c r="H54" i="508"/>
  <c r="K53" i="508" a="1"/>
  <c r="K53" i="508" s="1"/>
  <c r="M53" i="508" s="1"/>
  <c r="H53" i="508"/>
  <c r="K52" i="508" a="1"/>
  <c r="K52" i="508" s="1"/>
  <c r="M52" i="508" s="1"/>
  <c r="K51" i="508" a="1"/>
  <c r="K51" i="508" s="1"/>
  <c r="M51" i="508" s="1"/>
  <c r="H51" i="508"/>
  <c r="K50" i="508" a="1"/>
  <c r="K50" i="508" s="1"/>
  <c r="M50" i="508" s="1"/>
  <c r="K49" i="508" a="1"/>
  <c r="K49" i="508" s="1"/>
  <c r="M49" i="508" s="1"/>
  <c r="H49" i="508"/>
  <c r="V48" i="508"/>
  <c r="J47" i="508" a="1"/>
  <c r="J47" i="508" s="1"/>
  <c r="H47" i="508"/>
  <c r="K47" i="508" a="1"/>
  <c r="K47" i="508" s="1"/>
  <c r="M47" i="508" s="1"/>
  <c r="V46" i="508"/>
  <c r="J45" i="508" a="1"/>
  <c r="J45" i="508" s="1"/>
  <c r="H45" i="508"/>
  <c r="K45" i="508" a="1"/>
  <c r="K45" i="508" s="1"/>
  <c r="M45" i="508" s="1"/>
  <c r="V44" i="508"/>
  <c r="J43" i="508" a="1"/>
  <c r="J43" i="508" s="1"/>
  <c r="H43" i="508"/>
  <c r="K43" i="508" a="1"/>
  <c r="K43" i="508" s="1"/>
  <c r="M43" i="508" s="1"/>
  <c r="V42" i="508"/>
  <c r="J41" i="508" a="1"/>
  <c r="J41" i="508" s="1"/>
  <c r="H41" i="508"/>
  <c r="K41" i="508" a="1"/>
  <c r="K41" i="508" s="1"/>
  <c r="M41" i="508" s="1"/>
  <c r="V40" i="508"/>
  <c r="K40" i="508" a="1"/>
  <c r="K40" i="508" s="1"/>
  <c r="M40" i="508" s="1"/>
  <c r="V38" i="508"/>
  <c r="W38" i="508" s="1"/>
  <c r="K38" i="508" a="1"/>
  <c r="K38" i="508" s="1"/>
  <c r="H38" i="508"/>
  <c r="V37" i="508"/>
  <c r="K37" i="508" a="1"/>
  <c r="K37" i="508" s="1"/>
  <c r="M37" i="508" s="1"/>
  <c r="H36" i="508"/>
  <c r="H35" i="508"/>
  <c r="H34" i="508"/>
  <c r="V33" i="508"/>
  <c r="X171" i="508"/>
  <c r="K33" i="508" a="1"/>
  <c r="K33" i="508" s="1"/>
  <c r="X170" i="508"/>
  <c r="K32" i="508" a="1"/>
  <c r="K32" i="508" s="1"/>
  <c r="V31" i="508"/>
  <c r="X169" i="508"/>
  <c r="K31" i="508" a="1"/>
  <c r="K31" i="508" s="1"/>
  <c r="K30" i="508" a="1"/>
  <c r="K30" i="508" s="1"/>
  <c r="Z86" i="508"/>
  <c r="X86" i="508"/>
  <c r="T86" i="508"/>
  <c r="R86" i="508"/>
  <c r="I86" i="508"/>
  <c r="L553" i="508" s="1"/>
  <c r="V27" i="508"/>
  <c r="X166" i="508"/>
  <c r="K27" i="508" a="1"/>
  <c r="K27" i="508" s="1"/>
  <c r="K26" i="508" a="1"/>
  <c r="K26" i="508" s="1"/>
  <c r="K25" i="508" a="1"/>
  <c r="K25" i="508" s="1"/>
  <c r="M25" i="508" s="1"/>
  <c r="V24" i="508"/>
  <c r="K24" i="508" a="1"/>
  <c r="K24" i="508" s="1"/>
  <c r="K23" i="508" a="1"/>
  <c r="K23" i="508" s="1"/>
  <c r="K22" i="508" a="1"/>
  <c r="K22" i="508" s="1"/>
  <c r="V21" i="508"/>
  <c r="K21" i="508" a="1"/>
  <c r="K21" i="508" s="1"/>
  <c r="K20" i="508" a="1"/>
  <c r="K20" i="508" s="1"/>
  <c r="V19" i="508"/>
  <c r="K19" i="508" a="1"/>
  <c r="K19" i="508" s="1"/>
  <c r="V18" i="508"/>
  <c r="W18" i="508" s="1"/>
  <c r="K18" i="508" a="1"/>
  <c r="K18" i="508" s="1"/>
  <c r="V17" i="508"/>
  <c r="K17" i="508" a="1"/>
  <c r="K17" i="508" s="1"/>
  <c r="K16" i="508" a="1"/>
  <c r="K16" i="508" s="1"/>
  <c r="V15" i="508"/>
  <c r="K15" i="508" a="1"/>
  <c r="K15" i="508" s="1"/>
  <c r="V14" i="508"/>
  <c r="W14" i="508" s="1"/>
  <c r="K14" i="508" a="1"/>
  <c r="K14" i="508" s="1"/>
  <c r="V13" i="508"/>
  <c r="K13" i="508" a="1"/>
  <c r="K13" i="508" s="1"/>
  <c r="K12" i="508" a="1"/>
  <c r="K12" i="508" s="1"/>
  <c r="V11" i="508"/>
  <c r="K11" i="508" a="1"/>
  <c r="K11" i="508" s="1"/>
  <c r="V10" i="508"/>
  <c r="W10" i="508" s="1"/>
  <c r="K10" i="508" a="1"/>
  <c r="K10" i="508" s="1"/>
  <c r="K9" i="508" a="1"/>
  <c r="K9" i="508" s="1"/>
  <c r="V8" i="508"/>
  <c r="K8" i="508" a="1"/>
  <c r="K8" i="508" s="1"/>
  <c r="Z28" i="508"/>
  <c r="X28" i="508"/>
  <c r="U28" i="508"/>
  <c r="S28" i="508"/>
  <c r="Q28" i="508"/>
  <c r="O28" i="508"/>
  <c r="J7" i="508"/>
  <c r="H7" i="508"/>
  <c r="K479" i="508" l="1"/>
  <c r="J490" i="508" a="1"/>
  <c r="J490" i="508" s="1"/>
  <c r="G28" i="508"/>
  <c r="I28" i="508"/>
  <c r="P28" i="508"/>
  <c r="R28" i="508"/>
  <c r="T28" i="508"/>
  <c r="V7" i="508"/>
  <c r="Y28" i="508"/>
  <c r="AA28" i="508"/>
  <c r="V9" i="508"/>
  <c r="W9" i="508" s="1"/>
  <c r="V12" i="508"/>
  <c r="W12" i="508" s="1"/>
  <c r="V16" i="508"/>
  <c r="W16" i="508" s="1"/>
  <c r="V20" i="508"/>
  <c r="W20" i="508" s="1"/>
  <c r="V22" i="508"/>
  <c r="M23" i="508"/>
  <c r="V23" i="508"/>
  <c r="H25" i="508"/>
  <c r="V26" i="508"/>
  <c r="W26" i="508" s="1"/>
  <c r="G86" i="508"/>
  <c r="O86" i="508"/>
  <c r="V32" i="508"/>
  <c r="W32" i="508" s="1"/>
  <c r="H37" i="508"/>
  <c r="J38" i="508" a="1"/>
  <c r="J38" i="508" s="1"/>
  <c r="J39" i="508" a="1"/>
  <c r="J39" i="508" s="1"/>
  <c r="V39" i="508"/>
  <c r="H40" i="508"/>
  <c r="H50" i="508"/>
  <c r="H52" i="508"/>
  <c r="M73" i="508"/>
  <c r="V73" i="508"/>
  <c r="W73" i="508" s="1"/>
  <c r="I121" i="508"/>
  <c r="L554" i="508" s="1"/>
  <c r="P121" i="508"/>
  <c r="R121" i="508"/>
  <c r="T121" i="508"/>
  <c r="X121" i="508"/>
  <c r="Z121" i="508"/>
  <c r="J88" i="508" a="1"/>
  <c r="J88" i="508" s="1"/>
  <c r="V88" i="508"/>
  <c r="J90" i="508" a="1"/>
  <c r="J90" i="508" s="1"/>
  <c r="V90" i="508"/>
  <c r="J92" i="508" a="1"/>
  <c r="J92" i="508" s="1"/>
  <c r="V92" i="508"/>
  <c r="V95" i="508"/>
  <c r="W95" i="508" s="1"/>
  <c r="M98" i="508"/>
  <c r="J98" i="508" a="1"/>
  <c r="J98" i="508" s="1"/>
  <c r="M99" i="508"/>
  <c r="V99" i="508"/>
  <c r="M102" i="508"/>
  <c r="J102" i="508" a="1"/>
  <c r="J102" i="508" s="1"/>
  <c r="M103" i="508"/>
  <c r="V103" i="508"/>
  <c r="M106" i="508"/>
  <c r="J106" i="508" a="1"/>
  <c r="J106" i="508" s="1"/>
  <c r="M107" i="508"/>
  <c r="M109" i="508"/>
  <c r="M111" i="508"/>
  <c r="M113" i="508"/>
  <c r="V113" i="508"/>
  <c r="G137" i="508"/>
  <c r="V122" i="508"/>
  <c r="M125" i="508"/>
  <c r="J125" i="508" a="1"/>
  <c r="J125" i="508" s="1"/>
  <c r="M126" i="508"/>
  <c r="V126" i="508"/>
  <c r="M129" i="508"/>
  <c r="J129" i="508" a="1"/>
  <c r="J129" i="508" s="1"/>
  <c r="M130" i="508"/>
  <c r="V130" i="508"/>
  <c r="J133" i="508" a="1"/>
  <c r="J133" i="508" s="1"/>
  <c r="V133" i="508"/>
  <c r="M136" i="508"/>
  <c r="J136" i="508" a="1"/>
  <c r="J136" i="508" s="1"/>
  <c r="V138" i="508"/>
  <c r="V148" i="508" s="1"/>
  <c r="Y148" i="508"/>
  <c r="AA148" i="508"/>
  <c r="P163" i="508"/>
  <c r="R163" i="508"/>
  <c r="T163" i="508"/>
  <c r="X163" i="508"/>
  <c r="Z163" i="508"/>
  <c r="M150" i="508"/>
  <c r="V150" i="508"/>
  <c r="V155" i="508"/>
  <c r="W155" i="508" s="1"/>
  <c r="C170" i="508"/>
  <c r="G170" i="508"/>
  <c r="J185" i="508" a="1"/>
  <c r="J185" i="508" s="1"/>
  <c r="V185" i="508"/>
  <c r="V186" i="508"/>
  <c r="V210" i="508"/>
  <c r="W216" i="508"/>
  <c r="W219" i="508"/>
  <c r="W231" i="508"/>
  <c r="W235" i="508"/>
  <c r="V237" i="508"/>
  <c r="W237" i="508" s="1"/>
  <c r="V244" i="508"/>
  <c r="W244" i="508" s="1"/>
  <c r="V246" i="508"/>
  <c r="W246" i="508" s="1"/>
  <c r="Y292" i="508"/>
  <c r="AA292" i="508"/>
  <c r="M259" i="508"/>
  <c r="V259" i="508"/>
  <c r="W259" i="508" s="1"/>
  <c r="M261" i="508"/>
  <c r="V261" i="508"/>
  <c r="W261" i="508" s="1"/>
  <c r="M263" i="508"/>
  <c r="V263" i="508"/>
  <c r="W263" i="508" s="1"/>
  <c r="M265" i="508"/>
  <c r="N266" i="508"/>
  <c r="N268" i="508"/>
  <c r="N270" i="508"/>
  <c r="N273" i="508"/>
  <c r="N275" i="508"/>
  <c r="N277" i="508"/>
  <c r="V284" i="508"/>
  <c r="W284" i="508" s="1"/>
  <c r="V289" i="508"/>
  <c r="W289" i="508" s="1"/>
  <c r="V291" i="508"/>
  <c r="W291" i="508" s="1"/>
  <c r="AA308" i="508"/>
  <c r="J295" i="508" a="1"/>
  <c r="J295" i="508" s="1"/>
  <c r="J297" i="508" a="1"/>
  <c r="J297" i="508" s="1"/>
  <c r="J299" i="508" a="1"/>
  <c r="J299" i="508" s="1"/>
  <c r="V301" i="508"/>
  <c r="N304" i="508"/>
  <c r="N306" i="508"/>
  <c r="H310" i="508"/>
  <c r="J310" i="508" a="1"/>
  <c r="J310" i="508" s="1"/>
  <c r="N311" i="508"/>
  <c r="V311" i="508"/>
  <c r="W311" i="508" s="1"/>
  <c r="H312" i="508"/>
  <c r="J312" i="508" a="1"/>
  <c r="J312" i="508" s="1"/>
  <c r="N313" i="508"/>
  <c r="V313" i="508"/>
  <c r="W313" i="508" s="1"/>
  <c r="I334" i="508"/>
  <c r="L563" i="508" s="1"/>
  <c r="X334" i="508"/>
  <c r="Z334" i="508"/>
  <c r="V322" i="508"/>
  <c r="W322" i="508" s="1"/>
  <c r="V326" i="508"/>
  <c r="W326" i="508" s="1"/>
  <c r="H330" i="508"/>
  <c r="C341" i="508"/>
  <c r="G341" i="508"/>
  <c r="I370" i="508"/>
  <c r="X370" i="508"/>
  <c r="Z370" i="508"/>
  <c r="N350" i="508"/>
  <c r="V350" i="508"/>
  <c r="W350" i="508" s="1"/>
  <c r="H351" i="508"/>
  <c r="J351" i="508" a="1"/>
  <c r="J351" i="508" s="1"/>
  <c r="N352" i="508"/>
  <c r="N354" i="508"/>
  <c r="N356" i="508"/>
  <c r="N358" i="508"/>
  <c r="N362" i="508"/>
  <c r="N364" i="508"/>
  <c r="N371" i="508"/>
  <c r="S428" i="508"/>
  <c r="U428" i="508"/>
  <c r="Y428" i="508"/>
  <c r="AA428" i="508"/>
  <c r="H372" i="508"/>
  <c r="H373" i="508"/>
  <c r="J373" i="508" a="1"/>
  <c r="J373" i="508" s="1"/>
  <c r="V374" i="508"/>
  <c r="W374" i="508" s="1"/>
  <c r="H375" i="508"/>
  <c r="J375" i="508" a="1"/>
  <c r="J375" i="508" s="1"/>
  <c r="N379" i="508"/>
  <c r="V379" i="508"/>
  <c r="W379" i="508" s="1"/>
  <c r="H380" i="508"/>
  <c r="J380" i="508" a="1"/>
  <c r="J380" i="508" s="1"/>
  <c r="N381" i="508"/>
  <c r="V381" i="508"/>
  <c r="W381" i="508" s="1"/>
  <c r="H382" i="508"/>
  <c r="J382" i="508" a="1"/>
  <c r="J382" i="508" s="1"/>
  <c r="N383" i="508"/>
  <c r="V383" i="508"/>
  <c r="H384" i="508"/>
  <c r="J384" i="508" a="1"/>
  <c r="J384" i="508" s="1"/>
  <c r="N385" i="508"/>
  <c r="V385" i="508"/>
  <c r="W385" i="508" s="1"/>
  <c r="H386" i="508"/>
  <c r="J386" i="508" a="1"/>
  <c r="J386" i="508" s="1"/>
  <c r="N387" i="508"/>
  <c r="V387" i="508"/>
  <c r="W387" i="508" s="1"/>
  <c r="H388" i="508"/>
  <c r="J388" i="508" a="1"/>
  <c r="J388" i="508" s="1"/>
  <c r="N389" i="508"/>
  <c r="V389" i="508"/>
  <c r="W389" i="508" s="1"/>
  <c r="H390" i="508"/>
  <c r="J390" i="508" a="1"/>
  <c r="J390" i="508" s="1"/>
  <c r="M392" i="508"/>
  <c r="N392" i="508"/>
  <c r="H393" i="508"/>
  <c r="J400" i="508" a="1"/>
  <c r="J400" i="508" s="1"/>
  <c r="J402" i="508" a="1"/>
  <c r="J402" i="508" s="1"/>
  <c r="J404" i="508" a="1"/>
  <c r="J404" i="508" s="1"/>
  <c r="J406" i="508" a="1"/>
  <c r="J406" i="508" s="1"/>
  <c r="J408" i="508" a="1"/>
  <c r="J408" i="508" s="1"/>
  <c r="N412" i="508"/>
  <c r="N414" i="508"/>
  <c r="N416" i="508"/>
  <c r="N430" i="508"/>
  <c r="N432" i="508"/>
  <c r="N436" i="508"/>
  <c r="V437" i="508"/>
  <c r="W437" i="508" s="1"/>
  <c r="V439" i="508"/>
  <c r="W439" i="508" s="1"/>
  <c r="V441" i="508"/>
  <c r="W441" i="508" s="1"/>
  <c r="V443" i="508"/>
  <c r="W443" i="508" s="1"/>
  <c r="V445" i="508"/>
  <c r="W445" i="508" s="1"/>
  <c r="V447" i="508"/>
  <c r="W447" i="508" s="1"/>
  <c r="N450" i="508"/>
  <c r="N452" i="508"/>
  <c r="N454" i="508"/>
  <c r="V455" i="508"/>
  <c r="W455" i="508" s="1"/>
  <c r="N456" i="508"/>
  <c r="V456" i="508"/>
  <c r="W456" i="508" s="1"/>
  <c r="H457" i="508"/>
  <c r="H460" i="508"/>
  <c r="J460" i="508" a="1"/>
  <c r="J460" i="508" s="1"/>
  <c r="V460" i="508"/>
  <c r="W460" i="508" s="1"/>
  <c r="H461" i="508"/>
  <c r="J461" i="508" a="1"/>
  <c r="J461" i="508" s="1"/>
  <c r="J462" i="508" a="1"/>
  <c r="J462" i="508" s="1"/>
  <c r="N465" i="508"/>
  <c r="N467" i="508"/>
  <c r="N469" i="508"/>
  <c r="W482" i="508"/>
  <c r="N492" i="508"/>
  <c r="N494" i="508"/>
  <c r="N498" i="508"/>
  <c r="V501" i="508"/>
  <c r="W501" i="508" s="1"/>
  <c r="H502" i="508"/>
  <c r="J96" i="508" a="1"/>
  <c r="J96" i="508" s="1"/>
  <c r="J100" i="508" a="1"/>
  <c r="J100" i="508" s="1"/>
  <c r="J104" i="508" a="1"/>
  <c r="J104" i="508" s="1"/>
  <c r="J114" i="508" a="1"/>
  <c r="J114" i="508" s="1"/>
  <c r="J123" i="508" a="1"/>
  <c r="J123" i="508" s="1"/>
  <c r="J127" i="508" a="1"/>
  <c r="J127" i="508" s="1"/>
  <c r="J131" i="508" a="1"/>
  <c r="J131" i="508" s="1"/>
  <c r="J134" i="508" a="1"/>
  <c r="J134" i="508" s="1"/>
  <c r="J151" i="508" a="1"/>
  <c r="J151" i="508" s="1"/>
  <c r="J158" i="508" a="1"/>
  <c r="J158" i="508" s="1"/>
  <c r="V183" i="508"/>
  <c r="V189" i="508"/>
  <c r="W189" i="508" s="1"/>
  <c r="H190" i="508"/>
  <c r="J190" i="508" a="1"/>
  <c r="J190" i="508" s="1"/>
  <c r="V191" i="508"/>
  <c r="W191" i="508" s="1"/>
  <c r="H192" i="508"/>
  <c r="J192" i="508" a="1"/>
  <c r="J192" i="508" s="1"/>
  <c r="M193" i="508"/>
  <c r="R338" i="508"/>
  <c r="V202" i="508"/>
  <c r="W202" i="508" s="1"/>
  <c r="H208" i="508"/>
  <c r="J208" i="508" a="1"/>
  <c r="J208" i="508" s="1"/>
  <c r="J209" i="508" a="1"/>
  <c r="J209" i="508" s="1"/>
  <c r="V209" i="508"/>
  <c r="M213" i="508"/>
  <c r="W229" i="508"/>
  <c r="W233" i="508"/>
  <c r="W310" i="508"/>
  <c r="W312" i="508"/>
  <c r="K330" i="508" a="1"/>
  <c r="K330" i="508" s="1"/>
  <c r="W351" i="508"/>
  <c r="W373" i="508"/>
  <c r="W375" i="508"/>
  <c r="W380" i="508"/>
  <c r="W382" i="508"/>
  <c r="W384" i="508"/>
  <c r="W386" i="508"/>
  <c r="W388" i="508"/>
  <c r="W412" i="508"/>
  <c r="W414" i="508"/>
  <c r="W416" i="508"/>
  <c r="M419" i="508"/>
  <c r="M421" i="508"/>
  <c r="W430" i="508"/>
  <c r="W432" i="508"/>
  <c r="M457" i="508"/>
  <c r="W465" i="508"/>
  <c r="W467" i="508"/>
  <c r="M469" i="508"/>
  <c r="W469" i="508"/>
  <c r="M471" i="508"/>
  <c r="V471" i="508"/>
  <c r="W471" i="508" s="1"/>
  <c r="M473" i="508"/>
  <c r="V473" i="508"/>
  <c r="W473" i="508" s="1"/>
  <c r="M475" i="508"/>
  <c r="V475" i="508"/>
  <c r="W475" i="508" s="1"/>
  <c r="M477" i="508"/>
  <c r="V477" i="508"/>
  <c r="W477" i="508" s="1"/>
  <c r="H480" i="508"/>
  <c r="J480" i="508" a="1"/>
  <c r="J480" i="508" s="1"/>
  <c r="N481" i="508"/>
  <c r="V481" i="508"/>
  <c r="W481" i="508" s="1"/>
  <c r="H482" i="508"/>
  <c r="J482" i="508" a="1"/>
  <c r="J482" i="508" s="1"/>
  <c r="N483" i="508"/>
  <c r="V483" i="508"/>
  <c r="W483" i="508" s="1"/>
  <c r="H484" i="508"/>
  <c r="J484" i="508" a="1"/>
  <c r="J484" i="508" s="1"/>
  <c r="C513" i="508"/>
  <c r="G370" i="508"/>
  <c r="N349" i="508"/>
  <c r="P370" i="508"/>
  <c r="P507" i="508" s="1"/>
  <c r="R370" i="508"/>
  <c r="R507" i="508" s="1"/>
  <c r="T370" i="508"/>
  <c r="T507" i="508" s="1"/>
  <c r="V349" i="508"/>
  <c r="Y370" i="508"/>
  <c r="AA370" i="508"/>
  <c r="M351" i="508"/>
  <c r="K371" i="508" a="1"/>
  <c r="K371" i="508" s="1"/>
  <c r="W383" i="508"/>
  <c r="K383" i="508" a="1"/>
  <c r="K383" i="508" s="1"/>
  <c r="M383" i="508" s="1"/>
  <c r="N391" i="508"/>
  <c r="H392" i="508"/>
  <c r="N393" i="508"/>
  <c r="H394" i="508"/>
  <c r="K399" i="508" a="1"/>
  <c r="K399" i="508" s="1"/>
  <c r="M399" i="508" s="1"/>
  <c r="K400" i="508" a="1"/>
  <c r="K400" i="508" s="1"/>
  <c r="M400" i="508" s="1"/>
  <c r="K401" i="508" a="1"/>
  <c r="K401" i="508" s="1"/>
  <c r="M401" i="508" s="1"/>
  <c r="K402" i="508" a="1"/>
  <c r="K402" i="508" s="1"/>
  <c r="M402" i="508" s="1"/>
  <c r="K403" i="508" a="1"/>
  <c r="K403" i="508" s="1"/>
  <c r="M403" i="508" s="1"/>
  <c r="K404" i="508" a="1"/>
  <c r="K404" i="508" s="1"/>
  <c r="M404" i="508" s="1"/>
  <c r="K405" i="508" a="1"/>
  <c r="K405" i="508" s="1"/>
  <c r="M405" i="508" s="1"/>
  <c r="K406" i="508" a="1"/>
  <c r="K406" i="508" s="1"/>
  <c r="M406" i="508" s="1"/>
  <c r="K407" i="508" a="1"/>
  <c r="K407" i="508" s="1"/>
  <c r="M407" i="508" s="1"/>
  <c r="K408" i="508" a="1"/>
  <c r="K408" i="508" s="1"/>
  <c r="M408" i="508" s="1"/>
  <c r="W411" i="508"/>
  <c r="W415" i="508"/>
  <c r="W417" i="508"/>
  <c r="W431" i="508"/>
  <c r="W433" i="508"/>
  <c r="W435" i="508"/>
  <c r="W353" i="508"/>
  <c r="W355" i="508"/>
  <c r="W357" i="508"/>
  <c r="W361" i="508"/>
  <c r="W363" i="508"/>
  <c r="W369" i="508"/>
  <c r="W390" i="508"/>
  <c r="H397" i="508"/>
  <c r="H399" i="508"/>
  <c r="V399" i="508"/>
  <c r="W399" i="508" s="1"/>
  <c r="H400" i="508"/>
  <c r="N400" i="508"/>
  <c r="V400" i="508"/>
  <c r="W400" i="508" s="1"/>
  <c r="H401" i="508"/>
  <c r="N401" i="508"/>
  <c r="V401" i="508"/>
  <c r="W401" i="508" s="1"/>
  <c r="H402" i="508"/>
  <c r="N402" i="508"/>
  <c r="V402" i="508"/>
  <c r="W402" i="508" s="1"/>
  <c r="H403" i="508"/>
  <c r="N403" i="508"/>
  <c r="V403" i="508"/>
  <c r="W403" i="508" s="1"/>
  <c r="H404" i="508"/>
  <c r="N404" i="508"/>
  <c r="V404" i="508"/>
  <c r="W404" i="508" s="1"/>
  <c r="H405" i="508"/>
  <c r="N405" i="508"/>
  <c r="V405" i="508"/>
  <c r="W405" i="508" s="1"/>
  <c r="H406" i="508"/>
  <c r="N406" i="508"/>
  <c r="V406" i="508"/>
  <c r="W406" i="508" s="1"/>
  <c r="H407" i="508"/>
  <c r="N407" i="508"/>
  <c r="V407" i="508"/>
  <c r="W407" i="508" s="1"/>
  <c r="H408" i="508"/>
  <c r="N408" i="508"/>
  <c r="V408" i="508"/>
  <c r="W408" i="508" s="1"/>
  <c r="H409" i="508"/>
  <c r="M411" i="508"/>
  <c r="M415" i="508"/>
  <c r="M417" i="508"/>
  <c r="H419" i="508"/>
  <c r="H421" i="508"/>
  <c r="H426" i="508"/>
  <c r="I463" i="508"/>
  <c r="X515" i="508"/>
  <c r="N434" i="508"/>
  <c r="W438" i="508"/>
  <c r="M459" i="508"/>
  <c r="W440" i="508"/>
  <c r="W442" i="508"/>
  <c r="W444" i="508"/>
  <c r="W446" i="508"/>
  <c r="W448" i="508"/>
  <c r="K462" i="508" a="1"/>
  <c r="K462" i="508" s="1"/>
  <c r="M462" i="508" s="1"/>
  <c r="W466" i="508"/>
  <c r="W468" i="508"/>
  <c r="W470" i="508"/>
  <c r="W472" i="508"/>
  <c r="W474" i="508"/>
  <c r="W476" i="508"/>
  <c r="W478" i="508"/>
  <c r="W484" i="508"/>
  <c r="W489" i="508"/>
  <c r="M497" i="508"/>
  <c r="M501" i="508"/>
  <c r="X463" i="508"/>
  <c r="Z463" i="508"/>
  <c r="M431" i="508"/>
  <c r="M433" i="508"/>
  <c r="M435" i="508"/>
  <c r="M438" i="508"/>
  <c r="M440" i="508"/>
  <c r="M442" i="508"/>
  <c r="M444" i="508"/>
  <c r="M446" i="508"/>
  <c r="M448" i="508"/>
  <c r="H458" i="508"/>
  <c r="H459" i="508"/>
  <c r="N460" i="508"/>
  <c r="N461" i="508"/>
  <c r="V461" i="508"/>
  <c r="W461" i="508" s="1"/>
  <c r="H462" i="508"/>
  <c r="N462" i="508"/>
  <c r="V462" i="508"/>
  <c r="W462" i="508" s="1"/>
  <c r="O479" i="508"/>
  <c r="Q479" i="508"/>
  <c r="Q507" i="508" s="1"/>
  <c r="S479" i="508"/>
  <c r="S507" i="508" s="1"/>
  <c r="U479" i="508"/>
  <c r="U507" i="508" s="1"/>
  <c r="X479" i="508"/>
  <c r="Z479" i="508"/>
  <c r="K480" i="508" a="1"/>
  <c r="K480" i="508" s="1"/>
  <c r="M489" i="508"/>
  <c r="V506" i="508"/>
  <c r="W493" i="508"/>
  <c r="W497" i="508"/>
  <c r="K179" i="508" a="1"/>
  <c r="K179" i="508" s="1"/>
  <c r="M179" i="508" s="1"/>
  <c r="W179" i="508"/>
  <c r="K181" i="508" a="1"/>
  <c r="K181" i="508" s="1"/>
  <c r="M181" i="508" s="1"/>
  <c r="W181" i="508"/>
  <c r="K183" i="508" a="1"/>
  <c r="K183" i="508" s="1"/>
  <c r="M183" i="508" s="1"/>
  <c r="W183" i="508"/>
  <c r="J184" i="508" a="1"/>
  <c r="J184" i="508" s="1"/>
  <c r="K185" i="508" a="1"/>
  <c r="K185" i="508" s="1"/>
  <c r="M185" i="508" s="1"/>
  <c r="W185" i="508"/>
  <c r="I199" i="508"/>
  <c r="O199" i="508"/>
  <c r="Q199" i="508"/>
  <c r="S199" i="508"/>
  <c r="U199" i="508"/>
  <c r="Y199" i="508"/>
  <c r="Y335" i="508" s="1"/>
  <c r="AA199" i="508"/>
  <c r="AA335" i="508" s="1"/>
  <c r="H179" i="508"/>
  <c r="V180" i="508"/>
  <c r="W180" i="508" s="1"/>
  <c r="H181" i="508"/>
  <c r="V182" i="508"/>
  <c r="W182" i="508" s="1"/>
  <c r="H183" i="508"/>
  <c r="V184" i="508"/>
  <c r="W184" i="508" s="1"/>
  <c r="H185" i="508"/>
  <c r="G199" i="508"/>
  <c r="P199" i="508"/>
  <c r="R199" i="508"/>
  <c r="R335" i="508" s="1"/>
  <c r="T199" i="508"/>
  <c r="T335" i="508" s="1"/>
  <c r="X199" i="508"/>
  <c r="Z199" i="508"/>
  <c r="H187" i="508"/>
  <c r="J187" i="508" a="1"/>
  <c r="J187" i="508" s="1"/>
  <c r="V188" i="508"/>
  <c r="W188" i="508" s="1"/>
  <c r="H189" i="508"/>
  <c r="J189" i="508" a="1"/>
  <c r="J189" i="508" s="1"/>
  <c r="V190" i="508"/>
  <c r="W190" i="508" s="1"/>
  <c r="H191" i="508"/>
  <c r="J191" i="508" a="1"/>
  <c r="J191" i="508" s="1"/>
  <c r="V192" i="508"/>
  <c r="W192" i="508" s="1"/>
  <c r="H193" i="508"/>
  <c r="J193" i="508" a="1"/>
  <c r="J193" i="508" s="1"/>
  <c r="V194" i="508"/>
  <c r="W194" i="508" s="1"/>
  <c r="W187" i="508"/>
  <c r="W193" i="508"/>
  <c r="H200" i="508"/>
  <c r="J200" i="508" a="1"/>
  <c r="J200" i="508" s="1"/>
  <c r="W203" i="508"/>
  <c r="K209" i="508" a="1"/>
  <c r="K209" i="508" s="1"/>
  <c r="M209" i="508" s="1"/>
  <c r="W209" i="508"/>
  <c r="H210" i="508"/>
  <c r="J210" i="508" a="1"/>
  <c r="J210" i="508" s="1"/>
  <c r="M203" i="508"/>
  <c r="V208" i="508"/>
  <c r="W208" i="508" s="1"/>
  <c r="H209" i="508"/>
  <c r="W210" i="508"/>
  <c r="N292" i="508"/>
  <c r="W258" i="508"/>
  <c r="W260" i="508"/>
  <c r="W262" i="508"/>
  <c r="W264" i="508"/>
  <c r="W267" i="508"/>
  <c r="W269" i="508"/>
  <c r="W271" i="508"/>
  <c r="W272" i="508"/>
  <c r="I292" i="508"/>
  <c r="L561" i="508" s="1"/>
  <c r="O292" i="508"/>
  <c r="Q292" i="508"/>
  <c r="S292" i="508"/>
  <c r="S335" i="508" s="1"/>
  <c r="U292" i="508"/>
  <c r="X292" i="508"/>
  <c r="Z292" i="508"/>
  <c r="W274" i="508"/>
  <c r="W276" i="508"/>
  <c r="W285" i="508"/>
  <c r="W290" i="508"/>
  <c r="K293" i="508" a="1"/>
  <c r="K293" i="508" s="1"/>
  <c r="K294" i="508" a="1"/>
  <c r="K294" i="508" s="1"/>
  <c r="M294" i="508" s="1"/>
  <c r="K295" i="508" a="1"/>
  <c r="K295" i="508" s="1"/>
  <c r="M295" i="508" s="1"/>
  <c r="K296" i="508" a="1"/>
  <c r="K296" i="508" s="1"/>
  <c r="M296" i="508" s="1"/>
  <c r="K297" i="508" a="1"/>
  <c r="K297" i="508" s="1"/>
  <c r="M297" i="508" s="1"/>
  <c r="K298" i="508" a="1"/>
  <c r="K298" i="508" s="1"/>
  <c r="M298" i="508" s="1"/>
  <c r="K299" i="508" a="1"/>
  <c r="K299" i="508" s="1"/>
  <c r="M299" i="508" s="1"/>
  <c r="K300" i="508" a="1"/>
  <c r="K300" i="508" s="1"/>
  <c r="M300" i="508" s="1"/>
  <c r="W301" i="508"/>
  <c r="W307" i="508"/>
  <c r="W318" i="508"/>
  <c r="W321" i="508"/>
  <c r="W323" i="508"/>
  <c r="W325" i="508"/>
  <c r="M330" i="508"/>
  <c r="M272" i="508"/>
  <c r="M274" i="508"/>
  <c r="M276" i="508"/>
  <c r="M278" i="508"/>
  <c r="M279" i="508"/>
  <c r="M280" i="508"/>
  <c r="M281" i="508"/>
  <c r="M282" i="508"/>
  <c r="M283" i="508"/>
  <c r="M284" i="508"/>
  <c r="M285" i="508"/>
  <c r="M290" i="508"/>
  <c r="H293" i="508"/>
  <c r="J293" i="508" a="1"/>
  <c r="J293" i="508" s="1"/>
  <c r="R340" i="508"/>
  <c r="H294" i="508"/>
  <c r="N294" i="508"/>
  <c r="V294" i="508"/>
  <c r="W294" i="508" s="1"/>
  <c r="H295" i="508"/>
  <c r="N295" i="508"/>
  <c r="V295" i="508"/>
  <c r="W295" i="508" s="1"/>
  <c r="H296" i="508"/>
  <c r="N296" i="508"/>
  <c r="V296" i="508"/>
  <c r="W296" i="508" s="1"/>
  <c r="H297" i="508"/>
  <c r="N297" i="508"/>
  <c r="V297" i="508"/>
  <c r="W297" i="508" s="1"/>
  <c r="H298" i="508"/>
  <c r="N298" i="508"/>
  <c r="V298" i="508"/>
  <c r="W298" i="508" s="1"/>
  <c r="H299" i="508"/>
  <c r="N299" i="508"/>
  <c r="V299" i="508"/>
  <c r="W299" i="508" s="1"/>
  <c r="H300" i="508"/>
  <c r="N300" i="508"/>
  <c r="V300" i="508"/>
  <c r="W300" i="508" s="1"/>
  <c r="V303" i="508"/>
  <c r="W303" i="508" s="1"/>
  <c r="M307" i="508"/>
  <c r="K309" i="508" a="1"/>
  <c r="K309" i="508" s="1"/>
  <c r="M318" i="508"/>
  <c r="N320" i="508"/>
  <c r="V320" i="508"/>
  <c r="M321" i="508"/>
  <c r="M323" i="508"/>
  <c r="M325" i="508"/>
  <c r="H328" i="508"/>
  <c r="N330" i="508"/>
  <c r="V330" i="508"/>
  <c r="W330" i="508" s="1"/>
  <c r="H331" i="508"/>
  <c r="M333" i="508"/>
  <c r="M243" i="508"/>
  <c r="M245" i="508"/>
  <c r="M247" i="508"/>
  <c r="M248" i="508"/>
  <c r="M249" i="508"/>
  <c r="M250" i="508"/>
  <c r="M239" i="508"/>
  <c r="M220" i="508"/>
  <c r="M221" i="508"/>
  <c r="M222" i="508"/>
  <c r="M223" i="508"/>
  <c r="M224" i="508"/>
  <c r="M225" i="508"/>
  <c r="M226" i="508"/>
  <c r="M227" i="508"/>
  <c r="M228" i="508"/>
  <c r="M230" i="508"/>
  <c r="M232" i="508"/>
  <c r="M234" i="508"/>
  <c r="M236" i="508"/>
  <c r="W228" i="508"/>
  <c r="W230" i="508"/>
  <c r="W232" i="508"/>
  <c r="W234" i="508"/>
  <c r="W236" i="508"/>
  <c r="V214" i="508"/>
  <c r="W214" i="508" s="1"/>
  <c r="H215" i="508"/>
  <c r="J215" i="508" a="1"/>
  <c r="J215" i="508" s="1"/>
  <c r="W215" i="508"/>
  <c r="M218" i="508"/>
  <c r="W218" i="508"/>
  <c r="W217" i="508"/>
  <c r="H178" i="508"/>
  <c r="J178" i="508" a="1"/>
  <c r="J178" i="508" s="1"/>
  <c r="K178" i="508" a="1"/>
  <c r="K178" i="508" s="1"/>
  <c r="M178" i="508" s="1"/>
  <c r="H212" i="508"/>
  <c r="J212" i="508" a="1"/>
  <c r="J212" i="508" s="1"/>
  <c r="W212" i="508"/>
  <c r="H213" i="508"/>
  <c r="J213" i="508" a="1"/>
  <c r="J213" i="508" s="1"/>
  <c r="W213" i="508"/>
  <c r="H211" i="508"/>
  <c r="J211" i="508" a="1"/>
  <c r="J211" i="508" s="1"/>
  <c r="W211" i="508"/>
  <c r="H186" i="508"/>
  <c r="J186" i="508" a="1"/>
  <c r="J186" i="508" s="1"/>
  <c r="W186" i="508"/>
  <c r="W240" i="508"/>
  <c r="G257" i="508"/>
  <c r="M240" i="508"/>
  <c r="W241" i="508"/>
  <c r="J122" i="508" a="1"/>
  <c r="J122" i="508" s="1"/>
  <c r="V123" i="508"/>
  <c r="W123" i="508" s="1"/>
  <c r="J124" i="508" a="1"/>
  <c r="J124" i="508" s="1"/>
  <c r="V125" i="508"/>
  <c r="W125" i="508" s="1"/>
  <c r="J126" i="508" a="1"/>
  <c r="J126" i="508" s="1"/>
  <c r="V127" i="508"/>
  <c r="W127" i="508" s="1"/>
  <c r="J128" i="508" a="1"/>
  <c r="J128" i="508" s="1"/>
  <c r="V129" i="508"/>
  <c r="W129" i="508" s="1"/>
  <c r="J130" i="508" a="1"/>
  <c r="J130" i="508" s="1"/>
  <c r="V131" i="508"/>
  <c r="W131" i="508" s="1"/>
  <c r="J132" i="508" a="1"/>
  <c r="J132" i="508" s="1"/>
  <c r="W133" i="508"/>
  <c r="K122" i="508" a="1"/>
  <c r="K122" i="508" s="1"/>
  <c r="M122" i="508" s="1"/>
  <c r="W124" i="508"/>
  <c r="W126" i="508"/>
  <c r="W128" i="508"/>
  <c r="W130" i="508"/>
  <c r="K133" i="508" a="1"/>
  <c r="K133" i="508" s="1"/>
  <c r="M133" i="508" s="1"/>
  <c r="V132" i="508"/>
  <c r="W132" i="508" s="1"/>
  <c r="V134" i="508"/>
  <c r="W134" i="508" s="1"/>
  <c r="J135" i="508" a="1"/>
  <c r="J135" i="508" s="1"/>
  <c r="V136" i="508"/>
  <c r="W136" i="508" s="1"/>
  <c r="R170" i="508"/>
  <c r="K528" i="508" s="1"/>
  <c r="J147" i="508" a="1"/>
  <c r="J147" i="508" s="1"/>
  <c r="G163" i="508"/>
  <c r="C529" i="508" s="1"/>
  <c r="I163" i="508"/>
  <c r="L556" i="508" s="1"/>
  <c r="K149" i="508" a="1"/>
  <c r="K149" i="508" s="1"/>
  <c r="K163" i="508" s="1"/>
  <c r="O163" i="508"/>
  <c r="Q163" i="508"/>
  <c r="S163" i="508"/>
  <c r="U163" i="508"/>
  <c r="Y163" i="508"/>
  <c r="AA163" i="508"/>
  <c r="J150" i="508" a="1"/>
  <c r="J150" i="508" s="1"/>
  <c r="V151" i="508"/>
  <c r="W151" i="508" s="1"/>
  <c r="J152" i="508" a="1"/>
  <c r="J152" i="508" s="1"/>
  <c r="V158" i="508"/>
  <c r="W158" i="508" s="1"/>
  <c r="W135" i="508"/>
  <c r="W147" i="508"/>
  <c r="W150" i="508"/>
  <c r="W152" i="508"/>
  <c r="K88" i="508" a="1"/>
  <c r="K88" i="508" s="1"/>
  <c r="M88" i="508" s="1"/>
  <c r="W88" i="508"/>
  <c r="J89" i="508" a="1"/>
  <c r="J89" i="508" s="1"/>
  <c r="K90" i="508" a="1"/>
  <c r="K90" i="508" s="1"/>
  <c r="M90" i="508" s="1"/>
  <c r="W90" i="508"/>
  <c r="J91" i="508" a="1"/>
  <c r="J91" i="508" s="1"/>
  <c r="K92" i="508" a="1"/>
  <c r="K92" i="508" s="1"/>
  <c r="M92" i="508" s="1"/>
  <c r="W92" i="508"/>
  <c r="J93" i="508" a="1"/>
  <c r="J93" i="508" s="1"/>
  <c r="M94" i="508"/>
  <c r="J95" i="508" a="1"/>
  <c r="J95" i="508" s="1"/>
  <c r="K95" i="508" a="1"/>
  <c r="K95" i="508" s="1"/>
  <c r="M95" i="508" s="1"/>
  <c r="V89" i="508"/>
  <c r="W89" i="508" s="1"/>
  <c r="V91" i="508"/>
  <c r="W91" i="508" s="1"/>
  <c r="V93" i="508"/>
  <c r="W93" i="508" s="1"/>
  <c r="V96" i="508"/>
  <c r="W96" i="508" s="1"/>
  <c r="J97" i="508" a="1"/>
  <c r="J97" i="508" s="1"/>
  <c r="V98" i="508"/>
  <c r="W98" i="508" s="1"/>
  <c r="J99" i="508" a="1"/>
  <c r="J99" i="508" s="1"/>
  <c r="V100" i="508"/>
  <c r="W100" i="508" s="1"/>
  <c r="J101" i="508" a="1"/>
  <c r="J101" i="508" s="1"/>
  <c r="V102" i="508"/>
  <c r="W102" i="508" s="1"/>
  <c r="J103" i="508" a="1"/>
  <c r="J103" i="508" s="1"/>
  <c r="V104" i="508"/>
  <c r="W104" i="508" s="1"/>
  <c r="J105" i="508" a="1"/>
  <c r="J105" i="508" s="1"/>
  <c r="V106" i="508"/>
  <c r="W106" i="508" s="1"/>
  <c r="J113" i="508" a="1"/>
  <c r="J113" i="508" s="1"/>
  <c r="V114" i="508"/>
  <c r="W114" i="508" s="1"/>
  <c r="W97" i="508"/>
  <c r="W99" i="508"/>
  <c r="W101" i="508"/>
  <c r="W103" i="508"/>
  <c r="W105" i="508"/>
  <c r="W113" i="508"/>
  <c r="W42" i="508"/>
  <c r="W44" i="508"/>
  <c r="W46" i="508"/>
  <c r="W48" i="508"/>
  <c r="J42" i="508" a="1"/>
  <c r="J42" i="508" s="1"/>
  <c r="H42" i="508"/>
  <c r="K42" i="508" a="1"/>
  <c r="K42" i="508" s="1"/>
  <c r="M42" i="508" s="1"/>
  <c r="J44" i="508" a="1"/>
  <c r="J44" i="508" s="1"/>
  <c r="H44" i="508"/>
  <c r="K44" i="508" a="1"/>
  <c r="K44" i="508" s="1"/>
  <c r="M44" i="508" s="1"/>
  <c r="J46" i="508" a="1"/>
  <c r="J46" i="508" s="1"/>
  <c r="H46" i="508"/>
  <c r="K46" i="508" a="1"/>
  <c r="K46" i="508" s="1"/>
  <c r="M46" i="508" s="1"/>
  <c r="J48" i="508" a="1"/>
  <c r="J48" i="508" s="1"/>
  <c r="H48" i="508"/>
  <c r="K48" i="508" a="1"/>
  <c r="K48" i="508" s="1"/>
  <c r="M48" i="508" s="1"/>
  <c r="K58" i="508" a="1"/>
  <c r="K58" i="508" s="1"/>
  <c r="M58" i="508" s="1"/>
  <c r="W58" i="508"/>
  <c r="K60" i="508" a="1"/>
  <c r="K60" i="508" s="1"/>
  <c r="M60" i="508" s="1"/>
  <c r="W60" i="508"/>
  <c r="K62" i="508" a="1"/>
  <c r="K62" i="508" s="1"/>
  <c r="M62" i="508" s="1"/>
  <c r="W62" i="508"/>
  <c r="K64" i="508" a="1"/>
  <c r="K64" i="508" s="1"/>
  <c r="M64" i="508" s="1"/>
  <c r="W64" i="508"/>
  <c r="K66" i="508" a="1"/>
  <c r="K66" i="508" s="1"/>
  <c r="M66" i="508" s="1"/>
  <c r="W66" i="508"/>
  <c r="K70" i="508" a="1"/>
  <c r="K70" i="508" s="1"/>
  <c r="M70" i="508" s="1"/>
  <c r="W70" i="508"/>
  <c r="W72" i="508"/>
  <c r="W74" i="508"/>
  <c r="Q86" i="508"/>
  <c r="S86" i="508"/>
  <c r="U86" i="508"/>
  <c r="Y86" i="508"/>
  <c r="AA86" i="508"/>
  <c r="V41" i="508"/>
  <c r="W41" i="508" s="1"/>
  <c r="V43" i="508"/>
  <c r="W43" i="508" s="1"/>
  <c r="V45" i="508"/>
  <c r="W45" i="508" s="1"/>
  <c r="V47" i="508"/>
  <c r="W47" i="508" s="1"/>
  <c r="V57" i="508"/>
  <c r="W57" i="508" s="1"/>
  <c r="H58" i="508"/>
  <c r="V59" i="508"/>
  <c r="W59" i="508" s="1"/>
  <c r="H60" i="508"/>
  <c r="V61" i="508"/>
  <c r="W61" i="508" s="1"/>
  <c r="H62" i="508"/>
  <c r="V63" i="508"/>
  <c r="W63" i="508" s="1"/>
  <c r="H64" i="508"/>
  <c r="V65" i="508"/>
  <c r="W65" i="508" s="1"/>
  <c r="H66" i="508"/>
  <c r="V69" i="508"/>
  <c r="W69" i="508" s="1"/>
  <c r="H70" i="508"/>
  <c r="K39" i="508" a="1"/>
  <c r="K39" i="508" s="1"/>
  <c r="M39" i="508" s="1"/>
  <c r="W39" i="508"/>
  <c r="H39" i="508"/>
  <c r="K29" i="508" a="1"/>
  <c r="K29" i="508" s="1"/>
  <c r="H30" i="508"/>
  <c r="M31" i="508"/>
  <c r="M33" i="508"/>
  <c r="H29" i="508"/>
  <c r="J29" i="508" a="1"/>
  <c r="J29" i="508" s="1"/>
  <c r="W31" i="508"/>
  <c r="W33" i="508"/>
  <c r="W8" i="508"/>
  <c r="M9" i="508"/>
  <c r="M11" i="508"/>
  <c r="M13" i="508"/>
  <c r="M15" i="508"/>
  <c r="M17" i="508"/>
  <c r="M19" i="508"/>
  <c r="M21" i="508"/>
  <c r="H23" i="508"/>
  <c r="M24" i="508"/>
  <c r="V25" i="508"/>
  <c r="V28" i="508" s="1"/>
  <c r="M27" i="508"/>
  <c r="W11" i="508"/>
  <c r="W13" i="508"/>
  <c r="W15" i="508"/>
  <c r="W17" i="508"/>
  <c r="W19" i="508"/>
  <c r="W21" i="508"/>
  <c r="W27" i="508"/>
  <c r="J40" i="508" a="1"/>
  <c r="J40" i="508" s="1"/>
  <c r="W40" i="508"/>
  <c r="J37" i="508" a="1"/>
  <c r="J37" i="508" s="1"/>
  <c r="W37" i="508"/>
  <c r="M38" i="508"/>
  <c r="R166" i="508"/>
  <c r="J553" i="508"/>
  <c r="M553" i="508" s="1"/>
  <c r="C525" i="508"/>
  <c r="J86" i="508" a="1"/>
  <c r="J86" i="508" s="1"/>
  <c r="M29" i="508"/>
  <c r="Q528" i="508"/>
  <c r="J554" i="508"/>
  <c r="C526" i="508"/>
  <c r="M118" i="508"/>
  <c r="M119" i="508"/>
  <c r="M120" i="508"/>
  <c r="J555" i="508"/>
  <c r="M555" i="508" s="1"/>
  <c r="J137" i="508" a="1"/>
  <c r="J137" i="508" s="1"/>
  <c r="W122" i="508"/>
  <c r="C528" i="508"/>
  <c r="J148" i="508" a="1"/>
  <c r="J148" i="508" s="1"/>
  <c r="M139" i="508"/>
  <c r="M140" i="508"/>
  <c r="M141" i="508"/>
  <c r="M142" i="508"/>
  <c r="M149" i="508"/>
  <c r="M159" i="508"/>
  <c r="M160" i="508"/>
  <c r="J552" i="508"/>
  <c r="J544" i="508"/>
  <c r="C524" i="508"/>
  <c r="M8" i="508"/>
  <c r="M10" i="508"/>
  <c r="M12" i="508"/>
  <c r="M14" i="508"/>
  <c r="M16" i="508"/>
  <c r="M18" i="508"/>
  <c r="M20" i="508"/>
  <c r="M22" i="508"/>
  <c r="M26" i="508"/>
  <c r="Q524" i="508"/>
  <c r="Q527" i="508"/>
  <c r="M32" i="508"/>
  <c r="Q529" i="508"/>
  <c r="M72" i="508"/>
  <c r="M74" i="508"/>
  <c r="M76" i="508"/>
  <c r="M77" i="508"/>
  <c r="M78" i="508"/>
  <c r="M79" i="508"/>
  <c r="W148" i="508"/>
  <c r="M154" i="508"/>
  <c r="M155" i="508"/>
  <c r="M161" i="508"/>
  <c r="K7" i="508" a="1"/>
  <c r="K7" i="508" s="1"/>
  <c r="K28" i="508" s="1"/>
  <c r="W7" i="508"/>
  <c r="H8" i="508"/>
  <c r="J8" i="508" a="1"/>
  <c r="J8" i="508" s="1"/>
  <c r="H9" i="508"/>
  <c r="J9" i="508" a="1"/>
  <c r="J9" i="508" s="1"/>
  <c r="H10" i="508"/>
  <c r="J10" i="508" a="1"/>
  <c r="J10" i="508" s="1"/>
  <c r="H11" i="508"/>
  <c r="J11" i="508" a="1"/>
  <c r="J11" i="508" s="1"/>
  <c r="H12" i="508"/>
  <c r="J12" i="508" a="1"/>
  <c r="J12" i="508" s="1"/>
  <c r="H13" i="508"/>
  <c r="J13" i="508" a="1"/>
  <c r="J13" i="508" s="1"/>
  <c r="H14" i="508"/>
  <c r="J14" i="508" a="1"/>
  <c r="J14" i="508" s="1"/>
  <c r="H15" i="508"/>
  <c r="J15" i="508" a="1"/>
  <c r="J15" i="508" s="1"/>
  <c r="H16" i="508"/>
  <c r="J16" i="508" a="1"/>
  <c r="J16" i="508" s="1"/>
  <c r="H17" i="508"/>
  <c r="J17" i="508" a="1"/>
  <c r="J17" i="508" s="1"/>
  <c r="H18" i="508"/>
  <c r="J18" i="508" a="1"/>
  <c r="J18" i="508" s="1"/>
  <c r="H19" i="508"/>
  <c r="J19" i="508" a="1"/>
  <c r="J19" i="508" s="1"/>
  <c r="H20" i="508"/>
  <c r="J20" i="508" a="1"/>
  <c r="J20" i="508" s="1"/>
  <c r="H21" i="508"/>
  <c r="J21" i="508" a="1"/>
  <c r="J21" i="508" s="1"/>
  <c r="H22" i="508"/>
  <c r="H24" i="508"/>
  <c r="H26" i="508"/>
  <c r="J26" i="508" a="1"/>
  <c r="J26" i="508" s="1"/>
  <c r="H27" i="508"/>
  <c r="J27" i="508" a="1"/>
  <c r="J27" i="508" s="1"/>
  <c r="V29" i="508"/>
  <c r="H31" i="508"/>
  <c r="J31" i="508" a="1"/>
  <c r="J31" i="508" s="1"/>
  <c r="H32" i="508"/>
  <c r="J32" i="508" a="1"/>
  <c r="J32" i="508" s="1"/>
  <c r="H33" i="508"/>
  <c r="J33" i="508" a="1"/>
  <c r="J33" i="508" s="1"/>
  <c r="H68" i="508"/>
  <c r="H72" i="508"/>
  <c r="J72" i="508" a="1"/>
  <c r="J72" i="508" s="1"/>
  <c r="H73" i="508"/>
  <c r="J73" i="508" a="1"/>
  <c r="J73" i="508" s="1"/>
  <c r="H74" i="508"/>
  <c r="J74" i="508" a="1"/>
  <c r="J74" i="508" s="1"/>
  <c r="H75" i="508"/>
  <c r="J75" i="508" a="1"/>
  <c r="J75" i="508" s="1"/>
  <c r="H76" i="508"/>
  <c r="H77" i="508"/>
  <c r="H78" i="508"/>
  <c r="H79" i="508"/>
  <c r="J87" i="508"/>
  <c r="V87" i="508"/>
  <c r="J118" i="508" a="1"/>
  <c r="J118" i="508" s="1"/>
  <c r="J119" i="508" a="1"/>
  <c r="J119" i="508" s="1"/>
  <c r="J120" i="508" a="1"/>
  <c r="J120" i="508" s="1"/>
  <c r="J138" i="508" a="1"/>
  <c r="J138" i="508" s="1"/>
  <c r="K138" i="508" a="1"/>
  <c r="K138" i="508" s="1"/>
  <c r="K148" i="508" s="1"/>
  <c r="W138" i="508"/>
  <c r="J139" i="508" a="1"/>
  <c r="J139" i="508" s="1"/>
  <c r="J140" i="508" a="1"/>
  <c r="J140" i="508" s="1"/>
  <c r="J141" i="508" a="1"/>
  <c r="J141" i="508" s="1"/>
  <c r="J142" i="508" a="1"/>
  <c r="J142" i="508" s="1"/>
  <c r="V149" i="508"/>
  <c r="J154" i="508" a="1"/>
  <c r="J154" i="508" s="1"/>
  <c r="J155" i="508" a="1"/>
  <c r="J155" i="508" s="1"/>
  <c r="J159" i="508" a="1"/>
  <c r="J159" i="508" s="1"/>
  <c r="I166" i="508"/>
  <c r="J559" i="508"/>
  <c r="J199" i="508" a="1"/>
  <c r="J199" i="508" s="1"/>
  <c r="L559" i="508"/>
  <c r="I335" i="508"/>
  <c r="B343" i="508" s="1"/>
  <c r="X338" i="508"/>
  <c r="P335" i="508"/>
  <c r="X339" i="508" s="1"/>
  <c r="V178" i="508"/>
  <c r="K195" i="508" a="1"/>
  <c r="K195" i="508" s="1"/>
  <c r="H195" i="508"/>
  <c r="K197" i="508" a="1"/>
  <c r="K197" i="508" s="1"/>
  <c r="M197" i="508" s="1"/>
  <c r="H197" i="508"/>
  <c r="M198" i="508"/>
  <c r="M202" i="508"/>
  <c r="M204" i="508"/>
  <c r="M217" i="508"/>
  <c r="M219" i="508"/>
  <c r="M229" i="508"/>
  <c r="M231" i="508"/>
  <c r="M233" i="508"/>
  <c r="M235" i="508"/>
  <c r="M237" i="508"/>
  <c r="M241" i="508"/>
  <c r="M244" i="508"/>
  <c r="M246" i="508"/>
  <c r="R339" i="508"/>
  <c r="M260" i="508"/>
  <c r="M262" i="508"/>
  <c r="M264" i="508"/>
  <c r="M267" i="508"/>
  <c r="M269" i="508"/>
  <c r="M271" i="508"/>
  <c r="M273" i="508"/>
  <c r="M275" i="508"/>
  <c r="M277" i="508"/>
  <c r="M289" i="508"/>
  <c r="M291" i="508"/>
  <c r="M293" i="508"/>
  <c r="P86" i="508"/>
  <c r="K87" i="508" a="1"/>
  <c r="K87" i="508" s="1"/>
  <c r="R337" i="508"/>
  <c r="O335" i="508"/>
  <c r="M195" i="508"/>
  <c r="K196" i="508" a="1"/>
  <c r="K196" i="508" s="1"/>
  <c r="M196" i="508" s="1"/>
  <c r="H196" i="508"/>
  <c r="J560" i="508"/>
  <c r="M560" i="508" s="1"/>
  <c r="J257" i="508" a="1"/>
  <c r="J257" i="508" s="1"/>
  <c r="K257" i="508"/>
  <c r="M200" i="508"/>
  <c r="M216" i="508"/>
  <c r="J561" i="508"/>
  <c r="M561" i="508" s="1"/>
  <c r="J292" i="508" a="1"/>
  <c r="J292" i="508" s="1"/>
  <c r="J216" i="508" a="1"/>
  <c r="J216" i="508" s="1"/>
  <c r="H217" i="508"/>
  <c r="J217" i="508" a="1"/>
  <c r="J217" i="508" s="1"/>
  <c r="H218" i="508"/>
  <c r="J218" i="508" a="1"/>
  <c r="J218" i="508" s="1"/>
  <c r="H219" i="508"/>
  <c r="J219" i="508" a="1"/>
  <c r="J219" i="508" s="1"/>
  <c r="H220" i="508"/>
  <c r="H221" i="508"/>
  <c r="H222" i="508"/>
  <c r="H223" i="508"/>
  <c r="H224" i="508"/>
  <c r="H225" i="508"/>
  <c r="H226" i="508"/>
  <c r="H227" i="508"/>
  <c r="H228" i="508"/>
  <c r="J228" i="508" a="1"/>
  <c r="J228" i="508" s="1"/>
  <c r="H229" i="508"/>
  <c r="J229" i="508" a="1"/>
  <c r="J229" i="508" s="1"/>
  <c r="H230" i="508"/>
  <c r="J230" i="508" a="1"/>
  <c r="J230" i="508" s="1"/>
  <c r="H231" i="508"/>
  <c r="J231" i="508" a="1"/>
  <c r="J231" i="508" s="1"/>
  <c r="H232" i="508"/>
  <c r="J232" i="508" a="1"/>
  <c r="J232" i="508" s="1"/>
  <c r="H233" i="508"/>
  <c r="J233" i="508" a="1"/>
  <c r="J233" i="508" s="1"/>
  <c r="H234" i="508"/>
  <c r="J234" i="508" a="1"/>
  <c r="J234" i="508" s="1"/>
  <c r="H235" i="508"/>
  <c r="J235" i="508" a="1"/>
  <c r="J235" i="508" s="1"/>
  <c r="H236" i="508"/>
  <c r="J236" i="508" a="1"/>
  <c r="J236" i="508" s="1"/>
  <c r="H237" i="508"/>
  <c r="J237" i="508" a="1"/>
  <c r="J237" i="508" s="1"/>
  <c r="H289" i="508"/>
  <c r="J289" i="508" a="1"/>
  <c r="J289" i="508" s="1"/>
  <c r="H290" i="508"/>
  <c r="J290" i="508" a="1"/>
  <c r="J290" i="508" s="1"/>
  <c r="H291" i="508"/>
  <c r="J291" i="508" a="1"/>
  <c r="J291" i="508" s="1"/>
  <c r="V292" i="508"/>
  <c r="W292" i="508" s="1"/>
  <c r="J562" i="508"/>
  <c r="M562" i="508" s="1"/>
  <c r="J308" i="508" a="1"/>
  <c r="J308" i="508" s="1"/>
  <c r="N293" i="508"/>
  <c r="N308" i="508" s="1"/>
  <c r="V293" i="508"/>
  <c r="K301" i="508" a="1"/>
  <c r="K301" i="508" s="1"/>
  <c r="M301" i="508" s="1"/>
  <c r="J301" i="508" a="1"/>
  <c r="J301" i="508" s="1"/>
  <c r="H301" i="508"/>
  <c r="K303" i="508" a="1"/>
  <c r="K303" i="508" s="1"/>
  <c r="J303" i="508" a="1"/>
  <c r="J303" i="508" s="1"/>
  <c r="H303" i="508"/>
  <c r="K305" i="508" a="1"/>
  <c r="K305" i="508" s="1"/>
  <c r="M305" i="508" s="1"/>
  <c r="J305" i="508" a="1"/>
  <c r="J305" i="508" s="1"/>
  <c r="H305" i="508"/>
  <c r="W305" i="508"/>
  <c r="M306" i="508"/>
  <c r="R341" i="508"/>
  <c r="R342" i="508"/>
  <c r="M322" i="508"/>
  <c r="M326" i="508"/>
  <c r="J565" i="508"/>
  <c r="J370" i="508" a="1"/>
  <c r="J370" i="508" s="1"/>
  <c r="N370" i="508"/>
  <c r="V370" i="508"/>
  <c r="M350" i="508"/>
  <c r="M353" i="508"/>
  <c r="M355" i="508"/>
  <c r="M357" i="508"/>
  <c r="M361" i="508"/>
  <c r="M363" i="508"/>
  <c r="M365" i="508"/>
  <c r="M367" i="508"/>
  <c r="M369" i="508"/>
  <c r="K428" i="508"/>
  <c r="M371" i="508"/>
  <c r="H198" i="508"/>
  <c r="V200" i="508"/>
  <c r="H202" i="508"/>
  <c r="J202" i="508" a="1"/>
  <c r="J202" i="508" s="1"/>
  <c r="H203" i="508"/>
  <c r="J203" i="508" a="1"/>
  <c r="J203" i="508" s="1"/>
  <c r="H204" i="508"/>
  <c r="J204" i="508" a="1"/>
  <c r="J204" i="508" s="1"/>
  <c r="H239" i="508"/>
  <c r="H240" i="508"/>
  <c r="J240" i="508" a="1"/>
  <c r="J240" i="508" s="1"/>
  <c r="H241" i="508"/>
  <c r="J241" i="508" a="1"/>
  <c r="J241" i="508" s="1"/>
  <c r="H243" i="508"/>
  <c r="J243" i="508" a="1"/>
  <c r="J243" i="508" s="1"/>
  <c r="H244" i="508"/>
  <c r="J244" i="508" a="1"/>
  <c r="J244" i="508" s="1"/>
  <c r="H245" i="508"/>
  <c r="J245" i="508" a="1"/>
  <c r="J245" i="508" s="1"/>
  <c r="H246" i="508"/>
  <c r="J246" i="508" a="1"/>
  <c r="J246" i="508" s="1"/>
  <c r="H247" i="508"/>
  <c r="H248" i="508"/>
  <c r="H249" i="508"/>
  <c r="H250" i="508"/>
  <c r="H258" i="508"/>
  <c r="J258" i="508" a="1"/>
  <c r="J258" i="508" s="1"/>
  <c r="K258" i="508" a="1"/>
  <c r="K258" i="508" s="1"/>
  <c r="K292" i="508" s="1"/>
  <c r="H259" i="508"/>
  <c r="J259" i="508" a="1"/>
  <c r="J259" i="508" s="1"/>
  <c r="H260" i="508"/>
  <c r="J260" i="508" a="1"/>
  <c r="J260" i="508" s="1"/>
  <c r="H261" i="508"/>
  <c r="J261" i="508" a="1"/>
  <c r="J261" i="508" s="1"/>
  <c r="H262" i="508"/>
  <c r="J262" i="508" a="1"/>
  <c r="J262" i="508" s="1"/>
  <c r="H263" i="508"/>
  <c r="J263" i="508" a="1"/>
  <c r="J263" i="508" s="1"/>
  <c r="H264" i="508"/>
  <c r="J264" i="508" a="1"/>
  <c r="J264" i="508" s="1"/>
  <c r="H265" i="508"/>
  <c r="H266" i="508"/>
  <c r="J266" i="508" a="1"/>
  <c r="J266" i="508" s="1"/>
  <c r="H267" i="508"/>
  <c r="J267" i="508" a="1"/>
  <c r="J267" i="508" s="1"/>
  <c r="H268" i="508"/>
  <c r="J268" i="508" a="1"/>
  <c r="J268" i="508" s="1"/>
  <c r="H269" i="508"/>
  <c r="J269" i="508" a="1"/>
  <c r="J269" i="508" s="1"/>
  <c r="H270" i="508"/>
  <c r="J270" i="508" a="1"/>
  <c r="J270" i="508" s="1"/>
  <c r="H271" i="508"/>
  <c r="J271" i="508" a="1"/>
  <c r="J271" i="508" s="1"/>
  <c r="H272" i="508"/>
  <c r="J272" i="508" a="1"/>
  <c r="J272" i="508" s="1"/>
  <c r="H273" i="508"/>
  <c r="J273" i="508" a="1"/>
  <c r="J273" i="508" s="1"/>
  <c r="H274" i="508"/>
  <c r="J274" i="508" a="1"/>
  <c r="J274" i="508" s="1"/>
  <c r="H275" i="508"/>
  <c r="J275" i="508" a="1"/>
  <c r="J275" i="508" s="1"/>
  <c r="H276" i="508"/>
  <c r="J276" i="508" a="1"/>
  <c r="J276" i="508" s="1"/>
  <c r="H277" i="508"/>
  <c r="J277" i="508" a="1"/>
  <c r="J277" i="508" s="1"/>
  <c r="H278" i="508"/>
  <c r="H279" i="508"/>
  <c r="H280" i="508"/>
  <c r="H281" i="508"/>
  <c r="H282" i="508"/>
  <c r="H283" i="508"/>
  <c r="H284" i="508"/>
  <c r="J284" i="508" a="1"/>
  <c r="J284" i="508" s="1"/>
  <c r="H285" i="508"/>
  <c r="J285" i="508" a="1"/>
  <c r="J285" i="508" s="1"/>
  <c r="K302" i="508" a="1"/>
  <c r="K302" i="508" s="1"/>
  <c r="M302" i="508" s="1"/>
  <c r="J302" i="508" a="1"/>
  <c r="J302" i="508" s="1"/>
  <c r="H302" i="508"/>
  <c r="W302" i="508"/>
  <c r="M303" i="508"/>
  <c r="K304" i="508" a="1"/>
  <c r="K304" i="508" s="1"/>
  <c r="M304" i="508" s="1"/>
  <c r="J304" i="508" a="1"/>
  <c r="J304" i="508" s="1"/>
  <c r="H304" i="508"/>
  <c r="W304" i="508"/>
  <c r="M309" i="508"/>
  <c r="M319" i="508" s="1"/>
  <c r="K319" i="508"/>
  <c r="J563" i="508"/>
  <c r="M563" i="508" s="1"/>
  <c r="J334" i="508" a="1"/>
  <c r="J334" i="508" s="1"/>
  <c r="L565" i="508"/>
  <c r="R509" i="508"/>
  <c r="H306" i="508"/>
  <c r="J306" i="508" a="1"/>
  <c r="J306" i="508" s="1"/>
  <c r="H307" i="508"/>
  <c r="J307" i="508" a="1"/>
  <c r="J307" i="508" s="1"/>
  <c r="N309" i="508"/>
  <c r="N319" i="508" s="1"/>
  <c r="V309" i="508"/>
  <c r="H318" i="508"/>
  <c r="H319" i="508" s="1"/>
  <c r="J318" i="508" a="1"/>
  <c r="J318" i="508" s="1"/>
  <c r="H320" i="508"/>
  <c r="J320" i="508" a="1"/>
  <c r="J320" i="508" s="1"/>
  <c r="K320" i="508" a="1"/>
  <c r="K320" i="508" s="1"/>
  <c r="K334" i="508" s="1"/>
  <c r="W320" i="508"/>
  <c r="H321" i="508"/>
  <c r="J321" i="508" a="1"/>
  <c r="J321" i="508" s="1"/>
  <c r="H322" i="508"/>
  <c r="J322" i="508" a="1"/>
  <c r="J322" i="508" s="1"/>
  <c r="H323" i="508"/>
  <c r="J323" i="508" a="1"/>
  <c r="J323" i="508" s="1"/>
  <c r="H325" i="508"/>
  <c r="J325" i="508" a="1"/>
  <c r="J325" i="508" s="1"/>
  <c r="H326" i="508"/>
  <c r="J326" i="508" a="1"/>
  <c r="J326" i="508" s="1"/>
  <c r="H333" i="508"/>
  <c r="I337" i="508"/>
  <c r="H349" i="508"/>
  <c r="J349" i="508" a="1"/>
  <c r="J349" i="508" s="1"/>
  <c r="K349" i="508" a="1"/>
  <c r="K349" i="508" s="1"/>
  <c r="K370" i="508" s="1"/>
  <c r="W349" i="508"/>
  <c r="H350" i="508"/>
  <c r="J350" i="508" a="1"/>
  <c r="J350" i="508" s="1"/>
  <c r="H352" i="508"/>
  <c r="J352" i="508" a="1"/>
  <c r="J352" i="508" s="1"/>
  <c r="H353" i="508"/>
  <c r="J353" i="508" a="1"/>
  <c r="J353" i="508" s="1"/>
  <c r="H354" i="508"/>
  <c r="J354" i="508" a="1"/>
  <c r="J354" i="508" s="1"/>
  <c r="H355" i="508"/>
  <c r="J355" i="508" a="1"/>
  <c r="J355" i="508" s="1"/>
  <c r="H356" i="508"/>
  <c r="J356" i="508" a="1"/>
  <c r="J356" i="508" s="1"/>
  <c r="H357" i="508"/>
  <c r="J357" i="508" a="1"/>
  <c r="J357" i="508" s="1"/>
  <c r="H358" i="508"/>
  <c r="J358" i="508" a="1"/>
  <c r="J358" i="508" s="1"/>
  <c r="H361" i="508"/>
  <c r="J361" i="508" a="1"/>
  <c r="J361" i="508" s="1"/>
  <c r="H362" i="508"/>
  <c r="J362" i="508" a="1"/>
  <c r="J362" i="508" s="1"/>
  <c r="H363" i="508"/>
  <c r="J363" i="508" a="1"/>
  <c r="J363" i="508" s="1"/>
  <c r="H364" i="508"/>
  <c r="J364" i="508" a="1"/>
  <c r="J364" i="508" s="1"/>
  <c r="H365" i="508"/>
  <c r="H367" i="508"/>
  <c r="H369" i="508"/>
  <c r="J369" i="508" a="1"/>
  <c r="J369" i="508" s="1"/>
  <c r="J566" i="508"/>
  <c r="J545" i="508"/>
  <c r="J428" i="508" a="1"/>
  <c r="J428" i="508" s="1"/>
  <c r="L566" i="508"/>
  <c r="L545" i="508"/>
  <c r="V371" i="508"/>
  <c r="N373" i="508"/>
  <c r="N374" i="508"/>
  <c r="N375" i="508"/>
  <c r="M396" i="508"/>
  <c r="M398" i="508"/>
  <c r="M412" i="508"/>
  <c r="M414" i="508"/>
  <c r="M416" i="508"/>
  <c r="M418" i="508"/>
  <c r="M420" i="508"/>
  <c r="M422" i="508"/>
  <c r="M423" i="508"/>
  <c r="M424" i="508"/>
  <c r="M425" i="508"/>
  <c r="M427" i="508"/>
  <c r="M430" i="508"/>
  <c r="M432" i="508"/>
  <c r="M434" i="508"/>
  <c r="M436" i="508"/>
  <c r="M437" i="508"/>
  <c r="M439" i="508"/>
  <c r="M441" i="508"/>
  <c r="M443" i="508"/>
  <c r="M445" i="508"/>
  <c r="M447" i="508"/>
  <c r="M449" i="508"/>
  <c r="M450" i="508"/>
  <c r="M451" i="508"/>
  <c r="M452" i="508"/>
  <c r="M453" i="508"/>
  <c r="M454" i="508"/>
  <c r="M455" i="508"/>
  <c r="O428" i="508"/>
  <c r="R510" i="508" s="1"/>
  <c r="H396" i="508"/>
  <c r="H398" i="508"/>
  <c r="J567" i="508"/>
  <c r="J546" i="508"/>
  <c r="J463" i="508" a="1"/>
  <c r="J463" i="508" s="1"/>
  <c r="L567" i="508"/>
  <c r="L546" i="508"/>
  <c r="K456" i="508" a="1"/>
  <c r="K456" i="508" s="1"/>
  <c r="M456" i="508" s="1"/>
  <c r="M493" i="508"/>
  <c r="H411" i="508"/>
  <c r="J411" i="508" a="1"/>
  <c r="J411" i="508" s="1"/>
  <c r="H412" i="508"/>
  <c r="J412" i="508" a="1"/>
  <c r="J412" i="508" s="1"/>
  <c r="H414" i="508"/>
  <c r="J414" i="508" a="1"/>
  <c r="J414" i="508" s="1"/>
  <c r="H415" i="508"/>
  <c r="J415" i="508" a="1"/>
  <c r="J415" i="508" s="1"/>
  <c r="H416" i="508"/>
  <c r="J416" i="508" a="1"/>
  <c r="J416" i="508" s="1"/>
  <c r="H417" i="508"/>
  <c r="J417" i="508" a="1"/>
  <c r="J417" i="508" s="1"/>
  <c r="H418" i="508"/>
  <c r="H420" i="508"/>
  <c r="H422" i="508"/>
  <c r="H423" i="508"/>
  <c r="H424" i="508"/>
  <c r="H425" i="508"/>
  <c r="H427" i="508"/>
  <c r="H429" i="508"/>
  <c r="J429" i="508" a="1"/>
  <c r="J429" i="508" s="1"/>
  <c r="K429" i="508" a="1"/>
  <c r="K429" i="508" s="1"/>
  <c r="R511" i="508"/>
  <c r="W429" i="508"/>
  <c r="H430" i="508"/>
  <c r="J430" i="508" a="1"/>
  <c r="J430" i="508" s="1"/>
  <c r="H431" i="508"/>
  <c r="J431" i="508" a="1"/>
  <c r="J431" i="508" s="1"/>
  <c r="H432" i="508"/>
  <c r="J432" i="508" a="1"/>
  <c r="J432" i="508" s="1"/>
  <c r="H433" i="508"/>
  <c r="J433" i="508" a="1"/>
  <c r="J433" i="508" s="1"/>
  <c r="H434" i="508"/>
  <c r="J434" i="508" a="1"/>
  <c r="J434" i="508" s="1"/>
  <c r="H435" i="508"/>
  <c r="J435" i="508" a="1"/>
  <c r="J435" i="508" s="1"/>
  <c r="H436" i="508"/>
  <c r="H437" i="508"/>
  <c r="J437" i="508" a="1"/>
  <c r="J437" i="508" s="1"/>
  <c r="H438" i="508"/>
  <c r="J438" i="508" a="1"/>
  <c r="J438" i="508" s="1"/>
  <c r="H439" i="508"/>
  <c r="J439" i="508" a="1"/>
  <c r="J439" i="508" s="1"/>
  <c r="H440" i="508"/>
  <c r="J440" i="508" a="1"/>
  <c r="J440" i="508" s="1"/>
  <c r="H441" i="508"/>
  <c r="J441" i="508" a="1"/>
  <c r="J441" i="508" s="1"/>
  <c r="H442" i="508"/>
  <c r="J442" i="508" a="1"/>
  <c r="J442" i="508" s="1"/>
  <c r="H443" i="508"/>
  <c r="J443" i="508" a="1"/>
  <c r="J443" i="508" s="1"/>
  <c r="H444" i="508"/>
  <c r="J444" i="508" a="1"/>
  <c r="J444" i="508" s="1"/>
  <c r="H445" i="508"/>
  <c r="J445" i="508" a="1"/>
  <c r="J445" i="508" s="1"/>
  <c r="H446" i="508"/>
  <c r="J446" i="508" a="1"/>
  <c r="J446" i="508" s="1"/>
  <c r="H447" i="508"/>
  <c r="J447" i="508" a="1"/>
  <c r="J447" i="508" s="1"/>
  <c r="H448" i="508"/>
  <c r="J448" i="508" a="1"/>
  <c r="J448" i="508" s="1"/>
  <c r="H449" i="508"/>
  <c r="H450" i="508"/>
  <c r="H451" i="508"/>
  <c r="H452" i="508"/>
  <c r="H453" i="508"/>
  <c r="H454" i="508"/>
  <c r="H455" i="508"/>
  <c r="J455" i="508" a="1"/>
  <c r="J455" i="508" s="1"/>
  <c r="H456" i="508"/>
  <c r="J456" i="508" a="1"/>
  <c r="J456" i="508" s="1"/>
  <c r="M464" i="508"/>
  <c r="R512" i="508"/>
  <c r="M466" i="508"/>
  <c r="M468" i="508"/>
  <c r="M470" i="508"/>
  <c r="M472" i="508"/>
  <c r="M474" i="508"/>
  <c r="M476" i="508"/>
  <c r="M478" i="508"/>
  <c r="K490" i="508"/>
  <c r="M480" i="508"/>
  <c r="M490" i="508" s="1"/>
  <c r="G479" i="508"/>
  <c r="I479" i="508"/>
  <c r="O490" i="508"/>
  <c r="R513" i="508" s="1"/>
  <c r="J569" i="508"/>
  <c r="J506" i="508" a="1"/>
  <c r="J506" i="508" s="1"/>
  <c r="L569" i="508"/>
  <c r="L548" i="508"/>
  <c r="W506" i="508"/>
  <c r="M494" i="508"/>
  <c r="W494" i="508"/>
  <c r="M509" i="508"/>
  <c r="K513" i="508"/>
  <c r="M513" i="508" s="1"/>
  <c r="H464" i="508"/>
  <c r="J464" i="508" a="1"/>
  <c r="J464" i="508" s="1"/>
  <c r="W464" i="508"/>
  <c r="H465" i="508"/>
  <c r="J465" i="508" a="1"/>
  <c r="J465" i="508" s="1"/>
  <c r="H466" i="508"/>
  <c r="J466" i="508" a="1"/>
  <c r="J466" i="508" s="1"/>
  <c r="H467" i="508"/>
  <c r="J467" i="508" a="1"/>
  <c r="J467" i="508" s="1"/>
  <c r="H468" i="508"/>
  <c r="J468" i="508" a="1"/>
  <c r="J468" i="508" s="1"/>
  <c r="H469" i="508"/>
  <c r="J469" i="508" a="1"/>
  <c r="J469" i="508" s="1"/>
  <c r="H470" i="508"/>
  <c r="J470" i="508" a="1"/>
  <c r="J470" i="508" s="1"/>
  <c r="H471" i="508"/>
  <c r="J471" i="508" a="1"/>
  <c r="J471" i="508" s="1"/>
  <c r="H472" i="508"/>
  <c r="J472" i="508" a="1"/>
  <c r="J472" i="508" s="1"/>
  <c r="H473" i="508"/>
  <c r="J473" i="508" a="1"/>
  <c r="J473" i="508" s="1"/>
  <c r="H474" i="508"/>
  <c r="J474" i="508" a="1"/>
  <c r="J474" i="508" s="1"/>
  <c r="H475" i="508"/>
  <c r="J475" i="508" a="1"/>
  <c r="J475" i="508" s="1"/>
  <c r="H476" i="508"/>
  <c r="J476" i="508" a="1"/>
  <c r="J476" i="508" s="1"/>
  <c r="H477" i="508"/>
  <c r="J477" i="508" a="1"/>
  <c r="J477" i="508" s="1"/>
  <c r="H478" i="508"/>
  <c r="J478" i="508" a="1"/>
  <c r="J478" i="508" s="1"/>
  <c r="V480" i="508"/>
  <c r="H489" i="508"/>
  <c r="H490" i="508" s="1"/>
  <c r="J489" i="508" a="1"/>
  <c r="J489" i="508" s="1"/>
  <c r="H491" i="508"/>
  <c r="J491" i="508" a="1"/>
  <c r="J491" i="508" s="1"/>
  <c r="K491" i="508" a="1"/>
  <c r="K491" i="508" s="1"/>
  <c r="K506" i="508" s="1"/>
  <c r="R514" i="508"/>
  <c r="W491" i="508"/>
  <c r="H492" i="508"/>
  <c r="J492" i="508" a="1"/>
  <c r="J492" i="508" s="1"/>
  <c r="H493" i="508"/>
  <c r="J493" i="508" a="1"/>
  <c r="J493" i="508" s="1"/>
  <c r="H494" i="508"/>
  <c r="J494" i="508" a="1"/>
  <c r="J494" i="508" s="1"/>
  <c r="M498" i="508"/>
  <c r="H497" i="508"/>
  <c r="J497" i="508" a="1"/>
  <c r="J497" i="508" s="1"/>
  <c r="H498" i="508"/>
  <c r="J498" i="508" a="1"/>
  <c r="J498" i="508" s="1"/>
  <c r="H501" i="508"/>
  <c r="J501" i="508" a="1"/>
  <c r="J501" i="508" s="1"/>
  <c r="J28" i="508" l="1" a="1"/>
  <c r="J28" i="508" s="1"/>
  <c r="L552" i="508"/>
  <c r="L544" i="508"/>
  <c r="M544" i="508" s="1"/>
  <c r="I164" i="508"/>
  <c r="B172" i="508" s="1"/>
  <c r="J121" i="508" a="1"/>
  <c r="J121" i="508" s="1"/>
  <c r="M554" i="508"/>
  <c r="M137" i="508"/>
  <c r="N479" i="508"/>
  <c r="W370" i="508"/>
  <c r="R167" i="508"/>
  <c r="J556" i="508"/>
  <c r="M556" i="508" s="1"/>
  <c r="G335" i="508"/>
  <c r="J335" i="508" s="1" a="1"/>
  <c r="J335" i="508" s="1"/>
  <c r="M342" i="508" s="1"/>
  <c r="U335" i="508"/>
  <c r="Q335" i="508"/>
  <c r="Y507" i="508"/>
  <c r="R168" i="508"/>
  <c r="K526" i="508" s="1"/>
  <c r="N506" i="508"/>
  <c r="J163" i="508" a="1"/>
  <c r="J163" i="508" s="1"/>
  <c r="X335" i="508"/>
  <c r="V479" i="508"/>
  <c r="M138" i="508"/>
  <c r="M148" i="508" s="1"/>
  <c r="K137" i="508"/>
  <c r="J548" i="508"/>
  <c r="M548" i="508" s="1"/>
  <c r="K121" i="508"/>
  <c r="G164" i="508"/>
  <c r="V137" i="508"/>
  <c r="W137" i="508" s="1"/>
  <c r="H199" i="508"/>
  <c r="K559" i="508" s="1"/>
  <c r="K86" i="508"/>
  <c r="Z335" i="508"/>
  <c r="AA507" i="508"/>
  <c r="K463" i="508"/>
  <c r="K507" i="508" s="1"/>
  <c r="E515" i="508" s="1"/>
  <c r="W28" i="508"/>
  <c r="N490" i="508"/>
  <c r="M258" i="508"/>
  <c r="M292" i="508" s="1"/>
  <c r="X507" i="508"/>
  <c r="N463" i="508"/>
  <c r="R164" i="508"/>
  <c r="Z507" i="508"/>
  <c r="H428" i="508"/>
  <c r="K566" i="508" s="1"/>
  <c r="M491" i="508"/>
  <c r="M506" i="508" s="1"/>
  <c r="N428" i="508"/>
  <c r="M566" i="508"/>
  <c r="M349" i="508"/>
  <c r="M370" i="508" s="1"/>
  <c r="V463" i="508"/>
  <c r="W463" i="508" s="1"/>
  <c r="K199" i="508"/>
  <c r="K308" i="508"/>
  <c r="V334" i="508"/>
  <c r="W334" i="508" s="1"/>
  <c r="H334" i="508"/>
  <c r="K563" i="508" s="1"/>
  <c r="H308" i="508"/>
  <c r="K562" i="508" s="1"/>
  <c r="N334" i="508"/>
  <c r="H257" i="508"/>
  <c r="K560" i="508" s="1"/>
  <c r="Y164" i="508"/>
  <c r="S164" i="508"/>
  <c r="T164" i="508"/>
  <c r="X164" i="508"/>
  <c r="Z164" i="508"/>
  <c r="AA164" i="508"/>
  <c r="U164" i="508"/>
  <c r="Q164" i="508"/>
  <c r="R171" i="508"/>
  <c r="K529" i="508" s="1"/>
  <c r="M546" i="508"/>
  <c r="H86" i="508"/>
  <c r="K553" i="508" s="1"/>
  <c r="H28" i="508"/>
  <c r="K552" i="508" s="1"/>
  <c r="K525" i="508"/>
  <c r="V490" i="508"/>
  <c r="W490" i="508" s="1"/>
  <c r="W480" i="508"/>
  <c r="J568" i="508"/>
  <c r="J547" i="508"/>
  <c r="J549" i="508" s="1"/>
  <c r="J479" i="508" a="1"/>
  <c r="J479" i="508" s="1"/>
  <c r="H463" i="508"/>
  <c r="W479" i="508"/>
  <c r="K337" i="508"/>
  <c r="I341" i="508"/>
  <c r="O507" i="508"/>
  <c r="X510" i="508" s="1"/>
  <c r="X509" i="508"/>
  <c r="M428" i="508"/>
  <c r="G507" i="508"/>
  <c r="V308" i="508"/>
  <c r="W308" i="508" s="1"/>
  <c r="W293" i="508"/>
  <c r="M257" i="508"/>
  <c r="M308" i="508"/>
  <c r="B342" i="508"/>
  <c r="J564" i="508" s="1"/>
  <c r="K166" i="508"/>
  <c r="I170" i="508"/>
  <c r="V163" i="508"/>
  <c r="W163" i="508" s="1"/>
  <c r="W149" i="508"/>
  <c r="W87" i="508"/>
  <c r="V121" i="508"/>
  <c r="W121" i="508" s="1"/>
  <c r="K164" i="508"/>
  <c r="X167" i="508"/>
  <c r="M552" i="508"/>
  <c r="M86" i="508"/>
  <c r="K524" i="508"/>
  <c r="H506" i="508"/>
  <c r="H479" i="508"/>
  <c r="M569" i="508"/>
  <c r="L568" i="508"/>
  <c r="L547" i="508"/>
  <c r="M479" i="508"/>
  <c r="M429" i="508"/>
  <c r="M463" i="508" s="1"/>
  <c r="M567" i="508"/>
  <c r="V428" i="508"/>
  <c r="W428" i="508" s="1"/>
  <c r="W371" i="508"/>
  <c r="M545" i="508"/>
  <c r="H370" i="508"/>
  <c r="M320" i="508"/>
  <c r="M334" i="508" s="1"/>
  <c r="V319" i="508"/>
  <c r="W319" i="508" s="1"/>
  <c r="W309" i="508"/>
  <c r="R516" i="508"/>
  <c r="T515" i="508" s="1"/>
  <c r="I507" i="508"/>
  <c r="B515" i="508" s="1"/>
  <c r="H292" i="508"/>
  <c r="K561" i="508" s="1"/>
  <c r="V257" i="508"/>
  <c r="W257" i="508" s="1"/>
  <c r="W200" i="508"/>
  <c r="M565" i="508"/>
  <c r="X344" i="508"/>
  <c r="Z338" i="508" s="1"/>
  <c r="R344" i="508"/>
  <c r="M87" i="508"/>
  <c r="M121" i="508" s="1"/>
  <c r="V199" i="508"/>
  <c r="W178" i="508"/>
  <c r="W199" i="508" s="1"/>
  <c r="M559" i="508"/>
  <c r="V86" i="508"/>
  <c r="W29" i="508"/>
  <c r="M7" i="508"/>
  <c r="M28" i="508" s="1"/>
  <c r="P164" i="508"/>
  <c r="X168" i="508" s="1"/>
  <c r="M199" i="508"/>
  <c r="M163" i="508"/>
  <c r="C527" i="508"/>
  <c r="J164" i="508" l="1" a="1"/>
  <c r="J164" i="508" s="1"/>
  <c r="M171" i="508" s="1"/>
  <c r="I515" i="508"/>
  <c r="M515" i="508" s="1"/>
  <c r="B171" i="508"/>
  <c r="V507" i="508"/>
  <c r="E172" i="508"/>
  <c r="I172" i="508" s="1"/>
  <c r="M172" i="508" s="1"/>
  <c r="K335" i="508"/>
  <c r="L335" i="508" s="1"/>
  <c r="I342" i="508" s="1"/>
  <c r="M335" i="508"/>
  <c r="N507" i="508"/>
  <c r="B516" i="508" s="1"/>
  <c r="T509" i="508" a="1"/>
  <c r="T509" i="508" s="1"/>
  <c r="C520" i="508"/>
  <c r="J535" i="508"/>
  <c r="Q535" i="508" s="1"/>
  <c r="T535" i="508" a="1"/>
  <c r="T535" i="508" s="1"/>
  <c r="J534" i="508"/>
  <c r="Q534" i="508" s="1"/>
  <c r="T534" i="508" a="1"/>
  <c r="T534" i="508" s="1"/>
  <c r="C536" i="508"/>
  <c r="T536" i="508" s="1" a="1"/>
  <c r="T536" i="508" s="1"/>
  <c r="J533" i="508"/>
  <c r="T533" i="508" a="1"/>
  <c r="T533" i="508" s="1"/>
  <c r="M507" i="508"/>
  <c r="N199" i="508"/>
  <c r="N257" i="508"/>
  <c r="V335" i="508"/>
  <c r="I344" i="508" s="1"/>
  <c r="M344" i="508" s="1" a="1"/>
  <c r="M344" i="508" s="1"/>
  <c r="H148" i="508"/>
  <c r="H137" i="508"/>
  <c r="K555" i="508" s="1"/>
  <c r="N148" i="508"/>
  <c r="N163" i="508"/>
  <c r="R169" i="508"/>
  <c r="O164" i="508"/>
  <c r="H163" i="508"/>
  <c r="K556" i="508" s="1"/>
  <c r="N137" i="508"/>
  <c r="H121" i="508"/>
  <c r="K546" i="508" s="1"/>
  <c r="N121" i="508"/>
  <c r="K545" i="508"/>
  <c r="N86" i="508"/>
  <c r="N28" i="508"/>
  <c r="L164" i="508"/>
  <c r="I171" i="508" s="1"/>
  <c r="J557" i="508"/>
  <c r="T343" i="508"/>
  <c r="T338" i="508"/>
  <c r="T340" i="508"/>
  <c r="T341" i="508"/>
  <c r="I516" i="508"/>
  <c r="W507" i="508"/>
  <c r="K565" i="508"/>
  <c r="H507" i="508"/>
  <c r="E514" i="508" s="1"/>
  <c r="K569" i="508"/>
  <c r="Q525" i="508"/>
  <c r="X173" i="508"/>
  <c r="Z167" i="508" s="1"/>
  <c r="L507" i="508"/>
  <c r="I514" i="508" s="1"/>
  <c r="B514" i="508"/>
  <c r="J570" i="508" s="1"/>
  <c r="J507" i="508" a="1"/>
  <c r="J507" i="508" s="1"/>
  <c r="M514" i="508" s="1"/>
  <c r="X516" i="508"/>
  <c r="Z509" i="508" s="1" a="1"/>
  <c r="Z509" i="508" s="1"/>
  <c r="T511" i="508"/>
  <c r="M568" i="508"/>
  <c r="K544" i="508"/>
  <c r="H335" i="508"/>
  <c r="E342" i="508" s="1"/>
  <c r="Q526" i="508"/>
  <c r="Z168" i="508"/>
  <c r="M164" i="508"/>
  <c r="W86" i="508"/>
  <c r="W164" i="508" s="1"/>
  <c r="V164" i="508"/>
  <c r="I173" i="508" s="1"/>
  <c r="W335" i="508"/>
  <c r="T339" i="508"/>
  <c r="T337" i="508" a="1"/>
  <c r="T337" i="508" s="1"/>
  <c r="Z340" i="508"/>
  <c r="Z342" i="508"/>
  <c r="Z343" i="508"/>
  <c r="Z337" i="508" a="1"/>
  <c r="Z337" i="508" s="1"/>
  <c r="Z341" i="508"/>
  <c r="K547" i="508"/>
  <c r="K568" i="508"/>
  <c r="T514" i="508"/>
  <c r="C530" i="508"/>
  <c r="E527" i="508" s="1"/>
  <c r="K170" i="508"/>
  <c r="M170" i="508" s="1"/>
  <c r="M166" i="508"/>
  <c r="T342" i="508"/>
  <c r="E516" i="508"/>
  <c r="Z339" i="508"/>
  <c r="K341" i="508"/>
  <c r="M341" i="508" s="1"/>
  <c r="M337" i="508"/>
  <c r="T510" i="508"/>
  <c r="K567" i="508"/>
  <c r="T512" i="508"/>
  <c r="M547" i="508"/>
  <c r="T513" i="508"/>
  <c r="E343" i="508" l="1"/>
  <c r="I343" i="508" s="1"/>
  <c r="M343" i="508" s="1"/>
  <c r="Z510" i="508"/>
  <c r="K548" i="508"/>
  <c r="N164" i="508"/>
  <c r="B173" i="508" s="1"/>
  <c r="E173" i="508" s="1"/>
  <c r="N335" i="508"/>
  <c r="B344" i="508" s="1"/>
  <c r="S535" i="508" a="1"/>
  <c r="S535" i="508" s="1"/>
  <c r="R535" i="508"/>
  <c r="S534" i="508" a="1"/>
  <c r="S534" i="508" s="1"/>
  <c r="R534" i="508"/>
  <c r="J536" i="508"/>
  <c r="Q533" i="508"/>
  <c r="T516" i="508"/>
  <c r="K527" i="508"/>
  <c r="R173" i="508"/>
  <c r="K554" i="508"/>
  <c r="H164" i="508"/>
  <c r="E171" i="508" s="1"/>
  <c r="G519" i="508" s="1"/>
  <c r="Z344" i="508"/>
  <c r="T344" i="508"/>
  <c r="Z511" i="508"/>
  <c r="Z513" i="508"/>
  <c r="Z515" i="508"/>
  <c r="Z512" i="508"/>
  <c r="Z514" i="508"/>
  <c r="G520" i="508"/>
  <c r="K520" i="508" s="1"/>
  <c r="O520" i="508" s="1"/>
  <c r="M516" i="508" a="1"/>
  <c r="M516" i="508" s="1"/>
  <c r="C519" i="508"/>
  <c r="E529" i="508"/>
  <c r="E526" i="508"/>
  <c r="E524" i="508"/>
  <c r="E528" i="508"/>
  <c r="E525" i="508"/>
  <c r="K521" i="508"/>
  <c r="O521" i="508" s="1" a="1"/>
  <c r="O521" i="508" s="1"/>
  <c r="M173" i="508" a="1"/>
  <c r="M173" i="508" s="1"/>
  <c r="Z516" i="508"/>
  <c r="Q530" i="508"/>
  <c r="Z172" i="508"/>
  <c r="Z170" i="508"/>
  <c r="Z166" i="508" a="1"/>
  <c r="Z166" i="508" s="1"/>
  <c r="Z171" i="508"/>
  <c r="Z169" i="508"/>
  <c r="S525" i="508"/>
  <c r="P536" i="505"/>
  <c r="O536" i="505"/>
  <c r="N536" i="505"/>
  <c r="M536" i="505"/>
  <c r="L536" i="505"/>
  <c r="K536" i="505"/>
  <c r="I536" i="505"/>
  <c r="H536" i="505"/>
  <c r="G536" i="505"/>
  <c r="F536" i="505"/>
  <c r="E536" i="505"/>
  <c r="D536" i="505"/>
  <c r="G517" i="505"/>
  <c r="N517" i="505" s="1"/>
  <c r="G513" i="505"/>
  <c r="E513" i="505"/>
  <c r="I512" i="505"/>
  <c r="E512" i="505"/>
  <c r="K512" i="505" s="1"/>
  <c r="M512" i="505" s="1"/>
  <c r="I511" i="505"/>
  <c r="E511" i="505"/>
  <c r="K511" i="505" s="1"/>
  <c r="M511" i="505" s="1"/>
  <c r="I510" i="505"/>
  <c r="E510" i="505"/>
  <c r="K510" i="505" s="1"/>
  <c r="M510" i="505" s="1"/>
  <c r="I509" i="505"/>
  <c r="I513" i="505" s="1"/>
  <c r="E509" i="505"/>
  <c r="K509" i="505" s="1"/>
  <c r="C513" i="505"/>
  <c r="H505" i="505"/>
  <c r="H504" i="505"/>
  <c r="H503" i="505"/>
  <c r="D502" i="505"/>
  <c r="H502" i="505" s="1"/>
  <c r="V501" i="505"/>
  <c r="W501" i="505" s="1"/>
  <c r="N501" i="505"/>
  <c r="K501" i="505" a="1"/>
  <c r="K501" i="505" s="1"/>
  <c r="M501" i="505" s="1"/>
  <c r="H500" i="505"/>
  <c r="H499" i="505"/>
  <c r="V498" i="505"/>
  <c r="W498" i="505" s="1"/>
  <c r="N498" i="505"/>
  <c r="K498" i="505" a="1"/>
  <c r="K498" i="505" s="1"/>
  <c r="V497" i="505"/>
  <c r="W497" i="505" s="1"/>
  <c r="N497" i="505"/>
  <c r="K497" i="505" a="1"/>
  <c r="K497" i="505" s="1"/>
  <c r="M497" i="505" s="1"/>
  <c r="H496" i="505"/>
  <c r="H495" i="505"/>
  <c r="V494" i="505"/>
  <c r="W494" i="505" s="1"/>
  <c r="N494" i="505"/>
  <c r="K494" i="505" a="1"/>
  <c r="K494" i="505" s="1"/>
  <c r="V493" i="505"/>
  <c r="W493" i="505" s="1"/>
  <c r="N493" i="505"/>
  <c r="K493" i="505" a="1"/>
  <c r="K493" i="505" s="1"/>
  <c r="M493" i="505" s="1"/>
  <c r="V492" i="505"/>
  <c r="W492" i="505" s="1"/>
  <c r="N492" i="505"/>
  <c r="K492" i="505" a="1"/>
  <c r="K492" i="505" s="1"/>
  <c r="AA506" i="505"/>
  <c r="Z506" i="505"/>
  <c r="Y506" i="505"/>
  <c r="X506" i="505"/>
  <c r="V491" i="505"/>
  <c r="U506" i="505"/>
  <c r="T506" i="505"/>
  <c r="S506" i="505"/>
  <c r="R506" i="505"/>
  <c r="Q506" i="505"/>
  <c r="P506" i="505"/>
  <c r="O506" i="505"/>
  <c r="N491" i="505"/>
  <c r="I506" i="505"/>
  <c r="G506" i="505"/>
  <c r="H9" i="534" s="1"/>
  <c r="J9" i="534" s="1"/>
  <c r="V489" i="505"/>
  <c r="W489" i="505" s="1"/>
  <c r="N489" i="505"/>
  <c r="K489" i="505" a="1"/>
  <c r="K489" i="505" s="1"/>
  <c r="M489" i="505" s="1"/>
  <c r="J489" i="505" a="1"/>
  <c r="J489" i="505" s="1"/>
  <c r="H489" i="505"/>
  <c r="H485" i="505"/>
  <c r="V484" i="505"/>
  <c r="W484" i="505" s="1"/>
  <c r="N484" i="505"/>
  <c r="K484" i="505" a="1"/>
  <c r="K484" i="505" s="1"/>
  <c r="V483" i="505"/>
  <c r="W483" i="505" s="1"/>
  <c r="N483" i="505"/>
  <c r="K483" i="505" a="1"/>
  <c r="K483" i="505" s="1"/>
  <c r="V482" i="505"/>
  <c r="W482" i="505" s="1"/>
  <c r="N482" i="505"/>
  <c r="K482" i="505" a="1"/>
  <c r="K482" i="505" s="1"/>
  <c r="V481" i="505"/>
  <c r="W481" i="505" s="1"/>
  <c r="N481" i="505"/>
  <c r="K481" i="505" a="1"/>
  <c r="K481" i="505" s="1"/>
  <c r="AA490" i="505"/>
  <c r="Z490" i="505"/>
  <c r="Y490" i="505"/>
  <c r="X490" i="505"/>
  <c r="V480" i="505"/>
  <c r="U490" i="505"/>
  <c r="T490" i="505"/>
  <c r="S490" i="505"/>
  <c r="Q490" i="505"/>
  <c r="P490" i="505"/>
  <c r="O490" i="505"/>
  <c r="N480" i="505"/>
  <c r="G490" i="505"/>
  <c r="H8" i="534" s="1"/>
  <c r="J8" i="534" s="1"/>
  <c r="V478" i="505"/>
  <c r="W478" i="505" s="1"/>
  <c r="N478" i="505"/>
  <c r="K478" i="505" a="1"/>
  <c r="K478" i="505" s="1"/>
  <c r="M478" i="505" s="1"/>
  <c r="J478" i="505" a="1"/>
  <c r="J478" i="505" s="1"/>
  <c r="H478" i="505"/>
  <c r="V477" i="505"/>
  <c r="W477" i="505" s="1"/>
  <c r="N477" i="505"/>
  <c r="K477" i="505" a="1"/>
  <c r="K477" i="505" s="1"/>
  <c r="M477" i="505" s="1"/>
  <c r="J477" i="505" a="1"/>
  <c r="J477" i="505" s="1"/>
  <c r="H477" i="505"/>
  <c r="V476" i="505"/>
  <c r="W476" i="505" s="1"/>
  <c r="N476" i="505"/>
  <c r="K476" i="505" a="1"/>
  <c r="K476" i="505" s="1"/>
  <c r="M476" i="505" s="1"/>
  <c r="J476" i="505" a="1"/>
  <c r="J476" i="505" s="1"/>
  <c r="H476" i="505"/>
  <c r="V475" i="505"/>
  <c r="W475" i="505" s="1"/>
  <c r="N475" i="505"/>
  <c r="K475" i="505" a="1"/>
  <c r="K475" i="505" s="1"/>
  <c r="M475" i="505" s="1"/>
  <c r="J475" i="505" a="1"/>
  <c r="J475" i="505" s="1"/>
  <c r="H475" i="505"/>
  <c r="V474" i="505"/>
  <c r="W474" i="505" s="1"/>
  <c r="N474" i="505"/>
  <c r="K474" i="505" a="1"/>
  <c r="K474" i="505" s="1"/>
  <c r="M474" i="505" s="1"/>
  <c r="J474" i="505" a="1"/>
  <c r="J474" i="505" s="1"/>
  <c r="H474" i="505"/>
  <c r="V473" i="505"/>
  <c r="W473" i="505" s="1"/>
  <c r="N473" i="505"/>
  <c r="K473" i="505" a="1"/>
  <c r="K473" i="505" s="1"/>
  <c r="M473" i="505" s="1"/>
  <c r="J473" i="505" a="1"/>
  <c r="J473" i="505" s="1"/>
  <c r="H473" i="505"/>
  <c r="V472" i="505"/>
  <c r="W472" i="505" s="1"/>
  <c r="N472" i="505"/>
  <c r="K472" i="505" a="1"/>
  <c r="K472" i="505" s="1"/>
  <c r="M472" i="505" s="1"/>
  <c r="J472" i="505" a="1"/>
  <c r="J472" i="505" s="1"/>
  <c r="H472" i="505"/>
  <c r="V471" i="505"/>
  <c r="W471" i="505" s="1"/>
  <c r="N471" i="505"/>
  <c r="K471" i="505" a="1"/>
  <c r="K471" i="505" s="1"/>
  <c r="M471" i="505" s="1"/>
  <c r="J471" i="505" a="1"/>
  <c r="J471" i="505" s="1"/>
  <c r="H471" i="505"/>
  <c r="V470" i="505"/>
  <c r="W470" i="505" s="1"/>
  <c r="N470" i="505"/>
  <c r="K470" i="505" a="1"/>
  <c r="K470" i="505" s="1"/>
  <c r="V469" i="505"/>
  <c r="W469" i="505" s="1"/>
  <c r="N469" i="505"/>
  <c r="K469" i="505" a="1"/>
  <c r="K469" i="505" s="1"/>
  <c r="V468" i="505"/>
  <c r="W468" i="505" s="1"/>
  <c r="N468" i="505"/>
  <c r="K468" i="505" a="1"/>
  <c r="K468" i="505" s="1"/>
  <c r="M468" i="505" s="1"/>
  <c r="V467" i="505"/>
  <c r="W467" i="505" s="1"/>
  <c r="N467" i="505"/>
  <c r="K467" i="505" a="1"/>
  <c r="K467" i="505" s="1"/>
  <c r="V466" i="505"/>
  <c r="W466" i="505" s="1"/>
  <c r="N466" i="505"/>
  <c r="K466" i="505" a="1"/>
  <c r="K466" i="505" s="1"/>
  <c r="M466" i="505" s="1"/>
  <c r="V465" i="505"/>
  <c r="W465" i="505" s="1"/>
  <c r="N465" i="505"/>
  <c r="K465" i="505" a="1"/>
  <c r="K465" i="505" s="1"/>
  <c r="M465" i="505" s="1"/>
  <c r="AA479" i="505"/>
  <c r="Z479" i="505"/>
  <c r="Y479" i="505"/>
  <c r="X479" i="505"/>
  <c r="V464" i="505"/>
  <c r="U479" i="505"/>
  <c r="T479" i="505"/>
  <c r="S479" i="505"/>
  <c r="R479" i="505"/>
  <c r="Q479" i="505"/>
  <c r="P479" i="505"/>
  <c r="O479" i="505"/>
  <c r="N464" i="505"/>
  <c r="I479" i="505"/>
  <c r="G479" i="505"/>
  <c r="H7" i="534" s="1"/>
  <c r="J7" i="534" s="1"/>
  <c r="V462" i="505"/>
  <c r="W462" i="505" s="1"/>
  <c r="N462" i="505"/>
  <c r="K462" i="505" a="1"/>
  <c r="K462" i="505" s="1"/>
  <c r="V461" i="505"/>
  <c r="W461" i="505" s="1"/>
  <c r="N461" i="505"/>
  <c r="K461" i="505" a="1"/>
  <c r="K461" i="505" s="1"/>
  <c r="M461" i="505" s="1"/>
  <c r="V460" i="505"/>
  <c r="W460" i="505" s="1"/>
  <c r="N460" i="505"/>
  <c r="K460" i="505" a="1"/>
  <c r="K460" i="505" s="1"/>
  <c r="K459" i="505" a="1"/>
  <c r="K459" i="505" s="1"/>
  <c r="K458" i="505" a="1"/>
  <c r="K458" i="505" s="1"/>
  <c r="K457" i="505" a="1"/>
  <c r="K457" i="505" s="1"/>
  <c r="V456" i="505"/>
  <c r="W456" i="505" s="1"/>
  <c r="N456" i="505"/>
  <c r="K456" i="505" a="1"/>
  <c r="K456" i="505" s="1"/>
  <c r="M456" i="505" s="1"/>
  <c r="V455" i="505"/>
  <c r="W455" i="505" s="1"/>
  <c r="N455" i="505"/>
  <c r="K455" i="505" a="1"/>
  <c r="K455" i="505" s="1"/>
  <c r="N454" i="505"/>
  <c r="K454" i="505" a="1"/>
  <c r="K454" i="505" s="1"/>
  <c r="N453" i="505"/>
  <c r="K453" i="505" a="1"/>
  <c r="K453" i="505" s="1"/>
  <c r="N452" i="505"/>
  <c r="K452" i="505" a="1"/>
  <c r="K452" i="505" s="1"/>
  <c r="N451" i="505"/>
  <c r="K451" i="505" a="1"/>
  <c r="K451" i="505" s="1"/>
  <c r="N450" i="505"/>
  <c r="K450" i="505" a="1"/>
  <c r="K450" i="505" s="1"/>
  <c r="N449" i="505"/>
  <c r="K449" i="505" a="1"/>
  <c r="K449" i="505" s="1"/>
  <c r="V448" i="505"/>
  <c r="W448" i="505" s="1"/>
  <c r="N448" i="505"/>
  <c r="K448" i="505" a="1"/>
  <c r="K448" i="505" s="1"/>
  <c r="M448" i="505" s="1"/>
  <c r="V447" i="505"/>
  <c r="W447" i="505" s="1"/>
  <c r="N447" i="505"/>
  <c r="K447" i="505" a="1"/>
  <c r="K447" i="505" s="1"/>
  <c r="V446" i="505"/>
  <c r="W446" i="505" s="1"/>
  <c r="N446" i="505"/>
  <c r="K446" i="505" a="1"/>
  <c r="K446" i="505" s="1"/>
  <c r="M446" i="505" s="1"/>
  <c r="J446" i="505" a="1"/>
  <c r="J446" i="505" s="1"/>
  <c r="H446" i="505"/>
  <c r="V445" i="505"/>
  <c r="W445" i="505" s="1"/>
  <c r="N445" i="505"/>
  <c r="K445" i="505" a="1"/>
  <c r="K445" i="505" s="1"/>
  <c r="M445" i="505" s="1"/>
  <c r="J445" i="505" a="1"/>
  <c r="J445" i="505" s="1"/>
  <c r="H445" i="505"/>
  <c r="V444" i="505"/>
  <c r="W444" i="505" s="1"/>
  <c r="N444" i="505"/>
  <c r="K444" i="505" a="1"/>
  <c r="K444" i="505" s="1"/>
  <c r="M444" i="505" s="1"/>
  <c r="J444" i="505" a="1"/>
  <c r="J444" i="505" s="1"/>
  <c r="H444" i="505"/>
  <c r="V443" i="505"/>
  <c r="W443" i="505" s="1"/>
  <c r="N443" i="505"/>
  <c r="K443" i="505" a="1"/>
  <c r="K443" i="505" s="1"/>
  <c r="M443" i="505" s="1"/>
  <c r="J443" i="505" a="1"/>
  <c r="J443" i="505" s="1"/>
  <c r="H443" i="505"/>
  <c r="V442" i="505"/>
  <c r="W442" i="505" s="1"/>
  <c r="N442" i="505"/>
  <c r="K442" i="505" a="1"/>
  <c r="K442" i="505" s="1"/>
  <c r="M442" i="505" s="1"/>
  <c r="J442" i="505" a="1"/>
  <c r="J442" i="505" s="1"/>
  <c r="H442" i="505"/>
  <c r="V441" i="505"/>
  <c r="W441" i="505" s="1"/>
  <c r="N441" i="505"/>
  <c r="K441" i="505" a="1"/>
  <c r="K441" i="505" s="1"/>
  <c r="M441" i="505" s="1"/>
  <c r="J441" i="505" a="1"/>
  <c r="J441" i="505" s="1"/>
  <c r="H441" i="505"/>
  <c r="V440" i="505"/>
  <c r="W440" i="505" s="1"/>
  <c r="N440" i="505"/>
  <c r="K440" i="505" a="1"/>
  <c r="K440" i="505" s="1"/>
  <c r="M440" i="505" s="1"/>
  <c r="J440" i="505" a="1"/>
  <c r="J440" i="505" s="1"/>
  <c r="H440" i="505"/>
  <c r="V439" i="505"/>
  <c r="W439" i="505" s="1"/>
  <c r="N439" i="505"/>
  <c r="H439" i="505"/>
  <c r="K439" i="505" a="1"/>
  <c r="K439" i="505" s="1"/>
  <c r="M439" i="505" s="1"/>
  <c r="V438" i="505"/>
  <c r="W438" i="505" s="1"/>
  <c r="N438" i="505"/>
  <c r="K438" i="505" a="1"/>
  <c r="K438" i="505" s="1"/>
  <c r="V437" i="505"/>
  <c r="W437" i="505" s="1"/>
  <c r="N437" i="505"/>
  <c r="K437" i="505" a="1"/>
  <c r="K437" i="505" s="1"/>
  <c r="M437" i="505" s="1"/>
  <c r="N436" i="505"/>
  <c r="K436" i="505" a="1"/>
  <c r="K436" i="505" s="1"/>
  <c r="M436" i="505" s="1"/>
  <c r="V435" i="505"/>
  <c r="W435" i="505" s="1"/>
  <c r="N435" i="505"/>
  <c r="K435" i="505" a="1"/>
  <c r="K435" i="505" s="1"/>
  <c r="V434" i="505"/>
  <c r="W434" i="505" s="1"/>
  <c r="X515" i="505"/>
  <c r="K434" i="505" a="1"/>
  <c r="K434" i="505" s="1"/>
  <c r="V433" i="505"/>
  <c r="W433" i="505" s="1"/>
  <c r="X514" i="505"/>
  <c r="N433" i="505"/>
  <c r="K433" i="505" a="1"/>
  <c r="K433" i="505" s="1"/>
  <c r="M433" i="505" s="1"/>
  <c r="V432" i="505"/>
  <c r="W432" i="505" s="1"/>
  <c r="N432" i="505"/>
  <c r="K432" i="505" a="1"/>
  <c r="K432" i="505" s="1"/>
  <c r="V431" i="505"/>
  <c r="W431" i="505" s="1"/>
  <c r="N431" i="505"/>
  <c r="K431" i="505" a="1"/>
  <c r="K431" i="505" s="1"/>
  <c r="M431" i="505" s="1"/>
  <c r="V430" i="505"/>
  <c r="W430" i="505" s="1"/>
  <c r="N430" i="505"/>
  <c r="K430" i="505" a="1"/>
  <c r="K430" i="505" s="1"/>
  <c r="AA463" i="505"/>
  <c r="Z463" i="505"/>
  <c r="Y463" i="505"/>
  <c r="X463" i="505"/>
  <c r="V429" i="505"/>
  <c r="W429" i="505" s="1"/>
  <c r="U463" i="505"/>
  <c r="T463" i="505"/>
  <c r="S463" i="505"/>
  <c r="R463" i="505"/>
  <c r="Q463" i="505"/>
  <c r="P463" i="505"/>
  <c r="O463" i="505"/>
  <c r="N429" i="505"/>
  <c r="I463" i="505"/>
  <c r="G463" i="505"/>
  <c r="H6" i="534" s="1"/>
  <c r="J6" i="534" s="1"/>
  <c r="K427" i="505" a="1"/>
  <c r="K427" i="505" s="1"/>
  <c r="K426" i="505" a="1"/>
  <c r="K426" i="505" s="1"/>
  <c r="M426" i="505" s="1"/>
  <c r="K425" i="505" a="1"/>
  <c r="K425" i="505" s="1"/>
  <c r="K424" i="505" a="1"/>
  <c r="K424" i="505" s="1"/>
  <c r="K423" i="505" a="1"/>
  <c r="K423" i="505" s="1"/>
  <c r="K422" i="505" a="1"/>
  <c r="K422" i="505" s="1"/>
  <c r="K421" i="505" a="1"/>
  <c r="K421" i="505" s="1"/>
  <c r="M421" i="505" s="1"/>
  <c r="H421" i="505"/>
  <c r="K420" i="505" a="1"/>
  <c r="K420" i="505" s="1"/>
  <c r="K419" i="505" a="1"/>
  <c r="K419" i="505" s="1"/>
  <c r="M419" i="505" s="1"/>
  <c r="H419" i="505"/>
  <c r="K418" i="505" a="1"/>
  <c r="K418" i="505" s="1"/>
  <c r="V417" i="505"/>
  <c r="W417" i="505" s="1"/>
  <c r="N417" i="505"/>
  <c r="K417" i="505" a="1"/>
  <c r="K417" i="505" s="1"/>
  <c r="M417" i="505" s="1"/>
  <c r="V416" i="505"/>
  <c r="W416" i="505" s="1"/>
  <c r="N416" i="505"/>
  <c r="K416" i="505" a="1"/>
  <c r="K416" i="505" s="1"/>
  <c r="V415" i="505"/>
  <c r="W415" i="505" s="1"/>
  <c r="N415" i="505"/>
  <c r="K415" i="505" a="1"/>
  <c r="K415" i="505" s="1"/>
  <c r="M415" i="505" s="1"/>
  <c r="V414" i="505"/>
  <c r="W414" i="505" s="1"/>
  <c r="N414" i="505"/>
  <c r="K414" i="505" a="1"/>
  <c r="K414" i="505" s="1"/>
  <c r="H413" i="505"/>
  <c r="V412" i="505"/>
  <c r="W412" i="505" s="1"/>
  <c r="N412" i="505"/>
  <c r="K412" i="505" a="1"/>
  <c r="K412" i="505" s="1"/>
  <c r="V411" i="505"/>
  <c r="W411" i="505" s="1"/>
  <c r="N411" i="505"/>
  <c r="K411" i="505" a="1"/>
  <c r="K411" i="505" s="1"/>
  <c r="M411" i="505" s="1"/>
  <c r="H410" i="505"/>
  <c r="K409" i="505" a="1"/>
  <c r="K409" i="505" s="1"/>
  <c r="V408" i="505"/>
  <c r="W408" i="505" s="1"/>
  <c r="N408" i="505"/>
  <c r="K408" i="505" a="1"/>
  <c r="K408" i="505" s="1"/>
  <c r="V407" i="505"/>
  <c r="W407" i="505" s="1"/>
  <c r="N407" i="505"/>
  <c r="K407" i="505" a="1"/>
  <c r="K407" i="505" s="1"/>
  <c r="M407" i="505" s="1"/>
  <c r="V406" i="505"/>
  <c r="W406" i="505" s="1"/>
  <c r="N406" i="505"/>
  <c r="K406" i="505" a="1"/>
  <c r="K406" i="505" s="1"/>
  <c r="V405" i="505"/>
  <c r="W405" i="505" s="1"/>
  <c r="N405" i="505"/>
  <c r="K405" i="505" a="1"/>
  <c r="K405" i="505" s="1"/>
  <c r="M405" i="505" s="1"/>
  <c r="V404" i="505"/>
  <c r="W404" i="505" s="1"/>
  <c r="N404" i="505"/>
  <c r="K404" i="505" a="1"/>
  <c r="K404" i="505" s="1"/>
  <c r="V403" i="505"/>
  <c r="N403" i="505"/>
  <c r="V402" i="505"/>
  <c r="W402" i="505" s="1"/>
  <c r="N402" i="505"/>
  <c r="K402" i="505" a="1"/>
  <c r="K402" i="505" s="1"/>
  <c r="V401" i="505"/>
  <c r="W401" i="505" s="1"/>
  <c r="N401" i="505"/>
  <c r="K401" i="505" a="1"/>
  <c r="K401" i="505" s="1"/>
  <c r="M401" i="505" s="1"/>
  <c r="V400" i="505"/>
  <c r="W400" i="505" s="1"/>
  <c r="N400" i="505"/>
  <c r="K400" i="505" a="1"/>
  <c r="K400" i="505" s="1"/>
  <c r="V399" i="505"/>
  <c r="W399" i="505" s="1"/>
  <c r="N399" i="505"/>
  <c r="K399" i="505" a="1"/>
  <c r="K399" i="505" s="1"/>
  <c r="M399" i="505" s="1"/>
  <c r="K398" i="505" a="1"/>
  <c r="K398" i="505" s="1"/>
  <c r="M398" i="505" s="1"/>
  <c r="H398" i="505"/>
  <c r="K397" i="505" a="1"/>
  <c r="K397" i="505" s="1"/>
  <c r="K396" i="505" a="1"/>
  <c r="K396" i="505" s="1"/>
  <c r="M396" i="505" s="1"/>
  <c r="H396" i="505"/>
  <c r="K395" i="505" a="1"/>
  <c r="K395" i="505" s="1"/>
  <c r="N394" i="505"/>
  <c r="K394" i="505" a="1"/>
  <c r="K394" i="505" s="1"/>
  <c r="N393" i="505"/>
  <c r="K393" i="505" a="1"/>
  <c r="K393" i="505" s="1"/>
  <c r="N392" i="505"/>
  <c r="K392" i="505" a="1"/>
  <c r="K392" i="505" s="1"/>
  <c r="N391" i="505"/>
  <c r="K391" i="505" a="1"/>
  <c r="K391" i="505" s="1"/>
  <c r="V390" i="505"/>
  <c r="W390" i="505" s="1"/>
  <c r="N390" i="505"/>
  <c r="K390" i="505" a="1"/>
  <c r="K390" i="505" s="1"/>
  <c r="M390" i="505" s="1"/>
  <c r="V389" i="505"/>
  <c r="W389" i="505" s="1"/>
  <c r="N389" i="505"/>
  <c r="K389" i="505" a="1"/>
  <c r="K389" i="505" s="1"/>
  <c r="V388" i="505"/>
  <c r="W388" i="505" s="1"/>
  <c r="N388" i="505"/>
  <c r="K388" i="505" a="1"/>
  <c r="K388" i="505" s="1"/>
  <c r="M388" i="505" s="1"/>
  <c r="V387" i="505"/>
  <c r="W387" i="505" s="1"/>
  <c r="N387" i="505"/>
  <c r="K387" i="505" a="1"/>
  <c r="K387" i="505" s="1"/>
  <c r="V386" i="505"/>
  <c r="W386" i="505" s="1"/>
  <c r="N386" i="505"/>
  <c r="K386" i="505" a="1"/>
  <c r="K386" i="505" s="1"/>
  <c r="M386" i="505" s="1"/>
  <c r="V385" i="505"/>
  <c r="W385" i="505" s="1"/>
  <c r="N385" i="505"/>
  <c r="K385" i="505" a="1"/>
  <c r="K385" i="505" s="1"/>
  <c r="V384" i="505"/>
  <c r="W384" i="505" s="1"/>
  <c r="N384" i="505"/>
  <c r="K384" i="505" a="1"/>
  <c r="K384" i="505" s="1"/>
  <c r="M384" i="505" s="1"/>
  <c r="V383" i="505"/>
  <c r="W383" i="505" s="1"/>
  <c r="N383" i="505"/>
  <c r="K383" i="505" a="1"/>
  <c r="K383" i="505" s="1"/>
  <c r="V382" i="505"/>
  <c r="W382" i="505" s="1"/>
  <c r="N382" i="505"/>
  <c r="K382" i="505" a="1"/>
  <c r="K382" i="505" s="1"/>
  <c r="M382" i="505" s="1"/>
  <c r="V381" i="505"/>
  <c r="W381" i="505" s="1"/>
  <c r="N381" i="505"/>
  <c r="K381" i="505" a="1"/>
  <c r="K381" i="505" s="1"/>
  <c r="V380" i="505"/>
  <c r="W380" i="505" s="1"/>
  <c r="N380" i="505"/>
  <c r="K380" i="505" a="1"/>
  <c r="K380" i="505" s="1"/>
  <c r="M380" i="505" s="1"/>
  <c r="V379" i="505"/>
  <c r="W379" i="505" s="1"/>
  <c r="N379" i="505"/>
  <c r="K379" i="505" a="1"/>
  <c r="K379" i="505" s="1"/>
  <c r="K378" i="505" a="1"/>
  <c r="K378" i="505" s="1"/>
  <c r="K377" i="505" a="1"/>
  <c r="K377" i="505" s="1"/>
  <c r="K376" i="505" a="1"/>
  <c r="K376" i="505" s="1"/>
  <c r="V375" i="505"/>
  <c r="W375" i="505" s="1"/>
  <c r="X513" i="505"/>
  <c r="N375" i="505"/>
  <c r="K375" i="505" a="1"/>
  <c r="K375" i="505" s="1"/>
  <c r="M375" i="505" s="1"/>
  <c r="V374" i="505"/>
  <c r="W374" i="505" s="1"/>
  <c r="X512" i="505"/>
  <c r="N374" i="505"/>
  <c r="K374" i="505" a="1"/>
  <c r="K374" i="505" s="1"/>
  <c r="V373" i="505"/>
  <c r="W373" i="505" s="1"/>
  <c r="X511" i="505"/>
  <c r="N373" i="505"/>
  <c r="K373" i="505" a="1"/>
  <c r="K373" i="505" s="1"/>
  <c r="M373" i="505" s="1"/>
  <c r="H372" i="505"/>
  <c r="AA428" i="505"/>
  <c r="Z428" i="505"/>
  <c r="Y428" i="505"/>
  <c r="X428" i="505"/>
  <c r="V371" i="505"/>
  <c r="U428" i="505"/>
  <c r="T428" i="505"/>
  <c r="S428" i="505"/>
  <c r="R428" i="505"/>
  <c r="Q428" i="505"/>
  <c r="P428" i="505"/>
  <c r="N371" i="505"/>
  <c r="I428" i="505"/>
  <c r="G428" i="505"/>
  <c r="H5" i="534" s="1"/>
  <c r="J5" i="534" s="1"/>
  <c r="V369" i="505"/>
  <c r="W369" i="505" s="1"/>
  <c r="N369" i="505"/>
  <c r="K369" i="505" a="1"/>
  <c r="K369" i="505" s="1"/>
  <c r="M369" i="505" s="1"/>
  <c r="J369" i="505" a="1"/>
  <c r="J369" i="505" s="1"/>
  <c r="H369" i="505"/>
  <c r="K368" i="505" a="1"/>
  <c r="K368" i="505" s="1"/>
  <c r="K367" i="505" a="1"/>
  <c r="K367" i="505" s="1"/>
  <c r="M367" i="505" s="1"/>
  <c r="H367" i="505"/>
  <c r="K366" i="505" a="1"/>
  <c r="K366" i="505" s="1"/>
  <c r="K365" i="505" a="1"/>
  <c r="K365" i="505" s="1"/>
  <c r="M365" i="505" s="1"/>
  <c r="V364" i="505"/>
  <c r="W364" i="505" s="1"/>
  <c r="N364" i="505"/>
  <c r="K364" i="505" a="1"/>
  <c r="K364" i="505" s="1"/>
  <c r="V363" i="505"/>
  <c r="W363" i="505" s="1"/>
  <c r="N363" i="505"/>
  <c r="K363" i="505" a="1"/>
  <c r="K363" i="505" s="1"/>
  <c r="M363" i="505" s="1"/>
  <c r="V362" i="505"/>
  <c r="W362" i="505" s="1"/>
  <c r="N362" i="505"/>
  <c r="K362" i="505" a="1"/>
  <c r="K362" i="505" s="1"/>
  <c r="V361" i="505"/>
  <c r="W361" i="505" s="1"/>
  <c r="N361" i="505"/>
  <c r="K361" i="505" a="1"/>
  <c r="K361" i="505" s="1"/>
  <c r="M361" i="505" s="1"/>
  <c r="H360" i="505"/>
  <c r="H359" i="505"/>
  <c r="V358" i="505"/>
  <c r="W358" i="505" s="1"/>
  <c r="N358" i="505"/>
  <c r="K358" i="505" a="1"/>
  <c r="K358" i="505" s="1"/>
  <c r="V357" i="505"/>
  <c r="W357" i="505" s="1"/>
  <c r="N357" i="505"/>
  <c r="K357" i="505" a="1"/>
  <c r="K357" i="505" s="1"/>
  <c r="M357" i="505" s="1"/>
  <c r="V356" i="505"/>
  <c r="W356" i="505" s="1"/>
  <c r="N356" i="505"/>
  <c r="K356" i="505" a="1"/>
  <c r="K356" i="505" s="1"/>
  <c r="V355" i="505"/>
  <c r="W355" i="505" s="1"/>
  <c r="N355" i="505"/>
  <c r="K355" i="505" a="1"/>
  <c r="K355" i="505" s="1"/>
  <c r="M355" i="505" s="1"/>
  <c r="V354" i="505"/>
  <c r="W354" i="505" s="1"/>
  <c r="N354" i="505"/>
  <c r="K354" i="505" a="1"/>
  <c r="K354" i="505" s="1"/>
  <c r="V353" i="505"/>
  <c r="W353" i="505" s="1"/>
  <c r="N353" i="505"/>
  <c r="K353" i="505" a="1"/>
  <c r="K353" i="505" s="1"/>
  <c r="M353" i="505" s="1"/>
  <c r="V352" i="505"/>
  <c r="W352" i="505" s="1"/>
  <c r="N352" i="505"/>
  <c r="K352" i="505" a="1"/>
  <c r="K352" i="505" s="1"/>
  <c r="V351" i="505"/>
  <c r="W351" i="505" s="1"/>
  <c r="N351" i="505"/>
  <c r="K351" i="505"/>
  <c r="M351" i="505" s="1"/>
  <c r="V350" i="505"/>
  <c r="W350" i="505" s="1"/>
  <c r="N350" i="505"/>
  <c r="K350" i="505"/>
  <c r="AA370" i="505"/>
  <c r="Z370" i="505"/>
  <c r="Y370" i="505"/>
  <c r="X370" i="505"/>
  <c r="V349" i="505"/>
  <c r="U370" i="505"/>
  <c r="T370" i="505"/>
  <c r="S370" i="505"/>
  <c r="R370" i="505"/>
  <c r="Q370" i="505"/>
  <c r="P370" i="505"/>
  <c r="O370" i="505"/>
  <c r="N349" i="505"/>
  <c r="I370" i="505"/>
  <c r="G370" i="505"/>
  <c r="H4" i="534" s="1"/>
  <c r="E341" i="505"/>
  <c r="I340" i="505"/>
  <c r="K340" i="505" s="1"/>
  <c r="M340" i="505" s="1"/>
  <c r="E340" i="505"/>
  <c r="I339" i="505"/>
  <c r="K339" i="505" s="1"/>
  <c r="M339" i="505" s="1"/>
  <c r="E339" i="505"/>
  <c r="I338" i="505"/>
  <c r="K338" i="505" s="1"/>
  <c r="M338" i="505" s="1"/>
  <c r="E338" i="505"/>
  <c r="G341" i="505"/>
  <c r="E337" i="505"/>
  <c r="C341" i="505"/>
  <c r="K333" i="505" a="1"/>
  <c r="K333" i="505" s="1"/>
  <c r="M333" i="505" s="1"/>
  <c r="K332" i="505" a="1"/>
  <c r="K332" i="505" s="1"/>
  <c r="M332" i="505" s="1"/>
  <c r="H332" i="505"/>
  <c r="K331" i="505" a="1"/>
  <c r="K331" i="505" s="1"/>
  <c r="H331" i="505"/>
  <c r="V330" i="505"/>
  <c r="W330" i="505" s="1"/>
  <c r="N330" i="505"/>
  <c r="K330" i="505" a="1"/>
  <c r="K330" i="505" s="1"/>
  <c r="M330" i="505" s="1"/>
  <c r="J330" i="505" a="1"/>
  <c r="J330" i="505" s="1"/>
  <c r="D330" i="505"/>
  <c r="H330" i="505" s="1"/>
  <c r="H329" i="505"/>
  <c r="K328" i="505" a="1"/>
  <c r="K328" i="505" s="1"/>
  <c r="H328" i="505"/>
  <c r="H327" i="505"/>
  <c r="V326" i="505"/>
  <c r="W326" i="505" s="1"/>
  <c r="N326" i="505"/>
  <c r="K326" i="505" a="1"/>
  <c r="K326" i="505" s="1"/>
  <c r="V325" i="505"/>
  <c r="W325" i="505" s="1"/>
  <c r="N325" i="505"/>
  <c r="K325" i="505" a="1"/>
  <c r="K325" i="505" s="1"/>
  <c r="M325" i="505" s="1"/>
  <c r="H324" i="505"/>
  <c r="V323" i="505"/>
  <c r="W323" i="505" s="1"/>
  <c r="N323" i="505"/>
  <c r="K323" i="505" a="1"/>
  <c r="K323" i="505" s="1"/>
  <c r="M323" i="505" s="1"/>
  <c r="V322" i="505"/>
  <c r="W322" i="505" s="1"/>
  <c r="N322" i="505"/>
  <c r="K322" i="505" a="1"/>
  <c r="K322" i="505" s="1"/>
  <c r="V321" i="505"/>
  <c r="W321" i="505" s="1"/>
  <c r="N321" i="505"/>
  <c r="K321" i="505" a="1"/>
  <c r="K321" i="505" s="1"/>
  <c r="M321" i="505" s="1"/>
  <c r="AA334" i="505"/>
  <c r="Z334" i="505"/>
  <c r="Y334" i="505"/>
  <c r="X334" i="505"/>
  <c r="V320" i="505"/>
  <c r="U334" i="505"/>
  <c r="T334" i="505"/>
  <c r="S334" i="505"/>
  <c r="R334" i="505"/>
  <c r="Q334" i="505"/>
  <c r="P334" i="505"/>
  <c r="O334" i="505"/>
  <c r="N320" i="505"/>
  <c r="I334" i="505"/>
  <c r="L563" i="505" s="1"/>
  <c r="G334" i="505"/>
  <c r="E9" i="534" s="1"/>
  <c r="G9" i="534" s="1"/>
  <c r="V318" i="505"/>
  <c r="W318" i="505" s="1"/>
  <c r="N318" i="505"/>
  <c r="M318" i="505"/>
  <c r="V313" i="505"/>
  <c r="W313" i="505" s="1"/>
  <c r="N313" i="505"/>
  <c r="K313" i="505" a="1"/>
  <c r="K313" i="505" s="1"/>
  <c r="M313" i="505" s="1"/>
  <c r="V312" i="505"/>
  <c r="W312" i="505" s="1"/>
  <c r="N312" i="505"/>
  <c r="K312" i="505" a="1"/>
  <c r="K312" i="505" s="1"/>
  <c r="V311" i="505"/>
  <c r="W311" i="505" s="1"/>
  <c r="N311" i="505"/>
  <c r="K311" i="505" a="1"/>
  <c r="K311" i="505" s="1"/>
  <c r="M311" i="505" s="1"/>
  <c r="V310" i="505"/>
  <c r="W310" i="505" s="1"/>
  <c r="N310" i="505"/>
  <c r="K310" i="505" a="1"/>
  <c r="K310" i="505" s="1"/>
  <c r="AA319" i="505"/>
  <c r="Z319" i="505"/>
  <c r="Y319" i="505"/>
  <c r="X319" i="505"/>
  <c r="V309" i="505"/>
  <c r="U319" i="505"/>
  <c r="T319" i="505"/>
  <c r="S319" i="505"/>
  <c r="Q319" i="505"/>
  <c r="P319" i="505"/>
  <c r="O319" i="505"/>
  <c r="N309" i="505"/>
  <c r="I319" i="505"/>
  <c r="G319" i="505"/>
  <c r="E8" i="534" s="1"/>
  <c r="G8" i="534" s="1"/>
  <c r="V307" i="505"/>
  <c r="W307" i="505" s="1"/>
  <c r="N307" i="505"/>
  <c r="K307" i="505" a="1"/>
  <c r="K307" i="505" s="1"/>
  <c r="M307" i="505" s="1"/>
  <c r="V306" i="505"/>
  <c r="W306" i="505" s="1"/>
  <c r="N306" i="505"/>
  <c r="K306" i="505" a="1"/>
  <c r="K306" i="505" s="1"/>
  <c r="V305" i="505"/>
  <c r="W305" i="505" s="1"/>
  <c r="N305" i="505"/>
  <c r="K305" i="505" a="1"/>
  <c r="K305" i="505" s="1"/>
  <c r="M305" i="505" s="1"/>
  <c r="V304" i="505"/>
  <c r="W304" i="505" s="1"/>
  <c r="N304" i="505"/>
  <c r="K304" i="505" a="1"/>
  <c r="K304" i="505" s="1"/>
  <c r="V303" i="505"/>
  <c r="W303" i="505" s="1"/>
  <c r="N303" i="505"/>
  <c r="K303" i="505" a="1"/>
  <c r="K303" i="505" s="1"/>
  <c r="M303" i="505" s="1"/>
  <c r="V302" i="505"/>
  <c r="W302" i="505" s="1"/>
  <c r="N302" i="505"/>
  <c r="K302" i="505" a="1"/>
  <c r="K302" i="505" s="1"/>
  <c r="V301" i="505"/>
  <c r="W301" i="505" s="1"/>
  <c r="N301" i="505"/>
  <c r="K301" i="505" a="1"/>
  <c r="K301" i="505" s="1"/>
  <c r="M301" i="505" s="1"/>
  <c r="V300" i="505"/>
  <c r="W300" i="505" s="1"/>
  <c r="N300" i="505"/>
  <c r="H300" i="505"/>
  <c r="V299" i="505"/>
  <c r="W299" i="505" s="1"/>
  <c r="N299" i="505"/>
  <c r="K299" i="505" a="1"/>
  <c r="K299" i="505" s="1"/>
  <c r="M299" i="505" s="1"/>
  <c r="J299" i="505" a="1"/>
  <c r="J299" i="505" s="1"/>
  <c r="H299" i="505"/>
  <c r="V298" i="505"/>
  <c r="W298" i="505" s="1"/>
  <c r="N298" i="505"/>
  <c r="K298" i="505" a="1"/>
  <c r="K298" i="505" s="1"/>
  <c r="M298" i="505" s="1"/>
  <c r="J298" i="505" a="1"/>
  <c r="J298" i="505" s="1"/>
  <c r="H298" i="505"/>
  <c r="V297" i="505"/>
  <c r="W297" i="505" s="1"/>
  <c r="N297" i="505"/>
  <c r="K297" i="505" a="1"/>
  <c r="K297" i="505" s="1"/>
  <c r="M297" i="505" s="1"/>
  <c r="J297" i="505" a="1"/>
  <c r="J297" i="505" s="1"/>
  <c r="H297" i="505"/>
  <c r="V296" i="505"/>
  <c r="W296" i="505" s="1"/>
  <c r="N296" i="505"/>
  <c r="K296" i="505" a="1"/>
  <c r="K296" i="505" s="1"/>
  <c r="M296" i="505" s="1"/>
  <c r="J296" i="505" a="1"/>
  <c r="J296" i="505" s="1"/>
  <c r="H296" i="505"/>
  <c r="V295" i="505"/>
  <c r="W295" i="505" s="1"/>
  <c r="N295" i="505"/>
  <c r="K295" i="505" a="1"/>
  <c r="K295" i="505" s="1"/>
  <c r="M295" i="505" s="1"/>
  <c r="J295" i="505" a="1"/>
  <c r="J295" i="505" s="1"/>
  <c r="H295" i="505"/>
  <c r="V294" i="505"/>
  <c r="W294" i="505" s="1"/>
  <c r="N294" i="505"/>
  <c r="K294" i="505" a="1"/>
  <c r="K294" i="505" s="1"/>
  <c r="M294" i="505" s="1"/>
  <c r="AA308" i="505"/>
  <c r="Z308" i="505"/>
  <c r="Y308" i="505"/>
  <c r="X308" i="505"/>
  <c r="V293" i="505"/>
  <c r="U308" i="505"/>
  <c r="T308" i="505"/>
  <c r="S308" i="505"/>
  <c r="R308" i="505"/>
  <c r="Q308" i="505"/>
  <c r="P308" i="505"/>
  <c r="O308" i="505"/>
  <c r="N293" i="505"/>
  <c r="I308" i="505"/>
  <c r="L562" i="505" s="1"/>
  <c r="G308" i="505"/>
  <c r="E7" i="534" s="1"/>
  <c r="G7" i="534" s="1"/>
  <c r="V291" i="505"/>
  <c r="W291" i="505" s="1"/>
  <c r="N291" i="505"/>
  <c r="K291" i="505" a="1"/>
  <c r="K291" i="505" s="1"/>
  <c r="V290" i="505"/>
  <c r="W290" i="505" s="1"/>
  <c r="N290" i="505"/>
  <c r="K290" i="505" a="1"/>
  <c r="K290" i="505" s="1"/>
  <c r="M290" i="505" s="1"/>
  <c r="V289" i="505"/>
  <c r="W289" i="505" s="1"/>
  <c r="N289" i="505"/>
  <c r="K289" i="505" a="1"/>
  <c r="K289" i="505" s="1"/>
  <c r="H288" i="505"/>
  <c r="H287" i="505"/>
  <c r="H286" i="505"/>
  <c r="V285" i="505"/>
  <c r="W285" i="505" s="1"/>
  <c r="N285" i="505"/>
  <c r="K285" i="505" a="1"/>
  <c r="K285" i="505" s="1"/>
  <c r="M285" i="505" s="1"/>
  <c r="V284" i="505"/>
  <c r="W284" i="505" s="1"/>
  <c r="N284" i="505"/>
  <c r="K284" i="505" a="1"/>
  <c r="K284" i="505" s="1"/>
  <c r="N283" i="505"/>
  <c r="K283" i="505" a="1"/>
  <c r="K283" i="505" s="1"/>
  <c r="N282" i="505"/>
  <c r="K282" i="505" a="1"/>
  <c r="K282" i="505" s="1"/>
  <c r="N281" i="505"/>
  <c r="K281" i="505" a="1"/>
  <c r="K281" i="505" s="1"/>
  <c r="N280" i="505"/>
  <c r="K280" i="505" a="1"/>
  <c r="K280" i="505" s="1"/>
  <c r="N279" i="505"/>
  <c r="K279" i="505" a="1"/>
  <c r="K279" i="505" s="1"/>
  <c r="N278" i="505"/>
  <c r="K278" i="505" a="1"/>
  <c r="K278" i="505" s="1"/>
  <c r="V277" i="505"/>
  <c r="W277" i="505" s="1"/>
  <c r="N277" i="505"/>
  <c r="K277" i="505" a="1"/>
  <c r="K277" i="505" s="1"/>
  <c r="M277" i="505" s="1"/>
  <c r="V276" i="505"/>
  <c r="W276" i="505" s="1"/>
  <c r="N276" i="505"/>
  <c r="K276" i="505" a="1"/>
  <c r="K276" i="505" s="1"/>
  <c r="V275" i="505"/>
  <c r="W275" i="505" s="1"/>
  <c r="N275" i="505"/>
  <c r="K275" i="505" a="1"/>
  <c r="K275" i="505" s="1"/>
  <c r="M275" i="505" s="1"/>
  <c r="V274" i="505"/>
  <c r="W274" i="505" s="1"/>
  <c r="N274" i="505"/>
  <c r="K274" i="505" a="1"/>
  <c r="K274" i="505" s="1"/>
  <c r="V273" i="505"/>
  <c r="W273" i="505" s="1"/>
  <c r="N273" i="505"/>
  <c r="K273" i="505" a="1"/>
  <c r="K273" i="505" s="1"/>
  <c r="M273" i="505" s="1"/>
  <c r="V272" i="505"/>
  <c r="W272" i="505" s="1"/>
  <c r="N272" i="505"/>
  <c r="K272" i="505" a="1"/>
  <c r="K272" i="505" s="1"/>
  <c r="V271" i="505"/>
  <c r="W271" i="505" s="1"/>
  <c r="N271" i="505"/>
  <c r="K271" i="505" a="1"/>
  <c r="K271" i="505" s="1"/>
  <c r="M271" i="505" s="1"/>
  <c r="V270" i="505"/>
  <c r="W270" i="505" s="1"/>
  <c r="N270" i="505"/>
  <c r="K270" i="505" a="1"/>
  <c r="K270" i="505" s="1"/>
  <c r="V269" i="505"/>
  <c r="W269" i="505" s="1"/>
  <c r="N269" i="505"/>
  <c r="K269" i="505" a="1"/>
  <c r="K269" i="505" s="1"/>
  <c r="M269" i="505" s="1"/>
  <c r="V268" i="505"/>
  <c r="W268" i="505" s="1"/>
  <c r="N268" i="505"/>
  <c r="K268" i="505" a="1"/>
  <c r="K268" i="505" s="1"/>
  <c r="V267" i="505"/>
  <c r="W267" i="505" s="1"/>
  <c r="N267" i="505"/>
  <c r="K267" i="505" a="1"/>
  <c r="K267" i="505" s="1"/>
  <c r="M267" i="505" s="1"/>
  <c r="V266" i="505"/>
  <c r="W266" i="505" s="1"/>
  <c r="N266" i="505"/>
  <c r="K266" i="505" a="1"/>
  <c r="K266" i="505" s="1"/>
  <c r="N265" i="505"/>
  <c r="K265" i="505" a="1"/>
  <c r="K265" i="505" s="1"/>
  <c r="V264" i="505"/>
  <c r="W264" i="505" s="1"/>
  <c r="N264" i="505"/>
  <c r="K264" i="505" a="1"/>
  <c r="K264" i="505" s="1"/>
  <c r="M264" i="505" s="1"/>
  <c r="V263" i="505"/>
  <c r="W263" i="505" s="1"/>
  <c r="N263" i="505"/>
  <c r="K263" i="505" a="1"/>
  <c r="K263" i="505" s="1"/>
  <c r="V262" i="505"/>
  <c r="W262" i="505" s="1"/>
  <c r="X343" i="505"/>
  <c r="N262" i="505"/>
  <c r="K262" i="505" a="1"/>
  <c r="K262" i="505" s="1"/>
  <c r="M262" i="505" s="1"/>
  <c r="V261" i="505"/>
  <c r="W261" i="505" s="1"/>
  <c r="N261" i="505"/>
  <c r="K261" i="505" a="1"/>
  <c r="K261" i="505" s="1"/>
  <c r="V260" i="505"/>
  <c r="W260" i="505" s="1"/>
  <c r="N260" i="505"/>
  <c r="K260" i="505" a="1"/>
  <c r="K260" i="505" s="1"/>
  <c r="M260" i="505" s="1"/>
  <c r="V259" i="505"/>
  <c r="W259" i="505" s="1"/>
  <c r="N259" i="505"/>
  <c r="K259" i="505" a="1"/>
  <c r="K259" i="505" s="1"/>
  <c r="AA292" i="505"/>
  <c r="Z292" i="505"/>
  <c r="Y292" i="505"/>
  <c r="X292" i="505"/>
  <c r="V258" i="505"/>
  <c r="W258" i="505" s="1"/>
  <c r="U292" i="505"/>
  <c r="T292" i="505"/>
  <c r="S292" i="505"/>
  <c r="R292" i="505"/>
  <c r="Q292" i="505"/>
  <c r="P292" i="505"/>
  <c r="O292" i="505"/>
  <c r="N258" i="505"/>
  <c r="I292" i="505"/>
  <c r="L561" i="505" s="1"/>
  <c r="G292" i="505"/>
  <c r="E6" i="534" s="1"/>
  <c r="G6" i="534" s="1"/>
  <c r="H256" i="505"/>
  <c r="H255" i="505"/>
  <c r="H254" i="505"/>
  <c r="H253" i="505"/>
  <c r="H252" i="505"/>
  <c r="H251" i="505"/>
  <c r="K250" i="505" a="1"/>
  <c r="K250" i="505" s="1"/>
  <c r="K249" i="505" a="1"/>
  <c r="K249" i="505" s="1"/>
  <c r="K248" i="505" a="1"/>
  <c r="K248" i="505" s="1"/>
  <c r="K247" i="505" a="1"/>
  <c r="K247" i="505" s="1"/>
  <c r="V246" i="505"/>
  <c r="W246" i="505" s="1"/>
  <c r="K246" i="505" a="1"/>
  <c r="K246" i="505" s="1"/>
  <c r="M246" i="505" s="1"/>
  <c r="V245" i="505"/>
  <c r="W245" i="505" s="1"/>
  <c r="K245" i="505" a="1"/>
  <c r="K245" i="505" s="1"/>
  <c r="V244" i="505"/>
  <c r="W244" i="505" s="1"/>
  <c r="K244" i="505" a="1"/>
  <c r="K244" i="505" s="1"/>
  <c r="M244" i="505" s="1"/>
  <c r="V243" i="505"/>
  <c r="W243" i="505" s="1"/>
  <c r="K243" i="505" a="1"/>
  <c r="K243" i="505" s="1"/>
  <c r="M242" i="505"/>
  <c r="H242" i="505"/>
  <c r="V241" i="505"/>
  <c r="W241" i="505" s="1"/>
  <c r="K241" i="505" a="1"/>
  <c r="K241" i="505" s="1"/>
  <c r="M241" i="505" s="1"/>
  <c r="V240" i="505"/>
  <c r="W240" i="505" s="1"/>
  <c r="K240" i="505" a="1"/>
  <c r="K240" i="505" s="1"/>
  <c r="K239" i="505" a="1"/>
  <c r="K239" i="505" s="1"/>
  <c r="H238" i="505"/>
  <c r="V237" i="505"/>
  <c r="W237" i="505" s="1"/>
  <c r="K237" i="505" a="1"/>
  <c r="K237" i="505" s="1"/>
  <c r="M237" i="505" s="1"/>
  <c r="J237" i="505" a="1"/>
  <c r="J237" i="505" s="1"/>
  <c r="H237" i="505"/>
  <c r="V236" i="505"/>
  <c r="W236" i="505" s="1"/>
  <c r="K236" i="505" a="1"/>
  <c r="K236" i="505" s="1"/>
  <c r="V235" i="505"/>
  <c r="W235" i="505" s="1"/>
  <c r="K235" i="505" a="1"/>
  <c r="K235" i="505" s="1"/>
  <c r="M235" i="505" s="1"/>
  <c r="V234" i="505"/>
  <c r="W234" i="505" s="1"/>
  <c r="K234" i="505" a="1"/>
  <c r="K234" i="505" s="1"/>
  <c r="V233" i="505"/>
  <c r="W233" i="505" s="1"/>
  <c r="K233" i="505" a="1"/>
  <c r="K233" i="505" s="1"/>
  <c r="M233" i="505" s="1"/>
  <c r="V232" i="505"/>
  <c r="W232" i="505" s="1"/>
  <c r="K232" i="505" a="1"/>
  <c r="K232" i="505" s="1"/>
  <c r="V231" i="505"/>
  <c r="W231" i="505" s="1"/>
  <c r="K231" i="505" a="1"/>
  <c r="K231" i="505" s="1"/>
  <c r="M231" i="505" s="1"/>
  <c r="V230" i="505"/>
  <c r="W230" i="505" s="1"/>
  <c r="K230" i="505" a="1"/>
  <c r="K230" i="505" s="1"/>
  <c r="V229" i="505"/>
  <c r="W229" i="505" s="1"/>
  <c r="K229" i="505" a="1"/>
  <c r="K229" i="505" s="1"/>
  <c r="M229" i="505" s="1"/>
  <c r="V228" i="505"/>
  <c r="W228" i="505" s="1"/>
  <c r="K228" i="505" a="1"/>
  <c r="K228" i="505" s="1"/>
  <c r="K227" i="505" a="1"/>
  <c r="K227" i="505" s="1"/>
  <c r="K226" i="505" a="1"/>
  <c r="K226" i="505" s="1"/>
  <c r="K225" i="505" a="1"/>
  <c r="K225" i="505" s="1"/>
  <c r="K224" i="505" a="1"/>
  <c r="K224" i="505" s="1"/>
  <c r="K223" i="505" a="1"/>
  <c r="K223" i="505" s="1"/>
  <c r="K222" i="505" a="1"/>
  <c r="K222" i="505" s="1"/>
  <c r="K221" i="505" a="1"/>
  <c r="K221" i="505" s="1"/>
  <c r="K220" i="505" a="1"/>
  <c r="K220" i="505" s="1"/>
  <c r="V219" i="505"/>
  <c r="W219" i="505" s="1"/>
  <c r="K219" i="505" a="1"/>
  <c r="K219" i="505" s="1"/>
  <c r="M219" i="505" s="1"/>
  <c r="V218" i="505"/>
  <c r="W218" i="505" s="1"/>
  <c r="K218" i="505" a="1"/>
  <c r="K218" i="505" s="1"/>
  <c r="V217" i="505"/>
  <c r="W217" i="505" s="1"/>
  <c r="K217" i="505" a="1"/>
  <c r="K217" i="505" s="1"/>
  <c r="M217" i="505" s="1"/>
  <c r="V216" i="505"/>
  <c r="W216" i="505" s="1"/>
  <c r="K216" i="505" a="1"/>
  <c r="K216" i="505" s="1"/>
  <c r="V215" i="505"/>
  <c r="W215" i="505" s="1"/>
  <c r="K215" i="505" a="1"/>
  <c r="K215" i="505" s="1"/>
  <c r="M215" i="505" s="1"/>
  <c r="V214" i="505"/>
  <c r="W214" i="505" s="1"/>
  <c r="K214" i="505" a="1"/>
  <c r="K214" i="505" s="1"/>
  <c r="V213" i="505"/>
  <c r="W213" i="505" s="1"/>
  <c r="K213" i="505" a="1"/>
  <c r="K213" i="505" s="1"/>
  <c r="M213" i="505" s="1"/>
  <c r="V212" i="505"/>
  <c r="W212" i="505" s="1"/>
  <c r="K212" i="505" a="1"/>
  <c r="K212" i="505" s="1"/>
  <c r="V211" i="505"/>
  <c r="W211" i="505" s="1"/>
  <c r="K211" i="505" a="1"/>
  <c r="K211" i="505" s="1"/>
  <c r="M211" i="505" s="1"/>
  <c r="V210" i="505"/>
  <c r="W210" i="505" s="1"/>
  <c r="K210" i="505" a="1"/>
  <c r="K210" i="505" s="1"/>
  <c r="V209" i="505"/>
  <c r="W209" i="505" s="1"/>
  <c r="K209" i="505" a="1"/>
  <c r="K209" i="505" s="1"/>
  <c r="M209" i="505" s="1"/>
  <c r="V208" i="505"/>
  <c r="W208" i="505" s="1"/>
  <c r="K208" i="505" a="1"/>
  <c r="K208" i="505" s="1"/>
  <c r="H207" i="505"/>
  <c r="H206" i="505"/>
  <c r="H205" i="505"/>
  <c r="V204" i="505"/>
  <c r="W204" i="505" s="1"/>
  <c r="X342" i="505"/>
  <c r="K204" i="505" a="1"/>
  <c r="K204" i="505" s="1"/>
  <c r="M204" i="505" s="1"/>
  <c r="J204" i="505" a="1"/>
  <c r="J204" i="505" s="1"/>
  <c r="H204" i="505"/>
  <c r="V203" i="505"/>
  <c r="W203" i="505" s="1"/>
  <c r="X341" i="505"/>
  <c r="K203" i="505" a="1"/>
  <c r="K203" i="505" s="1"/>
  <c r="M203" i="505" s="1"/>
  <c r="J203" i="505" a="1"/>
  <c r="J203" i="505" s="1"/>
  <c r="H203" i="505"/>
  <c r="V202" i="505"/>
  <c r="W202" i="505" s="1"/>
  <c r="X340" i="505"/>
  <c r="K202" i="505" a="1"/>
  <c r="K202" i="505" s="1"/>
  <c r="M202" i="505" s="1"/>
  <c r="J202" i="505" a="1"/>
  <c r="J202" i="505" s="1"/>
  <c r="H202" i="505"/>
  <c r="H201" i="505"/>
  <c r="AA257" i="505"/>
  <c r="Z257" i="505"/>
  <c r="Y257" i="505"/>
  <c r="X257" i="505"/>
  <c r="V200" i="505"/>
  <c r="U257" i="505"/>
  <c r="T257" i="505"/>
  <c r="S257" i="505"/>
  <c r="R257" i="505"/>
  <c r="Q257" i="505"/>
  <c r="P257" i="505"/>
  <c r="O257" i="505"/>
  <c r="I257" i="505"/>
  <c r="L560" i="505" s="1"/>
  <c r="G257" i="505"/>
  <c r="E5" i="534" s="1"/>
  <c r="G5" i="534" s="1"/>
  <c r="X337" i="505"/>
  <c r="K198" i="505" a="1"/>
  <c r="K198" i="505" s="1"/>
  <c r="M198" i="505" s="1"/>
  <c r="H198" i="505"/>
  <c r="K197" i="505" a="1"/>
  <c r="K197" i="505" s="1"/>
  <c r="M197" i="505" s="1"/>
  <c r="H197" i="505"/>
  <c r="K196" i="505" a="1"/>
  <c r="K196" i="505" s="1"/>
  <c r="M196" i="505" s="1"/>
  <c r="H196" i="505"/>
  <c r="K195" i="505" a="1"/>
  <c r="K195" i="505" s="1"/>
  <c r="V194" i="505"/>
  <c r="V193" i="505"/>
  <c r="W193" i="505" s="1"/>
  <c r="K193" i="505" a="1"/>
  <c r="K193" i="505" s="1"/>
  <c r="M193" i="505" s="1"/>
  <c r="J193" i="505" a="1"/>
  <c r="J193" i="505" s="1"/>
  <c r="H193" i="505"/>
  <c r="V192" i="505"/>
  <c r="W192" i="505" s="1"/>
  <c r="K192" i="505" a="1"/>
  <c r="K192" i="505" s="1"/>
  <c r="M192" i="505" s="1"/>
  <c r="J192" i="505" a="1"/>
  <c r="J192" i="505" s="1"/>
  <c r="H192" i="505"/>
  <c r="V191" i="505"/>
  <c r="W191" i="505" s="1"/>
  <c r="K191" i="505" a="1"/>
  <c r="K191" i="505" s="1"/>
  <c r="M191" i="505" s="1"/>
  <c r="J191" i="505" a="1"/>
  <c r="J191" i="505" s="1"/>
  <c r="H191" i="505"/>
  <c r="V190" i="505"/>
  <c r="W190" i="505" s="1"/>
  <c r="K190" i="505" a="1"/>
  <c r="K190" i="505" s="1"/>
  <c r="M190" i="505" s="1"/>
  <c r="J190" i="505" a="1"/>
  <c r="J190" i="505" s="1"/>
  <c r="H190" i="505"/>
  <c r="V189" i="505"/>
  <c r="W189" i="505" s="1"/>
  <c r="K189" i="505" a="1"/>
  <c r="K189" i="505" s="1"/>
  <c r="M189" i="505" s="1"/>
  <c r="J189" i="505" a="1"/>
  <c r="J189" i="505" s="1"/>
  <c r="H189" i="505"/>
  <c r="V188" i="505"/>
  <c r="W188" i="505" s="1"/>
  <c r="J188" i="505" a="1"/>
  <c r="J188" i="505" s="1"/>
  <c r="H188" i="505"/>
  <c r="K188" i="505" a="1"/>
  <c r="K188" i="505" s="1"/>
  <c r="M188" i="505" s="1"/>
  <c r="V187" i="505"/>
  <c r="W187" i="505" s="1"/>
  <c r="K187" i="505" a="1"/>
  <c r="K187" i="505" s="1"/>
  <c r="V186" i="505"/>
  <c r="W186" i="505" s="1"/>
  <c r="K186" i="505" a="1"/>
  <c r="K186" i="505" s="1"/>
  <c r="M186" i="505" s="1"/>
  <c r="V185" i="505"/>
  <c r="W185" i="505" s="1"/>
  <c r="K185" i="505" a="1"/>
  <c r="K185" i="505" s="1"/>
  <c r="V184" i="505"/>
  <c r="W184" i="505" s="1"/>
  <c r="K184" i="505" a="1"/>
  <c r="K184" i="505" s="1"/>
  <c r="M184" i="505" s="1"/>
  <c r="V183" i="505"/>
  <c r="W183" i="505" s="1"/>
  <c r="K183" i="505" a="1"/>
  <c r="K183" i="505" s="1"/>
  <c r="V182" i="505"/>
  <c r="W182" i="505" s="1"/>
  <c r="K182" i="505" a="1"/>
  <c r="K182" i="505" s="1"/>
  <c r="M182" i="505" s="1"/>
  <c r="V181" i="505"/>
  <c r="W181" i="505" s="1"/>
  <c r="K181" i="505" a="1"/>
  <c r="K181" i="505" s="1"/>
  <c r="V180" i="505"/>
  <c r="W180" i="505" s="1"/>
  <c r="K180" i="505" a="1"/>
  <c r="K180" i="505" s="1"/>
  <c r="M180" i="505" s="1"/>
  <c r="V179" i="505"/>
  <c r="W179" i="505" s="1"/>
  <c r="K179" i="505" a="1"/>
  <c r="K179" i="505" s="1"/>
  <c r="AA199" i="505"/>
  <c r="Z199" i="505"/>
  <c r="Y199" i="505"/>
  <c r="X199" i="505"/>
  <c r="V178" i="505"/>
  <c r="U199" i="505"/>
  <c r="T199" i="505"/>
  <c r="S199" i="505"/>
  <c r="R199" i="505"/>
  <c r="Q199" i="505"/>
  <c r="P199" i="505"/>
  <c r="O199" i="505"/>
  <c r="I199" i="505"/>
  <c r="G199" i="505"/>
  <c r="E4" i="534" s="1"/>
  <c r="E170" i="505"/>
  <c r="I169" i="505"/>
  <c r="E169" i="505"/>
  <c r="I168" i="505"/>
  <c r="E168" i="505"/>
  <c r="I167" i="505"/>
  <c r="E167" i="505"/>
  <c r="G170" i="505"/>
  <c r="E166" i="505"/>
  <c r="C170" i="505"/>
  <c r="K161" i="505" a="1"/>
  <c r="K161" i="505" s="1"/>
  <c r="K160" i="505" a="1"/>
  <c r="K160" i="505" s="1"/>
  <c r="V159" i="505"/>
  <c r="W159" i="505" s="1"/>
  <c r="K159" i="505" a="1"/>
  <c r="K159" i="505" s="1"/>
  <c r="D159" i="505"/>
  <c r="V158" i="505"/>
  <c r="W158" i="505" s="1"/>
  <c r="K158" i="505" a="1"/>
  <c r="K158" i="505" s="1"/>
  <c r="V155" i="505"/>
  <c r="W155" i="505" s="1"/>
  <c r="K155" i="505" a="1"/>
  <c r="K155" i="505" s="1"/>
  <c r="V154" i="505"/>
  <c r="W154" i="505" s="1"/>
  <c r="K154" i="505" a="1"/>
  <c r="K154" i="505" s="1"/>
  <c r="V152" i="505"/>
  <c r="W152" i="505" s="1"/>
  <c r="K152" i="505" a="1"/>
  <c r="K152" i="505" s="1"/>
  <c r="V151" i="505"/>
  <c r="W151" i="505" s="1"/>
  <c r="K151" i="505" a="1"/>
  <c r="K151" i="505" s="1"/>
  <c r="V150" i="505"/>
  <c r="W150" i="505" s="1"/>
  <c r="K150" i="505" a="1"/>
  <c r="K150" i="505" s="1"/>
  <c r="AA163" i="505"/>
  <c r="Z163" i="505"/>
  <c r="Y163" i="505"/>
  <c r="X163" i="505"/>
  <c r="V149" i="505"/>
  <c r="U163" i="505"/>
  <c r="T163" i="505"/>
  <c r="S163" i="505"/>
  <c r="R163" i="505"/>
  <c r="Q163" i="505"/>
  <c r="P163" i="505"/>
  <c r="O163" i="505"/>
  <c r="K149" i="505" a="1"/>
  <c r="K149" i="505" s="1"/>
  <c r="V147" i="505"/>
  <c r="W147" i="505" s="1"/>
  <c r="K147" i="505" a="1"/>
  <c r="K147" i="505" s="1"/>
  <c r="V142" i="505"/>
  <c r="W142" i="505" s="1"/>
  <c r="K142" i="505" a="1"/>
  <c r="K142" i="505" s="1"/>
  <c r="V141" i="505"/>
  <c r="W141" i="505" s="1"/>
  <c r="K141" i="505" a="1"/>
  <c r="K141" i="505" s="1"/>
  <c r="V140" i="505"/>
  <c r="W140" i="505" s="1"/>
  <c r="K140" i="505" a="1"/>
  <c r="K140" i="505" s="1"/>
  <c r="V139" i="505"/>
  <c r="W139" i="505" s="1"/>
  <c r="K139" i="505" a="1"/>
  <c r="K139" i="505" s="1"/>
  <c r="AA148" i="505"/>
  <c r="Z148" i="505"/>
  <c r="Y148" i="505"/>
  <c r="X148" i="505"/>
  <c r="V138" i="505"/>
  <c r="V148" i="505" s="1"/>
  <c r="U148" i="505"/>
  <c r="T148" i="505"/>
  <c r="S148" i="505"/>
  <c r="Q148" i="505"/>
  <c r="P148" i="505"/>
  <c r="O148" i="505"/>
  <c r="I148" i="505"/>
  <c r="G148" i="505"/>
  <c r="B8" i="534" s="1"/>
  <c r="V136" i="505"/>
  <c r="W136" i="505" s="1"/>
  <c r="K136" i="505" a="1"/>
  <c r="K136" i="505" s="1"/>
  <c r="V135" i="505"/>
  <c r="W135" i="505" s="1"/>
  <c r="K135" i="505" a="1"/>
  <c r="K135" i="505" s="1"/>
  <c r="V134" i="505"/>
  <c r="W134" i="505" s="1"/>
  <c r="K134" i="505" a="1"/>
  <c r="K134" i="505" s="1"/>
  <c r="V133" i="505"/>
  <c r="W133" i="505" s="1"/>
  <c r="K133" i="505" a="1"/>
  <c r="K133" i="505" s="1"/>
  <c r="V132" i="505"/>
  <c r="W132" i="505" s="1"/>
  <c r="K132" i="505" a="1"/>
  <c r="K132" i="505" s="1"/>
  <c r="V131" i="505"/>
  <c r="W131" i="505" s="1"/>
  <c r="K131" i="505" a="1"/>
  <c r="K131" i="505" s="1"/>
  <c r="V130" i="505"/>
  <c r="W130" i="505" s="1"/>
  <c r="K130" i="505" a="1"/>
  <c r="K130" i="505" s="1"/>
  <c r="V129" i="505"/>
  <c r="W129" i="505" s="1"/>
  <c r="K129" i="505" a="1"/>
  <c r="K129" i="505" s="1"/>
  <c r="V128" i="505"/>
  <c r="W128" i="505" s="1"/>
  <c r="K128" i="505" a="1"/>
  <c r="K128" i="505" s="1"/>
  <c r="V127" i="505"/>
  <c r="W127" i="505" s="1"/>
  <c r="K127" i="505" a="1"/>
  <c r="K127" i="505" s="1"/>
  <c r="V126" i="505"/>
  <c r="W126" i="505" s="1"/>
  <c r="K126" i="505" a="1"/>
  <c r="K126" i="505" s="1"/>
  <c r="V125" i="505"/>
  <c r="W125" i="505" s="1"/>
  <c r="K125" i="505" a="1"/>
  <c r="K125" i="505" s="1"/>
  <c r="V124" i="505"/>
  <c r="W124" i="505" s="1"/>
  <c r="K124" i="505" a="1"/>
  <c r="K124" i="505" s="1"/>
  <c r="V123" i="505"/>
  <c r="W123" i="505" s="1"/>
  <c r="K123" i="505" a="1"/>
  <c r="K123" i="505" s="1"/>
  <c r="V122" i="505"/>
  <c r="V137" i="505" s="1"/>
  <c r="K122" i="505" a="1"/>
  <c r="K122" i="505" s="1"/>
  <c r="K137" i="505" s="1"/>
  <c r="V120" i="505"/>
  <c r="W120" i="505" s="1"/>
  <c r="K120" i="505" a="1"/>
  <c r="K120" i="505" s="1"/>
  <c r="V119" i="505"/>
  <c r="W119" i="505" s="1"/>
  <c r="K119" i="505" a="1"/>
  <c r="K119" i="505" s="1"/>
  <c r="V118" i="505"/>
  <c r="W118" i="505" s="1"/>
  <c r="K117" i="505" a="1"/>
  <c r="K117" i="505" s="1"/>
  <c r="K116" i="505" a="1"/>
  <c r="K116" i="505" s="1"/>
  <c r="K115" i="505" a="1"/>
  <c r="K115" i="505" s="1"/>
  <c r="V114" i="505"/>
  <c r="W114" i="505" s="1"/>
  <c r="K114" i="505" a="1"/>
  <c r="K114" i="505" s="1"/>
  <c r="V113" i="505"/>
  <c r="W113" i="505" s="1"/>
  <c r="K113" i="505" a="1"/>
  <c r="K113" i="505" s="1"/>
  <c r="K112" i="505" a="1"/>
  <c r="K112" i="505" s="1"/>
  <c r="K111" i="505" a="1"/>
  <c r="K111" i="505" s="1"/>
  <c r="K110" i="505" a="1"/>
  <c r="K110" i="505" s="1"/>
  <c r="K109" i="505" a="1"/>
  <c r="K109" i="505" s="1"/>
  <c r="K108" i="505" a="1"/>
  <c r="K108" i="505" s="1"/>
  <c r="K107" i="505" a="1"/>
  <c r="K107" i="505" s="1"/>
  <c r="V106" i="505"/>
  <c r="W106" i="505" s="1"/>
  <c r="K106" i="505" a="1"/>
  <c r="K106" i="505" s="1"/>
  <c r="V105" i="505"/>
  <c r="W105" i="505" s="1"/>
  <c r="K105" i="505" a="1"/>
  <c r="K105" i="505" s="1"/>
  <c r="V104" i="505"/>
  <c r="W104" i="505" s="1"/>
  <c r="K104" i="505" a="1"/>
  <c r="K104" i="505" s="1"/>
  <c r="V103" i="505"/>
  <c r="W103" i="505" s="1"/>
  <c r="K103" i="505" a="1"/>
  <c r="K103" i="505" s="1"/>
  <c r="V102" i="505"/>
  <c r="W102" i="505" s="1"/>
  <c r="K102" i="505" a="1"/>
  <c r="K102" i="505" s="1"/>
  <c r="V101" i="505"/>
  <c r="W101" i="505" s="1"/>
  <c r="K101" i="505" a="1"/>
  <c r="K101" i="505" s="1"/>
  <c r="V100" i="505"/>
  <c r="W100" i="505" s="1"/>
  <c r="K100" i="505" a="1"/>
  <c r="K100" i="505" s="1"/>
  <c r="V99" i="505"/>
  <c r="W99" i="505" s="1"/>
  <c r="K99" i="505" a="1"/>
  <c r="K99" i="505" s="1"/>
  <c r="V98" i="505"/>
  <c r="W98" i="505" s="1"/>
  <c r="K98" i="505" a="1"/>
  <c r="K98" i="505" s="1"/>
  <c r="V97" i="505"/>
  <c r="W97" i="505" s="1"/>
  <c r="K97" i="505" a="1"/>
  <c r="K97" i="505" s="1"/>
  <c r="V96" i="505"/>
  <c r="W96" i="505" s="1"/>
  <c r="K96" i="505" a="1"/>
  <c r="K96" i="505" s="1"/>
  <c r="V95" i="505"/>
  <c r="W95" i="505" s="1"/>
  <c r="K95" i="505" a="1"/>
  <c r="K95" i="505" s="1"/>
  <c r="K94" i="505" a="1"/>
  <c r="K94" i="505" s="1"/>
  <c r="V93" i="505"/>
  <c r="W93" i="505" s="1"/>
  <c r="K93" i="505" a="1"/>
  <c r="K93" i="505" s="1"/>
  <c r="V92" i="505"/>
  <c r="W92" i="505" s="1"/>
  <c r="K92" i="505" a="1"/>
  <c r="K92" i="505" s="1"/>
  <c r="V91" i="505"/>
  <c r="W91" i="505" s="1"/>
  <c r="K91" i="505" a="1"/>
  <c r="K91" i="505" s="1"/>
  <c r="V90" i="505"/>
  <c r="W90" i="505" s="1"/>
  <c r="K90" i="505" a="1"/>
  <c r="K90" i="505" s="1"/>
  <c r="V89" i="505"/>
  <c r="W89" i="505" s="1"/>
  <c r="K89" i="505" a="1"/>
  <c r="K89" i="505" s="1"/>
  <c r="V88" i="505"/>
  <c r="W88" i="505" s="1"/>
  <c r="K88" i="505" a="1"/>
  <c r="K88" i="505" s="1"/>
  <c r="AA121" i="505"/>
  <c r="Z121" i="505"/>
  <c r="Y121" i="505"/>
  <c r="X121" i="505"/>
  <c r="V87" i="505"/>
  <c r="W87" i="505" s="1"/>
  <c r="U121" i="505"/>
  <c r="T121" i="505"/>
  <c r="S121" i="505"/>
  <c r="R121" i="505"/>
  <c r="Q121" i="505"/>
  <c r="P121" i="505"/>
  <c r="O121" i="505"/>
  <c r="I121" i="505"/>
  <c r="L554" i="505" s="1"/>
  <c r="G121" i="505"/>
  <c r="B6" i="534" s="1"/>
  <c r="H85" i="505"/>
  <c r="H84" i="505"/>
  <c r="H83" i="505"/>
  <c r="H82" i="505"/>
  <c r="H81" i="505"/>
  <c r="H80" i="505"/>
  <c r="K79" i="505" a="1"/>
  <c r="K79" i="505" s="1"/>
  <c r="M79" i="505" s="1"/>
  <c r="K78" i="505" a="1"/>
  <c r="K78" i="505" s="1"/>
  <c r="K77" i="505" a="1"/>
  <c r="K77" i="505" s="1"/>
  <c r="K76" i="505" a="1"/>
  <c r="K76" i="505" s="1"/>
  <c r="V75" i="505"/>
  <c r="W75" i="505" s="1"/>
  <c r="K75" i="505" a="1"/>
  <c r="K75" i="505" s="1"/>
  <c r="V74" i="505"/>
  <c r="W74" i="505" s="1"/>
  <c r="K74" i="505" a="1"/>
  <c r="K74" i="505" s="1"/>
  <c r="V73" i="505"/>
  <c r="W73" i="505" s="1"/>
  <c r="K73" i="505" a="1"/>
  <c r="K73" i="505" s="1"/>
  <c r="V72" i="505"/>
  <c r="W72" i="505" s="1"/>
  <c r="K72" i="505" a="1"/>
  <c r="K72" i="505" s="1"/>
  <c r="H71" i="505"/>
  <c r="V70" i="505"/>
  <c r="W70" i="505" s="1"/>
  <c r="K70" i="505" a="1"/>
  <c r="K70" i="505" s="1"/>
  <c r="M70" i="505" s="1"/>
  <c r="V69" i="505"/>
  <c r="W69" i="505" s="1"/>
  <c r="K69" i="505" a="1"/>
  <c r="K69" i="505" s="1"/>
  <c r="K68" i="505" a="1"/>
  <c r="K68" i="505" s="1"/>
  <c r="H68" i="505"/>
  <c r="K67" i="505" a="1"/>
  <c r="K67" i="505" s="1"/>
  <c r="V66" i="505"/>
  <c r="W66" i="505" s="1"/>
  <c r="K66" i="505" a="1"/>
  <c r="K66" i="505" s="1"/>
  <c r="M66" i="505" s="1"/>
  <c r="V65" i="505"/>
  <c r="W65" i="505" s="1"/>
  <c r="K65" i="505" a="1"/>
  <c r="K65" i="505" s="1"/>
  <c r="V64" i="505"/>
  <c r="W64" i="505" s="1"/>
  <c r="K64" i="505" a="1"/>
  <c r="K64" i="505" s="1"/>
  <c r="M64" i="505" s="1"/>
  <c r="V63" i="505"/>
  <c r="W63" i="505" s="1"/>
  <c r="K63" i="505" a="1"/>
  <c r="K63" i="505" s="1"/>
  <c r="V62" i="505"/>
  <c r="W62" i="505" s="1"/>
  <c r="K62" i="505" a="1"/>
  <c r="K62" i="505" s="1"/>
  <c r="M62" i="505" s="1"/>
  <c r="V61" i="505"/>
  <c r="W61" i="505" s="1"/>
  <c r="K61" i="505" a="1"/>
  <c r="K61" i="505" s="1"/>
  <c r="V60" i="505"/>
  <c r="W60" i="505" s="1"/>
  <c r="K60" i="505" a="1"/>
  <c r="K60" i="505" s="1"/>
  <c r="M60" i="505" s="1"/>
  <c r="V59" i="505"/>
  <c r="W59" i="505" s="1"/>
  <c r="K59" i="505" a="1"/>
  <c r="K59" i="505" s="1"/>
  <c r="V58" i="505"/>
  <c r="W58" i="505" s="1"/>
  <c r="K58" i="505" a="1"/>
  <c r="K58" i="505" s="1"/>
  <c r="M58" i="505" s="1"/>
  <c r="V57" i="505"/>
  <c r="W57" i="505" s="1"/>
  <c r="K57" i="505" a="1"/>
  <c r="K57" i="505" s="1"/>
  <c r="K56" i="505" a="1"/>
  <c r="K56" i="505" s="1"/>
  <c r="K55" i="505" a="1"/>
  <c r="K55" i="505" s="1"/>
  <c r="K54" i="505" a="1"/>
  <c r="K54" i="505" s="1"/>
  <c r="K53" i="505" a="1"/>
  <c r="K53" i="505" s="1"/>
  <c r="K52" i="505" a="1"/>
  <c r="K52" i="505" s="1"/>
  <c r="K51" i="505" a="1"/>
  <c r="K51" i="505" s="1"/>
  <c r="K50" i="505" a="1"/>
  <c r="K50" i="505" s="1"/>
  <c r="K49" i="505" a="1"/>
  <c r="K49" i="505" s="1"/>
  <c r="V48" i="505"/>
  <c r="W48" i="505" s="1"/>
  <c r="K48" i="505" a="1"/>
  <c r="K48" i="505" s="1"/>
  <c r="M48" i="505" s="1"/>
  <c r="V47" i="505"/>
  <c r="W47" i="505" s="1"/>
  <c r="K47" i="505" a="1"/>
  <c r="K47" i="505" s="1"/>
  <c r="V46" i="505"/>
  <c r="W46" i="505" s="1"/>
  <c r="K46" i="505" a="1"/>
  <c r="K46" i="505" s="1"/>
  <c r="M46" i="505" s="1"/>
  <c r="V45" i="505"/>
  <c r="W45" i="505" s="1"/>
  <c r="K45" i="505" a="1"/>
  <c r="K45" i="505" s="1"/>
  <c r="V44" i="505"/>
  <c r="W44" i="505" s="1"/>
  <c r="K44" i="505" a="1"/>
  <c r="K44" i="505" s="1"/>
  <c r="M44" i="505" s="1"/>
  <c r="V43" i="505"/>
  <c r="W43" i="505" s="1"/>
  <c r="K43" i="505" a="1"/>
  <c r="K43" i="505" s="1"/>
  <c r="V42" i="505"/>
  <c r="W42" i="505" s="1"/>
  <c r="K42" i="505" a="1"/>
  <c r="K42" i="505" s="1"/>
  <c r="M42" i="505" s="1"/>
  <c r="V41" i="505"/>
  <c r="W41" i="505" s="1"/>
  <c r="K41" i="505" a="1"/>
  <c r="K41" i="505" s="1"/>
  <c r="V40" i="505"/>
  <c r="W40" i="505" s="1"/>
  <c r="K40" i="505" a="1"/>
  <c r="K40" i="505" s="1"/>
  <c r="M40" i="505" s="1"/>
  <c r="V39" i="505"/>
  <c r="W39" i="505" s="1"/>
  <c r="K39" i="505" a="1"/>
  <c r="K39" i="505" s="1"/>
  <c r="V38" i="505"/>
  <c r="W38" i="505" s="1"/>
  <c r="K38" i="505" a="1"/>
  <c r="K38" i="505" s="1"/>
  <c r="M38" i="505" s="1"/>
  <c r="V37" i="505"/>
  <c r="W37" i="505" s="1"/>
  <c r="K37" i="505" a="1"/>
  <c r="K37" i="505" s="1"/>
  <c r="H36" i="505"/>
  <c r="H35" i="505"/>
  <c r="H34" i="505"/>
  <c r="V33" i="505"/>
  <c r="W33" i="505" s="1"/>
  <c r="X171" i="505"/>
  <c r="K33" i="505" a="1"/>
  <c r="K33" i="505" s="1"/>
  <c r="M33" i="505" s="1"/>
  <c r="J33" i="505" a="1"/>
  <c r="J33" i="505" s="1"/>
  <c r="H33" i="505"/>
  <c r="V32" i="505"/>
  <c r="W32" i="505" s="1"/>
  <c r="X170" i="505"/>
  <c r="K32" i="505" a="1"/>
  <c r="K32" i="505" s="1"/>
  <c r="M32" i="505" s="1"/>
  <c r="J32" i="505" a="1"/>
  <c r="J32" i="505" s="1"/>
  <c r="H32" i="505"/>
  <c r="V31" i="505"/>
  <c r="W31" i="505" s="1"/>
  <c r="X169" i="505"/>
  <c r="K31" i="505" a="1"/>
  <c r="K31" i="505" s="1"/>
  <c r="M31" i="505" s="1"/>
  <c r="J31" i="505" a="1"/>
  <c r="J31" i="505" s="1"/>
  <c r="H31" i="505"/>
  <c r="K30" i="505" a="1"/>
  <c r="K30" i="505" s="1"/>
  <c r="AA86" i="505"/>
  <c r="Z86" i="505"/>
  <c r="Y86" i="505"/>
  <c r="X86" i="505"/>
  <c r="V29" i="505"/>
  <c r="U86" i="505"/>
  <c r="T86" i="505"/>
  <c r="S86" i="505"/>
  <c r="R86" i="505"/>
  <c r="Q86" i="505"/>
  <c r="O86" i="505"/>
  <c r="K29" i="505" a="1"/>
  <c r="K29" i="505" s="1"/>
  <c r="V27" i="505"/>
  <c r="W27" i="505" s="1"/>
  <c r="X166" i="505"/>
  <c r="K27" i="505" a="1"/>
  <c r="K27" i="505" s="1"/>
  <c r="M27" i="505" s="1"/>
  <c r="J27" i="505" a="1"/>
  <c r="J27" i="505" s="1"/>
  <c r="H27" i="505"/>
  <c r="V26" i="505"/>
  <c r="W26" i="505" s="1"/>
  <c r="K26" i="505" a="1"/>
  <c r="K26" i="505" s="1"/>
  <c r="M26" i="505" s="1"/>
  <c r="J26" i="505" a="1"/>
  <c r="J26" i="505" s="1"/>
  <c r="H26" i="505"/>
  <c r="V25" i="505"/>
  <c r="K25" i="505" a="1"/>
  <c r="K25" i="505" s="1"/>
  <c r="M25" i="505" s="1"/>
  <c r="V24" i="505"/>
  <c r="K24" i="505" a="1"/>
  <c r="K24" i="505" s="1"/>
  <c r="M24" i="505" s="1"/>
  <c r="H24" i="505"/>
  <c r="V23" i="505"/>
  <c r="K23" i="505" a="1"/>
  <c r="K23" i="505" s="1"/>
  <c r="V22" i="505"/>
  <c r="K22" i="505" a="1"/>
  <c r="K22" i="505" s="1"/>
  <c r="M22" i="505" s="1"/>
  <c r="H22" i="505"/>
  <c r="V21" i="505"/>
  <c r="W21" i="505" s="1"/>
  <c r="K21" i="505" a="1"/>
  <c r="K21" i="505" s="1"/>
  <c r="M21" i="505" s="1"/>
  <c r="J21" i="505" a="1"/>
  <c r="J21" i="505" s="1"/>
  <c r="H21" i="505"/>
  <c r="V20" i="505"/>
  <c r="W20" i="505" s="1"/>
  <c r="K20" i="505" a="1"/>
  <c r="K20" i="505" s="1"/>
  <c r="M20" i="505" s="1"/>
  <c r="J20" i="505" a="1"/>
  <c r="J20" i="505" s="1"/>
  <c r="H20" i="505"/>
  <c r="V19" i="505"/>
  <c r="W19" i="505" s="1"/>
  <c r="K19" i="505" a="1"/>
  <c r="K19" i="505" s="1"/>
  <c r="M19" i="505" s="1"/>
  <c r="J19" i="505" a="1"/>
  <c r="J19" i="505" s="1"/>
  <c r="H19" i="505"/>
  <c r="V18" i="505"/>
  <c r="W18" i="505" s="1"/>
  <c r="K18" i="505" a="1"/>
  <c r="K18" i="505" s="1"/>
  <c r="M18" i="505" s="1"/>
  <c r="V17" i="505"/>
  <c r="W17" i="505" s="1"/>
  <c r="K17" i="505" a="1"/>
  <c r="K17" i="505" s="1"/>
  <c r="V16" i="505"/>
  <c r="W16" i="505" s="1"/>
  <c r="K16" i="505" a="1"/>
  <c r="K16" i="505" s="1"/>
  <c r="M16" i="505" s="1"/>
  <c r="V15" i="505"/>
  <c r="W15" i="505" s="1"/>
  <c r="K15" i="505" a="1"/>
  <c r="K15" i="505" s="1"/>
  <c r="V14" i="505"/>
  <c r="W14" i="505" s="1"/>
  <c r="K14" i="505" a="1"/>
  <c r="K14" i="505" s="1"/>
  <c r="M14" i="505" s="1"/>
  <c r="V13" i="505"/>
  <c r="W13" i="505" s="1"/>
  <c r="K13" i="505" a="1"/>
  <c r="K13" i="505" s="1"/>
  <c r="V12" i="505"/>
  <c r="W12" i="505" s="1"/>
  <c r="K12" i="505" a="1"/>
  <c r="K12" i="505" s="1"/>
  <c r="M12" i="505" s="1"/>
  <c r="V11" i="505"/>
  <c r="W11" i="505" s="1"/>
  <c r="K11" i="505" a="1"/>
  <c r="K11" i="505" s="1"/>
  <c r="V10" i="505"/>
  <c r="W10" i="505" s="1"/>
  <c r="K10" i="505" a="1"/>
  <c r="K10" i="505" s="1"/>
  <c r="M10" i="505" s="1"/>
  <c r="V9" i="505"/>
  <c r="W9" i="505" s="1"/>
  <c r="K9" i="505" a="1"/>
  <c r="K9" i="505" s="1"/>
  <c r="V8" i="505"/>
  <c r="W8" i="505" s="1"/>
  <c r="K8" i="505" a="1"/>
  <c r="K8" i="505" s="1"/>
  <c r="M8" i="505" s="1"/>
  <c r="AA28" i="505"/>
  <c r="Z28" i="505"/>
  <c r="Y28" i="505"/>
  <c r="X28" i="505"/>
  <c r="U28" i="505"/>
  <c r="T28" i="505"/>
  <c r="S28" i="505"/>
  <c r="R28" i="505"/>
  <c r="Q28" i="505"/>
  <c r="P28" i="505"/>
  <c r="O28" i="505"/>
  <c r="J7" i="505"/>
  <c r="I28" i="505"/>
  <c r="H7" i="505"/>
  <c r="G28" i="505"/>
  <c r="B4" i="534" s="1"/>
  <c r="R335" i="505" l="1"/>
  <c r="T335" i="505"/>
  <c r="Y335" i="505"/>
  <c r="AA335" i="505"/>
  <c r="R170" i="505"/>
  <c r="D4" i="534"/>
  <c r="K4" i="534"/>
  <c r="D6" i="534"/>
  <c r="K6" i="534"/>
  <c r="G4" i="534"/>
  <c r="E11" i="534"/>
  <c r="G11" i="534" s="1"/>
  <c r="D8" i="534"/>
  <c r="K8" i="534"/>
  <c r="J4" i="534"/>
  <c r="H11" i="534"/>
  <c r="J11" i="534" s="1"/>
  <c r="E344" i="508"/>
  <c r="C521" i="508"/>
  <c r="G521" i="508" s="1"/>
  <c r="S533" i="508"/>
  <c r="Q536" i="508"/>
  <c r="S536" i="508" s="1" a="1"/>
  <c r="S536" i="508" s="1"/>
  <c r="R533" i="508"/>
  <c r="R536" i="508" s="1"/>
  <c r="T167" i="508"/>
  <c r="T166" i="508" a="1"/>
  <c r="T166" i="508" s="1"/>
  <c r="K530" i="508"/>
  <c r="T171" i="508"/>
  <c r="T168" i="508"/>
  <c r="T172" i="508"/>
  <c r="T169" i="508"/>
  <c r="T170" i="508"/>
  <c r="Z173" i="508"/>
  <c r="E530" i="508"/>
  <c r="N479" i="505"/>
  <c r="S524" i="508" a="1"/>
  <c r="S524" i="508" s="1"/>
  <c r="S529" i="508"/>
  <c r="S528" i="508"/>
  <c r="S527" i="508"/>
  <c r="S526" i="508"/>
  <c r="O519" i="508" a="1"/>
  <c r="O519" i="508" s="1"/>
  <c r="K519" i="508"/>
  <c r="R164" i="505"/>
  <c r="Q335" i="505"/>
  <c r="S335" i="505"/>
  <c r="U335" i="505"/>
  <c r="X335" i="505"/>
  <c r="Z335" i="505"/>
  <c r="R513" i="505"/>
  <c r="R514" i="505"/>
  <c r="R171" i="505"/>
  <c r="N319" i="505"/>
  <c r="N334" i="505"/>
  <c r="V334" i="505"/>
  <c r="N370" i="505"/>
  <c r="P507" i="505"/>
  <c r="R507" i="505"/>
  <c r="T507" i="505"/>
  <c r="V370" i="505"/>
  <c r="Y507" i="505"/>
  <c r="AA507" i="505"/>
  <c r="N428" i="505"/>
  <c r="N506" i="505"/>
  <c r="V506" i="505"/>
  <c r="W506" i="505" s="1"/>
  <c r="V86" i="505"/>
  <c r="R168" i="505"/>
  <c r="K163" i="505"/>
  <c r="V163" i="505"/>
  <c r="V479" i="505"/>
  <c r="K86" i="505"/>
  <c r="V257" i="505"/>
  <c r="N292" i="505"/>
  <c r="R341" i="505"/>
  <c r="V319" i="505"/>
  <c r="Q507" i="505"/>
  <c r="S507" i="505"/>
  <c r="U507" i="505"/>
  <c r="X507" i="505"/>
  <c r="Z507" i="505"/>
  <c r="V428" i="505"/>
  <c r="W428" i="505" s="1"/>
  <c r="K167" i="505"/>
  <c r="M167" i="505" s="1"/>
  <c r="R339" i="505"/>
  <c r="R340" i="505"/>
  <c r="R511" i="505"/>
  <c r="K168" i="505"/>
  <c r="M168" i="505" s="1"/>
  <c r="K169" i="505"/>
  <c r="M169" i="505" s="1"/>
  <c r="Q524" i="505"/>
  <c r="Q527" i="505"/>
  <c r="Q529" i="505"/>
  <c r="M73" i="505"/>
  <c r="M75" i="505"/>
  <c r="M95" i="505"/>
  <c r="M96" i="505"/>
  <c r="M97" i="505"/>
  <c r="M98" i="505"/>
  <c r="M99" i="505"/>
  <c r="M100" i="505"/>
  <c r="M101" i="505"/>
  <c r="M102" i="505"/>
  <c r="M103" i="505"/>
  <c r="M104" i="505"/>
  <c r="M105" i="505"/>
  <c r="M106" i="505"/>
  <c r="M107" i="505"/>
  <c r="M109" i="505"/>
  <c r="M111" i="505"/>
  <c r="M113" i="505"/>
  <c r="M114" i="505"/>
  <c r="C528" i="505"/>
  <c r="J148" i="505" a="1"/>
  <c r="J148" i="505" s="1"/>
  <c r="K528" i="505"/>
  <c r="M139" i="505"/>
  <c r="M140" i="505"/>
  <c r="M141" i="505"/>
  <c r="M142" i="505"/>
  <c r="M154" i="505"/>
  <c r="M155" i="505"/>
  <c r="M159" i="505"/>
  <c r="M160" i="505"/>
  <c r="M179" i="505"/>
  <c r="M181" i="505"/>
  <c r="M183" i="505"/>
  <c r="M185" i="505"/>
  <c r="M187" i="505"/>
  <c r="R166" i="505"/>
  <c r="J552" i="505"/>
  <c r="J544" i="505"/>
  <c r="C524" i="505"/>
  <c r="J28" i="505" a="1"/>
  <c r="J28" i="505" s="1"/>
  <c r="L552" i="505"/>
  <c r="L544" i="505"/>
  <c r="M9" i="505"/>
  <c r="M11" i="505"/>
  <c r="M13" i="505"/>
  <c r="M15" i="505"/>
  <c r="M17" i="505"/>
  <c r="M23" i="505"/>
  <c r="M29" i="505"/>
  <c r="Q528" i="505"/>
  <c r="M37" i="505"/>
  <c r="M39" i="505"/>
  <c r="M41" i="505"/>
  <c r="M43" i="505"/>
  <c r="M45" i="505"/>
  <c r="M47" i="505"/>
  <c r="M49" i="505"/>
  <c r="M50" i="505"/>
  <c r="M51" i="505"/>
  <c r="M52" i="505"/>
  <c r="M53" i="505"/>
  <c r="M54" i="505"/>
  <c r="M55" i="505"/>
  <c r="M56" i="505"/>
  <c r="M57" i="505"/>
  <c r="M59" i="505"/>
  <c r="M61" i="505"/>
  <c r="M63" i="505"/>
  <c r="M65" i="505"/>
  <c r="M69" i="505"/>
  <c r="M72" i="505"/>
  <c r="M74" i="505"/>
  <c r="M76" i="505"/>
  <c r="M77" i="505"/>
  <c r="M78" i="505"/>
  <c r="J554" i="505"/>
  <c r="M554" i="505" s="1"/>
  <c r="C526" i="505"/>
  <c r="J121" i="505" a="1"/>
  <c r="J121" i="505" s="1"/>
  <c r="K526" i="505"/>
  <c r="M88" i="505"/>
  <c r="M89" i="505"/>
  <c r="M90" i="505"/>
  <c r="M91" i="505"/>
  <c r="M92" i="505"/>
  <c r="M93" i="505"/>
  <c r="M94" i="505"/>
  <c r="M108" i="505"/>
  <c r="M110" i="505"/>
  <c r="M112" i="505"/>
  <c r="M119" i="505"/>
  <c r="M120" i="505"/>
  <c r="M122" i="505"/>
  <c r="M123" i="505"/>
  <c r="M124" i="505"/>
  <c r="M125" i="505"/>
  <c r="M126" i="505"/>
  <c r="M127" i="505"/>
  <c r="M128" i="505"/>
  <c r="M129" i="505"/>
  <c r="M130" i="505"/>
  <c r="M131" i="505"/>
  <c r="M132" i="505"/>
  <c r="M133" i="505"/>
  <c r="M134" i="505"/>
  <c r="M135" i="505"/>
  <c r="M136" i="505"/>
  <c r="W148" i="505"/>
  <c r="M147" i="505"/>
  <c r="M149" i="505"/>
  <c r="K529" i="505"/>
  <c r="M150" i="505"/>
  <c r="M151" i="505"/>
  <c r="M152" i="505"/>
  <c r="M158" i="505"/>
  <c r="M161" i="505"/>
  <c r="V7" i="505"/>
  <c r="K7" i="505" a="1"/>
  <c r="K7" i="505" s="1"/>
  <c r="K28" i="505" s="1"/>
  <c r="H8" i="505"/>
  <c r="J8" i="505" a="1"/>
  <c r="J8" i="505" s="1"/>
  <c r="H9" i="505"/>
  <c r="J9" i="505" a="1"/>
  <c r="J9" i="505" s="1"/>
  <c r="H10" i="505"/>
  <c r="J10" i="505" a="1"/>
  <c r="J10" i="505" s="1"/>
  <c r="H11" i="505"/>
  <c r="J11" i="505" a="1"/>
  <c r="J11" i="505" s="1"/>
  <c r="H12" i="505"/>
  <c r="J12" i="505" a="1"/>
  <c r="J12" i="505" s="1"/>
  <c r="H13" i="505"/>
  <c r="J13" i="505" a="1"/>
  <c r="J13" i="505" s="1"/>
  <c r="H14" i="505"/>
  <c r="J14" i="505" a="1"/>
  <c r="J14" i="505" s="1"/>
  <c r="H15" i="505"/>
  <c r="J15" i="505" a="1"/>
  <c r="J15" i="505" s="1"/>
  <c r="H16" i="505"/>
  <c r="J16" i="505" a="1"/>
  <c r="J16" i="505" s="1"/>
  <c r="H17" i="505"/>
  <c r="J17" i="505" a="1"/>
  <c r="J17" i="505" s="1"/>
  <c r="H18" i="505"/>
  <c r="J18" i="505" a="1"/>
  <c r="J18" i="505" s="1"/>
  <c r="H72" i="505"/>
  <c r="J72" i="505" a="1"/>
  <c r="J72" i="505" s="1"/>
  <c r="H73" i="505"/>
  <c r="J73" i="505" a="1"/>
  <c r="J73" i="505" s="1"/>
  <c r="H74" i="505"/>
  <c r="J74" i="505" a="1"/>
  <c r="J74" i="505" s="1"/>
  <c r="H75" i="505"/>
  <c r="J75" i="505" a="1"/>
  <c r="J75" i="505" s="1"/>
  <c r="H76" i="505"/>
  <c r="H77" i="505"/>
  <c r="H78" i="505"/>
  <c r="H79" i="505"/>
  <c r="G86" i="505"/>
  <c r="B5" i="534" s="1"/>
  <c r="I86" i="505"/>
  <c r="L553" i="505" s="1"/>
  <c r="J87" i="505"/>
  <c r="J118" i="505" a="1"/>
  <c r="J118" i="505" s="1"/>
  <c r="K118" i="505" a="1"/>
  <c r="K118" i="505" s="1"/>
  <c r="M118" i="505" s="1"/>
  <c r="J119" i="505" a="1"/>
  <c r="J119" i="505" s="1"/>
  <c r="J120" i="505" a="1"/>
  <c r="J120" i="505" s="1"/>
  <c r="V121" i="505"/>
  <c r="W121" i="505" s="1"/>
  <c r="G137" i="505"/>
  <c r="B7" i="534" s="1"/>
  <c r="I137" i="505"/>
  <c r="L555" i="505" s="1"/>
  <c r="J138" i="505" a="1"/>
  <c r="J138" i="505" s="1"/>
  <c r="K138" i="505" a="1"/>
  <c r="K138" i="505" s="1"/>
  <c r="K148" i="505" s="1"/>
  <c r="W138" i="505"/>
  <c r="J139" i="505" a="1"/>
  <c r="J139" i="505" s="1"/>
  <c r="J140" i="505" a="1"/>
  <c r="J140" i="505" s="1"/>
  <c r="J154" i="505" a="1"/>
  <c r="J154" i="505" s="1"/>
  <c r="J155" i="505" a="1"/>
  <c r="J155" i="505" s="1"/>
  <c r="J159" i="505" a="1"/>
  <c r="J159" i="505" s="1"/>
  <c r="G163" i="505"/>
  <c r="B9" i="534" s="1"/>
  <c r="I163" i="505"/>
  <c r="L556" i="505" s="1"/>
  <c r="I166" i="505"/>
  <c r="J559" i="505"/>
  <c r="G335" i="505"/>
  <c r="J199" i="505" a="1"/>
  <c r="J199" i="505" s="1"/>
  <c r="L559" i="505"/>
  <c r="I335" i="505"/>
  <c r="B343" i="505" s="1"/>
  <c r="X338" i="505"/>
  <c r="P335" i="505"/>
  <c r="X339" i="505" s="1"/>
  <c r="V199" i="505"/>
  <c r="K194" i="505" a="1"/>
  <c r="K194" i="505" s="1"/>
  <c r="J194" i="505" a="1"/>
  <c r="J194" i="505" s="1"/>
  <c r="H194" i="505"/>
  <c r="W194" i="505"/>
  <c r="M195" i="505"/>
  <c r="R338" i="505"/>
  <c r="M208" i="505"/>
  <c r="M210" i="505"/>
  <c r="M212" i="505"/>
  <c r="M214" i="505"/>
  <c r="M216" i="505"/>
  <c r="M218" i="505"/>
  <c r="M220" i="505"/>
  <c r="M221" i="505"/>
  <c r="M222" i="505"/>
  <c r="M223" i="505"/>
  <c r="M224" i="505"/>
  <c r="M225" i="505"/>
  <c r="M226" i="505"/>
  <c r="M227" i="505"/>
  <c r="M228" i="505"/>
  <c r="M230" i="505"/>
  <c r="M232" i="505"/>
  <c r="M234" i="505"/>
  <c r="M236" i="505"/>
  <c r="M239" i="505"/>
  <c r="M240" i="505"/>
  <c r="M243" i="505"/>
  <c r="M245" i="505"/>
  <c r="M247" i="505"/>
  <c r="M248" i="505"/>
  <c r="M249" i="505"/>
  <c r="M250" i="505"/>
  <c r="J561" i="505"/>
  <c r="M561" i="505" s="1"/>
  <c r="J292" i="505" a="1"/>
  <c r="J292" i="505" s="1"/>
  <c r="M259" i="505"/>
  <c r="M261" i="505"/>
  <c r="M263" i="505"/>
  <c r="M265" i="505"/>
  <c r="M266" i="505"/>
  <c r="M268" i="505"/>
  <c r="M270" i="505"/>
  <c r="M272" i="505"/>
  <c r="M274" i="505"/>
  <c r="M276" i="505"/>
  <c r="M278" i="505"/>
  <c r="M279" i="505"/>
  <c r="M280" i="505"/>
  <c r="M281" i="505"/>
  <c r="M282" i="505"/>
  <c r="M283" i="505"/>
  <c r="M284" i="505"/>
  <c r="M289" i="505"/>
  <c r="M291" i="505"/>
  <c r="H23" i="505"/>
  <c r="H25" i="505"/>
  <c r="H29" i="505"/>
  <c r="J29" i="505" a="1"/>
  <c r="J29" i="505" s="1"/>
  <c r="W29" i="505"/>
  <c r="H30" i="505"/>
  <c r="H37" i="505"/>
  <c r="J37" i="505" a="1"/>
  <c r="J37" i="505" s="1"/>
  <c r="H38" i="505"/>
  <c r="J38" i="505" a="1"/>
  <c r="J38" i="505" s="1"/>
  <c r="H39" i="505"/>
  <c r="J39" i="505" a="1"/>
  <c r="J39" i="505" s="1"/>
  <c r="H40" i="505"/>
  <c r="J40" i="505" a="1"/>
  <c r="J40" i="505" s="1"/>
  <c r="H41" i="505"/>
  <c r="J41" i="505" a="1"/>
  <c r="J41" i="505" s="1"/>
  <c r="H42" i="505"/>
  <c r="J42" i="505" a="1"/>
  <c r="J42" i="505" s="1"/>
  <c r="H43" i="505"/>
  <c r="J43" i="505" a="1"/>
  <c r="J43" i="505" s="1"/>
  <c r="H44" i="505"/>
  <c r="J44" i="505" a="1"/>
  <c r="J44" i="505" s="1"/>
  <c r="H45" i="505"/>
  <c r="J45" i="505" a="1"/>
  <c r="J45" i="505" s="1"/>
  <c r="H46" i="505"/>
  <c r="J46" i="505" a="1"/>
  <c r="J46" i="505" s="1"/>
  <c r="H47" i="505"/>
  <c r="J47" i="505" a="1"/>
  <c r="J47" i="505" s="1"/>
  <c r="H48" i="505"/>
  <c r="J48" i="505" a="1"/>
  <c r="J48" i="505" s="1"/>
  <c r="H49" i="505"/>
  <c r="H50" i="505"/>
  <c r="H51" i="505"/>
  <c r="H52" i="505"/>
  <c r="H53" i="505"/>
  <c r="H54" i="505"/>
  <c r="H55" i="505"/>
  <c r="H56" i="505"/>
  <c r="H57" i="505"/>
  <c r="J57" i="505" a="1"/>
  <c r="J57" i="505" s="1"/>
  <c r="H58" i="505"/>
  <c r="J58" i="505" a="1"/>
  <c r="J58" i="505" s="1"/>
  <c r="H59" i="505"/>
  <c r="J59" i="505" a="1"/>
  <c r="J59" i="505" s="1"/>
  <c r="H60" i="505"/>
  <c r="J60" i="505" a="1"/>
  <c r="J60" i="505" s="1"/>
  <c r="H61" i="505"/>
  <c r="J61" i="505" a="1"/>
  <c r="J61" i="505" s="1"/>
  <c r="H62" i="505"/>
  <c r="J62" i="505" a="1"/>
  <c r="J62" i="505" s="1"/>
  <c r="H63" i="505"/>
  <c r="J63" i="505" a="1"/>
  <c r="J63" i="505" s="1"/>
  <c r="H64" i="505"/>
  <c r="J64" i="505" a="1"/>
  <c r="J64" i="505" s="1"/>
  <c r="H65" i="505"/>
  <c r="J65" i="505" a="1"/>
  <c r="J65" i="505" s="1"/>
  <c r="H66" i="505"/>
  <c r="J66" i="505" a="1"/>
  <c r="J66" i="505" s="1"/>
  <c r="H67" i="505"/>
  <c r="H69" i="505"/>
  <c r="J69" i="505" a="1"/>
  <c r="J69" i="505" s="1"/>
  <c r="H70" i="505"/>
  <c r="J70" i="505" a="1"/>
  <c r="J70" i="505" s="1"/>
  <c r="P86" i="505"/>
  <c r="K87" i="505" a="1"/>
  <c r="K87" i="505" s="1"/>
  <c r="J88" i="505" a="1"/>
  <c r="J88" i="505" s="1"/>
  <c r="J89" i="505" a="1"/>
  <c r="J89" i="505" s="1"/>
  <c r="J90" i="505" a="1"/>
  <c r="J90" i="505" s="1"/>
  <c r="J91" i="505" a="1"/>
  <c r="J91" i="505" s="1"/>
  <c r="J92" i="505" a="1"/>
  <c r="J92" i="505" s="1"/>
  <c r="J93" i="505" a="1"/>
  <c r="J93" i="505" s="1"/>
  <c r="J95" i="505" a="1"/>
  <c r="J95" i="505" s="1"/>
  <c r="J96" i="505" a="1"/>
  <c r="J96" i="505" s="1"/>
  <c r="J97" i="505" a="1"/>
  <c r="J97" i="505" s="1"/>
  <c r="J98" i="505" a="1"/>
  <c r="J98" i="505" s="1"/>
  <c r="J99" i="505" a="1"/>
  <c r="J99" i="505" s="1"/>
  <c r="J100" i="505" a="1"/>
  <c r="J100" i="505" s="1"/>
  <c r="J101" i="505" a="1"/>
  <c r="J101" i="505" s="1"/>
  <c r="J102" i="505" a="1"/>
  <c r="J102" i="505" s="1"/>
  <c r="J103" i="505" a="1"/>
  <c r="J103" i="505" s="1"/>
  <c r="J104" i="505" a="1"/>
  <c r="J104" i="505" s="1"/>
  <c r="J105" i="505" a="1"/>
  <c r="J105" i="505" s="1"/>
  <c r="J106" i="505" a="1"/>
  <c r="J106" i="505" s="1"/>
  <c r="J113" i="505" a="1"/>
  <c r="J113" i="505" s="1"/>
  <c r="J114" i="505" a="1"/>
  <c r="J114" i="505" s="1"/>
  <c r="J122" i="505" a="1"/>
  <c r="J122" i="505" s="1"/>
  <c r="W122" i="505"/>
  <c r="J123" i="505" a="1"/>
  <c r="J123" i="505" s="1"/>
  <c r="J124" i="505" a="1"/>
  <c r="J124" i="505" s="1"/>
  <c r="J125" i="505" a="1"/>
  <c r="J125" i="505" s="1"/>
  <c r="J126" i="505" a="1"/>
  <c r="J126" i="505" s="1"/>
  <c r="J127" i="505" a="1"/>
  <c r="J127" i="505" s="1"/>
  <c r="J128" i="505" a="1"/>
  <c r="J128" i="505" s="1"/>
  <c r="J129" i="505" a="1"/>
  <c r="J129" i="505" s="1"/>
  <c r="J130" i="505" a="1"/>
  <c r="J130" i="505" s="1"/>
  <c r="J131" i="505" a="1"/>
  <c r="J131" i="505" s="1"/>
  <c r="J132" i="505" a="1"/>
  <c r="J132" i="505" s="1"/>
  <c r="J133" i="505" a="1"/>
  <c r="J133" i="505" s="1"/>
  <c r="J134" i="505" a="1"/>
  <c r="J134" i="505" s="1"/>
  <c r="J135" i="505" a="1"/>
  <c r="J135" i="505" s="1"/>
  <c r="J136" i="505" a="1"/>
  <c r="J136" i="505" s="1"/>
  <c r="J147" i="505" a="1"/>
  <c r="J147" i="505" s="1"/>
  <c r="J149" i="505" a="1"/>
  <c r="J149" i="505" s="1"/>
  <c r="W149" i="505"/>
  <c r="J150" i="505" a="1"/>
  <c r="J150" i="505" s="1"/>
  <c r="J151" i="505" a="1"/>
  <c r="J151" i="505" s="1"/>
  <c r="J152" i="505" a="1"/>
  <c r="J152" i="505" s="1"/>
  <c r="J158" i="505" a="1"/>
  <c r="J158" i="505" s="1"/>
  <c r="H178" i="505"/>
  <c r="J178" i="505" a="1"/>
  <c r="J178" i="505" s="1"/>
  <c r="K178" i="505" a="1"/>
  <c r="K178" i="505" s="1"/>
  <c r="K199" i="505" s="1"/>
  <c r="R337" i="505"/>
  <c r="O335" i="505"/>
  <c r="W178" i="505"/>
  <c r="W199" i="505" s="1"/>
  <c r="H179" i="505"/>
  <c r="J179" i="505" a="1"/>
  <c r="J179" i="505" s="1"/>
  <c r="H180" i="505"/>
  <c r="J180" i="505" a="1"/>
  <c r="J180" i="505" s="1"/>
  <c r="H181" i="505"/>
  <c r="J181" i="505" a="1"/>
  <c r="J181" i="505" s="1"/>
  <c r="H182" i="505"/>
  <c r="J182" i="505" a="1"/>
  <c r="J182" i="505" s="1"/>
  <c r="H183" i="505"/>
  <c r="J183" i="505" a="1"/>
  <c r="J183" i="505" s="1"/>
  <c r="H184" i="505"/>
  <c r="J184" i="505" a="1"/>
  <c r="J184" i="505" s="1"/>
  <c r="H185" i="505"/>
  <c r="J185" i="505" a="1"/>
  <c r="J185" i="505" s="1"/>
  <c r="H186" i="505"/>
  <c r="J186" i="505" a="1"/>
  <c r="J186" i="505" s="1"/>
  <c r="H187" i="505"/>
  <c r="J187" i="505" a="1"/>
  <c r="J187" i="505" s="1"/>
  <c r="M194" i="505"/>
  <c r="J560" i="505"/>
  <c r="M560" i="505" s="1"/>
  <c r="J257" i="505" a="1"/>
  <c r="J257" i="505" s="1"/>
  <c r="W257" i="505"/>
  <c r="H200" i="505"/>
  <c r="J200" i="505" a="1"/>
  <c r="J200" i="505" s="1"/>
  <c r="K200" i="505" a="1"/>
  <c r="K200" i="505" s="1"/>
  <c r="K257" i="505" s="1"/>
  <c r="W200" i="505"/>
  <c r="H208" i="505"/>
  <c r="J208" i="505" a="1"/>
  <c r="J208" i="505" s="1"/>
  <c r="H209" i="505"/>
  <c r="J209" i="505" a="1"/>
  <c r="J209" i="505" s="1"/>
  <c r="H210" i="505"/>
  <c r="J210" i="505" a="1"/>
  <c r="J210" i="505" s="1"/>
  <c r="H211" i="505"/>
  <c r="J211" i="505" a="1"/>
  <c r="J211" i="505" s="1"/>
  <c r="H212" i="505"/>
  <c r="J212" i="505" a="1"/>
  <c r="J212" i="505" s="1"/>
  <c r="H213" i="505"/>
  <c r="J213" i="505" a="1"/>
  <c r="J213" i="505" s="1"/>
  <c r="H214" i="505"/>
  <c r="J214" i="505" a="1"/>
  <c r="J214" i="505" s="1"/>
  <c r="H215" i="505"/>
  <c r="J215" i="505" a="1"/>
  <c r="J215" i="505" s="1"/>
  <c r="H216" i="505"/>
  <c r="J216" i="505" a="1"/>
  <c r="J216" i="505" s="1"/>
  <c r="H217" i="505"/>
  <c r="J217" i="505" a="1"/>
  <c r="J217" i="505" s="1"/>
  <c r="H218" i="505"/>
  <c r="J218" i="505" a="1"/>
  <c r="J218" i="505" s="1"/>
  <c r="H219" i="505"/>
  <c r="J219" i="505" a="1"/>
  <c r="J219" i="505" s="1"/>
  <c r="H220" i="505"/>
  <c r="H221" i="505"/>
  <c r="H222" i="505"/>
  <c r="H223" i="505"/>
  <c r="H224" i="505"/>
  <c r="H225" i="505"/>
  <c r="H226" i="505"/>
  <c r="H227" i="505"/>
  <c r="H228" i="505"/>
  <c r="J228" i="505" a="1"/>
  <c r="J228" i="505" s="1"/>
  <c r="H229" i="505"/>
  <c r="J229" i="505" a="1"/>
  <c r="J229" i="505" s="1"/>
  <c r="H230" i="505"/>
  <c r="J230" i="505" a="1"/>
  <c r="J230" i="505" s="1"/>
  <c r="H231" i="505"/>
  <c r="J231" i="505" a="1"/>
  <c r="J231" i="505" s="1"/>
  <c r="H232" i="505"/>
  <c r="J232" i="505" a="1"/>
  <c r="J232" i="505" s="1"/>
  <c r="H233" i="505"/>
  <c r="J233" i="505" a="1"/>
  <c r="J233" i="505" s="1"/>
  <c r="H234" i="505"/>
  <c r="J234" i="505" a="1"/>
  <c r="J234" i="505" s="1"/>
  <c r="H235" i="505"/>
  <c r="J235" i="505" a="1"/>
  <c r="J235" i="505" s="1"/>
  <c r="H236" i="505"/>
  <c r="J236" i="505" a="1"/>
  <c r="J236" i="505" s="1"/>
  <c r="H289" i="505"/>
  <c r="J289" i="505" a="1"/>
  <c r="J289" i="505" s="1"/>
  <c r="H290" i="505"/>
  <c r="J290" i="505" a="1"/>
  <c r="J290" i="505" s="1"/>
  <c r="H291" i="505"/>
  <c r="J291" i="505" a="1"/>
  <c r="J291" i="505" s="1"/>
  <c r="V292" i="505"/>
  <c r="W292" i="505" s="1"/>
  <c r="J562" i="505"/>
  <c r="M562" i="505" s="1"/>
  <c r="J308" i="505" a="1"/>
  <c r="J308" i="505" s="1"/>
  <c r="N308" i="505"/>
  <c r="V308" i="505"/>
  <c r="W308" i="505" s="1"/>
  <c r="K300" i="505" a="1"/>
  <c r="K300" i="505" s="1"/>
  <c r="J300" i="505" a="1"/>
  <c r="J300" i="505" s="1"/>
  <c r="M300" i="505"/>
  <c r="M302" i="505"/>
  <c r="M304" i="505"/>
  <c r="M306" i="505"/>
  <c r="J319" i="505" a="1"/>
  <c r="J319" i="505" s="1"/>
  <c r="W319" i="505"/>
  <c r="M310" i="505"/>
  <c r="M312" i="505"/>
  <c r="R342" i="505"/>
  <c r="M322" i="505"/>
  <c r="M326" i="505"/>
  <c r="J565" i="505"/>
  <c r="G507" i="505"/>
  <c r="J370" i="505" a="1"/>
  <c r="J370" i="505" s="1"/>
  <c r="M350" i="505"/>
  <c r="M352" i="505"/>
  <c r="M354" i="505"/>
  <c r="M356" i="505"/>
  <c r="M358" i="505"/>
  <c r="M362" i="505"/>
  <c r="M364" i="505"/>
  <c r="M366" i="505"/>
  <c r="M368" i="505"/>
  <c r="M374" i="505"/>
  <c r="M376" i="505"/>
  <c r="M377" i="505"/>
  <c r="M378" i="505"/>
  <c r="M379" i="505"/>
  <c r="M381" i="505"/>
  <c r="M383" i="505"/>
  <c r="M385" i="505"/>
  <c r="M387" i="505"/>
  <c r="M389" i="505"/>
  <c r="M391" i="505"/>
  <c r="M392" i="505"/>
  <c r="M393" i="505"/>
  <c r="M394" i="505"/>
  <c r="M395" i="505"/>
  <c r="M397" i="505"/>
  <c r="H195" i="505"/>
  <c r="H239" i="505"/>
  <c r="H240" i="505"/>
  <c r="J240" i="505" a="1"/>
  <c r="J240" i="505" s="1"/>
  <c r="H241" i="505"/>
  <c r="J241" i="505" a="1"/>
  <c r="J241" i="505" s="1"/>
  <c r="H243" i="505"/>
  <c r="J243" i="505" a="1"/>
  <c r="J243" i="505" s="1"/>
  <c r="H244" i="505"/>
  <c r="J244" i="505" a="1"/>
  <c r="J244" i="505" s="1"/>
  <c r="H245" i="505"/>
  <c r="J245" i="505" a="1"/>
  <c r="J245" i="505" s="1"/>
  <c r="H246" i="505"/>
  <c r="J246" i="505" a="1"/>
  <c r="J246" i="505" s="1"/>
  <c r="H247" i="505"/>
  <c r="H248" i="505"/>
  <c r="H249" i="505"/>
  <c r="H250" i="505"/>
  <c r="H258" i="505"/>
  <c r="J258" i="505" a="1"/>
  <c r="J258" i="505" s="1"/>
  <c r="K258" i="505" a="1"/>
  <c r="K258" i="505" s="1"/>
  <c r="K292" i="505" s="1"/>
  <c r="H259" i="505"/>
  <c r="J259" i="505" a="1"/>
  <c r="J259" i="505" s="1"/>
  <c r="H260" i="505"/>
  <c r="J260" i="505" a="1"/>
  <c r="J260" i="505" s="1"/>
  <c r="H261" i="505"/>
  <c r="J261" i="505" a="1"/>
  <c r="J261" i="505" s="1"/>
  <c r="H262" i="505"/>
  <c r="J262" i="505" a="1"/>
  <c r="J262" i="505" s="1"/>
  <c r="H263" i="505"/>
  <c r="J263" i="505" a="1"/>
  <c r="J263" i="505" s="1"/>
  <c r="H264" i="505"/>
  <c r="J264" i="505" a="1"/>
  <c r="J264" i="505" s="1"/>
  <c r="H265" i="505"/>
  <c r="H266" i="505"/>
  <c r="J266" i="505" a="1"/>
  <c r="J266" i="505" s="1"/>
  <c r="H267" i="505"/>
  <c r="J267" i="505" a="1"/>
  <c r="J267" i="505" s="1"/>
  <c r="H268" i="505"/>
  <c r="J268" i="505" a="1"/>
  <c r="J268" i="505" s="1"/>
  <c r="H269" i="505"/>
  <c r="J269" i="505" a="1"/>
  <c r="J269" i="505" s="1"/>
  <c r="H270" i="505"/>
  <c r="J270" i="505" a="1"/>
  <c r="J270" i="505" s="1"/>
  <c r="H271" i="505"/>
  <c r="J271" i="505" a="1"/>
  <c r="J271" i="505" s="1"/>
  <c r="H272" i="505"/>
  <c r="J272" i="505" a="1"/>
  <c r="J272" i="505" s="1"/>
  <c r="H273" i="505"/>
  <c r="J273" i="505" a="1"/>
  <c r="J273" i="505" s="1"/>
  <c r="H274" i="505"/>
  <c r="J274" i="505" a="1"/>
  <c r="J274" i="505" s="1"/>
  <c r="H275" i="505"/>
  <c r="J275" i="505" a="1"/>
  <c r="J275" i="505" s="1"/>
  <c r="H276" i="505"/>
  <c r="J276" i="505" a="1"/>
  <c r="J276" i="505" s="1"/>
  <c r="H277" i="505"/>
  <c r="J277" i="505" a="1"/>
  <c r="J277" i="505" s="1"/>
  <c r="H278" i="505"/>
  <c r="H279" i="505"/>
  <c r="H280" i="505"/>
  <c r="H281" i="505"/>
  <c r="H282" i="505"/>
  <c r="H283" i="505"/>
  <c r="H284" i="505"/>
  <c r="J284" i="505" a="1"/>
  <c r="J284" i="505" s="1"/>
  <c r="H285" i="505"/>
  <c r="J285" i="505" a="1"/>
  <c r="J285" i="505" s="1"/>
  <c r="H293" i="505"/>
  <c r="J293" i="505" a="1"/>
  <c r="J293" i="505" s="1"/>
  <c r="K293" i="505" a="1"/>
  <c r="K293" i="505" s="1"/>
  <c r="W293" i="505"/>
  <c r="H294" i="505"/>
  <c r="J294" i="505" a="1"/>
  <c r="J294" i="505" s="1"/>
  <c r="J563" i="505"/>
  <c r="M563" i="505" s="1"/>
  <c r="J334" i="505" a="1"/>
  <c r="J334" i="505" s="1"/>
  <c r="W334" i="505"/>
  <c r="L565" i="505"/>
  <c r="R509" i="505"/>
  <c r="M400" i="505"/>
  <c r="M402" i="505"/>
  <c r="H301" i="505"/>
  <c r="J301" i="505" a="1"/>
  <c r="J301" i="505" s="1"/>
  <c r="H302" i="505"/>
  <c r="J302" i="505" a="1"/>
  <c r="J302" i="505" s="1"/>
  <c r="H303" i="505"/>
  <c r="J303" i="505" a="1"/>
  <c r="J303" i="505" s="1"/>
  <c r="H304" i="505"/>
  <c r="J304" i="505" a="1"/>
  <c r="J304" i="505" s="1"/>
  <c r="H305" i="505"/>
  <c r="J305" i="505" a="1"/>
  <c r="J305" i="505" s="1"/>
  <c r="H306" i="505"/>
  <c r="J306" i="505" a="1"/>
  <c r="J306" i="505" s="1"/>
  <c r="H307" i="505"/>
  <c r="J307" i="505" a="1"/>
  <c r="J307" i="505" s="1"/>
  <c r="H318" i="505"/>
  <c r="J318" i="505" a="1"/>
  <c r="J318" i="505" s="1"/>
  <c r="H320" i="505"/>
  <c r="J320" i="505" a="1"/>
  <c r="J320" i="505" s="1"/>
  <c r="K320" i="505" a="1"/>
  <c r="K320" i="505" s="1"/>
  <c r="K334" i="505" s="1"/>
  <c r="W320" i="505"/>
  <c r="H321" i="505"/>
  <c r="J321" i="505" a="1"/>
  <c r="J321" i="505" s="1"/>
  <c r="H322" i="505"/>
  <c r="J322" i="505" a="1"/>
  <c r="J322" i="505" s="1"/>
  <c r="H323" i="505"/>
  <c r="J323" i="505" a="1"/>
  <c r="J323" i="505" s="1"/>
  <c r="H325" i="505"/>
  <c r="J325" i="505" a="1"/>
  <c r="J325" i="505" s="1"/>
  <c r="H326" i="505"/>
  <c r="J326" i="505" a="1"/>
  <c r="J326" i="505" s="1"/>
  <c r="H333" i="505"/>
  <c r="I337" i="505"/>
  <c r="H349" i="505"/>
  <c r="J349" i="505" a="1"/>
  <c r="J349" i="505" s="1"/>
  <c r="K349" i="505" a="1"/>
  <c r="K349" i="505" s="1"/>
  <c r="K370" i="505" s="1"/>
  <c r="W349" i="505"/>
  <c r="W370" i="505" s="1"/>
  <c r="H350" i="505"/>
  <c r="J350" i="505" a="1"/>
  <c r="J350" i="505" s="1"/>
  <c r="H352" i="505"/>
  <c r="J352" i="505" a="1"/>
  <c r="J352" i="505" s="1"/>
  <c r="H353" i="505"/>
  <c r="J353" i="505" a="1"/>
  <c r="J353" i="505" s="1"/>
  <c r="H354" i="505"/>
  <c r="J354" i="505" a="1"/>
  <c r="J354" i="505" s="1"/>
  <c r="H355" i="505"/>
  <c r="J355" i="505" a="1"/>
  <c r="J355" i="505" s="1"/>
  <c r="H356" i="505"/>
  <c r="J356" i="505" a="1"/>
  <c r="J356" i="505" s="1"/>
  <c r="H357" i="505"/>
  <c r="J357" i="505" a="1"/>
  <c r="J357" i="505" s="1"/>
  <c r="H358" i="505"/>
  <c r="J358" i="505" a="1"/>
  <c r="J358" i="505" s="1"/>
  <c r="H361" i="505"/>
  <c r="J361" i="505" a="1"/>
  <c r="J361" i="505" s="1"/>
  <c r="H362" i="505"/>
  <c r="J362" i="505" a="1"/>
  <c r="J362" i="505" s="1"/>
  <c r="H363" i="505"/>
  <c r="J363" i="505" a="1"/>
  <c r="J363" i="505" s="1"/>
  <c r="H364" i="505"/>
  <c r="J364" i="505" a="1"/>
  <c r="J364" i="505" s="1"/>
  <c r="H365" i="505"/>
  <c r="J566" i="505"/>
  <c r="J545" i="505"/>
  <c r="J428" i="505" a="1"/>
  <c r="J428" i="505" s="1"/>
  <c r="L566" i="505"/>
  <c r="K372" i="505" a="1"/>
  <c r="K372" i="505" s="1"/>
  <c r="K403" i="505" a="1"/>
  <c r="K403" i="505" s="1"/>
  <c r="M403" i="505" s="1"/>
  <c r="J403" i="505" a="1"/>
  <c r="J403" i="505" s="1"/>
  <c r="H309" i="505"/>
  <c r="J309" i="505" a="1"/>
  <c r="J309" i="505" s="1"/>
  <c r="K309" i="505" a="1"/>
  <c r="K309" i="505" s="1"/>
  <c r="K319" i="505" s="1"/>
  <c r="W309" i="505"/>
  <c r="H310" i="505"/>
  <c r="J310" i="505" a="1"/>
  <c r="J310" i="505" s="1"/>
  <c r="H311" i="505"/>
  <c r="J311" i="505" a="1"/>
  <c r="J311" i="505" s="1"/>
  <c r="H312" i="505"/>
  <c r="H313" i="505"/>
  <c r="H351" i="505"/>
  <c r="J351" i="505" a="1"/>
  <c r="J351" i="505" s="1"/>
  <c r="H366" i="505"/>
  <c r="H368" i="505"/>
  <c r="H371" i="505"/>
  <c r="J371" i="505" a="1"/>
  <c r="J371" i="505" s="1"/>
  <c r="K371" i="505" a="1"/>
  <c r="K371" i="505" s="1"/>
  <c r="O428" i="505"/>
  <c r="R510" i="505" s="1"/>
  <c r="W371" i="505"/>
  <c r="H373" i="505"/>
  <c r="J373" i="505" a="1"/>
  <c r="J373" i="505" s="1"/>
  <c r="H374" i="505"/>
  <c r="J374" i="505" a="1"/>
  <c r="J374" i="505" s="1"/>
  <c r="H375" i="505"/>
  <c r="J375" i="505" a="1"/>
  <c r="J375" i="505" s="1"/>
  <c r="H376" i="505"/>
  <c r="H377" i="505"/>
  <c r="H378" i="505"/>
  <c r="H379" i="505"/>
  <c r="J379" i="505" a="1"/>
  <c r="J379" i="505" s="1"/>
  <c r="H380" i="505"/>
  <c r="J380" i="505" a="1"/>
  <c r="J380" i="505" s="1"/>
  <c r="H381" i="505"/>
  <c r="J381" i="505" a="1"/>
  <c r="J381" i="505" s="1"/>
  <c r="H382" i="505"/>
  <c r="J382" i="505" a="1"/>
  <c r="J382" i="505" s="1"/>
  <c r="H383" i="505"/>
  <c r="J383" i="505" a="1"/>
  <c r="J383" i="505" s="1"/>
  <c r="H384" i="505"/>
  <c r="J384" i="505" a="1"/>
  <c r="J384" i="505" s="1"/>
  <c r="H385" i="505"/>
  <c r="J385" i="505" a="1"/>
  <c r="J385" i="505" s="1"/>
  <c r="H386" i="505"/>
  <c r="J386" i="505" a="1"/>
  <c r="J386" i="505" s="1"/>
  <c r="H387" i="505"/>
  <c r="J387" i="505" a="1"/>
  <c r="J387" i="505" s="1"/>
  <c r="H388" i="505"/>
  <c r="J388" i="505" a="1"/>
  <c r="J388" i="505" s="1"/>
  <c r="H389" i="505"/>
  <c r="J389" i="505" a="1"/>
  <c r="J389" i="505" s="1"/>
  <c r="H390" i="505"/>
  <c r="J390" i="505" a="1"/>
  <c r="J390" i="505" s="1"/>
  <c r="H391" i="505"/>
  <c r="H392" i="505"/>
  <c r="H393" i="505"/>
  <c r="H394" i="505"/>
  <c r="H395" i="505"/>
  <c r="H397" i="505"/>
  <c r="H399" i="505"/>
  <c r="J399" i="505" a="1"/>
  <c r="J399" i="505" s="1"/>
  <c r="H400" i="505"/>
  <c r="J400" i="505" a="1"/>
  <c r="J400" i="505" s="1"/>
  <c r="H401" i="505"/>
  <c r="J401" i="505" a="1"/>
  <c r="J401" i="505" s="1"/>
  <c r="H402" i="505"/>
  <c r="J402" i="505" a="1"/>
  <c r="J402" i="505" s="1"/>
  <c r="H403" i="505"/>
  <c r="W403" i="505"/>
  <c r="M404" i="505"/>
  <c r="M406" i="505"/>
  <c r="M408" i="505"/>
  <c r="M412" i="505"/>
  <c r="M414" i="505"/>
  <c r="M416" i="505"/>
  <c r="M418" i="505"/>
  <c r="M420" i="505"/>
  <c r="M422" i="505"/>
  <c r="M423" i="505"/>
  <c r="M424" i="505"/>
  <c r="M425" i="505"/>
  <c r="M427" i="505"/>
  <c r="M430" i="505"/>
  <c r="M432" i="505"/>
  <c r="M434" i="505"/>
  <c r="M435" i="505"/>
  <c r="M438" i="505"/>
  <c r="H404" i="505"/>
  <c r="J404" i="505" a="1"/>
  <c r="J404" i="505" s="1"/>
  <c r="H405" i="505"/>
  <c r="J405" i="505" a="1"/>
  <c r="J405" i="505" s="1"/>
  <c r="H406" i="505"/>
  <c r="J406" i="505" a="1"/>
  <c r="J406" i="505" s="1"/>
  <c r="H407" i="505"/>
  <c r="J407" i="505" a="1"/>
  <c r="J407" i="505" s="1"/>
  <c r="H408" i="505"/>
  <c r="J408" i="505" a="1"/>
  <c r="J408" i="505" s="1"/>
  <c r="H409" i="505"/>
  <c r="H411" i="505"/>
  <c r="J411" i="505" a="1"/>
  <c r="J411" i="505" s="1"/>
  <c r="H412" i="505"/>
  <c r="J412" i="505" a="1"/>
  <c r="J412" i="505" s="1"/>
  <c r="H414" i="505"/>
  <c r="J414" i="505" a="1"/>
  <c r="J414" i="505" s="1"/>
  <c r="H415" i="505"/>
  <c r="J415" i="505" a="1"/>
  <c r="J415" i="505" s="1"/>
  <c r="H416" i="505"/>
  <c r="J416" i="505" a="1"/>
  <c r="J416" i="505" s="1"/>
  <c r="H417" i="505"/>
  <c r="J417" i="505" a="1"/>
  <c r="J417" i="505" s="1"/>
  <c r="H418" i="505"/>
  <c r="H420" i="505"/>
  <c r="H422" i="505"/>
  <c r="H423" i="505"/>
  <c r="H424" i="505"/>
  <c r="H425" i="505"/>
  <c r="H427" i="505"/>
  <c r="H429" i="505"/>
  <c r="J429" i="505" a="1"/>
  <c r="J429" i="505" s="1"/>
  <c r="K429" i="505" a="1"/>
  <c r="K429" i="505" s="1"/>
  <c r="K463" i="505" s="1"/>
  <c r="H430" i="505"/>
  <c r="J430" i="505" a="1"/>
  <c r="J430" i="505" s="1"/>
  <c r="H431" i="505"/>
  <c r="J431" i="505" a="1"/>
  <c r="J431" i="505" s="1"/>
  <c r="H432" i="505"/>
  <c r="J432" i="505" a="1"/>
  <c r="J432" i="505" s="1"/>
  <c r="H433" i="505"/>
  <c r="J433" i="505" a="1"/>
  <c r="J433" i="505" s="1"/>
  <c r="H434" i="505"/>
  <c r="J434" i="505" a="1"/>
  <c r="J434" i="505" s="1"/>
  <c r="H435" i="505"/>
  <c r="J435" i="505" a="1"/>
  <c r="J435" i="505" s="1"/>
  <c r="H436" i="505"/>
  <c r="H437" i="505"/>
  <c r="J437" i="505" a="1"/>
  <c r="J437" i="505" s="1"/>
  <c r="H438" i="505"/>
  <c r="J438" i="505" a="1"/>
  <c r="J438" i="505" s="1"/>
  <c r="J439" i="505" a="1"/>
  <c r="J439" i="505" s="1"/>
  <c r="J568" i="505"/>
  <c r="J547" i="505"/>
  <c r="J479" i="505" a="1"/>
  <c r="J479" i="505" s="1"/>
  <c r="W479" i="505"/>
  <c r="M481" i="505"/>
  <c r="M483" i="505"/>
  <c r="H426" i="505"/>
  <c r="J567" i="505"/>
  <c r="J546" i="505"/>
  <c r="J463" i="505" a="1"/>
  <c r="J463" i="505" s="1"/>
  <c r="L567" i="505"/>
  <c r="L546" i="505"/>
  <c r="V463" i="505"/>
  <c r="W463" i="505" s="1"/>
  <c r="N434" i="505"/>
  <c r="N463" i="505" s="1"/>
  <c r="M447" i="505"/>
  <c r="M449" i="505"/>
  <c r="M450" i="505"/>
  <c r="M451" i="505"/>
  <c r="M452" i="505"/>
  <c r="M453" i="505"/>
  <c r="M454" i="505"/>
  <c r="M455" i="505"/>
  <c r="M457" i="505"/>
  <c r="M458" i="505"/>
  <c r="M459" i="505"/>
  <c r="M460" i="505"/>
  <c r="M462" i="505"/>
  <c r="L568" i="505"/>
  <c r="R512" i="505"/>
  <c r="M467" i="505"/>
  <c r="M469" i="505"/>
  <c r="M470" i="505"/>
  <c r="M482" i="505"/>
  <c r="M484" i="505"/>
  <c r="H464" i="505"/>
  <c r="J464" i="505" a="1"/>
  <c r="J464" i="505" s="1"/>
  <c r="K464" i="505" a="1"/>
  <c r="K464" i="505" s="1"/>
  <c r="K479" i="505" s="1"/>
  <c r="W464" i="505"/>
  <c r="H465" i="505"/>
  <c r="J465" i="505" a="1"/>
  <c r="J465" i="505" s="1"/>
  <c r="H466" i="505"/>
  <c r="J466" i="505" a="1"/>
  <c r="J466" i="505" s="1"/>
  <c r="H467" i="505"/>
  <c r="J467" i="505" a="1"/>
  <c r="J467" i="505" s="1"/>
  <c r="H468" i="505"/>
  <c r="J468" i="505" a="1"/>
  <c r="J468" i="505" s="1"/>
  <c r="H469" i="505"/>
  <c r="J469" i="505" a="1"/>
  <c r="J469" i="505" s="1"/>
  <c r="H470" i="505"/>
  <c r="J470" i="505" a="1"/>
  <c r="J470" i="505" s="1"/>
  <c r="N490" i="505"/>
  <c r="V490" i="505"/>
  <c r="W490" i="505" s="1"/>
  <c r="I490" i="505"/>
  <c r="I507" i="505" s="1"/>
  <c r="B515" i="505" s="1"/>
  <c r="L569" i="505"/>
  <c r="L548" i="505"/>
  <c r="K513" i="505"/>
  <c r="M513" i="505" s="1"/>
  <c r="M509" i="505"/>
  <c r="H447" i="505"/>
  <c r="J447" i="505" a="1"/>
  <c r="J447" i="505" s="1"/>
  <c r="H448" i="505"/>
  <c r="J448" i="505" a="1"/>
  <c r="J448" i="505" s="1"/>
  <c r="H449" i="505"/>
  <c r="H450" i="505"/>
  <c r="H451" i="505"/>
  <c r="H452" i="505"/>
  <c r="H453" i="505"/>
  <c r="H454" i="505"/>
  <c r="H455" i="505"/>
  <c r="J455" i="505" a="1"/>
  <c r="J455" i="505" s="1"/>
  <c r="H456" i="505"/>
  <c r="J456" i="505" a="1"/>
  <c r="J456" i="505" s="1"/>
  <c r="H457" i="505"/>
  <c r="H458" i="505"/>
  <c r="H459" i="505"/>
  <c r="H460" i="505"/>
  <c r="J460" i="505" a="1"/>
  <c r="J460" i="505" s="1"/>
  <c r="H461" i="505"/>
  <c r="J461" i="505" a="1"/>
  <c r="J461" i="505" s="1"/>
  <c r="H462" i="505"/>
  <c r="J462" i="505" a="1"/>
  <c r="J462" i="505" s="1"/>
  <c r="H480" i="505"/>
  <c r="J480" i="505" a="1"/>
  <c r="J480" i="505" s="1"/>
  <c r="K480" i="505" a="1"/>
  <c r="K480" i="505" s="1"/>
  <c r="K490" i="505" s="1"/>
  <c r="W480" i="505"/>
  <c r="H481" i="505"/>
  <c r="J481" i="505" a="1"/>
  <c r="J481" i="505" s="1"/>
  <c r="H482" i="505"/>
  <c r="J482" i="505" a="1"/>
  <c r="J482" i="505" s="1"/>
  <c r="H483" i="505"/>
  <c r="J483" i="505" a="1"/>
  <c r="J483" i="505" s="1"/>
  <c r="H484" i="505"/>
  <c r="J484" i="505" a="1"/>
  <c r="J484" i="505" s="1"/>
  <c r="J569" i="505"/>
  <c r="J548" i="505"/>
  <c r="J506" i="505" a="1"/>
  <c r="J506" i="505" s="1"/>
  <c r="M492" i="505"/>
  <c r="M494" i="505"/>
  <c r="M498" i="505"/>
  <c r="H491" i="505"/>
  <c r="J491" i="505" a="1"/>
  <c r="J491" i="505" s="1"/>
  <c r="K491" i="505" a="1"/>
  <c r="K491" i="505" s="1"/>
  <c r="K506" i="505" s="1"/>
  <c r="W491" i="505"/>
  <c r="H492" i="505"/>
  <c r="J492" i="505" a="1"/>
  <c r="J492" i="505" s="1"/>
  <c r="H493" i="505"/>
  <c r="J493" i="505" a="1"/>
  <c r="J493" i="505" s="1"/>
  <c r="H494" i="505"/>
  <c r="J494" i="505" a="1"/>
  <c r="J494" i="505" s="1"/>
  <c r="H497" i="505"/>
  <c r="J497" i="505" a="1"/>
  <c r="J497" i="505" s="1"/>
  <c r="H498" i="505"/>
  <c r="J498" i="505" a="1"/>
  <c r="J498" i="505" s="1"/>
  <c r="H501" i="505"/>
  <c r="J501" i="505" a="1"/>
  <c r="J501" i="505" s="1"/>
  <c r="L545" i="505" l="1"/>
  <c r="M545" i="505" s="1"/>
  <c r="B11" i="534"/>
  <c r="D11" i="534" s="1"/>
  <c r="K9" i="534"/>
  <c r="D9" i="534"/>
  <c r="K7" i="534"/>
  <c r="D7" i="534"/>
  <c r="K5" i="534"/>
  <c r="D5" i="534"/>
  <c r="K121" i="505"/>
  <c r="K164" i="505" s="1"/>
  <c r="L547" i="505"/>
  <c r="M547" i="505" s="1"/>
  <c r="W163" i="505"/>
  <c r="T173" i="508"/>
  <c r="M524" i="508" a="1"/>
  <c r="M524" i="508" s="1"/>
  <c r="M525" i="508"/>
  <c r="M528" i="508"/>
  <c r="M526" i="508"/>
  <c r="M527" i="508"/>
  <c r="M529" i="508"/>
  <c r="S530" i="508"/>
  <c r="M569" i="505"/>
  <c r="K428" i="505"/>
  <c r="K308" i="505"/>
  <c r="M548" i="505"/>
  <c r="M349" i="505"/>
  <c r="M370" i="505" s="1"/>
  <c r="M429" i="505"/>
  <c r="M87" i="505"/>
  <c r="M371" i="505"/>
  <c r="M428" i="505" s="1"/>
  <c r="M293" i="505"/>
  <c r="M308" i="505" s="1"/>
  <c r="M464" i="505"/>
  <c r="M479" i="505" s="1"/>
  <c r="M7" i="505"/>
  <c r="M28" i="505" s="1"/>
  <c r="M552" i="505"/>
  <c r="N507" i="505"/>
  <c r="B516" i="505" s="1"/>
  <c r="E516" i="505" s="1"/>
  <c r="H319" i="505"/>
  <c r="M566" i="505"/>
  <c r="M258" i="505"/>
  <c r="M292" i="505" s="1"/>
  <c r="H28" i="505"/>
  <c r="K552" i="505" s="1"/>
  <c r="H506" i="505"/>
  <c r="M567" i="505"/>
  <c r="J490" i="505" a="1"/>
  <c r="J490" i="505" s="1"/>
  <c r="M568" i="505"/>
  <c r="M463" i="505"/>
  <c r="H428" i="505"/>
  <c r="M309" i="505"/>
  <c r="M319" i="505" s="1"/>
  <c r="K337" i="505"/>
  <c r="I341" i="505"/>
  <c r="H334" i="505"/>
  <c r="K563" i="505" s="1"/>
  <c r="O507" i="505"/>
  <c r="X510" i="505" s="1"/>
  <c r="H292" i="505"/>
  <c r="K561" i="505" s="1"/>
  <c r="B514" i="505"/>
  <c r="J570" i="505" s="1"/>
  <c r="J507" i="505" a="1"/>
  <c r="J507" i="505" s="1"/>
  <c r="M514" i="505" s="1"/>
  <c r="H257" i="505"/>
  <c r="K560" i="505" s="1"/>
  <c r="X344" i="505"/>
  <c r="W335" i="505"/>
  <c r="R344" i="505"/>
  <c r="T337" i="505" s="1" a="1"/>
  <c r="T337" i="505" s="1"/>
  <c r="K335" i="505"/>
  <c r="E343" i="505" s="1"/>
  <c r="I343" i="505" s="1"/>
  <c r="M343" i="505" s="1"/>
  <c r="H199" i="505"/>
  <c r="M121" i="505"/>
  <c r="T338" i="505"/>
  <c r="V335" i="505"/>
  <c r="I344" i="505" s="1"/>
  <c r="Z338" i="505"/>
  <c r="M559" i="505"/>
  <c r="M138" i="505"/>
  <c r="M148" i="505" s="1"/>
  <c r="J555" i="505"/>
  <c r="M555" i="505" s="1"/>
  <c r="C527" i="505"/>
  <c r="J137" i="505" a="1"/>
  <c r="J137" i="505" s="1"/>
  <c r="J553" i="505"/>
  <c r="M553" i="505" s="1"/>
  <c r="C525" i="505"/>
  <c r="J86" i="505" a="1"/>
  <c r="J86" i="505" s="1"/>
  <c r="M137" i="505"/>
  <c r="R167" i="505"/>
  <c r="I164" i="505"/>
  <c r="B172" i="505" s="1"/>
  <c r="G164" i="505"/>
  <c r="M544" i="505"/>
  <c r="J549" i="505"/>
  <c r="M491" i="505"/>
  <c r="M506" i="505" s="1"/>
  <c r="H490" i="505"/>
  <c r="H479" i="505"/>
  <c r="M480" i="505"/>
  <c r="M490" i="505" s="1"/>
  <c r="M546" i="505"/>
  <c r="H463" i="505"/>
  <c r="K507" i="505"/>
  <c r="E515" i="505" s="1"/>
  <c r="I515" i="505" s="1"/>
  <c r="M515" i="505" s="1"/>
  <c r="H370" i="505"/>
  <c r="M320" i="505"/>
  <c r="M334" i="505" s="1"/>
  <c r="X509" i="505"/>
  <c r="R516" i="505"/>
  <c r="T509" i="505" s="1" a="1"/>
  <c r="T509" i="505" s="1"/>
  <c r="H308" i="505"/>
  <c r="K562" i="505" s="1"/>
  <c r="V507" i="505"/>
  <c r="M565" i="505"/>
  <c r="M200" i="505"/>
  <c r="M257" i="505" s="1"/>
  <c r="M178" i="505"/>
  <c r="M199" i="505" s="1"/>
  <c r="H86" i="505"/>
  <c r="K553" i="505" s="1"/>
  <c r="B342" i="505"/>
  <c r="J564" i="505" s="1"/>
  <c r="J335" i="505" a="1"/>
  <c r="J335" i="505" s="1"/>
  <c r="M342" i="505" s="1"/>
  <c r="K166" i="505"/>
  <c r="I170" i="505"/>
  <c r="J556" i="505"/>
  <c r="M556" i="505" s="1"/>
  <c r="C529" i="505"/>
  <c r="J163" i="505" a="1"/>
  <c r="J163" i="505" s="1"/>
  <c r="V28" i="505"/>
  <c r="V164" i="505" s="1"/>
  <c r="I173" i="505" s="1"/>
  <c r="W7" i="505"/>
  <c r="W28" i="505" s="1"/>
  <c r="M163" i="505"/>
  <c r="M86" i="505"/>
  <c r="K524" i="505"/>
  <c r="W137" i="505"/>
  <c r="W86" i="505"/>
  <c r="K11" i="534" l="1"/>
  <c r="B12" i="534"/>
  <c r="M507" i="505"/>
  <c r="M530" i="508"/>
  <c r="C530" i="505"/>
  <c r="M164" i="505"/>
  <c r="L335" i="505"/>
  <c r="I342" i="505" s="1"/>
  <c r="K544" i="505"/>
  <c r="W164" i="505"/>
  <c r="M335" i="505"/>
  <c r="T515" i="505"/>
  <c r="T511" i="505"/>
  <c r="T514" i="505"/>
  <c r="T513" i="505"/>
  <c r="T510" i="505"/>
  <c r="T512" i="505"/>
  <c r="K568" i="505"/>
  <c r="C520" i="505"/>
  <c r="K525" i="505"/>
  <c r="M344" i="505" a="1"/>
  <c r="M344" i="505" s="1"/>
  <c r="T343" i="505"/>
  <c r="T339" i="505"/>
  <c r="T340" i="505"/>
  <c r="T341" i="505"/>
  <c r="Z337" i="505" a="1"/>
  <c r="Z337" i="505" s="1"/>
  <c r="Z340" i="505"/>
  <c r="Z342" i="505"/>
  <c r="Z341" i="505"/>
  <c r="Z343" i="505"/>
  <c r="T342" i="505"/>
  <c r="Z339" i="505"/>
  <c r="K569" i="505"/>
  <c r="K170" i="505"/>
  <c r="M170" i="505" s="1"/>
  <c r="M166" i="505"/>
  <c r="W507" i="505"/>
  <c r="I516" i="505"/>
  <c r="M516" i="505" s="1" a="1"/>
  <c r="M516" i="505" s="1"/>
  <c r="X516" i="505"/>
  <c r="Z510" i="505" s="1"/>
  <c r="K565" i="505"/>
  <c r="H507" i="505"/>
  <c r="E514" i="505" s="1"/>
  <c r="K567" i="505"/>
  <c r="B171" i="505"/>
  <c r="L164" i="505"/>
  <c r="I171" i="505" s="1"/>
  <c r="J164" i="505" a="1"/>
  <c r="J164" i="505" s="1"/>
  <c r="M171" i="505" s="1"/>
  <c r="E172" i="505"/>
  <c r="G520" i="505" s="1"/>
  <c r="E525" i="505"/>
  <c r="K559" i="505"/>
  <c r="H335" i="505"/>
  <c r="E342" i="505" s="1"/>
  <c r="L507" i="505"/>
  <c r="I514" i="505" s="1"/>
  <c r="K341" i="505"/>
  <c r="M341" i="505" s="1"/>
  <c r="M337" i="505"/>
  <c r="K545" i="505"/>
  <c r="K566" i="505"/>
  <c r="E528" i="505" l="1"/>
  <c r="E527" i="505"/>
  <c r="E529" i="505"/>
  <c r="E526" i="505"/>
  <c r="E524" i="505"/>
  <c r="T344" i="505"/>
  <c r="T516" i="505"/>
  <c r="Z509" i="505" a="1"/>
  <c r="Z509" i="505" s="1"/>
  <c r="K521" i="505"/>
  <c r="K520" i="505"/>
  <c r="O520" i="505" s="1"/>
  <c r="J557" i="505"/>
  <c r="C519" i="505"/>
  <c r="Z511" i="505"/>
  <c r="Z513" i="505"/>
  <c r="Z515" i="505"/>
  <c r="Z512" i="505"/>
  <c r="Z514" i="505"/>
  <c r="M173" i="505" a="1"/>
  <c r="M173" i="505" s="1"/>
  <c r="Z344" i="505"/>
  <c r="I172" i="505"/>
  <c r="M172" i="505" s="1"/>
  <c r="E530" i="505" l="1"/>
  <c r="K519" i="505"/>
  <c r="O519" i="505" a="1"/>
  <c r="O519" i="505" s="1"/>
  <c r="O521" i="505" a="1"/>
  <c r="O521" i="505" s="1"/>
  <c r="Z516" i="505"/>
  <c r="H493" i="434" l="1"/>
  <c r="H494" i="434"/>
  <c r="H495" i="434"/>
  <c r="H496" i="434"/>
  <c r="H497" i="434"/>
  <c r="H498" i="434"/>
  <c r="H499" i="434"/>
  <c r="H500" i="434"/>
  <c r="H501" i="434"/>
  <c r="H502" i="434"/>
  <c r="H503" i="434"/>
  <c r="H504" i="434"/>
  <c r="H505" i="434"/>
  <c r="H485" i="434"/>
  <c r="H359" i="489"/>
  <c r="H360" i="489"/>
  <c r="H359" i="434"/>
  <c r="H360" i="434"/>
  <c r="H361" i="434"/>
  <c r="H362" i="434"/>
  <c r="H363" i="434"/>
  <c r="H329" i="489"/>
  <c r="H324" i="434"/>
  <c r="H325" i="434"/>
  <c r="H326" i="434"/>
  <c r="H327" i="434"/>
  <c r="H328" i="434"/>
  <c r="H329" i="434"/>
  <c r="H240" i="434"/>
  <c r="H241" i="434"/>
  <c r="H242" i="434"/>
  <c r="H243" i="434"/>
  <c r="H244" i="434"/>
  <c r="H245" i="434"/>
  <c r="H246" i="434"/>
  <c r="H247" i="434"/>
  <c r="H248" i="434"/>
  <c r="H249" i="434"/>
  <c r="H250" i="434"/>
  <c r="H251" i="434"/>
  <c r="H252" i="434"/>
  <c r="H253" i="434"/>
  <c r="H254" i="434"/>
  <c r="H255" i="434"/>
  <c r="H256" i="434"/>
  <c r="H224" i="434"/>
  <c r="H225" i="434"/>
  <c r="H226" i="434"/>
  <c r="H227" i="434"/>
  <c r="H228" i="434"/>
  <c r="H229" i="434"/>
  <c r="H204" i="434"/>
  <c r="H205" i="434"/>
  <c r="H206" i="434"/>
  <c r="H207" i="434"/>
  <c r="H208" i="434"/>
  <c r="H209" i="434"/>
  <c r="H210" i="434"/>
  <c r="H161" i="434"/>
  <c r="H162" i="434"/>
  <c r="H152" i="434"/>
  <c r="H153" i="434"/>
  <c r="H154" i="434"/>
  <c r="H155" i="434"/>
  <c r="H156" i="434"/>
  <c r="H157" i="434"/>
  <c r="H158" i="434"/>
  <c r="H159" i="434"/>
  <c r="H160" i="434"/>
  <c r="H143" i="434"/>
  <c r="H505" i="489"/>
  <c r="H504" i="489"/>
  <c r="H503" i="489"/>
  <c r="H502" i="489"/>
  <c r="H501" i="489"/>
  <c r="H500" i="489"/>
  <c r="H499" i="489"/>
  <c r="H498" i="489"/>
  <c r="H497" i="489"/>
  <c r="H496" i="489"/>
  <c r="H495" i="489"/>
  <c r="H494" i="489"/>
  <c r="H493" i="489"/>
  <c r="H485" i="489"/>
  <c r="H363" i="489"/>
  <c r="H362" i="489"/>
  <c r="H361" i="489"/>
  <c r="H328" i="489"/>
  <c r="H327" i="489"/>
  <c r="H326" i="489"/>
  <c r="H325" i="489"/>
  <c r="H324" i="489"/>
  <c r="H256" i="489"/>
  <c r="H255" i="489"/>
  <c r="H254" i="489"/>
  <c r="H253" i="489"/>
  <c r="H252" i="489"/>
  <c r="H251" i="489"/>
  <c r="H250" i="489"/>
  <c r="H249" i="489"/>
  <c r="H248" i="489"/>
  <c r="H247" i="489"/>
  <c r="H246" i="489"/>
  <c r="H245" i="489"/>
  <c r="H244" i="489"/>
  <c r="H243" i="489"/>
  <c r="H242" i="489"/>
  <c r="H241" i="489"/>
  <c r="H240" i="489"/>
  <c r="H229" i="489"/>
  <c r="H228" i="489"/>
  <c r="H227" i="489"/>
  <c r="H226" i="489"/>
  <c r="H225" i="489"/>
  <c r="H224" i="489"/>
  <c r="H210" i="489"/>
  <c r="H209" i="489"/>
  <c r="H208" i="489"/>
  <c r="H207" i="489"/>
  <c r="H206" i="489"/>
  <c r="H205" i="489"/>
  <c r="H204" i="489"/>
  <c r="D502" i="489"/>
  <c r="D502" i="434"/>
  <c r="D330" i="489"/>
  <c r="D330" i="434"/>
  <c r="Q164" i="505" l="1"/>
  <c r="T164" i="505"/>
  <c r="X164" i="505"/>
  <c r="Z164" i="505"/>
  <c r="S164" i="505"/>
  <c r="U164" i="505"/>
  <c r="Y164" i="505"/>
  <c r="AA164" i="505"/>
  <c r="N163" i="505"/>
  <c r="N148" i="505"/>
  <c r="H137" i="505"/>
  <c r="N199" i="505"/>
  <c r="R169" i="505"/>
  <c r="O164" i="505"/>
  <c r="N121" i="505"/>
  <c r="X167" i="505"/>
  <c r="P164" i="505"/>
  <c r="X168" i="505" s="1"/>
  <c r="H121" i="505"/>
  <c r="N86" i="505"/>
  <c r="N28" i="505"/>
  <c r="N257" i="505"/>
  <c r="H163" i="505"/>
  <c r="H148" i="505"/>
  <c r="N137" i="505"/>
  <c r="K548" i="505" l="1"/>
  <c r="K556" i="505"/>
  <c r="N164" i="505"/>
  <c r="B173" i="505" s="1"/>
  <c r="K554" i="505"/>
  <c r="K546" i="505"/>
  <c r="H164" i="505"/>
  <c r="E171" i="505" s="1"/>
  <c r="G519" i="505" s="1"/>
  <c r="Q525" i="505"/>
  <c r="X173" i="505"/>
  <c r="Z168" i="505" s="1"/>
  <c r="N335" i="505"/>
  <c r="B344" i="505" s="1"/>
  <c r="E344" i="505" s="1"/>
  <c r="Q526" i="505"/>
  <c r="K527" i="505"/>
  <c r="R173" i="505"/>
  <c r="K555" i="505"/>
  <c r="K547" i="505"/>
  <c r="T535" i="505" a="1"/>
  <c r="T535" i="505" s="1"/>
  <c r="J535" i="505"/>
  <c r="Q535" i="505" s="1"/>
  <c r="C536" i="505"/>
  <c r="T536" i="505" s="1" a="1"/>
  <c r="T536" i="505" s="1"/>
  <c r="J533" i="505"/>
  <c r="T533" i="505" a="1"/>
  <c r="T533" i="505" s="1"/>
  <c r="T534" i="505" a="1"/>
  <c r="T534" i="505" s="1"/>
  <c r="J534" i="505"/>
  <c r="Q534" i="505" s="1"/>
  <c r="T166" i="505" l="1" a="1"/>
  <c r="T166" i="505" s="1"/>
  <c r="T172" i="505"/>
  <c r="T171" i="505"/>
  <c r="K530" i="505"/>
  <c r="M527" i="505" s="1"/>
  <c r="T170" i="505"/>
  <c r="T168" i="505"/>
  <c r="T167" i="505"/>
  <c r="Q530" i="505"/>
  <c r="S526" i="505" s="1"/>
  <c r="Z169" i="505"/>
  <c r="Z166" i="505" a="1"/>
  <c r="Z166" i="505" s="1"/>
  <c r="Z172" i="505"/>
  <c r="Z171" i="505"/>
  <c r="Z170" i="505"/>
  <c r="T169" i="505"/>
  <c r="Z167" i="505"/>
  <c r="C521" i="505"/>
  <c r="G521" i="505" s="1"/>
  <c r="E173" i="505"/>
  <c r="J536" i="505"/>
  <c r="Q533" i="505"/>
  <c r="R535" i="505"/>
  <c r="S535" i="505" a="1"/>
  <c r="S535" i="505" s="1"/>
  <c r="R534" i="505"/>
  <c r="S534" i="505" a="1"/>
  <c r="S534" i="505" s="1"/>
  <c r="AC499" i="489"/>
  <c r="AC500" i="489"/>
  <c r="AC501" i="489"/>
  <c r="AC327" i="489"/>
  <c r="AC157" i="489"/>
  <c r="AC156" i="489"/>
  <c r="S525" i="505" l="1"/>
  <c r="Z173" i="505"/>
  <c r="S527" i="505"/>
  <c r="S529" i="505"/>
  <c r="S524" i="505" a="1"/>
  <c r="S524" i="505" s="1"/>
  <c r="S528" i="505"/>
  <c r="M524" i="505" a="1"/>
  <c r="M524" i="505" s="1"/>
  <c r="M525" i="505"/>
  <c r="M529" i="505"/>
  <c r="M526" i="505"/>
  <c r="M528" i="505"/>
  <c r="T173" i="505"/>
  <c r="Q536" i="505"/>
  <c r="S536" i="505" s="1" a="1"/>
  <c r="S536" i="505" s="1"/>
  <c r="S533" i="505"/>
  <c r="R533" i="505"/>
  <c r="R536" i="505" s="1"/>
  <c r="S530" i="505" l="1"/>
  <c r="M530" i="505"/>
  <c r="AC485" i="489" l="1"/>
  <c r="AC409" i="489"/>
  <c r="AC372" i="489"/>
  <c r="AC314" i="489"/>
  <c r="AC162" i="489"/>
  <c r="AC143" i="489"/>
  <c r="AC505" i="489" l="1"/>
  <c r="AC504" i="489"/>
  <c r="AC503" i="489"/>
  <c r="AC502" i="489"/>
  <c r="AC498" i="489"/>
  <c r="AC497" i="489"/>
  <c r="AC496" i="489"/>
  <c r="AC495" i="489"/>
  <c r="AC494" i="489"/>
  <c r="AC493" i="489"/>
  <c r="AC492" i="489"/>
  <c r="AC491" i="489"/>
  <c r="AC489" i="489"/>
  <c r="AC484" i="489"/>
  <c r="AC483" i="489"/>
  <c r="AC482" i="489"/>
  <c r="AC481" i="489"/>
  <c r="AC480" i="489"/>
  <c r="AC478" i="489"/>
  <c r="AC477" i="489"/>
  <c r="AC476" i="489"/>
  <c r="AC475" i="489"/>
  <c r="AC474" i="489"/>
  <c r="AC473" i="489"/>
  <c r="AC472" i="489"/>
  <c r="AC471" i="489"/>
  <c r="AC470" i="489"/>
  <c r="AC469" i="489"/>
  <c r="AC468" i="489"/>
  <c r="AC467" i="489"/>
  <c r="AC466" i="489"/>
  <c r="AC465" i="489"/>
  <c r="AC464" i="489"/>
  <c r="AC462" i="489"/>
  <c r="AC461" i="489"/>
  <c r="AC460" i="489"/>
  <c r="AC459" i="489"/>
  <c r="AC458" i="489"/>
  <c r="AC457" i="489"/>
  <c r="AC456" i="489"/>
  <c r="AC455" i="489"/>
  <c r="AC454" i="489"/>
  <c r="AC453" i="489"/>
  <c r="AC452" i="489"/>
  <c r="AC451" i="489"/>
  <c r="AC450" i="489"/>
  <c r="AC449" i="489"/>
  <c r="AC448" i="489"/>
  <c r="AC447" i="489"/>
  <c r="AC446" i="489"/>
  <c r="AC445" i="489"/>
  <c r="AC444" i="489"/>
  <c r="AC443" i="489"/>
  <c r="AC442" i="489"/>
  <c r="AC441" i="489"/>
  <c r="AC440" i="489"/>
  <c r="AC439" i="489"/>
  <c r="AC438" i="489"/>
  <c r="AC437" i="489"/>
  <c r="AC436" i="489"/>
  <c r="AC435" i="489"/>
  <c r="AC434" i="489"/>
  <c r="AC433" i="489"/>
  <c r="AC432" i="489"/>
  <c r="AC431" i="489"/>
  <c r="AC430" i="489"/>
  <c r="AC427" i="489"/>
  <c r="AC426" i="489"/>
  <c r="AC425" i="489"/>
  <c r="AC424" i="489"/>
  <c r="AC423" i="489"/>
  <c r="AC422" i="489"/>
  <c r="AC421" i="489"/>
  <c r="AC420" i="489"/>
  <c r="AC419" i="489"/>
  <c r="AC418" i="489"/>
  <c r="AC417" i="489"/>
  <c r="AC416" i="489"/>
  <c r="AC415" i="489"/>
  <c r="AC414" i="489"/>
  <c r="AC413" i="489"/>
  <c r="AC412" i="489"/>
  <c r="AC411" i="489"/>
  <c r="AC410" i="489"/>
  <c r="AC408" i="489"/>
  <c r="AC407" i="489"/>
  <c r="AC406" i="489"/>
  <c r="AC405" i="489"/>
  <c r="AC404" i="489"/>
  <c r="AC403" i="489"/>
  <c r="AC402" i="489"/>
  <c r="AC401" i="489"/>
  <c r="AC400" i="489"/>
  <c r="AC399" i="489"/>
  <c r="AC398" i="489"/>
  <c r="AC397" i="489"/>
  <c r="AC396" i="489"/>
  <c r="AC395" i="489"/>
  <c r="AC394" i="489"/>
  <c r="AC393" i="489"/>
  <c r="AC392" i="489"/>
  <c r="AC391" i="489"/>
  <c r="AC390" i="489"/>
  <c r="AC389" i="489"/>
  <c r="AC388" i="489"/>
  <c r="AC387" i="489"/>
  <c r="AC386" i="489"/>
  <c r="AC385" i="489"/>
  <c r="AC384" i="489"/>
  <c r="AC383" i="489"/>
  <c r="AC382" i="489"/>
  <c r="AC381" i="489"/>
  <c r="AC380" i="489"/>
  <c r="AC379" i="489"/>
  <c r="AC378" i="489"/>
  <c r="AC377" i="489"/>
  <c r="AC376" i="489"/>
  <c r="AC375" i="489"/>
  <c r="AC374" i="489"/>
  <c r="AC373" i="489"/>
  <c r="AC371" i="489"/>
  <c r="AC369" i="489"/>
  <c r="AC368" i="489"/>
  <c r="AC367" i="489"/>
  <c r="AC366" i="489"/>
  <c r="AC365" i="489"/>
  <c r="AC364" i="489"/>
  <c r="AC363" i="489"/>
  <c r="AC362" i="489"/>
  <c r="AC361" i="489"/>
  <c r="AC358" i="489"/>
  <c r="AC357" i="489"/>
  <c r="AC356" i="489"/>
  <c r="AC355" i="489"/>
  <c r="AC354" i="489"/>
  <c r="AC353" i="489"/>
  <c r="AC352" i="489"/>
  <c r="AC351" i="489"/>
  <c r="AC350" i="489"/>
  <c r="AC349" i="489"/>
  <c r="AC490" i="489" l="1"/>
  <c r="AC506" i="489"/>
  <c r="AC479" i="489"/>
  <c r="AC429" i="489"/>
  <c r="AC463" i="489" s="1"/>
  <c r="G463" i="489"/>
  <c r="AC507" i="489" l="1"/>
  <c r="K328" i="434" l="1" a="1"/>
  <c r="K328" i="434" s="1"/>
  <c r="K330" i="434" a="1"/>
  <c r="K330" i="434" s="1"/>
  <c r="K331" i="434" a="1"/>
  <c r="K331" i="434" s="1"/>
  <c r="K332" i="434" a="1"/>
  <c r="K332" i="434" s="1"/>
  <c r="K333" i="434" a="1"/>
  <c r="K333" i="434" s="1"/>
  <c r="K328" i="489" a="1"/>
  <c r="K328" i="489" s="1"/>
  <c r="K331" i="489" a="1"/>
  <c r="K331" i="489" s="1"/>
  <c r="K332" i="489" a="1"/>
  <c r="K332" i="489" s="1"/>
  <c r="K333" i="489" a="1"/>
  <c r="K333" i="489" s="1"/>
  <c r="H331" i="434"/>
  <c r="H332" i="434"/>
  <c r="H333" i="434"/>
  <c r="H331" i="489"/>
  <c r="H332" i="489"/>
  <c r="H333" i="489"/>
  <c r="K330" i="489" l="1" a="1"/>
  <c r="K330" i="489" s="1"/>
  <c r="AC67" i="489" l="1"/>
  <c r="AC30" i="489"/>
  <c r="K501" i="489" l="1" a="1"/>
  <c r="K501" i="489" s="1"/>
  <c r="K498" i="489" a="1"/>
  <c r="K498" i="489" s="1"/>
  <c r="V497" i="489"/>
  <c r="K497" i="489" a="1"/>
  <c r="K497" i="489" s="1"/>
  <c r="K493" i="489" a="1"/>
  <c r="K493" i="489" s="1"/>
  <c r="K492" i="489" a="1"/>
  <c r="K492" i="489" s="1"/>
  <c r="AA506" i="489"/>
  <c r="Y506" i="489"/>
  <c r="U506" i="489"/>
  <c r="S506" i="489"/>
  <c r="Q506" i="489"/>
  <c r="O506" i="489"/>
  <c r="K491" i="489" a="1"/>
  <c r="K491" i="489" s="1"/>
  <c r="V489" i="489"/>
  <c r="K489" i="489" a="1"/>
  <c r="K489" i="489" s="1"/>
  <c r="V484" i="489"/>
  <c r="K484" i="489" a="1"/>
  <c r="K484" i="489" s="1"/>
  <c r="K483" i="489" a="1"/>
  <c r="K483" i="489" s="1"/>
  <c r="K482" i="489" a="1"/>
  <c r="K482" i="489" s="1"/>
  <c r="K481" i="489" a="1"/>
  <c r="K481" i="489" s="1"/>
  <c r="Z490" i="489"/>
  <c r="X490" i="489"/>
  <c r="T490" i="489"/>
  <c r="P490" i="489"/>
  <c r="I490" i="489"/>
  <c r="V478" i="489"/>
  <c r="N478" i="489"/>
  <c r="K478" i="489" a="1"/>
  <c r="K478" i="489" s="1"/>
  <c r="V477" i="489"/>
  <c r="K477" i="489" a="1"/>
  <c r="K477" i="489" s="1"/>
  <c r="M477" i="489" s="1"/>
  <c r="V476" i="489"/>
  <c r="N476" i="489"/>
  <c r="K476" i="489" a="1"/>
  <c r="K476" i="489" s="1"/>
  <c r="V475" i="489"/>
  <c r="K475" i="489" a="1"/>
  <c r="K475" i="489" s="1"/>
  <c r="V474" i="489"/>
  <c r="N474" i="489"/>
  <c r="K474" i="489" a="1"/>
  <c r="K474" i="489" s="1"/>
  <c r="V473" i="489"/>
  <c r="K473" i="489" a="1"/>
  <c r="K473" i="489" s="1"/>
  <c r="V472" i="489"/>
  <c r="N472" i="489"/>
  <c r="K472" i="489" a="1"/>
  <c r="K472" i="489" s="1"/>
  <c r="V471" i="489"/>
  <c r="K471" i="489" a="1"/>
  <c r="K471" i="489" s="1"/>
  <c r="M471" i="489" s="1"/>
  <c r="V470" i="489"/>
  <c r="N470" i="489"/>
  <c r="K470" i="489" a="1"/>
  <c r="K470" i="489" s="1"/>
  <c r="V469" i="489"/>
  <c r="K469" i="489" a="1"/>
  <c r="K469" i="489" s="1"/>
  <c r="K468" i="489" a="1"/>
  <c r="K468" i="489" s="1"/>
  <c r="V467" i="489"/>
  <c r="N467" i="489"/>
  <c r="K467" i="489" a="1"/>
  <c r="K467" i="489" s="1"/>
  <c r="V466" i="489"/>
  <c r="K466" i="489" a="1"/>
  <c r="K466" i="489" s="1"/>
  <c r="V465" i="489"/>
  <c r="N465" i="489"/>
  <c r="K465" i="489" a="1"/>
  <c r="K465" i="489" s="1"/>
  <c r="Z479" i="489"/>
  <c r="X479" i="489"/>
  <c r="U479" i="489"/>
  <c r="S479" i="489"/>
  <c r="Q479" i="489"/>
  <c r="O479" i="489"/>
  <c r="I479" i="489"/>
  <c r="V462" i="489"/>
  <c r="N462" i="489"/>
  <c r="K462" i="489" a="1"/>
  <c r="K462" i="489" s="1"/>
  <c r="M462" i="489" s="1"/>
  <c r="K461" i="489" a="1"/>
  <c r="K461" i="489" s="1"/>
  <c r="K460" i="489" a="1"/>
  <c r="K460" i="489" s="1"/>
  <c r="K459" i="489" a="1"/>
  <c r="K459" i="489" s="1"/>
  <c r="K458" i="489" a="1"/>
  <c r="K458" i="489" s="1"/>
  <c r="M458" i="489" s="1"/>
  <c r="K457" i="489" a="1"/>
  <c r="K457" i="489" s="1"/>
  <c r="M457" i="489" s="1"/>
  <c r="J456" i="489" a="1"/>
  <c r="J456" i="489" s="1"/>
  <c r="H456" i="489"/>
  <c r="K456" i="489" a="1"/>
  <c r="K456" i="489" s="1"/>
  <c r="M456" i="489" s="1"/>
  <c r="V455" i="489"/>
  <c r="N455" i="489"/>
  <c r="K455" i="489" a="1"/>
  <c r="K455" i="489" s="1"/>
  <c r="M455" i="489" s="1"/>
  <c r="K454" i="489" a="1"/>
  <c r="K454" i="489" s="1"/>
  <c r="K453" i="489" a="1"/>
  <c r="K453" i="489" s="1"/>
  <c r="M453" i="489" s="1"/>
  <c r="K452" i="489" a="1"/>
  <c r="K452" i="489" s="1"/>
  <c r="K451" i="489" a="1"/>
  <c r="K451" i="489" s="1"/>
  <c r="M451" i="489" s="1"/>
  <c r="K450" i="489" a="1"/>
  <c r="K450" i="489" s="1"/>
  <c r="K449" i="489" a="1"/>
  <c r="K449" i="489" s="1"/>
  <c r="M449" i="489" s="1"/>
  <c r="K448" i="489" a="1"/>
  <c r="K448" i="489" s="1"/>
  <c r="K447" i="489" a="1"/>
  <c r="K447" i="489" s="1"/>
  <c r="M447" i="489" s="1"/>
  <c r="K446" i="489" a="1"/>
  <c r="K446" i="489" s="1"/>
  <c r="K445" i="489" a="1"/>
  <c r="K445" i="489" s="1"/>
  <c r="M445" i="489" s="1"/>
  <c r="K444" i="489" a="1"/>
  <c r="K444" i="489" s="1"/>
  <c r="K443" i="489" a="1"/>
  <c r="K443" i="489" s="1"/>
  <c r="M443" i="489" s="1"/>
  <c r="K442" i="489" a="1"/>
  <c r="K442" i="489" s="1"/>
  <c r="K441" i="489" a="1"/>
  <c r="K441" i="489" s="1"/>
  <c r="M441" i="489" s="1"/>
  <c r="K440" i="489" a="1"/>
  <c r="K440" i="489" s="1"/>
  <c r="K439" i="489" a="1"/>
  <c r="K439" i="489" s="1"/>
  <c r="M439" i="489" s="1"/>
  <c r="K438" i="489" a="1"/>
  <c r="K438" i="489" s="1"/>
  <c r="K437" i="489" a="1"/>
  <c r="K437" i="489" s="1"/>
  <c r="M437" i="489" s="1"/>
  <c r="K436" i="489" a="1"/>
  <c r="K436" i="489" s="1"/>
  <c r="K435" i="489" a="1"/>
  <c r="K435" i="489" s="1"/>
  <c r="K434" i="489" a="1"/>
  <c r="K434" i="489" s="1"/>
  <c r="K433" i="489" a="1"/>
  <c r="K433" i="489" s="1"/>
  <c r="K432" i="489" a="1"/>
  <c r="K432" i="489" s="1"/>
  <c r="K431" i="489" a="1"/>
  <c r="K431" i="489" s="1"/>
  <c r="K430" i="489" a="1"/>
  <c r="K430" i="489" s="1"/>
  <c r="K427" i="489" a="1"/>
  <c r="K427" i="489" s="1"/>
  <c r="K426" i="489" a="1"/>
  <c r="K426" i="489" s="1"/>
  <c r="K425" i="489" a="1"/>
  <c r="K425" i="489" s="1"/>
  <c r="K424" i="489" a="1"/>
  <c r="K424" i="489" s="1"/>
  <c r="K423" i="489" a="1"/>
  <c r="K423" i="489" s="1"/>
  <c r="K422" i="489" a="1"/>
  <c r="K422" i="489" s="1"/>
  <c r="K421" i="489" a="1"/>
  <c r="K421" i="489" s="1"/>
  <c r="K420" i="489" a="1"/>
  <c r="K420" i="489" s="1"/>
  <c r="K419" i="489" a="1"/>
  <c r="K419" i="489" s="1"/>
  <c r="K418" i="489" a="1"/>
  <c r="K418" i="489" s="1"/>
  <c r="K417" i="489" a="1"/>
  <c r="K417" i="489" s="1"/>
  <c r="K416" i="489" a="1"/>
  <c r="K416" i="489" s="1"/>
  <c r="K415" i="489" a="1"/>
  <c r="K415" i="489" s="1"/>
  <c r="K414" i="489" a="1"/>
  <c r="K414" i="489" s="1"/>
  <c r="H413" i="489"/>
  <c r="K412" i="489" a="1"/>
  <c r="K412" i="489" s="1"/>
  <c r="K411" i="489" a="1"/>
  <c r="K411" i="489" s="1"/>
  <c r="M411" i="489" s="1"/>
  <c r="H410" i="489"/>
  <c r="K409" i="489"/>
  <c r="K409" i="489" a="1"/>
  <c r="H409" i="489"/>
  <c r="K408" i="489" a="1"/>
  <c r="K408" i="489" s="1"/>
  <c r="K407" i="489" a="1"/>
  <c r="K407" i="489" s="1"/>
  <c r="K406" i="489" a="1"/>
  <c r="K406" i="489" s="1"/>
  <c r="K405" i="489" a="1"/>
  <c r="K405" i="489" s="1"/>
  <c r="K404" i="489" a="1"/>
  <c r="K404" i="489" s="1"/>
  <c r="K403" i="489" a="1"/>
  <c r="K403" i="489" s="1"/>
  <c r="K402" i="489" a="1"/>
  <c r="K402" i="489" s="1"/>
  <c r="K401" i="489" a="1"/>
  <c r="K401" i="489" s="1"/>
  <c r="K400" i="489" a="1"/>
  <c r="K400" i="489" s="1"/>
  <c r="K399" i="489" a="1"/>
  <c r="K399" i="489" s="1"/>
  <c r="K398" i="489" a="1"/>
  <c r="K398" i="489" s="1"/>
  <c r="K397" i="489" a="1"/>
  <c r="K397" i="489" s="1"/>
  <c r="K396" i="489" a="1"/>
  <c r="K396" i="489" s="1"/>
  <c r="K395" i="489" a="1"/>
  <c r="K395" i="489" s="1"/>
  <c r="K394" i="489" a="1"/>
  <c r="K394" i="489" s="1"/>
  <c r="K393" i="489" a="1"/>
  <c r="K393" i="489" s="1"/>
  <c r="K392" i="489" a="1"/>
  <c r="K392" i="489" s="1"/>
  <c r="K391" i="489" a="1"/>
  <c r="K391" i="489" s="1"/>
  <c r="K390" i="489" a="1"/>
  <c r="K390" i="489" s="1"/>
  <c r="V389" i="489"/>
  <c r="K389" i="489" a="1"/>
  <c r="K389" i="489" s="1"/>
  <c r="K388" i="489" a="1"/>
  <c r="K388" i="489" s="1"/>
  <c r="V387" i="489"/>
  <c r="K387" i="489" a="1"/>
  <c r="K387" i="489" s="1"/>
  <c r="K386" i="489" a="1"/>
  <c r="K386" i="489" s="1"/>
  <c r="V385" i="489"/>
  <c r="K385" i="489" a="1"/>
  <c r="K385" i="489" s="1"/>
  <c r="K384" i="489" a="1"/>
  <c r="K384" i="489" s="1"/>
  <c r="V383" i="489"/>
  <c r="K383" i="489" a="1"/>
  <c r="K383" i="489" s="1"/>
  <c r="K382" i="489" a="1"/>
  <c r="K382" i="489" s="1"/>
  <c r="V381" i="489"/>
  <c r="K381" i="489" a="1"/>
  <c r="K381" i="489" s="1"/>
  <c r="K380" i="489" a="1"/>
  <c r="K380" i="489" s="1"/>
  <c r="V379" i="489"/>
  <c r="K379" i="489" a="1"/>
  <c r="K379" i="489" s="1"/>
  <c r="K378" i="489" a="1"/>
  <c r="K378" i="489" s="1"/>
  <c r="K377" i="489" a="1"/>
  <c r="K377" i="489" s="1"/>
  <c r="K376" i="489" a="1"/>
  <c r="K376" i="489" s="1"/>
  <c r="K375" i="489" a="1"/>
  <c r="K375" i="489" s="1"/>
  <c r="V374" i="489"/>
  <c r="K374" i="489" a="1"/>
  <c r="K374" i="489" s="1"/>
  <c r="K372" i="489" a="1"/>
  <c r="K372" i="489" s="1"/>
  <c r="H372" i="489"/>
  <c r="AA428" i="489"/>
  <c r="Y428" i="489"/>
  <c r="V371" i="489"/>
  <c r="T428" i="489"/>
  <c r="R428" i="489"/>
  <c r="P428" i="489"/>
  <c r="N371" i="489"/>
  <c r="G428" i="489"/>
  <c r="K369" i="489" a="1"/>
  <c r="K369" i="489" s="1"/>
  <c r="K368" i="489" a="1"/>
  <c r="K368" i="489" s="1"/>
  <c r="K367" i="489" a="1"/>
  <c r="K367" i="489" s="1"/>
  <c r="K366" i="489" a="1"/>
  <c r="K366" i="489" s="1"/>
  <c r="K365" i="489" a="1"/>
  <c r="K365" i="489" s="1"/>
  <c r="K364" i="489" a="1"/>
  <c r="K364" i="489" s="1"/>
  <c r="V363" i="489"/>
  <c r="W363" i="489" s="1"/>
  <c r="K363" i="489" a="1"/>
  <c r="K363" i="489" s="1"/>
  <c r="V362" i="489"/>
  <c r="K362" i="489" a="1"/>
  <c r="K362" i="489" s="1"/>
  <c r="N361" i="489"/>
  <c r="K361" i="489" a="1"/>
  <c r="K361" i="489" s="1"/>
  <c r="V358" i="489"/>
  <c r="K358" i="489" a="1"/>
  <c r="K358" i="489" s="1"/>
  <c r="K357" i="489" a="1"/>
  <c r="K357" i="489" s="1"/>
  <c r="V356" i="489"/>
  <c r="K356" i="489" a="1"/>
  <c r="K356" i="489" s="1"/>
  <c r="N355" i="489"/>
  <c r="K355" i="489" a="1"/>
  <c r="K355" i="489" s="1"/>
  <c r="K354" i="489" a="1"/>
  <c r="K354" i="489" s="1"/>
  <c r="K353" i="489" a="1"/>
  <c r="K353" i="489" s="1"/>
  <c r="K352" i="489" a="1"/>
  <c r="K352" i="489" s="1"/>
  <c r="K351" i="489"/>
  <c r="V350" i="489"/>
  <c r="K350" i="489"/>
  <c r="AA370" i="489"/>
  <c r="Y370" i="489"/>
  <c r="V349" i="489"/>
  <c r="T370" i="489"/>
  <c r="R370" i="489"/>
  <c r="P370" i="489"/>
  <c r="I370" i="489"/>
  <c r="E341" i="489"/>
  <c r="I340" i="489"/>
  <c r="E340" i="489"/>
  <c r="I339" i="489"/>
  <c r="E339" i="489"/>
  <c r="I338" i="489"/>
  <c r="E338" i="489"/>
  <c r="I337" i="489"/>
  <c r="E337" i="489"/>
  <c r="C341" i="489"/>
  <c r="AC332" i="489"/>
  <c r="AC330" i="489"/>
  <c r="H330" i="489"/>
  <c r="AC328" i="489"/>
  <c r="AC324" i="489"/>
  <c r="V320" i="489"/>
  <c r="T334" i="489"/>
  <c r="R334" i="489"/>
  <c r="P334" i="489"/>
  <c r="N320" i="489"/>
  <c r="V318" i="489"/>
  <c r="W318" i="489" s="1"/>
  <c r="V313" i="489"/>
  <c r="N313" i="489"/>
  <c r="V312" i="489"/>
  <c r="W312" i="489" s="1"/>
  <c r="V311" i="489"/>
  <c r="N311" i="489"/>
  <c r="AC305" i="489"/>
  <c r="AC304" i="489"/>
  <c r="N298" i="489"/>
  <c r="V297" i="489"/>
  <c r="N296" i="489"/>
  <c r="V293" i="489"/>
  <c r="R308" i="489"/>
  <c r="P308" i="489"/>
  <c r="I308" i="489"/>
  <c r="L524" i="489" s="1"/>
  <c r="AC293" i="489"/>
  <c r="H290" i="489"/>
  <c r="V277" i="489"/>
  <c r="X343" i="489"/>
  <c r="N262" i="489"/>
  <c r="H262" i="489"/>
  <c r="V261" i="489"/>
  <c r="M242" i="489"/>
  <c r="X342" i="489"/>
  <c r="X341" i="489"/>
  <c r="X340" i="489"/>
  <c r="X337" i="489"/>
  <c r="H196" i="489"/>
  <c r="U199" i="489"/>
  <c r="S199" i="489"/>
  <c r="Q199" i="489"/>
  <c r="O199" i="489"/>
  <c r="E170" i="489"/>
  <c r="I169" i="489"/>
  <c r="E169" i="489"/>
  <c r="I168" i="489"/>
  <c r="E168" i="489"/>
  <c r="I167" i="489"/>
  <c r="E167" i="489"/>
  <c r="E166" i="489"/>
  <c r="V159" i="489"/>
  <c r="D159" i="489"/>
  <c r="V155" i="489"/>
  <c r="AC153" i="489"/>
  <c r="AC151" i="489"/>
  <c r="V149" i="489"/>
  <c r="U163" i="489"/>
  <c r="S163" i="489"/>
  <c r="Q163" i="489"/>
  <c r="O163" i="489"/>
  <c r="Q148" i="489"/>
  <c r="O148" i="489"/>
  <c r="AC138" i="489"/>
  <c r="AC130" i="489"/>
  <c r="V129" i="489"/>
  <c r="V127" i="489"/>
  <c r="V125" i="489"/>
  <c r="AC125" i="489"/>
  <c r="V118" i="489"/>
  <c r="V114" i="489"/>
  <c r="V106" i="489"/>
  <c r="AC100" i="489"/>
  <c r="AA121" i="489"/>
  <c r="U121" i="489"/>
  <c r="S121" i="489"/>
  <c r="Q121" i="489"/>
  <c r="O121" i="489"/>
  <c r="V74" i="489"/>
  <c r="V72" i="489"/>
  <c r="V69" i="489"/>
  <c r="K67" i="489" a="1"/>
  <c r="K67" i="489" s="1"/>
  <c r="H67" i="489"/>
  <c r="V48" i="489"/>
  <c r="V47" i="489"/>
  <c r="V46" i="489"/>
  <c r="V45" i="489"/>
  <c r="V43" i="489"/>
  <c r="V41" i="489"/>
  <c r="V39" i="489"/>
  <c r="X171" i="489"/>
  <c r="X170" i="489"/>
  <c r="X169" i="489"/>
  <c r="K30" i="489" a="1"/>
  <c r="K30" i="489" s="1"/>
  <c r="H30" i="489"/>
  <c r="AA86" i="489"/>
  <c r="Z86" i="489"/>
  <c r="Y86" i="489"/>
  <c r="X86" i="489"/>
  <c r="U86" i="489"/>
  <c r="T86" i="489"/>
  <c r="S86" i="489"/>
  <c r="R86" i="489"/>
  <c r="Q86" i="489"/>
  <c r="O86" i="489"/>
  <c r="I86" i="489"/>
  <c r="X166" i="489"/>
  <c r="V22" i="489"/>
  <c r="V10" i="489"/>
  <c r="V8" i="489"/>
  <c r="AA28" i="489"/>
  <c r="Z28" i="489"/>
  <c r="Y28" i="489"/>
  <c r="X28" i="489"/>
  <c r="U28" i="489"/>
  <c r="T28" i="489"/>
  <c r="S28" i="489"/>
  <c r="R28" i="489"/>
  <c r="Q28" i="489"/>
  <c r="P28" i="489"/>
  <c r="O28" i="489"/>
  <c r="AC7" i="489"/>
  <c r="H376" i="434"/>
  <c r="H377" i="434"/>
  <c r="H378" i="434"/>
  <c r="H372" i="434"/>
  <c r="H373" i="434"/>
  <c r="K372" i="434" a="1"/>
  <c r="K372" i="434" s="1"/>
  <c r="K409" i="434" a="1"/>
  <c r="K409" i="434" s="1"/>
  <c r="H409" i="434"/>
  <c r="H67" i="434"/>
  <c r="H68" i="434"/>
  <c r="K67" i="434" a="1"/>
  <c r="K67" i="434" s="1"/>
  <c r="K30" i="434" a="1"/>
  <c r="K30" i="434" s="1"/>
  <c r="H30" i="434"/>
  <c r="H31" i="434"/>
  <c r="H36" i="434"/>
  <c r="H35" i="434"/>
  <c r="V492" i="489" l="1"/>
  <c r="W492" i="489" s="1"/>
  <c r="V62" i="489"/>
  <c r="V65" i="489"/>
  <c r="W65" i="489" s="1"/>
  <c r="W350" i="489"/>
  <c r="V494" i="489"/>
  <c r="N497" i="489"/>
  <c r="N261" i="489"/>
  <c r="I121" i="489"/>
  <c r="P121" i="489"/>
  <c r="R121" i="489"/>
  <c r="T121" i="489"/>
  <c r="X121" i="489"/>
  <c r="Z121" i="489"/>
  <c r="Y199" i="489"/>
  <c r="P257" i="489"/>
  <c r="R257" i="489"/>
  <c r="T257" i="489"/>
  <c r="X257" i="489"/>
  <c r="Z257" i="489"/>
  <c r="V210" i="489"/>
  <c r="V212" i="489"/>
  <c r="V214" i="489"/>
  <c r="V216" i="489"/>
  <c r="V218" i="489"/>
  <c r="I292" i="489"/>
  <c r="L523" i="489" s="1"/>
  <c r="P292" i="489"/>
  <c r="R292" i="489"/>
  <c r="T292" i="489"/>
  <c r="X292" i="489"/>
  <c r="Z292" i="489"/>
  <c r="N259" i="489"/>
  <c r="V260" i="489"/>
  <c r="W260" i="489" s="1"/>
  <c r="V262" i="489"/>
  <c r="W262" i="489" s="1"/>
  <c r="N263" i="489"/>
  <c r="V264" i="489"/>
  <c r="W264" i="489" s="1"/>
  <c r="N265" i="489"/>
  <c r="Y334" i="489"/>
  <c r="I137" i="489"/>
  <c r="V136" i="489"/>
  <c r="W136" i="489" s="1"/>
  <c r="P148" i="489"/>
  <c r="T148" i="489"/>
  <c r="X148" i="489"/>
  <c r="Z148" i="489"/>
  <c r="P163" i="489"/>
  <c r="R163" i="489"/>
  <c r="T163" i="489"/>
  <c r="Y163" i="489"/>
  <c r="AA163" i="489"/>
  <c r="V150" i="489"/>
  <c r="W150" i="489" s="1"/>
  <c r="V184" i="489"/>
  <c r="AA334" i="489"/>
  <c r="V498" i="489"/>
  <c r="W498" i="489" s="1"/>
  <c r="J480" i="489" a="1"/>
  <c r="J480" i="489" s="1"/>
  <c r="M482" i="489"/>
  <c r="V134" i="489"/>
  <c r="W134" i="489" s="1"/>
  <c r="S148" i="489"/>
  <c r="U148" i="489"/>
  <c r="Y148" i="489"/>
  <c r="AA148" i="489"/>
  <c r="V147" i="489"/>
  <c r="X163" i="489"/>
  <c r="Z163" i="489"/>
  <c r="M498" i="489"/>
  <c r="N392" i="489"/>
  <c r="M398" i="489"/>
  <c r="H480" i="489"/>
  <c r="M481" i="489"/>
  <c r="N481" i="489"/>
  <c r="V481" i="489"/>
  <c r="H482" i="489"/>
  <c r="J482" i="489" a="1"/>
  <c r="J482" i="489" s="1"/>
  <c r="M483" i="489"/>
  <c r="N483" i="489"/>
  <c r="V483" i="489"/>
  <c r="H484" i="489"/>
  <c r="N364" i="489"/>
  <c r="N276" i="489"/>
  <c r="V103" i="489"/>
  <c r="V120" i="489"/>
  <c r="W120" i="489" s="1"/>
  <c r="V64" i="489"/>
  <c r="V70" i="489"/>
  <c r="W70" i="489" s="1"/>
  <c r="V38" i="489"/>
  <c r="W38" i="489" s="1"/>
  <c r="V40" i="489"/>
  <c r="W40" i="489" s="1"/>
  <c r="V42" i="489"/>
  <c r="W42" i="489" s="1"/>
  <c r="V44" i="489"/>
  <c r="M501" i="489"/>
  <c r="J484" i="489" a="1"/>
  <c r="J484" i="489" s="1"/>
  <c r="M489" i="489"/>
  <c r="V373" i="489"/>
  <c r="W373" i="489" s="1"/>
  <c r="N374" i="489"/>
  <c r="V375" i="489"/>
  <c r="W375" i="489" s="1"/>
  <c r="N379" i="489"/>
  <c r="V380" i="489"/>
  <c r="W380" i="489" s="1"/>
  <c r="N381" i="489"/>
  <c r="N383" i="489"/>
  <c r="N385" i="489"/>
  <c r="N387" i="489"/>
  <c r="N389" i="489"/>
  <c r="N391" i="489"/>
  <c r="N393" i="489"/>
  <c r="H398" i="489"/>
  <c r="V399" i="489"/>
  <c r="V401" i="489"/>
  <c r="W401" i="489" s="1"/>
  <c r="V403" i="489"/>
  <c r="V405" i="489"/>
  <c r="W405" i="489" s="1"/>
  <c r="V407" i="489"/>
  <c r="H411" i="489"/>
  <c r="J411" i="489" a="1"/>
  <c r="J411" i="489" s="1"/>
  <c r="M412" i="489"/>
  <c r="N412" i="489"/>
  <c r="V412" i="489"/>
  <c r="W412" i="489" s="1"/>
  <c r="M414" i="489"/>
  <c r="M416" i="489"/>
  <c r="M418" i="489"/>
  <c r="M420" i="489"/>
  <c r="M422" i="489"/>
  <c r="N279" i="489"/>
  <c r="N281" i="489"/>
  <c r="N285" i="489"/>
  <c r="V289" i="489"/>
  <c r="V291" i="489"/>
  <c r="W291" i="489" s="1"/>
  <c r="V266" i="489"/>
  <c r="AA199" i="489"/>
  <c r="V124" i="489"/>
  <c r="V135" i="489"/>
  <c r="V140" i="489"/>
  <c r="V152" i="489"/>
  <c r="V154" i="489"/>
  <c r="V128" i="489"/>
  <c r="V119" i="489"/>
  <c r="V105" i="489"/>
  <c r="W105" i="489" s="1"/>
  <c r="V73" i="489"/>
  <c r="V9" i="489"/>
  <c r="V27" i="489"/>
  <c r="V14" i="489"/>
  <c r="W14" i="489" s="1"/>
  <c r="V268" i="489"/>
  <c r="V270" i="489"/>
  <c r="I199" i="489"/>
  <c r="P199" i="489"/>
  <c r="R199" i="489"/>
  <c r="T199" i="489"/>
  <c r="X199" i="489"/>
  <c r="Z199" i="489"/>
  <c r="V272" i="489"/>
  <c r="N280" i="489"/>
  <c r="V321" i="489"/>
  <c r="W321" i="489" s="1"/>
  <c r="V299" i="489"/>
  <c r="V301" i="489"/>
  <c r="W301" i="489" s="1"/>
  <c r="V303" i="489"/>
  <c r="N304" i="489"/>
  <c r="V305" i="489"/>
  <c r="W305" i="489" s="1"/>
  <c r="V307" i="489"/>
  <c r="W307" i="489" s="1"/>
  <c r="V274" i="489"/>
  <c r="N290" i="489"/>
  <c r="T308" i="489"/>
  <c r="Y308" i="489"/>
  <c r="AA308" i="489"/>
  <c r="V294" i="489"/>
  <c r="O257" i="489"/>
  <c r="Q257" i="489"/>
  <c r="S257" i="489"/>
  <c r="U257" i="489"/>
  <c r="Y257" i="489"/>
  <c r="AA257" i="489"/>
  <c r="V202" i="489"/>
  <c r="W202" i="489" s="1"/>
  <c r="V213" i="489"/>
  <c r="W213" i="489" s="1"/>
  <c r="V215" i="489"/>
  <c r="V219" i="489"/>
  <c r="N326" i="489"/>
  <c r="M423" i="489"/>
  <c r="M424" i="489"/>
  <c r="M425" i="489"/>
  <c r="M427" i="489"/>
  <c r="I463" i="489"/>
  <c r="P463" i="489"/>
  <c r="R463" i="489"/>
  <c r="T463" i="489"/>
  <c r="X463" i="489"/>
  <c r="Z463" i="489"/>
  <c r="M430" i="489"/>
  <c r="M432" i="489"/>
  <c r="M434" i="489"/>
  <c r="M436" i="489"/>
  <c r="N436" i="489"/>
  <c r="H437" i="489"/>
  <c r="J437" i="489" a="1"/>
  <c r="J437" i="489" s="1"/>
  <c r="M438" i="489"/>
  <c r="N438" i="489"/>
  <c r="V438" i="489"/>
  <c r="W438" i="489" s="1"/>
  <c r="H439" i="489"/>
  <c r="J439" i="489" a="1"/>
  <c r="J439" i="489" s="1"/>
  <c r="M440" i="489"/>
  <c r="N440" i="489"/>
  <c r="V440" i="489"/>
  <c r="H441" i="489"/>
  <c r="J441" i="489" a="1"/>
  <c r="J441" i="489" s="1"/>
  <c r="M442" i="489"/>
  <c r="N442" i="489"/>
  <c r="V442" i="489"/>
  <c r="W442" i="489" s="1"/>
  <c r="H443" i="489"/>
  <c r="J443" i="489" a="1"/>
  <c r="J443" i="489" s="1"/>
  <c r="M444" i="489"/>
  <c r="N444" i="489"/>
  <c r="V444" i="489"/>
  <c r="H445" i="489"/>
  <c r="J445" i="489" a="1"/>
  <c r="J445" i="489" s="1"/>
  <c r="M446" i="489"/>
  <c r="N446" i="489"/>
  <c r="V446" i="489"/>
  <c r="W446" i="489" s="1"/>
  <c r="H447" i="489"/>
  <c r="J447" i="489" a="1"/>
  <c r="J447" i="489" s="1"/>
  <c r="M448" i="489"/>
  <c r="N448" i="489"/>
  <c r="V448" i="489"/>
  <c r="H449" i="489"/>
  <c r="M450" i="489"/>
  <c r="N450" i="489"/>
  <c r="M461" i="489"/>
  <c r="N350" i="489"/>
  <c r="V382" i="489"/>
  <c r="V384" i="489"/>
  <c r="W384" i="489" s="1"/>
  <c r="V386" i="489"/>
  <c r="V388" i="489"/>
  <c r="W388" i="489" s="1"/>
  <c r="V390" i="489"/>
  <c r="W390" i="489" s="1"/>
  <c r="N394" i="489"/>
  <c r="M396" i="489"/>
  <c r="N399" i="489"/>
  <c r="N401" i="489"/>
  <c r="N403" i="489"/>
  <c r="N405" i="489"/>
  <c r="W484" i="489"/>
  <c r="W489" i="489"/>
  <c r="K200" i="489" a="1"/>
  <c r="K200" i="489" s="1"/>
  <c r="AC200" i="489"/>
  <c r="H201" i="489"/>
  <c r="AC201" i="489"/>
  <c r="K202" i="489" a="1"/>
  <c r="K202" i="489" s="1"/>
  <c r="AC202" i="489"/>
  <c r="K203" i="489" a="1"/>
  <c r="K203" i="489" s="1"/>
  <c r="M203" i="489" s="1"/>
  <c r="AC203" i="489"/>
  <c r="K204" i="489" a="1"/>
  <c r="K204" i="489" s="1"/>
  <c r="M204" i="489" s="1"/>
  <c r="AC204" i="489"/>
  <c r="AC205" i="489"/>
  <c r="AC206" i="489"/>
  <c r="AC207" i="489"/>
  <c r="K208" i="489" a="1"/>
  <c r="K208" i="489" s="1"/>
  <c r="AC208" i="489"/>
  <c r="K209" i="489" a="1"/>
  <c r="K209" i="489" s="1"/>
  <c r="AC209" i="489"/>
  <c r="K210" i="489" a="1"/>
  <c r="K210" i="489" s="1"/>
  <c r="AC210" i="489"/>
  <c r="K211" i="489" a="1"/>
  <c r="K211" i="489" s="1"/>
  <c r="AC211" i="489"/>
  <c r="K212" i="489" a="1"/>
  <c r="K212" i="489" s="1"/>
  <c r="AC212" i="489"/>
  <c r="K213" i="489" a="1"/>
  <c r="K213" i="489" s="1"/>
  <c r="AC213" i="489"/>
  <c r="K214" i="489" a="1"/>
  <c r="K214" i="489" s="1"/>
  <c r="AC214" i="489"/>
  <c r="K215" i="489" a="1"/>
  <c r="K215" i="489" s="1"/>
  <c r="AC215" i="489"/>
  <c r="K216" i="489" a="1"/>
  <c r="K216" i="489" s="1"/>
  <c r="AC216" i="489"/>
  <c r="K217" i="489" a="1"/>
  <c r="K217" i="489" s="1"/>
  <c r="AC217" i="489"/>
  <c r="K218" i="489" a="1"/>
  <c r="K218" i="489" s="1"/>
  <c r="AC218" i="489"/>
  <c r="K219" i="489" a="1"/>
  <c r="K219" i="489" s="1"/>
  <c r="AC219" i="489"/>
  <c r="K220" i="489" a="1"/>
  <c r="K220" i="489" s="1"/>
  <c r="AC220" i="489"/>
  <c r="K221" i="489" a="1"/>
  <c r="K221" i="489" s="1"/>
  <c r="AC221" i="489"/>
  <c r="K222" i="489" a="1"/>
  <c r="K222" i="489" s="1"/>
  <c r="AC222" i="489"/>
  <c r="K223" i="489" a="1"/>
  <c r="K223" i="489" s="1"/>
  <c r="AC223" i="489"/>
  <c r="K224" i="489" a="1"/>
  <c r="K224" i="489" s="1"/>
  <c r="AC224" i="489"/>
  <c r="K225" i="489" a="1"/>
  <c r="K225" i="489" s="1"/>
  <c r="AC225" i="489"/>
  <c r="K226" i="489" a="1"/>
  <c r="K226" i="489" s="1"/>
  <c r="AC226" i="489"/>
  <c r="K227" i="489" a="1"/>
  <c r="K227" i="489" s="1"/>
  <c r="AC227" i="489"/>
  <c r="K228" i="489" a="1"/>
  <c r="K228" i="489" s="1"/>
  <c r="AC228" i="489"/>
  <c r="K229" i="489" a="1"/>
  <c r="K229" i="489" s="1"/>
  <c r="AC229" i="489"/>
  <c r="K230" i="489" a="1"/>
  <c r="K230" i="489" s="1"/>
  <c r="AC230" i="489"/>
  <c r="K231" i="489" a="1"/>
  <c r="K231" i="489" s="1"/>
  <c r="AC231" i="489"/>
  <c r="K232" i="489" a="1"/>
  <c r="K232" i="489" s="1"/>
  <c r="AC232" i="489"/>
  <c r="K233" i="489" a="1"/>
  <c r="K233" i="489" s="1"/>
  <c r="AC233" i="489"/>
  <c r="K234" i="489" a="1"/>
  <c r="K234" i="489" s="1"/>
  <c r="AC234" i="489"/>
  <c r="K235" i="489" a="1"/>
  <c r="K235" i="489" s="1"/>
  <c r="AC235" i="489"/>
  <c r="K236" i="489" a="1"/>
  <c r="K236" i="489" s="1"/>
  <c r="AC236" i="489"/>
  <c r="K237" i="489" a="1"/>
  <c r="K237" i="489" s="1"/>
  <c r="AC237" i="489"/>
  <c r="H238" i="489"/>
  <c r="AC238" i="489"/>
  <c r="K239" i="489" a="1"/>
  <c r="K239" i="489" s="1"/>
  <c r="AC239" i="489"/>
  <c r="K240" i="489" a="1"/>
  <c r="K240" i="489" s="1"/>
  <c r="AC240" i="489"/>
  <c r="K241" i="489" a="1"/>
  <c r="K241" i="489" s="1"/>
  <c r="AC241" i="489"/>
  <c r="AC242" i="489"/>
  <c r="K243" i="489" a="1"/>
  <c r="K243" i="489" s="1"/>
  <c r="M243" i="489" s="1"/>
  <c r="AC243" i="489"/>
  <c r="K244" i="489" a="1"/>
  <c r="K244" i="489" s="1"/>
  <c r="AC244" i="489"/>
  <c r="K245" i="489" a="1"/>
  <c r="K245" i="489" s="1"/>
  <c r="AC245" i="489"/>
  <c r="K246" i="489" a="1"/>
  <c r="K246" i="489" s="1"/>
  <c r="M246" i="489" s="1"/>
  <c r="AC246" i="489"/>
  <c r="K247" i="489" a="1"/>
  <c r="K247" i="489" s="1"/>
  <c r="M247" i="489" s="1"/>
  <c r="AC247" i="489"/>
  <c r="K248" i="489" a="1"/>
  <c r="K248" i="489" s="1"/>
  <c r="AC248" i="489"/>
  <c r="K249" i="489" a="1"/>
  <c r="K249" i="489" s="1"/>
  <c r="AC249" i="489"/>
  <c r="AC255" i="489"/>
  <c r="G292" i="489"/>
  <c r="AC258" i="489"/>
  <c r="K260" i="489" a="1"/>
  <c r="K260" i="489" s="1"/>
  <c r="AC260" i="489"/>
  <c r="K262" i="489" a="1"/>
  <c r="K262" i="489" s="1"/>
  <c r="AC262" i="489"/>
  <c r="K264" i="489" a="1"/>
  <c r="K264" i="489" s="1"/>
  <c r="AC264" i="489"/>
  <c r="K266" i="489" a="1"/>
  <c r="K266" i="489" s="1"/>
  <c r="AC266" i="489"/>
  <c r="K268" i="489" a="1"/>
  <c r="K268" i="489" s="1"/>
  <c r="AC268" i="489"/>
  <c r="K270" i="489" a="1"/>
  <c r="K270" i="489" s="1"/>
  <c r="AC270" i="489"/>
  <c r="K272" i="489" a="1"/>
  <c r="K272" i="489" s="1"/>
  <c r="AC272" i="489"/>
  <c r="K274" i="489" a="1"/>
  <c r="K274" i="489" s="1"/>
  <c r="AC274" i="489"/>
  <c r="K276" i="489" a="1"/>
  <c r="K276" i="489" s="1"/>
  <c r="AC276" i="489"/>
  <c r="K277" i="489" a="1"/>
  <c r="K277" i="489" s="1"/>
  <c r="AC277" i="489"/>
  <c r="K278" i="489" a="1"/>
  <c r="K278" i="489" s="1"/>
  <c r="AC278" i="489"/>
  <c r="K283" i="489" a="1"/>
  <c r="K283" i="489" s="1"/>
  <c r="AC283" i="489"/>
  <c r="K285" i="489" a="1"/>
  <c r="K285" i="489" s="1"/>
  <c r="AC285" i="489"/>
  <c r="H286" i="489"/>
  <c r="AC286" i="489"/>
  <c r="H287" i="489"/>
  <c r="AC287" i="489"/>
  <c r="H288" i="489"/>
  <c r="AC288" i="489"/>
  <c r="K289" i="489" a="1"/>
  <c r="K289" i="489" s="1"/>
  <c r="AC289" i="489"/>
  <c r="K290" i="489" a="1"/>
  <c r="K290" i="489" s="1"/>
  <c r="AC290" i="489"/>
  <c r="K291" i="489" a="1"/>
  <c r="K291" i="489" s="1"/>
  <c r="AC291" i="489"/>
  <c r="K294" i="489" a="1"/>
  <c r="K294" i="489" s="1"/>
  <c r="AC294" i="489"/>
  <c r="K296" i="489" a="1"/>
  <c r="K296" i="489" s="1"/>
  <c r="AC296" i="489"/>
  <c r="K297" i="489" a="1"/>
  <c r="K297" i="489" s="1"/>
  <c r="AC297" i="489"/>
  <c r="K299" i="489" a="1"/>
  <c r="K299" i="489" s="1"/>
  <c r="AC299" i="489"/>
  <c r="K301" i="489" a="1"/>
  <c r="K301" i="489" s="1"/>
  <c r="AC301" i="489"/>
  <c r="K303" i="489" a="1"/>
  <c r="K303" i="489" s="1"/>
  <c r="AC303" i="489"/>
  <c r="K307" i="489" a="1"/>
  <c r="K307" i="489" s="1"/>
  <c r="AC307" i="489"/>
  <c r="K310" i="489" a="1"/>
  <c r="K310" i="489" s="1"/>
  <c r="AC310" i="489"/>
  <c r="K312" i="489" a="1"/>
  <c r="K312" i="489" s="1"/>
  <c r="AC312" i="489"/>
  <c r="K318" i="489" a="1"/>
  <c r="K318" i="489" s="1"/>
  <c r="AC318" i="489"/>
  <c r="K321" i="489" a="1"/>
  <c r="K321" i="489" s="1"/>
  <c r="AC321" i="489"/>
  <c r="K323" i="489" a="1"/>
  <c r="K323" i="489" s="1"/>
  <c r="M323" i="489" s="1"/>
  <c r="AC323" i="489"/>
  <c r="K325" i="489" a="1"/>
  <c r="K325" i="489" s="1"/>
  <c r="M325" i="489" s="1"/>
  <c r="AC325" i="489"/>
  <c r="V228" i="489"/>
  <c r="V234" i="489"/>
  <c r="V236" i="489"/>
  <c r="V237" i="489"/>
  <c r="W237" i="489" s="1"/>
  <c r="V240" i="489"/>
  <c r="V241" i="489"/>
  <c r="W241" i="489" s="1"/>
  <c r="V243" i="489"/>
  <c r="V244" i="489"/>
  <c r="W244" i="489" s="1"/>
  <c r="V245" i="489"/>
  <c r="V246" i="489"/>
  <c r="O292" i="489"/>
  <c r="Q292" i="489"/>
  <c r="S292" i="489"/>
  <c r="U292" i="489"/>
  <c r="Y292" i="489"/>
  <c r="AA292" i="489"/>
  <c r="V267" i="489"/>
  <c r="V269" i="489"/>
  <c r="W269" i="489" s="1"/>
  <c r="V271" i="489"/>
  <c r="V273" i="489"/>
  <c r="W273" i="489" s="1"/>
  <c r="N274" i="489"/>
  <c r="V275" i="489"/>
  <c r="W275" i="489" s="1"/>
  <c r="V276" i="489"/>
  <c r="N283" i="489"/>
  <c r="V284" i="489"/>
  <c r="V285" i="489"/>
  <c r="V295" i="489"/>
  <c r="V296" i="489"/>
  <c r="V298" i="489"/>
  <c r="V300" i="489"/>
  <c r="N301" i="489"/>
  <c r="V306" i="489"/>
  <c r="W306" i="489" s="1"/>
  <c r="P319" i="489"/>
  <c r="T319" i="489"/>
  <c r="V309" i="489"/>
  <c r="V322" i="489"/>
  <c r="K250" i="489" a="1"/>
  <c r="K250" i="489" s="1"/>
  <c r="AC250" i="489"/>
  <c r="AC251" i="489"/>
  <c r="AC252" i="489"/>
  <c r="AC253" i="489"/>
  <c r="AC254" i="489"/>
  <c r="AC256" i="489"/>
  <c r="K259" i="489" a="1"/>
  <c r="K259" i="489" s="1"/>
  <c r="M259" i="489" s="1"/>
  <c r="AC259" i="489"/>
  <c r="K261" i="489" a="1"/>
  <c r="K261" i="489" s="1"/>
  <c r="M261" i="489" s="1"/>
  <c r="AC261" i="489"/>
  <c r="K263" i="489" a="1"/>
  <c r="K263" i="489" s="1"/>
  <c r="M263" i="489" s="1"/>
  <c r="AC263" i="489"/>
  <c r="K265" i="489" a="1"/>
  <c r="K265" i="489" s="1"/>
  <c r="AC265" i="489"/>
  <c r="K267" i="489" a="1"/>
  <c r="K267" i="489" s="1"/>
  <c r="M267" i="489" s="1"/>
  <c r="AC267" i="489"/>
  <c r="K269" i="489" a="1"/>
  <c r="K269" i="489" s="1"/>
  <c r="M269" i="489" s="1"/>
  <c r="AC269" i="489"/>
  <c r="K271" i="489" a="1"/>
  <c r="K271" i="489" s="1"/>
  <c r="AC271" i="489"/>
  <c r="K273" i="489" a="1"/>
  <c r="K273" i="489" s="1"/>
  <c r="AC273" i="489"/>
  <c r="K275" i="489" a="1"/>
  <c r="K275" i="489" s="1"/>
  <c r="M275" i="489" s="1"/>
  <c r="AC275" i="489"/>
  <c r="K279" i="489" a="1"/>
  <c r="K279" i="489" s="1"/>
  <c r="AC279" i="489"/>
  <c r="K280" i="489" a="1"/>
  <c r="K280" i="489" s="1"/>
  <c r="M280" i="489" s="1"/>
  <c r="AC280" i="489"/>
  <c r="K281" i="489" a="1"/>
  <c r="K281" i="489" s="1"/>
  <c r="M281" i="489" s="1"/>
  <c r="AC281" i="489"/>
  <c r="K282" i="489" a="1"/>
  <c r="K282" i="489" s="1"/>
  <c r="M282" i="489" s="1"/>
  <c r="AC282" i="489"/>
  <c r="K284" i="489" a="1"/>
  <c r="K284" i="489" s="1"/>
  <c r="M284" i="489" s="1"/>
  <c r="AC284" i="489"/>
  <c r="K295" i="489" a="1"/>
  <c r="K295" i="489" s="1"/>
  <c r="M295" i="489" s="1"/>
  <c r="AC295" i="489"/>
  <c r="K298" i="489" a="1"/>
  <c r="K298" i="489" s="1"/>
  <c r="M298" i="489" s="1"/>
  <c r="AC298" i="489"/>
  <c r="K300" i="489" a="1"/>
  <c r="K300" i="489" s="1"/>
  <c r="AC300" i="489"/>
  <c r="K302" i="489" a="1"/>
  <c r="K302" i="489" s="1"/>
  <c r="M302" i="489" s="1"/>
  <c r="AC302" i="489"/>
  <c r="K306" i="489" a="1"/>
  <c r="K306" i="489" s="1"/>
  <c r="AC306" i="489"/>
  <c r="K309" i="489" a="1"/>
  <c r="K309" i="489" s="1"/>
  <c r="AC309" i="489"/>
  <c r="K311" i="489" a="1"/>
  <c r="K311" i="489" s="1"/>
  <c r="M311" i="489" s="1"/>
  <c r="AC311" i="489"/>
  <c r="K313" i="489" a="1"/>
  <c r="K313" i="489" s="1"/>
  <c r="M313" i="489" s="1"/>
  <c r="AC313" i="489"/>
  <c r="G334" i="489"/>
  <c r="AC320" i="489"/>
  <c r="K322" i="489" a="1"/>
  <c r="K322" i="489" s="1"/>
  <c r="M322" i="489" s="1"/>
  <c r="AC322" i="489"/>
  <c r="K326" i="489" a="1"/>
  <c r="K326" i="489" s="1"/>
  <c r="M326" i="489" s="1"/>
  <c r="AC326" i="489"/>
  <c r="AC331" i="489"/>
  <c r="AC333" i="489"/>
  <c r="V326" i="489"/>
  <c r="W326" i="489" s="1"/>
  <c r="K197" i="489" a="1"/>
  <c r="K197" i="489" s="1"/>
  <c r="AC197" i="489"/>
  <c r="K198" i="489" a="1"/>
  <c r="K198" i="489" s="1"/>
  <c r="AC198" i="489"/>
  <c r="K185" i="489" a="1"/>
  <c r="K185" i="489" s="1"/>
  <c r="AC185" i="489"/>
  <c r="K186" i="489" a="1"/>
  <c r="K186" i="489" s="1"/>
  <c r="AC186" i="489"/>
  <c r="K187" i="489" a="1"/>
  <c r="K187" i="489" s="1"/>
  <c r="AC187" i="489"/>
  <c r="K188" i="489" a="1"/>
  <c r="K188" i="489" s="1"/>
  <c r="AC188" i="489"/>
  <c r="K189" i="489" a="1"/>
  <c r="K189" i="489" s="1"/>
  <c r="AC189" i="489"/>
  <c r="K190" i="489" a="1"/>
  <c r="K190" i="489" s="1"/>
  <c r="AC190" i="489"/>
  <c r="K191" i="489" a="1"/>
  <c r="K191" i="489" s="1"/>
  <c r="AC191" i="489"/>
  <c r="K192" i="489" a="1"/>
  <c r="K192" i="489" s="1"/>
  <c r="AC192" i="489"/>
  <c r="K193" i="489" a="1"/>
  <c r="K193" i="489" s="1"/>
  <c r="AC193" i="489"/>
  <c r="K194" i="489" a="1"/>
  <c r="K194" i="489" s="1"/>
  <c r="AC194" i="489"/>
  <c r="K195" i="489" a="1"/>
  <c r="K195" i="489" s="1"/>
  <c r="AC195" i="489"/>
  <c r="K196" i="489" a="1"/>
  <c r="K196" i="489" s="1"/>
  <c r="AC196" i="489"/>
  <c r="V185" i="489"/>
  <c r="V186" i="489"/>
  <c r="W186" i="489" s="1"/>
  <c r="V187" i="489"/>
  <c r="V189" i="489"/>
  <c r="W189" i="489" s="1"/>
  <c r="G199" i="489"/>
  <c r="J521" i="489" s="1"/>
  <c r="AC178" i="489"/>
  <c r="K179" i="489" a="1"/>
  <c r="K179" i="489" s="1"/>
  <c r="AC179" i="489"/>
  <c r="K180" i="489" a="1"/>
  <c r="K180" i="489" s="1"/>
  <c r="AC180" i="489"/>
  <c r="K181" i="489" a="1"/>
  <c r="K181" i="489" s="1"/>
  <c r="M181" i="489" s="1"/>
  <c r="AC181" i="489"/>
  <c r="K182" i="489" a="1"/>
  <c r="K182" i="489" s="1"/>
  <c r="M182" i="489" s="1"/>
  <c r="AC182" i="489"/>
  <c r="K183" i="489" a="1"/>
  <c r="K183" i="489" s="1"/>
  <c r="AC183" i="489"/>
  <c r="V179" i="489"/>
  <c r="V180" i="489"/>
  <c r="W180" i="489" s="1"/>
  <c r="V181" i="489"/>
  <c r="V182" i="489"/>
  <c r="W182" i="489" s="1"/>
  <c r="V183" i="489"/>
  <c r="H81" i="489"/>
  <c r="AC81" i="489"/>
  <c r="H83" i="489"/>
  <c r="AC83" i="489"/>
  <c r="H84" i="489"/>
  <c r="AC84" i="489"/>
  <c r="H85" i="489"/>
  <c r="AC85" i="489"/>
  <c r="J87" i="489"/>
  <c r="AC87" i="489"/>
  <c r="J89" i="489" a="1"/>
  <c r="J89" i="489" s="1"/>
  <c r="AC89" i="489"/>
  <c r="J91" i="489" a="1"/>
  <c r="J91" i="489" s="1"/>
  <c r="AC91" i="489"/>
  <c r="J93" i="489" a="1"/>
  <c r="J93" i="489" s="1"/>
  <c r="AC93" i="489"/>
  <c r="K95" i="489" a="1"/>
  <c r="K95" i="489" s="1"/>
  <c r="M95" i="489" s="1"/>
  <c r="AC95" i="489"/>
  <c r="K97" i="489" a="1"/>
  <c r="K97" i="489" s="1"/>
  <c r="M97" i="489" s="1"/>
  <c r="AC97" i="489"/>
  <c r="K99" i="489" a="1"/>
  <c r="K99" i="489" s="1"/>
  <c r="M99" i="489" s="1"/>
  <c r="AC99" i="489"/>
  <c r="K101" i="489" a="1"/>
  <c r="K101" i="489" s="1"/>
  <c r="AC101" i="489"/>
  <c r="K103" i="489" a="1"/>
  <c r="K103" i="489" s="1"/>
  <c r="AC103" i="489"/>
  <c r="K105" i="489" a="1"/>
  <c r="K105" i="489" s="1"/>
  <c r="AC105" i="489"/>
  <c r="K108" i="489" a="1"/>
  <c r="K108" i="489" s="1"/>
  <c r="M108" i="489" s="1"/>
  <c r="AC108" i="489"/>
  <c r="K110" i="489" a="1"/>
  <c r="K110" i="489" s="1"/>
  <c r="AC110" i="489"/>
  <c r="K112" i="489" a="1"/>
  <c r="K112" i="489" s="1"/>
  <c r="M112" i="489" s="1"/>
  <c r="AC112" i="489"/>
  <c r="K114" i="489" a="1"/>
  <c r="K114" i="489" s="1"/>
  <c r="AC114" i="489"/>
  <c r="K116" i="489" a="1"/>
  <c r="K116" i="489" s="1"/>
  <c r="AC116" i="489"/>
  <c r="K118" i="489" a="1"/>
  <c r="K118" i="489" s="1"/>
  <c r="AC118" i="489"/>
  <c r="J123" i="489" a="1"/>
  <c r="J123" i="489" s="1"/>
  <c r="AC123" i="489"/>
  <c r="K127" i="489" a="1"/>
  <c r="K127" i="489" s="1"/>
  <c r="AC127" i="489"/>
  <c r="K129" i="489" a="1"/>
  <c r="K129" i="489" s="1"/>
  <c r="AC129" i="489"/>
  <c r="K131" i="489" a="1"/>
  <c r="K131" i="489" s="1"/>
  <c r="M131" i="489" s="1"/>
  <c r="AC131" i="489"/>
  <c r="K133" i="489" a="1"/>
  <c r="K133" i="489" s="1"/>
  <c r="M133" i="489" s="1"/>
  <c r="AC133" i="489"/>
  <c r="K135" i="489" a="1"/>
  <c r="K135" i="489" s="1"/>
  <c r="M135" i="489" s="1"/>
  <c r="AC135" i="489"/>
  <c r="K140" i="489" a="1"/>
  <c r="K140" i="489" s="1"/>
  <c r="M140" i="489" s="1"/>
  <c r="AC140" i="489"/>
  <c r="K142" i="489" a="1"/>
  <c r="K142" i="489" s="1"/>
  <c r="M142" i="489" s="1"/>
  <c r="AC142" i="489"/>
  <c r="K152" i="489" a="1"/>
  <c r="K152" i="489" s="1"/>
  <c r="AC152" i="489"/>
  <c r="K154" i="489" a="1"/>
  <c r="K154" i="489" s="1"/>
  <c r="M154" i="489" s="1"/>
  <c r="AC154" i="489"/>
  <c r="K155" i="489" a="1"/>
  <c r="K155" i="489" s="1"/>
  <c r="AC155" i="489"/>
  <c r="K161" i="489" a="1"/>
  <c r="K161" i="489" s="1"/>
  <c r="M161" i="489" s="1"/>
  <c r="AC161" i="489"/>
  <c r="V99" i="489"/>
  <c r="V100" i="489"/>
  <c r="V102" i="489"/>
  <c r="W102" i="489" s="1"/>
  <c r="V113" i="489"/>
  <c r="V126" i="489"/>
  <c r="W126" i="489" s="1"/>
  <c r="V139" i="489"/>
  <c r="V141" i="489"/>
  <c r="W141" i="489" s="1"/>
  <c r="V151" i="489"/>
  <c r="G86" i="489"/>
  <c r="AC29" i="489"/>
  <c r="K31" i="489" a="1"/>
  <c r="K31" i="489" s="1"/>
  <c r="AC31" i="489"/>
  <c r="K32" i="489" a="1"/>
  <c r="K32" i="489" s="1"/>
  <c r="AC32" i="489"/>
  <c r="K33" i="489" a="1"/>
  <c r="K33" i="489" s="1"/>
  <c r="M33" i="489" s="1"/>
  <c r="AC33" i="489"/>
  <c r="H34" i="489"/>
  <c r="AC34" i="489"/>
  <c r="H35" i="489"/>
  <c r="AC35" i="489"/>
  <c r="H36" i="489"/>
  <c r="AC36" i="489"/>
  <c r="K37" i="489" a="1"/>
  <c r="K37" i="489" s="1"/>
  <c r="M37" i="489" s="1"/>
  <c r="AC37" i="489"/>
  <c r="K38" i="489" a="1"/>
  <c r="K38" i="489" s="1"/>
  <c r="M38" i="489" s="1"/>
  <c r="AC38" i="489"/>
  <c r="K39" i="489" a="1"/>
  <c r="K39" i="489" s="1"/>
  <c r="M39" i="489" s="1"/>
  <c r="AC39" i="489"/>
  <c r="K40" i="489" a="1"/>
  <c r="K40" i="489" s="1"/>
  <c r="AC40" i="489"/>
  <c r="K41" i="489" a="1"/>
  <c r="K41" i="489" s="1"/>
  <c r="M41" i="489" s="1"/>
  <c r="AC41" i="489"/>
  <c r="K42" i="489" a="1"/>
  <c r="K42" i="489" s="1"/>
  <c r="M42" i="489" s="1"/>
  <c r="AC42" i="489"/>
  <c r="K43" i="489" a="1"/>
  <c r="K43" i="489" s="1"/>
  <c r="M43" i="489" s="1"/>
  <c r="AC43" i="489"/>
  <c r="K44" i="489" a="1"/>
  <c r="K44" i="489" s="1"/>
  <c r="M44" i="489" s="1"/>
  <c r="AC44" i="489"/>
  <c r="K45" i="489" a="1"/>
  <c r="K45" i="489" s="1"/>
  <c r="M45" i="489" s="1"/>
  <c r="AC45" i="489"/>
  <c r="K46" i="489" a="1"/>
  <c r="K46" i="489" s="1"/>
  <c r="M46" i="489" s="1"/>
  <c r="AC46" i="489"/>
  <c r="K47" i="489" a="1"/>
  <c r="K47" i="489" s="1"/>
  <c r="AC47" i="489"/>
  <c r="K48" i="489" a="1"/>
  <c r="K48" i="489" s="1"/>
  <c r="AC48" i="489"/>
  <c r="K49" i="489" a="1"/>
  <c r="K49" i="489" s="1"/>
  <c r="M49" i="489" s="1"/>
  <c r="AC49" i="489"/>
  <c r="K50" i="489" a="1"/>
  <c r="K50" i="489" s="1"/>
  <c r="M50" i="489" s="1"/>
  <c r="AC50" i="489"/>
  <c r="K51" i="489" a="1"/>
  <c r="K51" i="489" s="1"/>
  <c r="M51" i="489" s="1"/>
  <c r="AC51" i="489"/>
  <c r="K52" i="489" a="1"/>
  <c r="K52" i="489" s="1"/>
  <c r="AC52" i="489"/>
  <c r="K53" i="489" a="1"/>
  <c r="K53" i="489" s="1"/>
  <c r="M53" i="489" s="1"/>
  <c r="AC53" i="489"/>
  <c r="K54" i="489" a="1"/>
  <c r="K54" i="489" s="1"/>
  <c r="M54" i="489" s="1"/>
  <c r="AC54" i="489"/>
  <c r="K55" i="489" a="1"/>
  <c r="K55" i="489" s="1"/>
  <c r="M55" i="489" s="1"/>
  <c r="AC55" i="489"/>
  <c r="K56" i="489" a="1"/>
  <c r="K56" i="489" s="1"/>
  <c r="AC56" i="489"/>
  <c r="K57" i="489" a="1"/>
  <c r="K57" i="489" s="1"/>
  <c r="M57" i="489" s="1"/>
  <c r="AC57" i="489"/>
  <c r="K58" i="489" a="1"/>
  <c r="K58" i="489" s="1"/>
  <c r="M58" i="489" s="1"/>
  <c r="AC58" i="489"/>
  <c r="K59" i="489" a="1"/>
  <c r="K59" i="489" s="1"/>
  <c r="M59" i="489" s="1"/>
  <c r="AC59" i="489"/>
  <c r="K60" i="489" a="1"/>
  <c r="K60" i="489" s="1"/>
  <c r="AC60" i="489"/>
  <c r="K61" i="489" a="1"/>
  <c r="K61" i="489" s="1"/>
  <c r="M61" i="489" s="1"/>
  <c r="AC61" i="489"/>
  <c r="K62" i="489" a="1"/>
  <c r="K62" i="489" s="1"/>
  <c r="M62" i="489" s="1"/>
  <c r="AC62" i="489"/>
  <c r="K63" i="489" a="1"/>
  <c r="K63" i="489" s="1"/>
  <c r="M63" i="489" s="1"/>
  <c r="AC63" i="489"/>
  <c r="K64" i="489" a="1"/>
  <c r="K64" i="489" s="1"/>
  <c r="AC64" i="489"/>
  <c r="K65" i="489" a="1"/>
  <c r="K65" i="489" s="1"/>
  <c r="M65" i="489" s="1"/>
  <c r="AC65" i="489"/>
  <c r="K66" i="489" a="1"/>
  <c r="K66" i="489" s="1"/>
  <c r="M66" i="489" s="1"/>
  <c r="AC66" i="489"/>
  <c r="K68" i="489" a="1"/>
  <c r="K68" i="489" s="1"/>
  <c r="AC68" i="489"/>
  <c r="K69" i="489" a="1"/>
  <c r="K69" i="489" s="1"/>
  <c r="AC69" i="489"/>
  <c r="K70" i="489" a="1"/>
  <c r="K70" i="489" s="1"/>
  <c r="M70" i="489" s="1"/>
  <c r="AC70" i="489"/>
  <c r="H71" i="489"/>
  <c r="AC71" i="489"/>
  <c r="K72" i="489" a="1"/>
  <c r="K72" i="489" s="1"/>
  <c r="M72" i="489" s="1"/>
  <c r="AC72" i="489"/>
  <c r="K73" i="489" a="1"/>
  <c r="K73" i="489" s="1"/>
  <c r="AC73" i="489"/>
  <c r="K74" i="489" a="1"/>
  <c r="K74" i="489" s="1"/>
  <c r="M74" i="489" s="1"/>
  <c r="AC74" i="489"/>
  <c r="K75" i="489" a="1"/>
  <c r="K75" i="489" s="1"/>
  <c r="M75" i="489" s="1"/>
  <c r="AC75" i="489"/>
  <c r="K76" i="489" a="1"/>
  <c r="K76" i="489" s="1"/>
  <c r="M76" i="489" s="1"/>
  <c r="AC76" i="489"/>
  <c r="K77" i="489" a="1"/>
  <c r="K77" i="489" s="1"/>
  <c r="M77" i="489" s="1"/>
  <c r="AC77" i="489"/>
  <c r="K78" i="489" a="1"/>
  <c r="K78" i="489" s="1"/>
  <c r="M78" i="489" s="1"/>
  <c r="AC78" i="489"/>
  <c r="K79" i="489" a="1"/>
  <c r="K79" i="489" s="1"/>
  <c r="M79" i="489" s="1"/>
  <c r="AC79" i="489"/>
  <c r="H80" i="489"/>
  <c r="AC80" i="489"/>
  <c r="H82" i="489"/>
  <c r="AC82" i="489"/>
  <c r="K88" i="489" a="1"/>
  <c r="K88" i="489" s="1"/>
  <c r="M88" i="489" s="1"/>
  <c r="AC88" i="489"/>
  <c r="K90" i="489" a="1"/>
  <c r="K90" i="489" s="1"/>
  <c r="M90" i="489" s="1"/>
  <c r="AC90" i="489"/>
  <c r="K92" i="489" a="1"/>
  <c r="K92" i="489" s="1"/>
  <c r="M92" i="489" s="1"/>
  <c r="AC92" i="489"/>
  <c r="K94" i="489" a="1"/>
  <c r="K94" i="489" s="1"/>
  <c r="M94" i="489" s="1"/>
  <c r="AC94" i="489"/>
  <c r="J96" i="489" a="1"/>
  <c r="J96" i="489" s="1"/>
  <c r="AC96" i="489"/>
  <c r="J98" i="489" a="1"/>
  <c r="J98" i="489" s="1"/>
  <c r="AC98" i="489"/>
  <c r="K102" i="489" a="1"/>
  <c r="K102" i="489" s="1"/>
  <c r="M102" i="489" s="1"/>
  <c r="AC102" i="489"/>
  <c r="K104" i="489" a="1"/>
  <c r="K104" i="489" s="1"/>
  <c r="M104" i="489" s="1"/>
  <c r="AC104" i="489"/>
  <c r="K106" i="489" a="1"/>
  <c r="K106" i="489" s="1"/>
  <c r="M106" i="489" s="1"/>
  <c r="AC106" i="489"/>
  <c r="K107" i="489" a="1"/>
  <c r="K107" i="489" s="1"/>
  <c r="AC107" i="489"/>
  <c r="K109" i="489" a="1"/>
  <c r="K109" i="489" s="1"/>
  <c r="M109" i="489" s="1"/>
  <c r="AC109" i="489"/>
  <c r="K111" i="489" a="1"/>
  <c r="K111" i="489" s="1"/>
  <c r="M111" i="489" s="1"/>
  <c r="AC111" i="489"/>
  <c r="K113" i="489" a="1"/>
  <c r="K113" i="489" s="1"/>
  <c r="M113" i="489" s="1"/>
  <c r="AC113" i="489"/>
  <c r="K115" i="489" a="1"/>
  <c r="K115" i="489" s="1"/>
  <c r="AC115" i="489"/>
  <c r="K117" i="489" a="1"/>
  <c r="K117" i="489" s="1"/>
  <c r="AC117" i="489"/>
  <c r="K119" i="489" a="1"/>
  <c r="K119" i="489" s="1"/>
  <c r="M119" i="489" s="1"/>
  <c r="AC119" i="489"/>
  <c r="K120" i="489" a="1"/>
  <c r="K120" i="489" s="1"/>
  <c r="AC120" i="489"/>
  <c r="G137" i="489"/>
  <c r="AC122" i="489"/>
  <c r="K124" i="489" a="1"/>
  <c r="K124" i="489" s="1"/>
  <c r="M124" i="489" s="1"/>
  <c r="AC124" i="489"/>
  <c r="K126" i="489" a="1"/>
  <c r="K126" i="489" s="1"/>
  <c r="M126" i="489" s="1"/>
  <c r="AC126" i="489"/>
  <c r="K128" i="489" a="1"/>
  <c r="K128" i="489" s="1"/>
  <c r="M128" i="489" s="1"/>
  <c r="AC128" i="489"/>
  <c r="K132" i="489" a="1"/>
  <c r="K132" i="489" s="1"/>
  <c r="M132" i="489" s="1"/>
  <c r="AC132" i="489"/>
  <c r="K134" i="489" a="1"/>
  <c r="K134" i="489" s="1"/>
  <c r="AC134" i="489"/>
  <c r="K136" i="489" a="1"/>
  <c r="K136" i="489" s="1"/>
  <c r="M136" i="489" s="1"/>
  <c r="AC136" i="489"/>
  <c r="K139" i="489" a="1"/>
  <c r="K139" i="489" s="1"/>
  <c r="M139" i="489" s="1"/>
  <c r="AC139" i="489"/>
  <c r="K141" i="489" a="1"/>
  <c r="K141" i="489" s="1"/>
  <c r="AC141" i="489"/>
  <c r="K147" i="489" a="1"/>
  <c r="K147" i="489" s="1"/>
  <c r="M147" i="489" s="1"/>
  <c r="AC147" i="489"/>
  <c r="K149" i="489" a="1"/>
  <c r="K149" i="489" s="1"/>
  <c r="AC149" i="489"/>
  <c r="K150" i="489" a="1"/>
  <c r="K150" i="489" s="1"/>
  <c r="M150" i="489" s="1"/>
  <c r="AC150" i="489"/>
  <c r="K158" i="489" a="1"/>
  <c r="K158" i="489" s="1"/>
  <c r="M158" i="489" s="1"/>
  <c r="AC158" i="489"/>
  <c r="K159" i="489" a="1"/>
  <c r="K159" i="489" s="1"/>
  <c r="AC159" i="489"/>
  <c r="K160" i="489" a="1"/>
  <c r="K160" i="489" s="1"/>
  <c r="M160" i="489" s="1"/>
  <c r="AC160" i="489"/>
  <c r="V75" i="489"/>
  <c r="W75" i="489" s="1"/>
  <c r="V131" i="489"/>
  <c r="V133" i="489"/>
  <c r="W133" i="489" s="1"/>
  <c r="V158" i="489"/>
  <c r="K15" i="489" a="1"/>
  <c r="K15" i="489" s="1"/>
  <c r="AC15" i="489"/>
  <c r="K16" i="489" a="1"/>
  <c r="K16" i="489" s="1"/>
  <c r="M16" i="489" s="1"/>
  <c r="AC16" i="489"/>
  <c r="K17" i="489" a="1"/>
  <c r="K17" i="489" s="1"/>
  <c r="M17" i="489" s="1"/>
  <c r="AC17" i="489"/>
  <c r="K18" i="489" a="1"/>
  <c r="K18" i="489" s="1"/>
  <c r="M18" i="489" s="1"/>
  <c r="AC18" i="489"/>
  <c r="K19" i="489" a="1"/>
  <c r="K19" i="489" s="1"/>
  <c r="M19" i="489" s="1"/>
  <c r="AC19" i="489"/>
  <c r="K20" i="489" a="1"/>
  <c r="K20" i="489" s="1"/>
  <c r="M20" i="489" s="1"/>
  <c r="AC20" i="489"/>
  <c r="K21" i="489" a="1"/>
  <c r="K21" i="489" s="1"/>
  <c r="M21" i="489" s="1"/>
  <c r="AC21" i="489"/>
  <c r="K22" i="489" a="1"/>
  <c r="K22" i="489" s="1"/>
  <c r="M22" i="489" s="1"/>
  <c r="AC22" i="489"/>
  <c r="V16" i="489"/>
  <c r="W16" i="489" s="1"/>
  <c r="V17" i="489"/>
  <c r="V18" i="489"/>
  <c r="W18" i="489" s="1"/>
  <c r="V19" i="489"/>
  <c r="V20" i="489"/>
  <c r="W20" i="489" s="1"/>
  <c r="V21" i="489"/>
  <c r="K23" i="489" a="1"/>
  <c r="K23" i="489" s="1"/>
  <c r="M23" i="489" s="1"/>
  <c r="AC23" i="489"/>
  <c r="K24" i="489" a="1"/>
  <c r="K24" i="489" s="1"/>
  <c r="M24" i="489" s="1"/>
  <c r="AC24" i="489"/>
  <c r="K25" i="489" a="1"/>
  <c r="K25" i="489" s="1"/>
  <c r="M25" i="489" s="1"/>
  <c r="AC25" i="489"/>
  <c r="K26" i="489" a="1"/>
  <c r="K26" i="489" s="1"/>
  <c r="M26" i="489" s="1"/>
  <c r="AC26" i="489"/>
  <c r="K27" i="489" a="1"/>
  <c r="K27" i="489" s="1"/>
  <c r="M27" i="489" s="1"/>
  <c r="AC27" i="489"/>
  <c r="K8" i="489" a="1"/>
  <c r="K8" i="489" s="1"/>
  <c r="M8" i="489" s="1"/>
  <c r="AC8" i="489"/>
  <c r="K9" i="489" a="1"/>
  <c r="K9" i="489" s="1"/>
  <c r="M9" i="489" s="1"/>
  <c r="AC9" i="489"/>
  <c r="K10" i="489" a="1"/>
  <c r="K10" i="489" s="1"/>
  <c r="M10" i="489" s="1"/>
  <c r="AC10" i="489"/>
  <c r="K11" i="489" a="1"/>
  <c r="K11" i="489" s="1"/>
  <c r="M11" i="489" s="1"/>
  <c r="AC11" i="489"/>
  <c r="K12" i="489" a="1"/>
  <c r="K12" i="489" s="1"/>
  <c r="M12" i="489" s="1"/>
  <c r="AC12" i="489"/>
  <c r="K14" i="489" a="1"/>
  <c r="K14" i="489" s="1"/>
  <c r="M14" i="489" s="1"/>
  <c r="AC14" i="489"/>
  <c r="I28" i="489"/>
  <c r="K13" i="489" a="1"/>
  <c r="K13" i="489" s="1"/>
  <c r="M13" i="489" s="1"/>
  <c r="AC13" i="489"/>
  <c r="G28" i="489"/>
  <c r="K184" i="489" a="1"/>
  <c r="K184" i="489" s="1"/>
  <c r="M184" i="489" s="1"/>
  <c r="AC184" i="489"/>
  <c r="V12" i="489"/>
  <c r="W12" i="489" s="1"/>
  <c r="V13" i="489"/>
  <c r="M15" i="489"/>
  <c r="V25" i="489"/>
  <c r="V26" i="489"/>
  <c r="W26" i="489" s="1"/>
  <c r="V190" i="489"/>
  <c r="V191" i="489"/>
  <c r="W191" i="489" s="1"/>
  <c r="V192" i="489"/>
  <c r="V208" i="489"/>
  <c r="W208" i="489" s="1"/>
  <c r="V209" i="489"/>
  <c r="M211" i="489"/>
  <c r="N297" i="489"/>
  <c r="V302" i="489"/>
  <c r="W302" i="489" s="1"/>
  <c r="V304" i="489"/>
  <c r="Y319" i="489"/>
  <c r="AA319" i="489"/>
  <c r="V310" i="489"/>
  <c r="W310" i="489" s="1"/>
  <c r="N322" i="489"/>
  <c r="V323" i="489"/>
  <c r="W323" i="489" s="1"/>
  <c r="H350" i="489"/>
  <c r="N352" i="489"/>
  <c r="V352" i="489"/>
  <c r="W352" i="489" s="1"/>
  <c r="H353" i="489"/>
  <c r="J353" i="489" a="1"/>
  <c r="J353" i="489" s="1"/>
  <c r="N354" i="489"/>
  <c r="V355" i="489"/>
  <c r="W355" i="489" s="1"/>
  <c r="V357" i="489"/>
  <c r="W357" i="489" s="1"/>
  <c r="H374" i="489"/>
  <c r="H396" i="489"/>
  <c r="V400" i="489"/>
  <c r="W400" i="489" s="1"/>
  <c r="V402" i="489"/>
  <c r="W402" i="489" s="1"/>
  <c r="V404" i="489"/>
  <c r="W404" i="489" s="1"/>
  <c r="V406" i="489"/>
  <c r="W406" i="489" s="1"/>
  <c r="N407" i="489"/>
  <c r="V408" i="489"/>
  <c r="W408" i="489" s="1"/>
  <c r="H414" i="489"/>
  <c r="J414" i="489" a="1"/>
  <c r="J414" i="489" s="1"/>
  <c r="M415" i="489"/>
  <c r="N415" i="489"/>
  <c r="V415" i="489"/>
  <c r="W415" i="489" s="1"/>
  <c r="H416" i="489"/>
  <c r="J416" i="489" a="1"/>
  <c r="J416" i="489" s="1"/>
  <c r="M417" i="489"/>
  <c r="N417" i="489"/>
  <c r="M459" i="489"/>
  <c r="M460" i="489"/>
  <c r="N460" i="489"/>
  <c r="H461" i="489"/>
  <c r="V468" i="489"/>
  <c r="W468" i="489" s="1"/>
  <c r="G490" i="489"/>
  <c r="J490" i="489" s="1" a="1"/>
  <c r="J490" i="489" s="1"/>
  <c r="O490" i="489"/>
  <c r="Q490" i="489"/>
  <c r="S490" i="489"/>
  <c r="U490" i="489"/>
  <c r="Y490" i="489"/>
  <c r="AA490" i="489"/>
  <c r="P506" i="489"/>
  <c r="R506" i="489"/>
  <c r="T506" i="489"/>
  <c r="X506" i="489"/>
  <c r="Z506" i="489"/>
  <c r="V60" i="489"/>
  <c r="V61" i="489"/>
  <c r="W61" i="489" s="1"/>
  <c r="V229" i="489"/>
  <c r="W229" i="489" s="1"/>
  <c r="V230" i="489"/>
  <c r="W230" i="489" s="1"/>
  <c r="V232" i="489"/>
  <c r="W232" i="489" s="1"/>
  <c r="V233" i="489"/>
  <c r="W233" i="489" s="1"/>
  <c r="W266" i="489"/>
  <c r="W299" i="489"/>
  <c r="H451" i="489"/>
  <c r="M452" i="489"/>
  <c r="N452" i="489"/>
  <c r="V11" i="489"/>
  <c r="W11" i="489" s="1"/>
  <c r="V15" i="489"/>
  <c r="W15" i="489" s="1"/>
  <c r="V23" i="489"/>
  <c r="V24" i="489"/>
  <c r="V31" i="489"/>
  <c r="W31" i="489" s="1"/>
  <c r="V32" i="489"/>
  <c r="W32" i="489" s="1"/>
  <c r="V33" i="489"/>
  <c r="W33" i="489" s="1"/>
  <c r="V37" i="489"/>
  <c r="W37" i="489" s="1"/>
  <c r="W69" i="489"/>
  <c r="W72" i="489"/>
  <c r="W73" i="489"/>
  <c r="W74" i="489"/>
  <c r="V87" i="489"/>
  <c r="W87" i="489" s="1"/>
  <c r="V89" i="489"/>
  <c r="W89" i="489" s="1"/>
  <c r="V91" i="489"/>
  <c r="W91" i="489" s="1"/>
  <c r="V93" i="489"/>
  <c r="W93" i="489" s="1"/>
  <c r="V104" i="489"/>
  <c r="W104" i="489" s="1"/>
  <c r="W113" i="489"/>
  <c r="V122" i="489"/>
  <c r="W122" i="489" s="1"/>
  <c r="W127" i="489"/>
  <c r="W129" i="489"/>
  <c r="W131" i="489"/>
  <c r="W140" i="489"/>
  <c r="W179" i="489"/>
  <c r="W181" i="489"/>
  <c r="W183" i="489"/>
  <c r="W184" i="489"/>
  <c r="V188" i="489"/>
  <c r="W188" i="489" s="1"/>
  <c r="V203" i="489"/>
  <c r="W203" i="489" s="1"/>
  <c r="V204" i="489"/>
  <c r="W204" i="489" s="1"/>
  <c r="V211" i="489"/>
  <c r="W211" i="489" s="1"/>
  <c r="M213" i="489"/>
  <c r="W215" i="489"/>
  <c r="M217" i="489"/>
  <c r="W219" i="489"/>
  <c r="W240" i="489"/>
  <c r="W245" i="489"/>
  <c r="V259" i="489"/>
  <c r="W259" i="489" s="1"/>
  <c r="N260" i="489"/>
  <c r="V263" i="489"/>
  <c r="W263" i="489" s="1"/>
  <c r="N264" i="489"/>
  <c r="N266" i="489"/>
  <c r="H270" i="489"/>
  <c r="N270" i="489"/>
  <c r="W271" i="489"/>
  <c r="N272" i="489"/>
  <c r="H275" i="489"/>
  <c r="N275" i="489"/>
  <c r="W284" i="489"/>
  <c r="W289" i="489"/>
  <c r="W294" i="489"/>
  <c r="N295" i="489"/>
  <c r="W297" i="489"/>
  <c r="H300" i="489"/>
  <c r="N300" i="489"/>
  <c r="N302" i="489"/>
  <c r="W303" i="489"/>
  <c r="W309" i="489"/>
  <c r="J325" i="489" a="1"/>
  <c r="J325" i="489" s="1"/>
  <c r="W356" i="489"/>
  <c r="W358" i="489"/>
  <c r="N380" i="489"/>
  <c r="N382" i="489"/>
  <c r="N384" i="489"/>
  <c r="N386" i="489"/>
  <c r="N388" i="489"/>
  <c r="N390" i="489"/>
  <c r="N400" i="489"/>
  <c r="N402" i="489"/>
  <c r="N404" i="489"/>
  <c r="N406" i="489"/>
  <c r="N408" i="489"/>
  <c r="N411" i="489"/>
  <c r="V411" i="489"/>
  <c r="W411" i="489" s="1"/>
  <c r="H412" i="489"/>
  <c r="J412" i="489" a="1"/>
  <c r="J412" i="489" s="1"/>
  <c r="N414" i="489"/>
  <c r="V414" i="489"/>
  <c r="W414" i="489" s="1"/>
  <c r="H415" i="489"/>
  <c r="J415" i="489" a="1"/>
  <c r="J415" i="489" s="1"/>
  <c r="N416" i="489"/>
  <c r="V416" i="489"/>
  <c r="W416" i="489" s="1"/>
  <c r="H417" i="489"/>
  <c r="J417" i="489" a="1"/>
  <c r="J417" i="489" s="1"/>
  <c r="W440" i="489"/>
  <c r="W444" i="489"/>
  <c r="W448" i="489"/>
  <c r="H453" i="489"/>
  <c r="M454" i="489"/>
  <c r="N454" i="489"/>
  <c r="H455" i="489"/>
  <c r="J455" i="489" a="1"/>
  <c r="J455" i="489" s="1"/>
  <c r="N456" i="489"/>
  <c r="V456" i="489"/>
  <c r="W456" i="489" s="1"/>
  <c r="H457" i="489"/>
  <c r="H458" i="489"/>
  <c r="H459" i="489"/>
  <c r="H460" i="489"/>
  <c r="J460" i="489" a="1"/>
  <c r="J460" i="489" s="1"/>
  <c r="N461" i="489"/>
  <c r="V461" i="489"/>
  <c r="W461" i="489" s="1"/>
  <c r="H462" i="489"/>
  <c r="J462" i="489" a="1"/>
  <c r="J462" i="489" s="1"/>
  <c r="N466" i="489"/>
  <c r="N468" i="489"/>
  <c r="W469" i="489"/>
  <c r="W471" i="489"/>
  <c r="M473" i="489"/>
  <c r="W473" i="489"/>
  <c r="M475" i="489"/>
  <c r="W475" i="489"/>
  <c r="W477" i="489"/>
  <c r="W481" i="489"/>
  <c r="W483" i="489"/>
  <c r="W9" i="489"/>
  <c r="W13" i="489"/>
  <c r="W17" i="489"/>
  <c r="W21" i="489"/>
  <c r="W39" i="489"/>
  <c r="W41" i="489"/>
  <c r="W43" i="489"/>
  <c r="W44" i="489"/>
  <c r="W45" i="489"/>
  <c r="W46" i="489"/>
  <c r="W47" i="489"/>
  <c r="W48" i="489"/>
  <c r="V57" i="489"/>
  <c r="W57" i="489" s="1"/>
  <c r="V58" i="489"/>
  <c r="W58" i="489" s="1"/>
  <c r="V59" i="489"/>
  <c r="W59" i="489" s="1"/>
  <c r="V63" i="489"/>
  <c r="W63" i="489" s="1"/>
  <c r="V90" i="489"/>
  <c r="W90" i="489" s="1"/>
  <c r="V96" i="489"/>
  <c r="W96" i="489" s="1"/>
  <c r="V98" i="489"/>
  <c r="W98" i="489" s="1"/>
  <c r="W103" i="489"/>
  <c r="W114" i="489"/>
  <c r="W128" i="489"/>
  <c r="V130" i="489"/>
  <c r="W130" i="489" s="1"/>
  <c r="V132" i="489"/>
  <c r="W132" i="489" s="1"/>
  <c r="W139" i="489"/>
  <c r="V142" i="489"/>
  <c r="W142" i="489" s="1"/>
  <c r="V178" i="489"/>
  <c r="W190" i="489"/>
  <c r="W192" i="489"/>
  <c r="V193" i="489"/>
  <c r="W193" i="489" s="1"/>
  <c r="V194" i="489"/>
  <c r="W194" i="489" s="1"/>
  <c r="M200" i="489"/>
  <c r="W209" i="489"/>
  <c r="M215" i="489"/>
  <c r="V217" i="489"/>
  <c r="W217" i="489" s="1"/>
  <c r="M219" i="489"/>
  <c r="V231" i="489"/>
  <c r="W231" i="489" s="1"/>
  <c r="V235" i="489"/>
  <c r="W235" i="489" s="1"/>
  <c r="W243" i="489"/>
  <c r="W270" i="489"/>
  <c r="N271" i="489"/>
  <c r="W272" i="489"/>
  <c r="N273" i="489"/>
  <c r="W277" i="489"/>
  <c r="N282" i="489"/>
  <c r="N284" i="489"/>
  <c r="V290" i="489"/>
  <c r="W290" i="489" s="1"/>
  <c r="N294" i="489"/>
  <c r="H297" i="489"/>
  <c r="W300" i="489"/>
  <c r="N303" i="489"/>
  <c r="N310" i="489"/>
  <c r="N312" i="489"/>
  <c r="N318" i="489"/>
  <c r="N321" i="489"/>
  <c r="N323" i="489"/>
  <c r="N325" i="489"/>
  <c r="V325" i="489"/>
  <c r="W325" i="489" s="1"/>
  <c r="J326" i="489" a="1"/>
  <c r="J326" i="489" s="1"/>
  <c r="J330" i="489" a="1"/>
  <c r="J330" i="489" s="1"/>
  <c r="M330" i="489"/>
  <c r="V354" i="489"/>
  <c r="W354" i="489" s="1"/>
  <c r="H356" i="489"/>
  <c r="N356" i="489"/>
  <c r="H358" i="489"/>
  <c r="N358" i="489"/>
  <c r="V361" i="489"/>
  <c r="W361" i="489" s="1"/>
  <c r="N363" i="489"/>
  <c r="V364" i="489"/>
  <c r="W364" i="489" s="1"/>
  <c r="W374" i="489"/>
  <c r="W382" i="489"/>
  <c r="W386" i="489"/>
  <c r="V417" i="489"/>
  <c r="W417" i="489" s="1"/>
  <c r="H418" i="489"/>
  <c r="H420" i="489"/>
  <c r="H422" i="489"/>
  <c r="H423" i="489"/>
  <c r="H424" i="489"/>
  <c r="H425" i="489"/>
  <c r="H427" i="489"/>
  <c r="M431" i="489"/>
  <c r="M433" i="489"/>
  <c r="M435" i="489"/>
  <c r="N437" i="489"/>
  <c r="V437" i="489"/>
  <c r="W437" i="489" s="1"/>
  <c r="H438" i="489"/>
  <c r="J438" i="489" a="1"/>
  <c r="J438" i="489" s="1"/>
  <c r="N439" i="489"/>
  <c r="V439" i="489"/>
  <c r="W439" i="489" s="1"/>
  <c r="H440" i="489"/>
  <c r="J440" i="489" a="1"/>
  <c r="J440" i="489" s="1"/>
  <c r="N441" i="489"/>
  <c r="V441" i="489"/>
  <c r="W441" i="489" s="1"/>
  <c r="H442" i="489"/>
  <c r="J442" i="489" a="1"/>
  <c r="J442" i="489" s="1"/>
  <c r="N443" i="489"/>
  <c r="V443" i="489"/>
  <c r="W443" i="489" s="1"/>
  <c r="H444" i="489"/>
  <c r="J444" i="489" a="1"/>
  <c r="J444" i="489" s="1"/>
  <c r="N445" i="489"/>
  <c r="V445" i="489"/>
  <c r="W445" i="489" s="1"/>
  <c r="H446" i="489"/>
  <c r="J446" i="489" a="1"/>
  <c r="J446" i="489" s="1"/>
  <c r="N447" i="489"/>
  <c r="V447" i="489"/>
  <c r="W447" i="489" s="1"/>
  <c r="H448" i="489"/>
  <c r="J448" i="489" a="1"/>
  <c r="J448" i="489" s="1"/>
  <c r="W455" i="489"/>
  <c r="V460" i="489"/>
  <c r="W460" i="489" s="1"/>
  <c r="J461" i="489" a="1"/>
  <c r="J461" i="489" s="1"/>
  <c r="W462" i="489"/>
  <c r="W466" i="489"/>
  <c r="N469" i="489"/>
  <c r="N471" i="489"/>
  <c r="N473" i="489"/>
  <c r="N475" i="489"/>
  <c r="N477" i="489"/>
  <c r="H481" i="489"/>
  <c r="J481" i="489" a="1"/>
  <c r="J481" i="489" s="1"/>
  <c r="N482" i="489"/>
  <c r="V482" i="489"/>
  <c r="W482" i="489" s="1"/>
  <c r="H483" i="489"/>
  <c r="J483" i="489" a="1"/>
  <c r="J483" i="489" s="1"/>
  <c r="N489" i="489"/>
  <c r="N492" i="489"/>
  <c r="W494" i="489"/>
  <c r="N498" i="489"/>
  <c r="K305" i="489" a="1"/>
  <c r="K305" i="489" s="1"/>
  <c r="M305" i="489" s="1"/>
  <c r="H305" i="489"/>
  <c r="H7" i="489"/>
  <c r="J7" i="489"/>
  <c r="W8" i="489"/>
  <c r="W10" i="489"/>
  <c r="W27" i="489"/>
  <c r="V66" i="489"/>
  <c r="W66" i="489" s="1"/>
  <c r="J88" i="489" a="1"/>
  <c r="J88" i="489" s="1"/>
  <c r="K89" i="489" a="1"/>
  <c r="K89" i="489" s="1"/>
  <c r="M89" i="489" s="1"/>
  <c r="J90" i="489" a="1"/>
  <c r="J90" i="489" s="1"/>
  <c r="K91" i="489" a="1"/>
  <c r="K91" i="489" s="1"/>
  <c r="M91" i="489" s="1"/>
  <c r="J92" i="489" a="1"/>
  <c r="J92" i="489" s="1"/>
  <c r="K93" i="489" a="1"/>
  <c r="K93" i="489" s="1"/>
  <c r="M93" i="489" s="1"/>
  <c r="J95" i="489" a="1"/>
  <c r="J95" i="489" s="1"/>
  <c r="K96" i="489" a="1"/>
  <c r="K96" i="489" s="1"/>
  <c r="M96" i="489" s="1"/>
  <c r="J97" i="489" a="1"/>
  <c r="J97" i="489" s="1"/>
  <c r="K98" i="489" a="1"/>
  <c r="K98" i="489" s="1"/>
  <c r="M98" i="489" s="1"/>
  <c r="J99" i="489" a="1"/>
  <c r="J99" i="489" s="1"/>
  <c r="W100" i="489"/>
  <c r="W118" i="489"/>
  <c r="W119" i="489"/>
  <c r="J122" i="489" a="1"/>
  <c r="J122" i="489" s="1"/>
  <c r="K123" i="489" a="1"/>
  <c r="K123" i="489" s="1"/>
  <c r="M123" i="489" s="1"/>
  <c r="V123" i="489"/>
  <c r="W123" i="489" s="1"/>
  <c r="J124" i="489" a="1"/>
  <c r="J124" i="489" s="1"/>
  <c r="W125" i="489"/>
  <c r="W135" i="489"/>
  <c r="W147" i="489"/>
  <c r="W152" i="489"/>
  <c r="W159" i="489"/>
  <c r="C170" i="489"/>
  <c r="G170" i="489"/>
  <c r="W185" i="489"/>
  <c r="W187" i="489"/>
  <c r="M188" i="489"/>
  <c r="M190" i="489"/>
  <c r="M192" i="489"/>
  <c r="M197" i="489"/>
  <c r="M198" i="489"/>
  <c r="M209" i="489"/>
  <c r="W210" i="489"/>
  <c r="W212" i="489"/>
  <c r="W214" i="489"/>
  <c r="W216" i="489"/>
  <c r="W218" i="489"/>
  <c r="W228" i="489"/>
  <c r="M229" i="489"/>
  <c r="M231" i="489"/>
  <c r="M233" i="489"/>
  <c r="W234" i="489"/>
  <c r="M235" i="489"/>
  <c r="W236" i="489"/>
  <c r="M237" i="489"/>
  <c r="W261" i="489"/>
  <c r="H267" i="489"/>
  <c r="N267" i="489"/>
  <c r="N268" i="489"/>
  <c r="N269" i="489"/>
  <c r="M274" i="489"/>
  <c r="N277" i="489"/>
  <c r="N278" i="489"/>
  <c r="M279" i="489"/>
  <c r="M285" i="489"/>
  <c r="N289" i="489"/>
  <c r="H291" i="489"/>
  <c r="N291" i="489"/>
  <c r="G308" i="489"/>
  <c r="O308" i="489"/>
  <c r="Q308" i="489"/>
  <c r="W295" i="489"/>
  <c r="W296" i="489"/>
  <c r="W304" i="489"/>
  <c r="K304" i="489" a="1"/>
  <c r="K304" i="489" s="1"/>
  <c r="H304" i="489"/>
  <c r="M332" i="489"/>
  <c r="V7" i="489"/>
  <c r="M32" i="489"/>
  <c r="M47" i="489"/>
  <c r="M52" i="489"/>
  <c r="M56" i="489"/>
  <c r="W60" i="489"/>
  <c r="W62" i="489"/>
  <c r="W64" i="489"/>
  <c r="H70" i="489"/>
  <c r="V88" i="489"/>
  <c r="W88" i="489" s="1"/>
  <c r="V92" i="489"/>
  <c r="W92" i="489" s="1"/>
  <c r="V95" i="489"/>
  <c r="W95" i="489" s="1"/>
  <c r="V97" i="489"/>
  <c r="W97" i="489" s="1"/>
  <c r="W99" i="489"/>
  <c r="J100" i="489" a="1"/>
  <c r="J100" i="489" s="1"/>
  <c r="V101" i="489"/>
  <c r="W101" i="489" s="1"/>
  <c r="W106" i="489"/>
  <c r="K122" i="489" a="1"/>
  <c r="K122" i="489" s="1"/>
  <c r="M122" i="489" s="1"/>
  <c r="W124" i="489"/>
  <c r="J125" i="489" a="1"/>
  <c r="J125" i="489" s="1"/>
  <c r="V138" i="489"/>
  <c r="W151" i="489"/>
  <c r="W154" i="489"/>
  <c r="W155" i="489"/>
  <c r="W158" i="489"/>
  <c r="M179" i="489"/>
  <c r="M183" i="489"/>
  <c r="H193" i="489"/>
  <c r="H194" i="489"/>
  <c r="V200" i="489"/>
  <c r="W246" i="489"/>
  <c r="N258" i="489"/>
  <c r="V258" i="489"/>
  <c r="M266" i="489"/>
  <c r="W267" i="489"/>
  <c r="W268" i="489"/>
  <c r="W274" i="489"/>
  <c r="W276" i="489"/>
  <c r="W285" i="489"/>
  <c r="W298" i="489"/>
  <c r="W311" i="489"/>
  <c r="W313" i="489"/>
  <c r="W320" i="489"/>
  <c r="W322" i="489"/>
  <c r="S308" i="489"/>
  <c r="U308" i="489"/>
  <c r="X308" i="489"/>
  <c r="Z308" i="489"/>
  <c r="N299" i="489"/>
  <c r="N305" i="489"/>
  <c r="N306" i="489"/>
  <c r="N307" i="489"/>
  <c r="O319" i="489"/>
  <c r="Q319" i="489"/>
  <c r="S319" i="489"/>
  <c r="U319" i="489"/>
  <c r="X319" i="489"/>
  <c r="Z319" i="489"/>
  <c r="I334" i="489"/>
  <c r="L525" i="489" s="1"/>
  <c r="O334" i="489"/>
  <c r="O335" i="489" s="1"/>
  <c r="Q334" i="489"/>
  <c r="S334" i="489"/>
  <c r="U334" i="489"/>
  <c r="X334" i="489"/>
  <c r="Z334" i="489"/>
  <c r="N330" i="489"/>
  <c r="V330" i="489"/>
  <c r="W330" i="489" s="1"/>
  <c r="G370" i="489"/>
  <c r="J370" i="489" s="1" a="1"/>
  <c r="J370" i="489" s="1"/>
  <c r="O370" i="489"/>
  <c r="Q370" i="489"/>
  <c r="S370" i="489"/>
  <c r="U370" i="489"/>
  <c r="X370" i="489"/>
  <c r="Z370" i="489"/>
  <c r="N351" i="489"/>
  <c r="V351" i="489"/>
  <c r="W351" i="489" s="1"/>
  <c r="H352" i="489"/>
  <c r="J352" i="489" a="1"/>
  <c r="J352" i="489" s="1"/>
  <c r="N353" i="489"/>
  <c r="V353" i="489"/>
  <c r="W353" i="489" s="1"/>
  <c r="H354" i="489"/>
  <c r="J354" i="489" a="1"/>
  <c r="J354" i="489" s="1"/>
  <c r="M355" i="489"/>
  <c r="H357" i="489"/>
  <c r="N357" i="489"/>
  <c r="M361" i="489"/>
  <c r="N362" i="489"/>
  <c r="H364" i="489"/>
  <c r="M365" i="489"/>
  <c r="M367" i="489"/>
  <c r="H369" i="489"/>
  <c r="N369" i="489"/>
  <c r="V369" i="489"/>
  <c r="W369" i="489" s="1"/>
  <c r="I428" i="489"/>
  <c r="L528" i="489" s="1"/>
  <c r="Q428" i="489"/>
  <c r="S428" i="489"/>
  <c r="U428" i="489"/>
  <c r="X428" i="489"/>
  <c r="Z428" i="489"/>
  <c r="H373" i="489"/>
  <c r="J373" i="489" a="1"/>
  <c r="J373" i="489" s="1"/>
  <c r="N375" i="489"/>
  <c r="M376" i="489"/>
  <c r="M377" i="489"/>
  <c r="M378" i="489"/>
  <c r="M379" i="489"/>
  <c r="M381" i="489"/>
  <c r="M383" i="489"/>
  <c r="M385" i="489"/>
  <c r="M387" i="489"/>
  <c r="M389" i="489"/>
  <c r="M391" i="489"/>
  <c r="M392" i="489"/>
  <c r="M393" i="489"/>
  <c r="M394" i="489"/>
  <c r="M395" i="489"/>
  <c r="M397" i="489"/>
  <c r="M399" i="489"/>
  <c r="M401" i="489"/>
  <c r="M403" i="489"/>
  <c r="M405" i="489"/>
  <c r="M407" i="489"/>
  <c r="M419" i="489"/>
  <c r="M421" i="489"/>
  <c r="M426" i="489"/>
  <c r="H429" i="489"/>
  <c r="J429" i="489" a="1"/>
  <c r="J429" i="489" s="1"/>
  <c r="O463" i="489"/>
  <c r="Q463" i="489"/>
  <c r="S463" i="489"/>
  <c r="U463" i="489"/>
  <c r="Y463" i="489"/>
  <c r="AA463" i="489"/>
  <c r="H430" i="489"/>
  <c r="J430" i="489" a="1"/>
  <c r="J430" i="489" s="1"/>
  <c r="N430" i="489"/>
  <c r="V430" i="489"/>
  <c r="W430" i="489" s="1"/>
  <c r="H431" i="489"/>
  <c r="J431" i="489" a="1"/>
  <c r="J431" i="489" s="1"/>
  <c r="N431" i="489"/>
  <c r="V431" i="489"/>
  <c r="W431" i="489" s="1"/>
  <c r="H432" i="489"/>
  <c r="J432" i="489" a="1"/>
  <c r="J432" i="489" s="1"/>
  <c r="N432" i="489"/>
  <c r="V432" i="489"/>
  <c r="W432" i="489" s="1"/>
  <c r="H433" i="489"/>
  <c r="J433" i="489" a="1"/>
  <c r="J433" i="489" s="1"/>
  <c r="V433" i="489"/>
  <c r="W433" i="489" s="1"/>
  <c r="H434" i="489"/>
  <c r="J434" i="489" a="1"/>
  <c r="J434" i="489" s="1"/>
  <c r="V434" i="489"/>
  <c r="W434" i="489" s="1"/>
  <c r="H435" i="489"/>
  <c r="J435" i="489" a="1"/>
  <c r="J435" i="489" s="1"/>
  <c r="N435" i="489"/>
  <c r="V435" i="489"/>
  <c r="W435" i="489" s="1"/>
  <c r="H436" i="489"/>
  <c r="N449" i="489"/>
  <c r="H450" i="489"/>
  <c r="N451" i="489"/>
  <c r="H452" i="489"/>
  <c r="N453" i="489"/>
  <c r="H454" i="489"/>
  <c r="G479" i="489"/>
  <c r="N464" i="489"/>
  <c r="P479" i="489"/>
  <c r="R479" i="489"/>
  <c r="R507" i="489" s="1"/>
  <c r="T479" i="489"/>
  <c r="V464" i="489"/>
  <c r="V479" i="489" s="1"/>
  <c r="Y479" i="489"/>
  <c r="AA479" i="489"/>
  <c r="K480" i="489" a="1"/>
  <c r="K480" i="489" s="1"/>
  <c r="M480" i="489" s="1"/>
  <c r="N484" i="489"/>
  <c r="V491" i="489"/>
  <c r="W491" i="489" s="1"/>
  <c r="N493" i="489"/>
  <c r="V493" i="489"/>
  <c r="W493" i="489" s="1"/>
  <c r="N494" i="489"/>
  <c r="N501" i="489"/>
  <c r="V501" i="489"/>
  <c r="W501" i="489" s="1"/>
  <c r="W362" i="489"/>
  <c r="W371" i="489"/>
  <c r="K373" i="489" a="1"/>
  <c r="K373" i="489" s="1"/>
  <c r="M373" i="489" s="1"/>
  <c r="W379" i="489"/>
  <c r="W381" i="489"/>
  <c r="W383" i="489"/>
  <c r="W385" i="489"/>
  <c r="W387" i="489"/>
  <c r="W389" i="489"/>
  <c r="W399" i="489"/>
  <c r="W403" i="489"/>
  <c r="W407" i="489"/>
  <c r="K429" i="489" a="1"/>
  <c r="K429" i="489" s="1"/>
  <c r="M429" i="489" s="1"/>
  <c r="W465" i="489"/>
  <c r="W467" i="489"/>
  <c r="W470" i="489"/>
  <c r="W472" i="489"/>
  <c r="W474" i="489"/>
  <c r="W476" i="489"/>
  <c r="W478" i="489"/>
  <c r="W497" i="489"/>
  <c r="K338" i="489"/>
  <c r="M338" i="489" s="1"/>
  <c r="K340" i="489"/>
  <c r="M340" i="489" s="1"/>
  <c r="K339" i="489"/>
  <c r="M339" i="489" s="1"/>
  <c r="K168" i="489"/>
  <c r="M168" i="489" s="1"/>
  <c r="K167" i="489"/>
  <c r="M167" i="489" s="1"/>
  <c r="K169" i="489"/>
  <c r="M169" i="489" s="1"/>
  <c r="R166" i="489"/>
  <c r="K7" i="489" a="1"/>
  <c r="K7" i="489" s="1"/>
  <c r="H8" i="489"/>
  <c r="J8" i="489" a="1"/>
  <c r="J8" i="489" s="1"/>
  <c r="H9" i="489"/>
  <c r="J9" i="489" a="1"/>
  <c r="J9" i="489" s="1"/>
  <c r="H10" i="489"/>
  <c r="J10" i="489" a="1"/>
  <c r="J10" i="489" s="1"/>
  <c r="H11" i="489"/>
  <c r="J11" i="489" a="1"/>
  <c r="J11" i="489" s="1"/>
  <c r="H12" i="489"/>
  <c r="J12" i="489" a="1"/>
  <c r="J12" i="489" s="1"/>
  <c r="H13" i="489"/>
  <c r="J13" i="489" a="1"/>
  <c r="J13" i="489" s="1"/>
  <c r="H14" i="489"/>
  <c r="J14" i="489" a="1"/>
  <c r="J14" i="489" s="1"/>
  <c r="H15" i="489"/>
  <c r="J15" i="489" a="1"/>
  <c r="J15" i="489" s="1"/>
  <c r="H16" i="489"/>
  <c r="J16" i="489" a="1"/>
  <c r="J16" i="489" s="1"/>
  <c r="H17" i="489"/>
  <c r="J17" i="489" a="1"/>
  <c r="J17" i="489" s="1"/>
  <c r="H18" i="489"/>
  <c r="J18" i="489" a="1"/>
  <c r="J18" i="489" s="1"/>
  <c r="H19" i="489"/>
  <c r="J19" i="489" a="1"/>
  <c r="J19" i="489" s="1"/>
  <c r="M31" i="489"/>
  <c r="M40" i="489"/>
  <c r="M48" i="489"/>
  <c r="M60" i="489"/>
  <c r="M64" i="489"/>
  <c r="M69" i="489"/>
  <c r="M73" i="489"/>
  <c r="R168" i="489"/>
  <c r="M103" i="489"/>
  <c r="M105" i="489"/>
  <c r="M107" i="489"/>
  <c r="M114" i="489"/>
  <c r="M141" i="489"/>
  <c r="V163" i="489"/>
  <c r="M155" i="489"/>
  <c r="M180" i="489"/>
  <c r="J86" i="489" a="1"/>
  <c r="J86" i="489" s="1"/>
  <c r="W19" i="489"/>
  <c r="M101" i="489"/>
  <c r="M110" i="489"/>
  <c r="M118" i="489"/>
  <c r="M120" i="489"/>
  <c r="M127" i="489"/>
  <c r="M129" i="489"/>
  <c r="M134" i="489"/>
  <c r="M149" i="489"/>
  <c r="M152" i="489"/>
  <c r="M159" i="489"/>
  <c r="M185" i="489"/>
  <c r="J199" i="489" a="1"/>
  <c r="J199" i="489" s="1"/>
  <c r="L521" i="489"/>
  <c r="X338" i="489"/>
  <c r="J524" i="489"/>
  <c r="M524" i="489" s="1"/>
  <c r="H23" i="489"/>
  <c r="H25" i="489"/>
  <c r="H29" i="489"/>
  <c r="J29" i="489" a="1"/>
  <c r="J29" i="489" s="1"/>
  <c r="K29" i="489" a="1"/>
  <c r="K29" i="489" s="1"/>
  <c r="H37" i="489"/>
  <c r="J37" i="489" a="1"/>
  <c r="J37" i="489" s="1"/>
  <c r="H38" i="489"/>
  <c r="J38" i="489" a="1"/>
  <c r="J38" i="489" s="1"/>
  <c r="H39" i="489"/>
  <c r="J39" i="489" a="1"/>
  <c r="J39" i="489" s="1"/>
  <c r="H40" i="489"/>
  <c r="J40" i="489" a="1"/>
  <c r="J40" i="489" s="1"/>
  <c r="H41" i="489"/>
  <c r="J41" i="489" a="1"/>
  <c r="J41" i="489" s="1"/>
  <c r="H42" i="489"/>
  <c r="J42" i="489" a="1"/>
  <c r="J42" i="489" s="1"/>
  <c r="H43" i="489"/>
  <c r="J43" i="489" a="1"/>
  <c r="J43" i="489" s="1"/>
  <c r="H44" i="489"/>
  <c r="J44" i="489" a="1"/>
  <c r="J44" i="489" s="1"/>
  <c r="H45" i="489"/>
  <c r="J45" i="489" a="1"/>
  <c r="J45" i="489" s="1"/>
  <c r="H46" i="489"/>
  <c r="J46" i="489" a="1"/>
  <c r="J46" i="489" s="1"/>
  <c r="H47" i="489"/>
  <c r="J47" i="489" a="1"/>
  <c r="J47" i="489" s="1"/>
  <c r="H48" i="489"/>
  <c r="J48" i="489" a="1"/>
  <c r="J48" i="489" s="1"/>
  <c r="H49" i="489"/>
  <c r="H50" i="489"/>
  <c r="H51" i="489"/>
  <c r="H52" i="489"/>
  <c r="H53" i="489"/>
  <c r="H54" i="489"/>
  <c r="H55" i="489"/>
  <c r="H56" i="489"/>
  <c r="H57" i="489"/>
  <c r="J57" i="489" a="1"/>
  <c r="J57" i="489" s="1"/>
  <c r="H58" i="489"/>
  <c r="J58" i="489" a="1"/>
  <c r="J58" i="489" s="1"/>
  <c r="H59" i="489"/>
  <c r="J59" i="489" a="1"/>
  <c r="J59" i="489" s="1"/>
  <c r="H60" i="489"/>
  <c r="J60" i="489" a="1"/>
  <c r="J60" i="489" s="1"/>
  <c r="H61" i="489"/>
  <c r="J61" i="489" a="1"/>
  <c r="J61" i="489" s="1"/>
  <c r="H62" i="489"/>
  <c r="J62" i="489" a="1"/>
  <c r="J62" i="489" s="1"/>
  <c r="H63" i="489"/>
  <c r="J63" i="489" a="1"/>
  <c r="J63" i="489" s="1"/>
  <c r="H64" i="489"/>
  <c r="J64" i="489" a="1"/>
  <c r="J64" i="489" s="1"/>
  <c r="H65" i="489"/>
  <c r="J65" i="489" a="1"/>
  <c r="J65" i="489" s="1"/>
  <c r="H66" i="489"/>
  <c r="J66" i="489" a="1"/>
  <c r="J66" i="489" s="1"/>
  <c r="H69" i="489"/>
  <c r="J69" i="489" a="1"/>
  <c r="J69" i="489" s="1"/>
  <c r="J70" i="489" a="1"/>
  <c r="J70" i="489" s="1"/>
  <c r="P86" i="489"/>
  <c r="R167" i="489" s="1"/>
  <c r="K87" i="489" a="1"/>
  <c r="K87" i="489" s="1"/>
  <c r="M87" i="489" s="1"/>
  <c r="K100" i="489" a="1"/>
  <c r="K100" i="489" s="1"/>
  <c r="M100" i="489" s="1"/>
  <c r="J101" i="489" a="1"/>
  <c r="J101" i="489" s="1"/>
  <c r="J102" i="489" a="1"/>
  <c r="J102" i="489" s="1"/>
  <c r="J103" i="489" a="1"/>
  <c r="J103" i="489" s="1"/>
  <c r="J104" i="489" a="1"/>
  <c r="J104" i="489" s="1"/>
  <c r="J105" i="489" a="1"/>
  <c r="J105" i="489" s="1"/>
  <c r="J106" i="489" a="1"/>
  <c r="J106" i="489" s="1"/>
  <c r="J113" i="489" a="1"/>
  <c r="J113" i="489" s="1"/>
  <c r="J114" i="489" a="1"/>
  <c r="J114" i="489" s="1"/>
  <c r="G121" i="489"/>
  <c r="Y121" i="489"/>
  <c r="K125" i="489" a="1"/>
  <c r="K125" i="489" s="1"/>
  <c r="M125" i="489" s="1"/>
  <c r="J126" i="489" a="1"/>
  <c r="J126" i="489" s="1"/>
  <c r="J127" i="489" a="1"/>
  <c r="J127" i="489" s="1"/>
  <c r="J128" i="489" a="1"/>
  <c r="J128" i="489" s="1"/>
  <c r="J129" i="489" a="1"/>
  <c r="J129" i="489" s="1"/>
  <c r="J130" i="489" a="1"/>
  <c r="J130" i="489" s="1"/>
  <c r="K130" i="489" a="1"/>
  <c r="K130" i="489" s="1"/>
  <c r="M130" i="489" s="1"/>
  <c r="J131" i="489" a="1"/>
  <c r="J131" i="489" s="1"/>
  <c r="J132" i="489" a="1"/>
  <c r="J132" i="489" s="1"/>
  <c r="J133" i="489" a="1"/>
  <c r="J133" i="489" s="1"/>
  <c r="J134" i="489" a="1"/>
  <c r="J134" i="489" s="1"/>
  <c r="J135" i="489" a="1"/>
  <c r="J135" i="489" s="1"/>
  <c r="J136" i="489" a="1"/>
  <c r="J136" i="489" s="1"/>
  <c r="G148" i="489"/>
  <c r="I148" i="489"/>
  <c r="J154" i="489" a="1"/>
  <c r="J154" i="489" s="1"/>
  <c r="J155" i="489" a="1"/>
  <c r="J155" i="489" s="1"/>
  <c r="J159" i="489" a="1"/>
  <c r="J159" i="489" s="1"/>
  <c r="G163" i="489"/>
  <c r="I163" i="489"/>
  <c r="L518" i="489" s="1"/>
  <c r="I166" i="489"/>
  <c r="M186" i="489"/>
  <c r="M193" i="489"/>
  <c r="M194" i="489"/>
  <c r="M196" i="489"/>
  <c r="M241" i="489"/>
  <c r="M244" i="489"/>
  <c r="M249" i="489"/>
  <c r="M250" i="489"/>
  <c r="M265" i="489"/>
  <c r="M270" i="489"/>
  <c r="M271" i="489"/>
  <c r="M272" i="489"/>
  <c r="M273" i="489"/>
  <c r="M276" i="489"/>
  <c r="M290" i="489"/>
  <c r="M296" i="489"/>
  <c r="M297" i="489"/>
  <c r="M300" i="489"/>
  <c r="M301" i="489"/>
  <c r="M303" i="489"/>
  <c r="J523" i="489"/>
  <c r="M523" i="489" s="1"/>
  <c r="J292" i="489" a="1"/>
  <c r="J292" i="489" s="1"/>
  <c r="J525" i="489"/>
  <c r="I341" i="489"/>
  <c r="K337" i="489"/>
  <c r="H20" i="489"/>
  <c r="J20" i="489" a="1"/>
  <c r="J20" i="489" s="1"/>
  <c r="H21" i="489"/>
  <c r="J21" i="489" a="1"/>
  <c r="J21" i="489" s="1"/>
  <c r="H22" i="489"/>
  <c r="H24" i="489"/>
  <c r="H26" i="489"/>
  <c r="J26" i="489" a="1"/>
  <c r="J26" i="489" s="1"/>
  <c r="H27" i="489"/>
  <c r="J27" i="489" a="1"/>
  <c r="J27" i="489" s="1"/>
  <c r="V29" i="489"/>
  <c r="H31" i="489"/>
  <c r="J31" i="489" a="1"/>
  <c r="J31" i="489" s="1"/>
  <c r="H32" i="489"/>
  <c r="J32" i="489" a="1"/>
  <c r="J32" i="489" s="1"/>
  <c r="H33" i="489"/>
  <c r="J33" i="489" a="1"/>
  <c r="J33" i="489" s="1"/>
  <c r="H68" i="489"/>
  <c r="H72" i="489"/>
  <c r="J72" i="489" a="1"/>
  <c r="J72" i="489" s="1"/>
  <c r="H73" i="489"/>
  <c r="J73" i="489" a="1"/>
  <c r="J73" i="489" s="1"/>
  <c r="H74" i="489"/>
  <c r="J74" i="489" a="1"/>
  <c r="J74" i="489" s="1"/>
  <c r="H75" i="489"/>
  <c r="J75" i="489" a="1"/>
  <c r="J75" i="489" s="1"/>
  <c r="H76" i="489"/>
  <c r="H77" i="489"/>
  <c r="H78" i="489"/>
  <c r="H79" i="489"/>
  <c r="J118" i="489" a="1"/>
  <c r="J118" i="489" s="1"/>
  <c r="J119" i="489" a="1"/>
  <c r="J119" i="489" s="1"/>
  <c r="J120" i="489" a="1"/>
  <c r="J120" i="489" s="1"/>
  <c r="J138" i="489" a="1"/>
  <c r="J138" i="489" s="1"/>
  <c r="K138" i="489" a="1"/>
  <c r="K138" i="489" s="1"/>
  <c r="J139" i="489" a="1"/>
  <c r="J139" i="489" s="1"/>
  <c r="J140" i="489" a="1"/>
  <c r="J140" i="489" s="1"/>
  <c r="J141" i="489" a="1"/>
  <c r="J141" i="489" s="1"/>
  <c r="J142" i="489" a="1"/>
  <c r="J142" i="489" s="1"/>
  <c r="J147" i="489" a="1"/>
  <c r="J147" i="489" s="1"/>
  <c r="J149" i="489" a="1"/>
  <c r="J149" i="489" s="1"/>
  <c r="W149" i="489"/>
  <c r="J150" i="489" a="1"/>
  <c r="J150" i="489" s="1"/>
  <c r="J151" i="489" a="1"/>
  <c r="J151" i="489" s="1"/>
  <c r="K151" i="489" a="1"/>
  <c r="K151" i="489" s="1"/>
  <c r="M151" i="489" s="1"/>
  <c r="J152" i="489" a="1"/>
  <c r="J152" i="489" s="1"/>
  <c r="J158" i="489" a="1"/>
  <c r="J158" i="489" s="1"/>
  <c r="H178" i="489"/>
  <c r="J178" i="489" a="1"/>
  <c r="J178" i="489" s="1"/>
  <c r="K178" i="489" a="1"/>
  <c r="K178" i="489" s="1"/>
  <c r="W178" i="489"/>
  <c r="H179" i="489"/>
  <c r="J179" i="489" a="1"/>
  <c r="J179" i="489" s="1"/>
  <c r="H180" i="489"/>
  <c r="J180" i="489" a="1"/>
  <c r="J180" i="489" s="1"/>
  <c r="H181" i="489"/>
  <c r="J181" i="489" a="1"/>
  <c r="J181" i="489" s="1"/>
  <c r="H182" i="489"/>
  <c r="J182" i="489" a="1"/>
  <c r="J182" i="489" s="1"/>
  <c r="H183" i="489"/>
  <c r="J183" i="489" a="1"/>
  <c r="J183" i="489" s="1"/>
  <c r="H184" i="489"/>
  <c r="J184" i="489" a="1"/>
  <c r="J184" i="489" s="1"/>
  <c r="H185" i="489"/>
  <c r="J185" i="489" a="1"/>
  <c r="J185" i="489" s="1"/>
  <c r="H186" i="489"/>
  <c r="J186" i="489" a="1"/>
  <c r="J186" i="489" s="1"/>
  <c r="M187" i="489"/>
  <c r="M189" i="489"/>
  <c r="M191" i="489"/>
  <c r="M195" i="489"/>
  <c r="M202" i="489"/>
  <c r="M208" i="489"/>
  <c r="M210" i="489"/>
  <c r="M212" i="489"/>
  <c r="M214" i="489"/>
  <c r="M216" i="489"/>
  <c r="M218" i="489"/>
  <c r="M220" i="489"/>
  <c r="M221" i="489"/>
  <c r="M222" i="489"/>
  <c r="M223" i="489"/>
  <c r="M224" i="489"/>
  <c r="M225" i="489"/>
  <c r="M226" i="489"/>
  <c r="M227" i="489"/>
  <c r="M228" i="489"/>
  <c r="M230" i="489"/>
  <c r="M232" i="489"/>
  <c r="M234" i="489"/>
  <c r="M236" i="489"/>
  <c r="M239" i="489"/>
  <c r="M240" i="489"/>
  <c r="M245" i="489"/>
  <c r="M248" i="489"/>
  <c r="M260" i="489"/>
  <c r="M262" i="489"/>
  <c r="M264" i="489"/>
  <c r="M268" i="489"/>
  <c r="M277" i="489"/>
  <c r="M278" i="489"/>
  <c r="M283" i="489"/>
  <c r="M289" i="489"/>
  <c r="M291" i="489"/>
  <c r="M294" i="489"/>
  <c r="M299" i="489"/>
  <c r="M304" i="489"/>
  <c r="M306" i="489"/>
  <c r="M307" i="489"/>
  <c r="M309" i="489"/>
  <c r="M310" i="489"/>
  <c r="M312" i="489"/>
  <c r="M318" i="489"/>
  <c r="M321" i="489"/>
  <c r="M333" i="489"/>
  <c r="H187" i="489"/>
  <c r="J187" i="489" a="1"/>
  <c r="J187" i="489" s="1"/>
  <c r="H188" i="489"/>
  <c r="J188" i="489" a="1"/>
  <c r="J188" i="489" s="1"/>
  <c r="H189" i="489"/>
  <c r="J189" i="489" a="1"/>
  <c r="J189" i="489" s="1"/>
  <c r="H190" i="489"/>
  <c r="J190" i="489" a="1"/>
  <c r="J190" i="489" s="1"/>
  <c r="H191" i="489"/>
  <c r="J191" i="489" a="1"/>
  <c r="J191" i="489" s="1"/>
  <c r="H192" i="489"/>
  <c r="J192" i="489" a="1"/>
  <c r="J192" i="489" s="1"/>
  <c r="J193" i="489" a="1"/>
  <c r="J193" i="489" s="1"/>
  <c r="J194" i="489" a="1"/>
  <c r="J194" i="489" s="1"/>
  <c r="H195" i="489"/>
  <c r="H197" i="489"/>
  <c r="H198" i="489"/>
  <c r="H202" i="489"/>
  <c r="J202" i="489" a="1"/>
  <c r="J202" i="489" s="1"/>
  <c r="H203" i="489"/>
  <c r="J203" i="489" a="1"/>
  <c r="J203" i="489" s="1"/>
  <c r="J204" i="489" a="1"/>
  <c r="J204" i="489" s="1"/>
  <c r="H239" i="489"/>
  <c r="J240" i="489" a="1"/>
  <c r="J240" i="489" s="1"/>
  <c r="J241" i="489" a="1"/>
  <c r="J241" i="489" s="1"/>
  <c r="J243" i="489" a="1"/>
  <c r="J243" i="489" s="1"/>
  <c r="J244" i="489" a="1"/>
  <c r="J244" i="489" s="1"/>
  <c r="J245" i="489" a="1"/>
  <c r="J245" i="489" s="1"/>
  <c r="J246" i="489" a="1"/>
  <c r="J246" i="489" s="1"/>
  <c r="G257" i="489"/>
  <c r="I257" i="489"/>
  <c r="L522" i="489" s="1"/>
  <c r="H258" i="489"/>
  <c r="J258" i="489" a="1"/>
  <c r="J258" i="489" s="1"/>
  <c r="K258" i="489" a="1"/>
  <c r="K258" i="489" s="1"/>
  <c r="H259" i="489"/>
  <c r="J259" i="489" a="1"/>
  <c r="J259" i="489" s="1"/>
  <c r="H260" i="489"/>
  <c r="J260" i="489" a="1"/>
  <c r="J260" i="489" s="1"/>
  <c r="H261" i="489"/>
  <c r="J261" i="489" a="1"/>
  <c r="J261" i="489" s="1"/>
  <c r="J262" i="489" a="1"/>
  <c r="J262" i="489" s="1"/>
  <c r="H263" i="489"/>
  <c r="J263" i="489" a="1"/>
  <c r="J263" i="489" s="1"/>
  <c r="H264" i="489"/>
  <c r="J264" i="489" a="1"/>
  <c r="J264" i="489" s="1"/>
  <c r="H265" i="489"/>
  <c r="H266" i="489"/>
  <c r="J266" i="489" a="1"/>
  <c r="J266" i="489" s="1"/>
  <c r="J267" i="489" a="1"/>
  <c r="J267" i="489" s="1"/>
  <c r="H268" i="489"/>
  <c r="J268" i="489" a="1"/>
  <c r="J268" i="489" s="1"/>
  <c r="H269" i="489"/>
  <c r="J269" i="489" a="1"/>
  <c r="J269" i="489" s="1"/>
  <c r="J270" i="489" a="1"/>
  <c r="J270" i="489" s="1"/>
  <c r="H271" i="489"/>
  <c r="J271" i="489" a="1"/>
  <c r="J271" i="489" s="1"/>
  <c r="H272" i="489"/>
  <c r="J272" i="489" a="1"/>
  <c r="J272" i="489" s="1"/>
  <c r="H273" i="489"/>
  <c r="J273" i="489" a="1"/>
  <c r="J273" i="489" s="1"/>
  <c r="H274" i="489"/>
  <c r="J274" i="489" a="1"/>
  <c r="J274" i="489" s="1"/>
  <c r="J275" i="489" a="1"/>
  <c r="J275" i="489" s="1"/>
  <c r="H276" i="489"/>
  <c r="J276" i="489" a="1"/>
  <c r="J276" i="489" s="1"/>
  <c r="H277" i="489"/>
  <c r="J277" i="489" a="1"/>
  <c r="J277" i="489" s="1"/>
  <c r="H278" i="489"/>
  <c r="H279" i="489"/>
  <c r="H280" i="489"/>
  <c r="H281" i="489"/>
  <c r="H282" i="489"/>
  <c r="H283" i="489"/>
  <c r="H284" i="489"/>
  <c r="J284" i="489" a="1"/>
  <c r="J284" i="489" s="1"/>
  <c r="H285" i="489"/>
  <c r="J285" i="489" a="1"/>
  <c r="J285" i="489" s="1"/>
  <c r="H293" i="489"/>
  <c r="J293" i="489" a="1"/>
  <c r="J293" i="489" s="1"/>
  <c r="K293" i="489" a="1"/>
  <c r="K293" i="489" s="1"/>
  <c r="W293" i="489"/>
  <c r="H294" i="489"/>
  <c r="J294" i="489" a="1"/>
  <c r="J294" i="489" s="1"/>
  <c r="H295" i="489"/>
  <c r="J295" i="489" a="1"/>
  <c r="J295" i="489" s="1"/>
  <c r="H296" i="489"/>
  <c r="J296" i="489" a="1"/>
  <c r="J296" i="489" s="1"/>
  <c r="J297" i="489" a="1"/>
  <c r="J297" i="489" s="1"/>
  <c r="H298" i="489"/>
  <c r="J298" i="489" a="1"/>
  <c r="J298" i="489" s="1"/>
  <c r="H299" i="489"/>
  <c r="J299" i="489" a="1"/>
  <c r="J299" i="489" s="1"/>
  <c r="J300" i="489" a="1"/>
  <c r="J300" i="489" s="1"/>
  <c r="H301" i="489"/>
  <c r="J301" i="489" a="1"/>
  <c r="J301" i="489" s="1"/>
  <c r="H302" i="489"/>
  <c r="J302" i="489" a="1"/>
  <c r="J302" i="489" s="1"/>
  <c r="H303" i="489"/>
  <c r="J303" i="489" a="1"/>
  <c r="J303" i="489" s="1"/>
  <c r="J304" i="489" a="1"/>
  <c r="J304" i="489" s="1"/>
  <c r="J305" i="489" a="1"/>
  <c r="J305" i="489" s="1"/>
  <c r="H306" i="489"/>
  <c r="J306" i="489" a="1"/>
  <c r="J306" i="489" s="1"/>
  <c r="H307" i="489"/>
  <c r="J307" i="489" a="1"/>
  <c r="J307" i="489" s="1"/>
  <c r="N309" i="489"/>
  <c r="G319" i="489"/>
  <c r="I319" i="489"/>
  <c r="V319" i="489"/>
  <c r="G341" i="489"/>
  <c r="M350" i="489"/>
  <c r="M353" i="489"/>
  <c r="M356" i="489"/>
  <c r="M358" i="489"/>
  <c r="M374" i="489"/>
  <c r="M465" i="489"/>
  <c r="M467" i="489"/>
  <c r="L527" i="489"/>
  <c r="J528" i="489"/>
  <c r="J428" i="489" a="1"/>
  <c r="J428" i="489" s="1"/>
  <c r="J529" i="489"/>
  <c r="L529" i="489"/>
  <c r="H200" i="489"/>
  <c r="J200" i="489" a="1"/>
  <c r="J200" i="489" s="1"/>
  <c r="W200" i="489"/>
  <c r="J208" i="489" a="1"/>
  <c r="J208" i="489" s="1"/>
  <c r="J209" i="489" a="1"/>
  <c r="J209" i="489" s="1"/>
  <c r="J210" i="489" a="1"/>
  <c r="J210" i="489" s="1"/>
  <c r="H211" i="489"/>
  <c r="J211" i="489" a="1"/>
  <c r="J211" i="489" s="1"/>
  <c r="H212" i="489"/>
  <c r="J212" i="489" a="1"/>
  <c r="J212" i="489" s="1"/>
  <c r="H213" i="489"/>
  <c r="J213" i="489" a="1"/>
  <c r="J213" i="489" s="1"/>
  <c r="H214" i="489"/>
  <c r="J214" i="489" a="1"/>
  <c r="J214" i="489" s="1"/>
  <c r="H215" i="489"/>
  <c r="J215" i="489" a="1"/>
  <c r="J215" i="489" s="1"/>
  <c r="H216" i="489"/>
  <c r="J216" i="489" a="1"/>
  <c r="J216" i="489" s="1"/>
  <c r="H217" i="489"/>
  <c r="J217" i="489" a="1"/>
  <c r="J217" i="489" s="1"/>
  <c r="H218" i="489"/>
  <c r="J218" i="489" a="1"/>
  <c r="J218" i="489" s="1"/>
  <c r="H219" i="489"/>
  <c r="J219" i="489" a="1"/>
  <c r="J219" i="489" s="1"/>
  <c r="H220" i="489"/>
  <c r="H221" i="489"/>
  <c r="H222" i="489"/>
  <c r="H223" i="489"/>
  <c r="J228" i="489" a="1"/>
  <c r="J228" i="489" s="1"/>
  <c r="J229" i="489" a="1"/>
  <c r="J229" i="489" s="1"/>
  <c r="H230" i="489"/>
  <c r="J230" i="489" a="1"/>
  <c r="J230" i="489" s="1"/>
  <c r="H231" i="489"/>
  <c r="J231" i="489" a="1"/>
  <c r="J231" i="489" s="1"/>
  <c r="H232" i="489"/>
  <c r="J232" i="489" a="1"/>
  <c r="J232" i="489" s="1"/>
  <c r="H233" i="489"/>
  <c r="J233" i="489" a="1"/>
  <c r="J233" i="489" s="1"/>
  <c r="H234" i="489"/>
  <c r="J234" i="489" a="1"/>
  <c r="J234" i="489" s="1"/>
  <c r="H235" i="489"/>
  <c r="J235" i="489" a="1"/>
  <c r="J235" i="489" s="1"/>
  <c r="H236" i="489"/>
  <c r="J236" i="489" a="1"/>
  <c r="J236" i="489" s="1"/>
  <c r="H237" i="489"/>
  <c r="J237" i="489" a="1"/>
  <c r="J237" i="489" s="1"/>
  <c r="H289" i="489"/>
  <c r="J289" i="489" a="1"/>
  <c r="J289" i="489" s="1"/>
  <c r="J290" i="489" a="1"/>
  <c r="J290" i="489" s="1"/>
  <c r="J291" i="489" a="1"/>
  <c r="J291" i="489" s="1"/>
  <c r="N293" i="489"/>
  <c r="H309" i="489"/>
  <c r="J309" i="489" a="1"/>
  <c r="J309" i="489" s="1"/>
  <c r="H310" i="489"/>
  <c r="J310" i="489" a="1"/>
  <c r="J310" i="489" s="1"/>
  <c r="H311" i="489"/>
  <c r="J311" i="489" a="1"/>
  <c r="J311" i="489" s="1"/>
  <c r="H312" i="489"/>
  <c r="J312" i="489" a="1"/>
  <c r="J312" i="489" s="1"/>
  <c r="H313" i="489"/>
  <c r="J313" i="489" a="1"/>
  <c r="J313" i="489" s="1"/>
  <c r="H318" i="489"/>
  <c r="J318" i="489" a="1"/>
  <c r="J318" i="489" s="1"/>
  <c r="H320" i="489"/>
  <c r="J320" i="489" a="1"/>
  <c r="J320" i="489" s="1"/>
  <c r="K320" i="489" a="1"/>
  <c r="K320" i="489" s="1"/>
  <c r="H321" i="489"/>
  <c r="J321" i="489" a="1"/>
  <c r="J321" i="489" s="1"/>
  <c r="H322" i="489"/>
  <c r="J322" i="489" a="1"/>
  <c r="J322" i="489" s="1"/>
  <c r="H323" i="489"/>
  <c r="J323" i="489" a="1"/>
  <c r="J323" i="489" s="1"/>
  <c r="M351" i="489"/>
  <c r="M352" i="489"/>
  <c r="M354" i="489"/>
  <c r="M357" i="489"/>
  <c r="M362" i="489"/>
  <c r="M363" i="489"/>
  <c r="M364" i="489"/>
  <c r="M366" i="489"/>
  <c r="M368" i="489"/>
  <c r="M369" i="489"/>
  <c r="M375" i="489"/>
  <c r="M380" i="489"/>
  <c r="M382" i="489"/>
  <c r="M384" i="489"/>
  <c r="M386" i="489"/>
  <c r="M388" i="489"/>
  <c r="M390" i="489"/>
  <c r="M400" i="489"/>
  <c r="M402" i="489"/>
  <c r="M404" i="489"/>
  <c r="M406" i="489"/>
  <c r="M408" i="489"/>
  <c r="M466" i="489"/>
  <c r="M468" i="489"/>
  <c r="H349" i="489"/>
  <c r="J349" i="489" a="1"/>
  <c r="J349" i="489" s="1"/>
  <c r="K349" i="489" a="1"/>
  <c r="K349" i="489" s="1"/>
  <c r="K370" i="489" s="1"/>
  <c r="W349" i="489"/>
  <c r="J350" i="489" a="1"/>
  <c r="J350" i="489" s="1"/>
  <c r="H355" i="489"/>
  <c r="J355" i="489" a="1"/>
  <c r="J355" i="489" s="1"/>
  <c r="J356" i="489" a="1"/>
  <c r="J356" i="489" s="1"/>
  <c r="J357" i="489" a="1"/>
  <c r="J357" i="489" s="1"/>
  <c r="J358" i="489" a="1"/>
  <c r="J358" i="489" s="1"/>
  <c r="J361" i="489" a="1"/>
  <c r="J361" i="489" s="1"/>
  <c r="J362" i="489" a="1"/>
  <c r="J362" i="489" s="1"/>
  <c r="J363" i="489" a="1"/>
  <c r="J363" i="489" s="1"/>
  <c r="J364" i="489" a="1"/>
  <c r="J364" i="489" s="1"/>
  <c r="H365" i="489"/>
  <c r="H367" i="489"/>
  <c r="J369" i="489" a="1"/>
  <c r="J369" i="489" s="1"/>
  <c r="J374" i="489" a="1"/>
  <c r="J374" i="489" s="1"/>
  <c r="H375" i="489"/>
  <c r="J375" i="489" a="1"/>
  <c r="J375" i="489" s="1"/>
  <c r="H376" i="489"/>
  <c r="H377" i="489"/>
  <c r="H378" i="489"/>
  <c r="H379" i="489"/>
  <c r="J379" i="489" a="1"/>
  <c r="J379" i="489" s="1"/>
  <c r="H380" i="489"/>
  <c r="J380" i="489" a="1"/>
  <c r="J380" i="489" s="1"/>
  <c r="H381" i="489"/>
  <c r="J381" i="489" a="1"/>
  <c r="J381" i="489" s="1"/>
  <c r="H382" i="489"/>
  <c r="J382" i="489" a="1"/>
  <c r="J382" i="489" s="1"/>
  <c r="H383" i="489"/>
  <c r="J383" i="489" a="1"/>
  <c r="J383" i="489" s="1"/>
  <c r="H384" i="489"/>
  <c r="J384" i="489" a="1"/>
  <c r="J384" i="489" s="1"/>
  <c r="H385" i="489"/>
  <c r="J385" i="489" a="1"/>
  <c r="J385" i="489" s="1"/>
  <c r="H386" i="489"/>
  <c r="J386" i="489" a="1"/>
  <c r="J386" i="489" s="1"/>
  <c r="H387" i="489"/>
  <c r="J387" i="489" a="1"/>
  <c r="J387" i="489" s="1"/>
  <c r="H388" i="489"/>
  <c r="J388" i="489" a="1"/>
  <c r="J388" i="489" s="1"/>
  <c r="H389" i="489"/>
  <c r="J389" i="489" a="1"/>
  <c r="J389" i="489" s="1"/>
  <c r="H390" i="489"/>
  <c r="J390" i="489" a="1"/>
  <c r="J390" i="489" s="1"/>
  <c r="H391" i="489"/>
  <c r="H392" i="489"/>
  <c r="H393" i="489"/>
  <c r="H394" i="489"/>
  <c r="H395" i="489"/>
  <c r="H397" i="489"/>
  <c r="H399" i="489"/>
  <c r="J399" i="489" a="1"/>
  <c r="J399" i="489" s="1"/>
  <c r="H400" i="489"/>
  <c r="J400" i="489" a="1"/>
  <c r="J400" i="489" s="1"/>
  <c r="H401" i="489"/>
  <c r="J401" i="489" a="1"/>
  <c r="J401" i="489" s="1"/>
  <c r="H402" i="489"/>
  <c r="J402" i="489" a="1"/>
  <c r="J402" i="489" s="1"/>
  <c r="H403" i="489"/>
  <c r="J403" i="489" a="1"/>
  <c r="J403" i="489" s="1"/>
  <c r="H404" i="489"/>
  <c r="J404" i="489" a="1"/>
  <c r="J404" i="489" s="1"/>
  <c r="H405" i="489"/>
  <c r="J405" i="489" a="1"/>
  <c r="J405" i="489" s="1"/>
  <c r="H406" i="489"/>
  <c r="J406" i="489" a="1"/>
  <c r="J406" i="489" s="1"/>
  <c r="H407" i="489"/>
  <c r="J407" i="489" a="1"/>
  <c r="J407" i="489" s="1"/>
  <c r="H408" i="489"/>
  <c r="J408" i="489" a="1"/>
  <c r="J408" i="489" s="1"/>
  <c r="H419" i="489"/>
  <c r="H421" i="489"/>
  <c r="H426" i="489"/>
  <c r="V428" i="489"/>
  <c r="W428" i="489" s="1"/>
  <c r="N429" i="489"/>
  <c r="V429" i="489"/>
  <c r="N433" i="489"/>
  <c r="N434" i="489"/>
  <c r="H464" i="489"/>
  <c r="J464" i="489" a="1"/>
  <c r="J464" i="489" s="1"/>
  <c r="K464" i="489" a="1"/>
  <c r="K464" i="489" s="1"/>
  <c r="K479" i="489" s="1"/>
  <c r="H465" i="489"/>
  <c r="J465" i="489" a="1"/>
  <c r="J465" i="489" s="1"/>
  <c r="H466" i="489"/>
  <c r="J466" i="489" a="1"/>
  <c r="J466" i="489" s="1"/>
  <c r="H467" i="489"/>
  <c r="J467" i="489" a="1"/>
  <c r="J467" i="489" s="1"/>
  <c r="H468" i="489"/>
  <c r="J468" i="489" a="1"/>
  <c r="J468" i="489" s="1"/>
  <c r="M469" i="489"/>
  <c r="M470" i="489"/>
  <c r="M472" i="489"/>
  <c r="M474" i="489"/>
  <c r="M476" i="489"/>
  <c r="M478" i="489"/>
  <c r="M484" i="489"/>
  <c r="M491" i="489"/>
  <c r="M492" i="489"/>
  <c r="M497" i="489"/>
  <c r="J530" i="489"/>
  <c r="L530" i="489"/>
  <c r="N349" i="489"/>
  <c r="H351" i="489"/>
  <c r="J351" i="489" a="1"/>
  <c r="J351" i="489" s="1"/>
  <c r="H366" i="489"/>
  <c r="H368" i="489"/>
  <c r="H371" i="489"/>
  <c r="J371" i="489" a="1"/>
  <c r="J371" i="489" s="1"/>
  <c r="K371" i="489" a="1"/>
  <c r="K371" i="489" s="1"/>
  <c r="N373" i="489"/>
  <c r="O428" i="489"/>
  <c r="M493" i="489"/>
  <c r="H469" i="489"/>
  <c r="J469" i="489" a="1"/>
  <c r="J469" i="489" s="1"/>
  <c r="H470" i="489"/>
  <c r="J470" i="489" a="1"/>
  <c r="J470" i="489" s="1"/>
  <c r="H471" i="489"/>
  <c r="J471" i="489" a="1"/>
  <c r="J471" i="489" s="1"/>
  <c r="H472" i="489"/>
  <c r="J472" i="489" a="1"/>
  <c r="J472" i="489" s="1"/>
  <c r="H473" i="489"/>
  <c r="J473" i="489" a="1"/>
  <c r="J473" i="489" s="1"/>
  <c r="H474" i="489"/>
  <c r="J474" i="489" a="1"/>
  <c r="J474" i="489" s="1"/>
  <c r="H475" i="489"/>
  <c r="J475" i="489" a="1"/>
  <c r="J475" i="489" s="1"/>
  <c r="H476" i="489"/>
  <c r="J476" i="489" a="1"/>
  <c r="J476" i="489" s="1"/>
  <c r="H477" i="489"/>
  <c r="J477" i="489" a="1"/>
  <c r="J477" i="489" s="1"/>
  <c r="H478" i="489"/>
  <c r="J478" i="489" a="1"/>
  <c r="J478" i="489" s="1"/>
  <c r="N480" i="489"/>
  <c r="V480" i="489"/>
  <c r="N491" i="489"/>
  <c r="J501" i="489" a="1"/>
  <c r="J501" i="489" s="1"/>
  <c r="G506" i="489"/>
  <c r="I506" i="489"/>
  <c r="H489" i="489"/>
  <c r="J489" i="489" a="1"/>
  <c r="J489" i="489" s="1"/>
  <c r="H491" i="489"/>
  <c r="J491" i="489" a="1"/>
  <c r="J491" i="489" s="1"/>
  <c r="H492" i="489"/>
  <c r="J492" i="489" a="1"/>
  <c r="J492" i="489" s="1"/>
  <c r="J493" i="489" a="1"/>
  <c r="J493" i="489" s="1"/>
  <c r="J494" i="489" a="1"/>
  <c r="J494" i="489" s="1"/>
  <c r="K494" i="489" a="1"/>
  <c r="K494" i="489" s="1"/>
  <c r="M494" i="489" s="1"/>
  <c r="J497" i="489" a="1"/>
  <c r="J497" i="489" s="1"/>
  <c r="J498" i="489" a="1"/>
  <c r="J498" i="489" s="1"/>
  <c r="H238" i="434"/>
  <c r="H201" i="434"/>
  <c r="L508" i="489" l="1"/>
  <c r="J137" i="489" a="1"/>
  <c r="J137" i="489" s="1"/>
  <c r="M525" i="489"/>
  <c r="V28" i="489"/>
  <c r="V137" i="489"/>
  <c r="W137" i="489" s="1"/>
  <c r="R338" i="489"/>
  <c r="P335" i="489"/>
  <c r="X339" i="489" s="1"/>
  <c r="X344" i="489" s="1"/>
  <c r="Z343" i="489" s="1"/>
  <c r="R170" i="489"/>
  <c r="H490" i="489"/>
  <c r="K334" i="489"/>
  <c r="K292" i="489"/>
  <c r="K148" i="489"/>
  <c r="R337" i="489"/>
  <c r="M463" i="489"/>
  <c r="W7" i="489"/>
  <c r="W28" i="489" s="1"/>
  <c r="V292" i="489"/>
  <c r="W292" i="489" s="1"/>
  <c r="W319" i="489"/>
  <c r="V148" i="489"/>
  <c r="W148" i="489" s="1"/>
  <c r="K490" i="489"/>
  <c r="K463" i="489"/>
  <c r="J527" i="489"/>
  <c r="M527" i="489" s="1"/>
  <c r="K86" i="489"/>
  <c r="AC334" i="489"/>
  <c r="AA507" i="489"/>
  <c r="K428" i="489"/>
  <c r="J479" i="489" a="1"/>
  <c r="J479" i="489" s="1"/>
  <c r="N479" i="489"/>
  <c r="V308" i="489"/>
  <c r="W308" i="489" s="1"/>
  <c r="Y335" i="489"/>
  <c r="T335" i="489"/>
  <c r="R164" i="489"/>
  <c r="R335" i="489"/>
  <c r="W479" i="489"/>
  <c r="J508" i="489"/>
  <c r="M508" i="489" s="1"/>
  <c r="J28" i="489" a="1"/>
  <c r="J28" i="489" s="1"/>
  <c r="V199" i="489"/>
  <c r="J334" i="489" a="1"/>
  <c r="J334" i="489" s="1"/>
  <c r="K319" i="489"/>
  <c r="V334" i="489"/>
  <c r="W334" i="489" s="1"/>
  <c r="R339" i="489"/>
  <c r="N490" i="489"/>
  <c r="N428" i="489"/>
  <c r="N370" i="489"/>
  <c r="W464" i="489"/>
  <c r="V370" i="489"/>
  <c r="N308" i="489"/>
  <c r="J463" i="489" a="1"/>
  <c r="J463" i="489" s="1"/>
  <c r="N319" i="489"/>
  <c r="K308" i="489"/>
  <c r="W258" i="489"/>
  <c r="K199" i="489"/>
  <c r="J308" i="489" a="1"/>
  <c r="J308" i="489" s="1"/>
  <c r="K28" i="489"/>
  <c r="V121" i="489"/>
  <c r="W121" i="489" s="1"/>
  <c r="T507" i="489"/>
  <c r="P507" i="489"/>
  <c r="N334" i="489"/>
  <c r="V257" i="489"/>
  <c r="W257" i="489" s="1"/>
  <c r="AA335" i="489"/>
  <c r="W370" i="489"/>
  <c r="M528" i="489"/>
  <c r="M464" i="489"/>
  <c r="M479" i="489" s="1"/>
  <c r="M349" i="489"/>
  <c r="M370" i="489" s="1"/>
  <c r="R171" i="489"/>
  <c r="M29" i="489"/>
  <c r="M86" i="489" s="1"/>
  <c r="AC28" i="489"/>
  <c r="I164" i="489"/>
  <c r="B172" i="489" s="1"/>
  <c r="N506" i="489"/>
  <c r="AC148" i="489"/>
  <c r="M178" i="489"/>
  <c r="M199" i="489" s="1"/>
  <c r="AC199" i="489"/>
  <c r="R342" i="489"/>
  <c r="J319" i="489" a="1"/>
  <c r="J319" i="489" s="1"/>
  <c r="N292" i="489"/>
  <c r="AC308" i="489"/>
  <c r="M529" i="489"/>
  <c r="AC319" i="489"/>
  <c r="K257" i="489"/>
  <c r="AC292" i="489"/>
  <c r="AC257" i="489"/>
  <c r="AC163" i="489"/>
  <c r="AC137" i="489"/>
  <c r="AC86" i="489"/>
  <c r="AC121" i="489"/>
  <c r="Y507" i="489"/>
  <c r="Z335" i="489"/>
  <c r="U335" i="489"/>
  <c r="Q335" i="489"/>
  <c r="X335" i="489"/>
  <c r="S335" i="489"/>
  <c r="H428" i="489"/>
  <c r="K528" i="489" s="1"/>
  <c r="M257" i="489"/>
  <c r="V506" i="489"/>
  <c r="W506" i="489" s="1"/>
  <c r="Z507" i="489"/>
  <c r="U507" i="489"/>
  <c r="Q507" i="489"/>
  <c r="R340" i="489"/>
  <c r="W138" i="489"/>
  <c r="H28" i="489"/>
  <c r="H463" i="489"/>
  <c r="K529" i="489" s="1"/>
  <c r="X507" i="489"/>
  <c r="S507" i="489"/>
  <c r="R341" i="489"/>
  <c r="J506" i="489" a="1"/>
  <c r="J506" i="489" s="1"/>
  <c r="J531" i="489"/>
  <c r="V463" i="489"/>
  <c r="W463" i="489" s="1"/>
  <c r="W429" i="489"/>
  <c r="V86" i="489"/>
  <c r="W29" i="489"/>
  <c r="K166" i="489"/>
  <c r="I170" i="489"/>
  <c r="J518" i="489"/>
  <c r="M518" i="489" s="1"/>
  <c r="J163" i="489" a="1"/>
  <c r="J163" i="489" s="1"/>
  <c r="J121" i="489" a="1"/>
  <c r="J121" i="489" s="1"/>
  <c r="K506" i="489"/>
  <c r="M506" i="489"/>
  <c r="H370" i="489"/>
  <c r="M320" i="489"/>
  <c r="M334" i="489" s="1"/>
  <c r="M293" i="489"/>
  <c r="M308" i="489" s="1"/>
  <c r="M258" i="489"/>
  <c r="M292" i="489" s="1"/>
  <c r="G507" i="489"/>
  <c r="M121" i="489"/>
  <c r="I335" i="489"/>
  <c r="B343" i="489" s="1"/>
  <c r="M521" i="489"/>
  <c r="K163" i="489"/>
  <c r="K137" i="489"/>
  <c r="W163" i="489"/>
  <c r="M138" i="489"/>
  <c r="M148" i="489" s="1"/>
  <c r="G164" i="489"/>
  <c r="L531" i="489"/>
  <c r="W480" i="489"/>
  <c r="V490" i="489"/>
  <c r="W490" i="489" s="1"/>
  <c r="J522" i="489"/>
  <c r="M522" i="489" s="1"/>
  <c r="J257" i="489" a="1"/>
  <c r="J257" i="489" s="1"/>
  <c r="M337" i="489"/>
  <c r="K341" i="489"/>
  <c r="M341" i="489" s="1"/>
  <c r="J148" i="489" a="1"/>
  <c r="J148" i="489" s="1"/>
  <c r="H506" i="489"/>
  <c r="M371" i="489"/>
  <c r="M428" i="489" s="1"/>
  <c r="M530" i="489"/>
  <c r="H479" i="489"/>
  <c r="N463" i="489"/>
  <c r="M490" i="489"/>
  <c r="H334" i="489"/>
  <c r="K525" i="489" s="1"/>
  <c r="H319" i="489"/>
  <c r="H257" i="489"/>
  <c r="K522" i="489" s="1"/>
  <c r="I507" i="489"/>
  <c r="H308" i="489"/>
  <c r="K524" i="489" s="1"/>
  <c r="H292" i="489"/>
  <c r="O507" i="489"/>
  <c r="M319" i="489"/>
  <c r="W199" i="489"/>
  <c r="H199" i="489"/>
  <c r="K121" i="489"/>
  <c r="H86" i="489"/>
  <c r="Z338" i="489"/>
  <c r="G335" i="489"/>
  <c r="M163" i="489"/>
  <c r="M137" i="489"/>
  <c r="M7" i="489"/>
  <c r="M28" i="489" s="1"/>
  <c r="H286" i="434"/>
  <c r="H287" i="434"/>
  <c r="H288" i="434"/>
  <c r="K80" i="434" a="1"/>
  <c r="K80" i="434" s="1"/>
  <c r="K81" i="434" a="1"/>
  <c r="K81" i="434" s="1"/>
  <c r="K82" i="434" a="1"/>
  <c r="K82" i="434" s="1"/>
  <c r="K83" i="434" a="1"/>
  <c r="K83" i="434" s="1"/>
  <c r="K84" i="434" a="1"/>
  <c r="K84" i="434" s="1"/>
  <c r="K85" i="434" a="1"/>
  <c r="K85" i="434" s="1"/>
  <c r="Z337" i="489" l="1" a="1"/>
  <c r="Z337" i="489" s="1"/>
  <c r="Z342" i="489"/>
  <c r="Z340" i="489"/>
  <c r="K335" i="489"/>
  <c r="E343" i="489" s="1"/>
  <c r="I343" i="489" s="1"/>
  <c r="M343" i="489" s="1"/>
  <c r="V335" i="489"/>
  <c r="I344" i="489" s="1"/>
  <c r="Z339" i="489"/>
  <c r="Z341" i="489"/>
  <c r="G508" i="489"/>
  <c r="K507" i="489"/>
  <c r="L507" i="489" s="1"/>
  <c r="AC335" i="489"/>
  <c r="N507" i="489"/>
  <c r="R344" i="489"/>
  <c r="T343" i="489" s="1"/>
  <c r="AC164" i="489"/>
  <c r="M164" i="489"/>
  <c r="K164" i="489"/>
  <c r="E172" i="489" s="1"/>
  <c r="I172" i="489" s="1"/>
  <c r="M172" i="489" s="1"/>
  <c r="W335" i="489"/>
  <c r="M507" i="489"/>
  <c r="J335" i="489" a="1"/>
  <c r="J335" i="489" s="1"/>
  <c r="M342" i="489" s="1"/>
  <c r="B342" i="489"/>
  <c r="J526" i="489" s="1"/>
  <c r="K521" i="489"/>
  <c r="H335" i="489"/>
  <c r="E342" i="489" s="1"/>
  <c r="K523" i="489"/>
  <c r="B171" i="489"/>
  <c r="J164" i="489" a="1"/>
  <c r="J164" i="489" s="1"/>
  <c r="M171" i="489" s="1"/>
  <c r="K527" i="489"/>
  <c r="H507" i="489"/>
  <c r="K170" i="489"/>
  <c r="M170" i="489" s="1"/>
  <c r="M166" i="489"/>
  <c r="W86" i="489"/>
  <c r="W164" i="489" s="1"/>
  <c r="V164" i="489"/>
  <c r="I173" i="489" s="1"/>
  <c r="M335" i="489"/>
  <c r="Z344" i="489"/>
  <c r="K530" i="489"/>
  <c r="K531" i="489"/>
  <c r="J532" i="489"/>
  <c r="J507" i="489" a="1"/>
  <c r="J507" i="489" s="1"/>
  <c r="V507" i="489"/>
  <c r="M531" i="489"/>
  <c r="T340" i="489" l="1"/>
  <c r="L335" i="489"/>
  <c r="I342" i="489" s="1"/>
  <c r="AC508" i="489"/>
  <c r="M344" i="489" a="1"/>
  <c r="M344" i="489" s="1"/>
  <c r="T342" i="489"/>
  <c r="T337" i="489" a="1"/>
  <c r="T337" i="489" s="1"/>
  <c r="T338" i="489"/>
  <c r="L164" i="489"/>
  <c r="I171" i="489" s="1"/>
  <c r="T339" i="489"/>
  <c r="T341" i="489"/>
  <c r="W507" i="489"/>
  <c r="J519" i="489"/>
  <c r="M173" i="489" a="1"/>
  <c r="M173" i="489" s="1"/>
  <c r="T344" i="489" l="1"/>
  <c r="X515" i="434" l="1"/>
  <c r="X514" i="434"/>
  <c r="X513" i="434"/>
  <c r="X512" i="434"/>
  <c r="X511" i="434"/>
  <c r="X343" i="434"/>
  <c r="X342" i="434"/>
  <c r="X341" i="434"/>
  <c r="X340" i="434"/>
  <c r="X337" i="434"/>
  <c r="X166" i="434"/>
  <c r="X169" i="434"/>
  <c r="X170" i="434"/>
  <c r="X171" i="434"/>
  <c r="K457" i="434" a="1"/>
  <c r="K457" i="434" s="1"/>
  <c r="M457" i="434" s="1"/>
  <c r="K458" i="434" a="1"/>
  <c r="K458" i="434" s="1"/>
  <c r="M458" i="434" s="1"/>
  <c r="K459" i="434" a="1"/>
  <c r="K459" i="434" s="1"/>
  <c r="M459" i="434" s="1"/>
  <c r="K460" i="434" a="1"/>
  <c r="K460" i="434" s="1"/>
  <c r="M460" i="434" s="1"/>
  <c r="K461" i="434" a="1"/>
  <c r="K461" i="434" s="1"/>
  <c r="K427" i="434" a="1"/>
  <c r="K427" i="434" s="1"/>
  <c r="M427" i="434" s="1"/>
  <c r="K426" i="434" a="1"/>
  <c r="K426" i="434" s="1"/>
  <c r="M426" i="434" s="1"/>
  <c r="K425" i="434" a="1"/>
  <c r="K425" i="434" s="1"/>
  <c r="M425" i="434" s="1"/>
  <c r="K424" i="434" a="1"/>
  <c r="K424" i="434" s="1"/>
  <c r="M424" i="434" s="1"/>
  <c r="K423" i="434" a="1"/>
  <c r="K423" i="434" s="1"/>
  <c r="M423" i="434" s="1"/>
  <c r="K422" i="434" a="1"/>
  <c r="K422" i="434" s="1"/>
  <c r="M422" i="434" s="1"/>
  <c r="K421" i="434" a="1"/>
  <c r="K421" i="434" s="1"/>
  <c r="M421" i="434" s="1"/>
  <c r="K420" i="434" a="1"/>
  <c r="K420" i="434" s="1"/>
  <c r="M420" i="434" s="1"/>
  <c r="K419" i="434" a="1"/>
  <c r="K419" i="434" s="1"/>
  <c r="M419" i="434" s="1"/>
  <c r="K418" i="434" a="1"/>
  <c r="K418" i="434" s="1"/>
  <c r="M418" i="434" s="1"/>
  <c r="K395" i="434" a="1"/>
  <c r="K395" i="434" s="1"/>
  <c r="M395" i="434" s="1"/>
  <c r="K396" i="434" a="1"/>
  <c r="K396" i="434" s="1"/>
  <c r="M396" i="434" s="1"/>
  <c r="K397" i="434" a="1"/>
  <c r="K397" i="434" s="1"/>
  <c r="M397" i="434" s="1"/>
  <c r="K398" i="434" a="1"/>
  <c r="K398" i="434" s="1"/>
  <c r="M398" i="434" s="1"/>
  <c r="M242" i="434"/>
  <c r="K239" i="434" a="1"/>
  <c r="K239" i="434" s="1"/>
  <c r="M239" i="434" s="1"/>
  <c r="K240" i="434" a="1"/>
  <c r="K240" i="434" s="1"/>
  <c r="M240" i="434" s="1"/>
  <c r="N224" i="434"/>
  <c r="N225" i="434"/>
  <c r="N226" i="434"/>
  <c r="N227" i="434"/>
  <c r="N228" i="434"/>
  <c r="K224" i="434" a="1"/>
  <c r="K224" i="434" s="1"/>
  <c r="M224" i="434" s="1"/>
  <c r="K225" i="434" a="1"/>
  <c r="K225" i="434" s="1"/>
  <c r="M225" i="434" s="1"/>
  <c r="K226" i="434" a="1"/>
  <c r="K226" i="434" s="1"/>
  <c r="M226" i="434" s="1"/>
  <c r="K227" i="434" a="1"/>
  <c r="K227" i="434" s="1"/>
  <c r="M227" i="434" s="1"/>
  <c r="K115" i="434" a="1"/>
  <c r="K115" i="434" s="1"/>
  <c r="K116" i="434" a="1"/>
  <c r="K116" i="434" s="1"/>
  <c r="K117" i="434" a="1"/>
  <c r="K117" i="434" s="1"/>
  <c r="K68" i="434" a="1"/>
  <c r="K68" i="434" s="1"/>
  <c r="K79" i="434" a="1"/>
  <c r="K79" i="434" s="1"/>
  <c r="M79" i="434" s="1"/>
  <c r="K78" i="434" a="1"/>
  <c r="K78" i="434" s="1"/>
  <c r="M78" i="434" s="1"/>
  <c r="K77" i="434" a="1"/>
  <c r="K77" i="434" s="1"/>
  <c r="M77" i="434" s="1"/>
  <c r="K76" i="434" a="1"/>
  <c r="K76" i="434" s="1"/>
  <c r="M76" i="434" s="1"/>
  <c r="K250" i="434" a="1"/>
  <c r="K250" i="434" s="1"/>
  <c r="M250" i="434" s="1"/>
  <c r="K249" i="434" a="1"/>
  <c r="K249" i="434" s="1"/>
  <c r="M249" i="434" s="1"/>
  <c r="K248" i="434" a="1"/>
  <c r="K248" i="434" s="1"/>
  <c r="M248" i="434" s="1"/>
  <c r="K247" i="434" a="1"/>
  <c r="K247" i="434" s="1"/>
  <c r="M247" i="434" s="1"/>
  <c r="K376" i="434" a="1"/>
  <c r="K376" i="434" s="1"/>
  <c r="M376" i="434" s="1"/>
  <c r="K377" i="434" a="1"/>
  <c r="K377" i="434" s="1"/>
  <c r="M377" i="434" s="1"/>
  <c r="K378" i="434" a="1"/>
  <c r="K378" i="434" s="1"/>
  <c r="M378" i="434" s="1"/>
  <c r="H457" i="434"/>
  <c r="H458" i="434"/>
  <c r="H459" i="434"/>
  <c r="H460" i="434"/>
  <c r="H461" i="434"/>
  <c r="H34" i="434" l="1"/>
  <c r="H69" i="434" l="1"/>
  <c r="H70" i="434"/>
  <c r="H71" i="434"/>
  <c r="H72" i="434"/>
  <c r="H73" i="434"/>
  <c r="H74" i="434"/>
  <c r="H75" i="434"/>
  <c r="H76" i="434"/>
  <c r="H77" i="434"/>
  <c r="H78" i="434"/>
  <c r="H79" i="434"/>
  <c r="H80" i="434"/>
  <c r="H81" i="434"/>
  <c r="H82" i="434"/>
  <c r="H83" i="434"/>
  <c r="H84" i="434"/>
  <c r="H85" i="434"/>
  <c r="Q164" i="489" l="1"/>
  <c r="T164" i="489"/>
  <c r="X164" i="489"/>
  <c r="Z164" i="489"/>
  <c r="S164" i="489"/>
  <c r="U164" i="489"/>
  <c r="Y164" i="489"/>
  <c r="AA164" i="489"/>
  <c r="H121" i="489" l="1"/>
  <c r="K508" i="489" s="1"/>
  <c r="N148" i="489"/>
  <c r="H137" i="489"/>
  <c r="X167" i="489"/>
  <c r="P164" i="489"/>
  <c r="X168" i="489" s="1"/>
  <c r="O164" i="489"/>
  <c r="R169" i="489"/>
  <c r="N163" i="489"/>
  <c r="H163" i="489"/>
  <c r="H148" i="489"/>
  <c r="N137" i="489"/>
  <c r="N121" i="489"/>
  <c r="N86" i="489"/>
  <c r="N28" i="489"/>
  <c r="N257" i="489"/>
  <c r="N199" i="489"/>
  <c r="H164" i="489" l="1"/>
  <c r="E171" i="489" s="1"/>
  <c r="N164" i="489"/>
  <c r="B173" i="489" s="1"/>
  <c r="E173" i="489" s="1"/>
  <c r="X173" i="489"/>
  <c r="Z168" i="489" s="1"/>
  <c r="K518" i="489"/>
  <c r="R173" i="489"/>
  <c r="T169" i="489" s="1"/>
  <c r="N335" i="489"/>
  <c r="B344" i="489" s="1"/>
  <c r="T167" i="489" l="1"/>
  <c r="T170" i="489"/>
  <c r="T166" i="489" a="1"/>
  <c r="T166" i="489" s="1"/>
  <c r="T172" i="489"/>
  <c r="T171" i="489"/>
  <c r="T168" i="489"/>
  <c r="Z167" i="489"/>
  <c r="Z170" i="489"/>
  <c r="Z169" i="489"/>
  <c r="Z172" i="489"/>
  <c r="Z166" i="489" a="1"/>
  <c r="Z166" i="489" s="1"/>
  <c r="Z171" i="489"/>
  <c r="E344" i="489"/>
  <c r="T173" i="489" l="1"/>
  <c r="Z173" i="489"/>
  <c r="P536" i="434" l="1"/>
  <c r="O536" i="434"/>
  <c r="N536" i="434"/>
  <c r="M536" i="434"/>
  <c r="L536" i="434"/>
  <c r="K536" i="434"/>
  <c r="I536" i="434"/>
  <c r="H536" i="434"/>
  <c r="G536" i="434"/>
  <c r="F536" i="434"/>
  <c r="E536" i="434"/>
  <c r="D536" i="434"/>
  <c r="C535" i="434"/>
  <c r="T535" i="434" s="1" a="1"/>
  <c r="T535" i="434" s="1"/>
  <c r="C534" i="434"/>
  <c r="T534" i="434" s="1" a="1"/>
  <c r="T534" i="434" s="1"/>
  <c r="C533" i="434"/>
  <c r="G517" i="434"/>
  <c r="N517" i="434" s="1"/>
  <c r="G513" i="434"/>
  <c r="C513" i="434"/>
  <c r="I512" i="434"/>
  <c r="E512" i="434"/>
  <c r="I511" i="434"/>
  <c r="E511" i="434"/>
  <c r="I510" i="434"/>
  <c r="E510" i="434"/>
  <c r="I509" i="434"/>
  <c r="I513" i="434" s="1"/>
  <c r="E509" i="434"/>
  <c r="E513" i="434" s="1"/>
  <c r="AA506" i="434"/>
  <c r="Z506" i="434"/>
  <c r="Y506" i="434"/>
  <c r="X506" i="434"/>
  <c r="U506" i="434"/>
  <c r="T506" i="434"/>
  <c r="S506" i="434"/>
  <c r="R506" i="434"/>
  <c r="Q506" i="434"/>
  <c r="P506" i="434"/>
  <c r="O506" i="434"/>
  <c r="I506" i="434"/>
  <c r="G506" i="434"/>
  <c r="V501" i="434"/>
  <c r="W501" i="434" s="1"/>
  <c r="N501" i="434"/>
  <c r="K501" i="434" a="1"/>
  <c r="K501" i="434" s="1"/>
  <c r="M501" i="434" s="1"/>
  <c r="J501" i="434" a="1"/>
  <c r="J501" i="434" s="1"/>
  <c r="V498" i="434"/>
  <c r="W498" i="434" s="1"/>
  <c r="N498" i="434"/>
  <c r="K498" i="434" a="1"/>
  <c r="K498" i="434" s="1"/>
  <c r="M498" i="434" s="1"/>
  <c r="J498" i="434" a="1"/>
  <c r="J498" i="434" s="1"/>
  <c r="V497" i="434"/>
  <c r="W497" i="434" s="1"/>
  <c r="N497" i="434"/>
  <c r="K497" i="434" a="1"/>
  <c r="K497" i="434" s="1"/>
  <c r="M497" i="434" s="1"/>
  <c r="J497" i="434" a="1"/>
  <c r="J497" i="434" s="1"/>
  <c r="V494" i="434"/>
  <c r="W494" i="434" s="1"/>
  <c r="N494" i="434"/>
  <c r="K494" i="434" a="1"/>
  <c r="K494" i="434" s="1"/>
  <c r="M494" i="434" s="1"/>
  <c r="J494" i="434" a="1"/>
  <c r="J494" i="434" s="1"/>
  <c r="V493" i="434"/>
  <c r="W493" i="434" s="1"/>
  <c r="N493" i="434"/>
  <c r="K493" i="434" a="1"/>
  <c r="K493" i="434" s="1"/>
  <c r="M493" i="434" s="1"/>
  <c r="J493" i="434" a="1"/>
  <c r="J493" i="434" s="1"/>
  <c r="V492" i="434"/>
  <c r="W492" i="434" s="1"/>
  <c r="N492" i="434"/>
  <c r="K492" i="434" a="1"/>
  <c r="K492" i="434" s="1"/>
  <c r="M492" i="434" s="1"/>
  <c r="J492" i="434" a="1"/>
  <c r="J492" i="434" s="1"/>
  <c r="H492" i="434"/>
  <c r="V491" i="434"/>
  <c r="W491" i="434" s="1"/>
  <c r="N491" i="434"/>
  <c r="K491" i="434" a="1"/>
  <c r="K491" i="434" s="1"/>
  <c r="J491" i="434" a="1"/>
  <c r="J491" i="434" s="1"/>
  <c r="H491" i="434"/>
  <c r="AA490" i="434"/>
  <c r="Z490" i="434"/>
  <c r="Y490" i="434"/>
  <c r="X490" i="434"/>
  <c r="U490" i="434"/>
  <c r="T490" i="434"/>
  <c r="S490" i="434"/>
  <c r="Q490" i="434"/>
  <c r="P490" i="434"/>
  <c r="O490" i="434"/>
  <c r="I490" i="434"/>
  <c r="G490" i="434"/>
  <c r="V489" i="434"/>
  <c r="W489" i="434" s="1"/>
  <c r="N489" i="434"/>
  <c r="K489" i="434" a="1"/>
  <c r="K489" i="434" s="1"/>
  <c r="M489" i="434" s="1"/>
  <c r="J489" i="434" a="1"/>
  <c r="J489" i="434" s="1"/>
  <c r="H489" i="434"/>
  <c r="V484" i="434"/>
  <c r="W484" i="434" s="1"/>
  <c r="N484" i="434"/>
  <c r="K484" i="434" a="1"/>
  <c r="K484" i="434" s="1"/>
  <c r="M484" i="434" s="1"/>
  <c r="J484" i="434" a="1"/>
  <c r="J484" i="434" s="1"/>
  <c r="H484" i="434"/>
  <c r="V483" i="434"/>
  <c r="W483" i="434" s="1"/>
  <c r="N483" i="434"/>
  <c r="K483" i="434" a="1"/>
  <c r="K483" i="434" s="1"/>
  <c r="M483" i="434" s="1"/>
  <c r="J483" i="434" a="1"/>
  <c r="J483" i="434" s="1"/>
  <c r="H483" i="434"/>
  <c r="V482" i="434"/>
  <c r="W482" i="434" s="1"/>
  <c r="N482" i="434"/>
  <c r="K482" i="434" a="1"/>
  <c r="K482" i="434" s="1"/>
  <c r="M482" i="434" s="1"/>
  <c r="J482" i="434" a="1"/>
  <c r="J482" i="434" s="1"/>
  <c r="H482" i="434"/>
  <c r="V481" i="434"/>
  <c r="W481" i="434" s="1"/>
  <c r="N481" i="434"/>
  <c r="K481" i="434" a="1"/>
  <c r="K481" i="434" s="1"/>
  <c r="M481" i="434" s="1"/>
  <c r="J481" i="434" a="1"/>
  <c r="J481" i="434" s="1"/>
  <c r="H481" i="434"/>
  <c r="V480" i="434"/>
  <c r="N480" i="434"/>
  <c r="K480" i="434" a="1"/>
  <c r="K480" i="434" s="1"/>
  <c r="J480" i="434" a="1"/>
  <c r="J480" i="434" s="1"/>
  <c r="H480" i="434"/>
  <c r="AA479" i="434"/>
  <c r="Z479" i="434"/>
  <c r="Y479" i="434"/>
  <c r="X479" i="434"/>
  <c r="U479" i="434"/>
  <c r="T479" i="434"/>
  <c r="S479" i="434"/>
  <c r="Q479" i="434"/>
  <c r="P479" i="434"/>
  <c r="O479" i="434"/>
  <c r="I479" i="434"/>
  <c r="G479" i="434"/>
  <c r="V478" i="434"/>
  <c r="W478" i="434" s="1"/>
  <c r="N478" i="434"/>
  <c r="K478" i="434" a="1"/>
  <c r="K478" i="434" s="1"/>
  <c r="M478" i="434" s="1"/>
  <c r="J478" i="434" a="1"/>
  <c r="J478" i="434" s="1"/>
  <c r="H478" i="434"/>
  <c r="V477" i="434"/>
  <c r="W477" i="434" s="1"/>
  <c r="N477" i="434"/>
  <c r="K477" i="434" a="1"/>
  <c r="K477" i="434" s="1"/>
  <c r="M477" i="434" s="1"/>
  <c r="J477" i="434" a="1"/>
  <c r="J477" i="434" s="1"/>
  <c r="H477" i="434"/>
  <c r="V476" i="434"/>
  <c r="W476" i="434" s="1"/>
  <c r="N476" i="434"/>
  <c r="K476" i="434" a="1"/>
  <c r="K476" i="434" s="1"/>
  <c r="M476" i="434" s="1"/>
  <c r="J476" i="434" a="1"/>
  <c r="J476" i="434" s="1"/>
  <c r="H476" i="434"/>
  <c r="V475" i="434"/>
  <c r="W475" i="434" s="1"/>
  <c r="N475" i="434"/>
  <c r="K475" i="434" a="1"/>
  <c r="K475" i="434" s="1"/>
  <c r="M475" i="434" s="1"/>
  <c r="J475" i="434" a="1"/>
  <c r="J475" i="434" s="1"/>
  <c r="H475" i="434"/>
  <c r="V474" i="434"/>
  <c r="W474" i="434" s="1"/>
  <c r="N474" i="434"/>
  <c r="K474" i="434" a="1"/>
  <c r="K474" i="434" s="1"/>
  <c r="M474" i="434" s="1"/>
  <c r="J474" i="434" a="1"/>
  <c r="J474" i="434" s="1"/>
  <c r="H474" i="434"/>
  <c r="V473" i="434"/>
  <c r="W473" i="434" s="1"/>
  <c r="N473" i="434"/>
  <c r="K473" i="434" a="1"/>
  <c r="K473" i="434" s="1"/>
  <c r="M473" i="434" s="1"/>
  <c r="J473" i="434" a="1"/>
  <c r="J473" i="434" s="1"/>
  <c r="H473" i="434"/>
  <c r="V472" i="434"/>
  <c r="W472" i="434" s="1"/>
  <c r="N472" i="434"/>
  <c r="K472" i="434" a="1"/>
  <c r="K472" i="434" s="1"/>
  <c r="M472" i="434" s="1"/>
  <c r="J472" i="434" a="1"/>
  <c r="J472" i="434" s="1"/>
  <c r="H472" i="434"/>
  <c r="V471" i="434"/>
  <c r="W471" i="434" s="1"/>
  <c r="N471" i="434"/>
  <c r="K471" i="434" a="1"/>
  <c r="K471" i="434" s="1"/>
  <c r="M471" i="434" s="1"/>
  <c r="J471" i="434" a="1"/>
  <c r="J471" i="434" s="1"/>
  <c r="H471" i="434"/>
  <c r="V470" i="434"/>
  <c r="W470" i="434" s="1"/>
  <c r="N470" i="434"/>
  <c r="K470" i="434" a="1"/>
  <c r="K470" i="434" s="1"/>
  <c r="M470" i="434" s="1"/>
  <c r="J470" i="434" a="1"/>
  <c r="J470" i="434" s="1"/>
  <c r="H470" i="434"/>
  <c r="V469" i="434"/>
  <c r="W469" i="434" s="1"/>
  <c r="N469" i="434"/>
  <c r="K469" i="434" a="1"/>
  <c r="K469" i="434" s="1"/>
  <c r="M469" i="434" s="1"/>
  <c r="J469" i="434" a="1"/>
  <c r="J469" i="434" s="1"/>
  <c r="H469" i="434"/>
  <c r="V468" i="434"/>
  <c r="W468" i="434" s="1"/>
  <c r="N468" i="434"/>
  <c r="K468" i="434" a="1"/>
  <c r="K468" i="434" s="1"/>
  <c r="M468" i="434" s="1"/>
  <c r="J468" i="434" a="1"/>
  <c r="J468" i="434" s="1"/>
  <c r="H468" i="434"/>
  <c r="V467" i="434"/>
  <c r="W467" i="434" s="1"/>
  <c r="N467" i="434"/>
  <c r="K467" i="434" a="1"/>
  <c r="K467" i="434" s="1"/>
  <c r="M467" i="434" s="1"/>
  <c r="J467" i="434" a="1"/>
  <c r="J467" i="434" s="1"/>
  <c r="H467" i="434"/>
  <c r="V466" i="434"/>
  <c r="W466" i="434" s="1"/>
  <c r="N466" i="434"/>
  <c r="K466" i="434" a="1"/>
  <c r="K466" i="434" s="1"/>
  <c r="M466" i="434" s="1"/>
  <c r="J466" i="434" a="1"/>
  <c r="J466" i="434" s="1"/>
  <c r="H466" i="434"/>
  <c r="V465" i="434"/>
  <c r="W465" i="434" s="1"/>
  <c r="N465" i="434"/>
  <c r="K465" i="434" a="1"/>
  <c r="K465" i="434" s="1"/>
  <c r="M465" i="434" s="1"/>
  <c r="J465" i="434" a="1"/>
  <c r="J465" i="434" s="1"/>
  <c r="H465" i="434"/>
  <c r="V464" i="434"/>
  <c r="N464" i="434"/>
  <c r="K464" i="434" a="1"/>
  <c r="K464" i="434" s="1"/>
  <c r="M464" i="434" s="1"/>
  <c r="J464" i="434" a="1"/>
  <c r="J464" i="434" s="1"/>
  <c r="H464" i="434"/>
  <c r="AA463" i="434"/>
  <c r="Z463" i="434"/>
  <c r="Y463" i="434"/>
  <c r="X463" i="434"/>
  <c r="U463" i="434"/>
  <c r="T463" i="434"/>
  <c r="S463" i="434"/>
  <c r="R463" i="434"/>
  <c r="Q463" i="434"/>
  <c r="P463" i="434"/>
  <c r="O463" i="434"/>
  <c r="I463" i="434"/>
  <c r="G463" i="434"/>
  <c r="V462" i="434"/>
  <c r="W462" i="434" s="1"/>
  <c r="N462" i="434"/>
  <c r="K462" i="434" a="1"/>
  <c r="K462" i="434" s="1"/>
  <c r="M462" i="434" s="1"/>
  <c r="J462" i="434" a="1"/>
  <c r="J462" i="434" s="1"/>
  <c r="H462" i="434"/>
  <c r="V461" i="434"/>
  <c r="W461" i="434" s="1"/>
  <c r="N461" i="434"/>
  <c r="M461" i="434"/>
  <c r="J461" i="434" a="1"/>
  <c r="J461" i="434" s="1"/>
  <c r="V460" i="434"/>
  <c r="W460" i="434" s="1"/>
  <c r="N460" i="434"/>
  <c r="J460" i="434" a="1"/>
  <c r="J460" i="434" s="1"/>
  <c r="V456" i="434"/>
  <c r="W456" i="434" s="1"/>
  <c r="N456" i="434"/>
  <c r="K456" i="434" a="1"/>
  <c r="K456" i="434" s="1"/>
  <c r="M456" i="434" s="1"/>
  <c r="J456" i="434" a="1"/>
  <c r="J456" i="434" s="1"/>
  <c r="H456" i="434"/>
  <c r="V455" i="434"/>
  <c r="W455" i="434" s="1"/>
  <c r="N455" i="434"/>
  <c r="K455" i="434" a="1"/>
  <c r="K455" i="434" s="1"/>
  <c r="M455" i="434" s="1"/>
  <c r="J455" i="434" a="1"/>
  <c r="J455" i="434" s="1"/>
  <c r="H455" i="434"/>
  <c r="N454" i="434"/>
  <c r="K454" i="434" a="1"/>
  <c r="K454" i="434" s="1"/>
  <c r="M454" i="434" s="1"/>
  <c r="H454" i="434"/>
  <c r="N453" i="434"/>
  <c r="K453" i="434" a="1"/>
  <c r="K453" i="434" s="1"/>
  <c r="M453" i="434" s="1"/>
  <c r="H453" i="434"/>
  <c r="N452" i="434"/>
  <c r="K452" i="434" a="1"/>
  <c r="K452" i="434" s="1"/>
  <c r="M452" i="434" s="1"/>
  <c r="H452" i="434"/>
  <c r="N451" i="434"/>
  <c r="K451" i="434" a="1"/>
  <c r="K451" i="434" s="1"/>
  <c r="M451" i="434" s="1"/>
  <c r="H451" i="434"/>
  <c r="N450" i="434"/>
  <c r="K450" i="434" a="1"/>
  <c r="K450" i="434" s="1"/>
  <c r="M450" i="434" s="1"/>
  <c r="H450" i="434"/>
  <c r="N449" i="434"/>
  <c r="K449" i="434" a="1"/>
  <c r="K449" i="434" s="1"/>
  <c r="M449" i="434" s="1"/>
  <c r="H449" i="434"/>
  <c r="V448" i="434"/>
  <c r="W448" i="434" s="1"/>
  <c r="N448" i="434"/>
  <c r="K448" i="434" a="1"/>
  <c r="K448" i="434" s="1"/>
  <c r="M448" i="434" s="1"/>
  <c r="J448" i="434" a="1"/>
  <c r="J448" i="434" s="1"/>
  <c r="H448" i="434"/>
  <c r="V447" i="434"/>
  <c r="W447" i="434" s="1"/>
  <c r="N447" i="434"/>
  <c r="K447" i="434" a="1"/>
  <c r="K447" i="434" s="1"/>
  <c r="M447" i="434" s="1"/>
  <c r="J447" i="434" a="1"/>
  <c r="J447" i="434" s="1"/>
  <c r="H447" i="434"/>
  <c r="V446" i="434"/>
  <c r="W446" i="434" s="1"/>
  <c r="N446" i="434"/>
  <c r="K446" i="434" a="1"/>
  <c r="K446" i="434" s="1"/>
  <c r="M446" i="434" s="1"/>
  <c r="J446" i="434" a="1"/>
  <c r="J446" i="434" s="1"/>
  <c r="H446" i="434"/>
  <c r="V445" i="434"/>
  <c r="W445" i="434" s="1"/>
  <c r="N445" i="434"/>
  <c r="K445" i="434" a="1"/>
  <c r="K445" i="434" s="1"/>
  <c r="M445" i="434" s="1"/>
  <c r="J445" i="434" a="1"/>
  <c r="J445" i="434" s="1"/>
  <c r="H445" i="434"/>
  <c r="V444" i="434"/>
  <c r="W444" i="434" s="1"/>
  <c r="N444" i="434"/>
  <c r="K444" i="434" a="1"/>
  <c r="K444" i="434" s="1"/>
  <c r="M444" i="434" s="1"/>
  <c r="J444" i="434" a="1"/>
  <c r="J444" i="434" s="1"/>
  <c r="H444" i="434"/>
  <c r="V443" i="434"/>
  <c r="W443" i="434" s="1"/>
  <c r="N443" i="434"/>
  <c r="K443" i="434" a="1"/>
  <c r="K443" i="434" s="1"/>
  <c r="M443" i="434" s="1"/>
  <c r="J443" i="434" a="1"/>
  <c r="J443" i="434" s="1"/>
  <c r="H443" i="434"/>
  <c r="V442" i="434"/>
  <c r="W442" i="434" s="1"/>
  <c r="N442" i="434"/>
  <c r="K442" i="434" a="1"/>
  <c r="K442" i="434" s="1"/>
  <c r="M442" i="434" s="1"/>
  <c r="J442" i="434" a="1"/>
  <c r="J442" i="434" s="1"/>
  <c r="H442" i="434"/>
  <c r="V441" i="434"/>
  <c r="W441" i="434" s="1"/>
  <c r="N441" i="434"/>
  <c r="K441" i="434" a="1"/>
  <c r="K441" i="434" s="1"/>
  <c r="M441" i="434" s="1"/>
  <c r="J441" i="434" a="1"/>
  <c r="J441" i="434" s="1"/>
  <c r="H441" i="434"/>
  <c r="V440" i="434"/>
  <c r="W440" i="434" s="1"/>
  <c r="N440" i="434"/>
  <c r="K440" i="434" a="1"/>
  <c r="K440" i="434" s="1"/>
  <c r="M440" i="434" s="1"/>
  <c r="J440" i="434" a="1"/>
  <c r="J440" i="434" s="1"/>
  <c r="H440" i="434"/>
  <c r="V439" i="434"/>
  <c r="W439" i="434" s="1"/>
  <c r="N439" i="434"/>
  <c r="K439" i="434" a="1"/>
  <c r="K439" i="434" s="1"/>
  <c r="M439" i="434" s="1"/>
  <c r="J439" i="434" a="1"/>
  <c r="J439" i="434" s="1"/>
  <c r="H439" i="434"/>
  <c r="V438" i="434"/>
  <c r="W438" i="434" s="1"/>
  <c r="N438" i="434"/>
  <c r="K438" i="434" a="1"/>
  <c r="K438" i="434" s="1"/>
  <c r="M438" i="434" s="1"/>
  <c r="J438" i="434" a="1"/>
  <c r="J438" i="434" s="1"/>
  <c r="H438" i="434"/>
  <c r="V437" i="434"/>
  <c r="W437" i="434" s="1"/>
  <c r="N437" i="434"/>
  <c r="K437" i="434" a="1"/>
  <c r="K437" i="434" s="1"/>
  <c r="M437" i="434" s="1"/>
  <c r="J437" i="434" a="1"/>
  <c r="J437" i="434" s="1"/>
  <c r="H437" i="434"/>
  <c r="N436" i="434"/>
  <c r="K436" i="434" a="1"/>
  <c r="K436" i="434" s="1"/>
  <c r="M436" i="434" s="1"/>
  <c r="H436" i="434"/>
  <c r="V435" i="434"/>
  <c r="W435" i="434" s="1"/>
  <c r="N435" i="434"/>
  <c r="K435" i="434" a="1"/>
  <c r="K435" i="434" s="1"/>
  <c r="M435" i="434" s="1"/>
  <c r="J435" i="434" a="1"/>
  <c r="J435" i="434" s="1"/>
  <c r="H435" i="434"/>
  <c r="V434" i="434"/>
  <c r="W434" i="434" s="1"/>
  <c r="N434" i="434"/>
  <c r="K434" i="434" a="1"/>
  <c r="K434" i="434" s="1"/>
  <c r="M434" i="434" s="1"/>
  <c r="J434" i="434" a="1"/>
  <c r="J434" i="434" s="1"/>
  <c r="H434" i="434"/>
  <c r="V433" i="434"/>
  <c r="W433" i="434" s="1"/>
  <c r="N433" i="434"/>
  <c r="K433" i="434" a="1"/>
  <c r="K433" i="434" s="1"/>
  <c r="M433" i="434" s="1"/>
  <c r="J433" i="434" a="1"/>
  <c r="J433" i="434" s="1"/>
  <c r="H433" i="434"/>
  <c r="V432" i="434"/>
  <c r="W432" i="434" s="1"/>
  <c r="N432" i="434"/>
  <c r="K432" i="434" a="1"/>
  <c r="K432" i="434" s="1"/>
  <c r="M432" i="434" s="1"/>
  <c r="J432" i="434" a="1"/>
  <c r="J432" i="434" s="1"/>
  <c r="H432" i="434"/>
  <c r="V431" i="434"/>
  <c r="W431" i="434" s="1"/>
  <c r="N431" i="434"/>
  <c r="K431" i="434" a="1"/>
  <c r="K431" i="434" s="1"/>
  <c r="M431" i="434" s="1"/>
  <c r="J431" i="434" a="1"/>
  <c r="J431" i="434" s="1"/>
  <c r="H431" i="434"/>
  <c r="V430" i="434"/>
  <c r="W430" i="434" s="1"/>
  <c r="N430" i="434"/>
  <c r="K430" i="434" a="1"/>
  <c r="K430" i="434" s="1"/>
  <c r="M430" i="434" s="1"/>
  <c r="J430" i="434" a="1"/>
  <c r="J430" i="434" s="1"/>
  <c r="H430" i="434"/>
  <c r="V429" i="434"/>
  <c r="N429" i="434"/>
  <c r="K429" i="434" a="1"/>
  <c r="K429" i="434" s="1"/>
  <c r="J429" i="434" a="1"/>
  <c r="J429" i="434" s="1"/>
  <c r="H429" i="434"/>
  <c r="AA428" i="434"/>
  <c r="Z428" i="434"/>
  <c r="Y428" i="434"/>
  <c r="X428" i="434"/>
  <c r="U428" i="434"/>
  <c r="T428" i="434"/>
  <c r="S428" i="434"/>
  <c r="R428" i="434"/>
  <c r="Q428" i="434"/>
  <c r="P428" i="434"/>
  <c r="O428" i="434"/>
  <c r="I428" i="434"/>
  <c r="G428" i="434"/>
  <c r="H427" i="434"/>
  <c r="H426" i="434"/>
  <c r="H425" i="434"/>
  <c r="H424" i="434"/>
  <c r="H423" i="434"/>
  <c r="H422" i="434"/>
  <c r="H421" i="434"/>
  <c r="H420" i="434"/>
  <c r="H419" i="434"/>
  <c r="H418" i="434"/>
  <c r="V417" i="434"/>
  <c r="W417" i="434" s="1"/>
  <c r="N417" i="434"/>
  <c r="K417" i="434" a="1"/>
  <c r="K417" i="434" s="1"/>
  <c r="M417" i="434" s="1"/>
  <c r="J417" i="434" a="1"/>
  <c r="J417" i="434" s="1"/>
  <c r="H417" i="434"/>
  <c r="V416" i="434"/>
  <c r="W416" i="434" s="1"/>
  <c r="N416" i="434"/>
  <c r="K416" i="434" a="1"/>
  <c r="K416" i="434" s="1"/>
  <c r="M416" i="434" s="1"/>
  <c r="J416" i="434" a="1"/>
  <c r="J416" i="434" s="1"/>
  <c r="H416" i="434"/>
  <c r="V415" i="434"/>
  <c r="W415" i="434" s="1"/>
  <c r="N415" i="434"/>
  <c r="K415" i="434" a="1"/>
  <c r="K415" i="434" s="1"/>
  <c r="M415" i="434" s="1"/>
  <c r="J415" i="434" a="1"/>
  <c r="J415" i="434" s="1"/>
  <c r="H415" i="434"/>
  <c r="V414" i="434"/>
  <c r="W414" i="434" s="1"/>
  <c r="N414" i="434"/>
  <c r="K414" i="434" a="1"/>
  <c r="K414" i="434" s="1"/>
  <c r="M414" i="434" s="1"/>
  <c r="J414" i="434" a="1"/>
  <c r="J414" i="434" s="1"/>
  <c r="H414" i="434"/>
  <c r="H413" i="434"/>
  <c r="V412" i="434"/>
  <c r="W412" i="434" s="1"/>
  <c r="N412" i="434"/>
  <c r="K412" i="434" a="1"/>
  <c r="K412" i="434" s="1"/>
  <c r="M412" i="434" s="1"/>
  <c r="J412" i="434" a="1"/>
  <c r="J412" i="434" s="1"/>
  <c r="H412" i="434"/>
  <c r="V411" i="434"/>
  <c r="W411" i="434" s="1"/>
  <c r="N411" i="434"/>
  <c r="K411" i="434" a="1"/>
  <c r="K411" i="434" s="1"/>
  <c r="M411" i="434" s="1"/>
  <c r="J411" i="434" a="1"/>
  <c r="J411" i="434" s="1"/>
  <c r="H411" i="434"/>
  <c r="H410" i="434"/>
  <c r="V408" i="434"/>
  <c r="W408" i="434" s="1"/>
  <c r="N408" i="434"/>
  <c r="K408" i="434" a="1"/>
  <c r="K408" i="434" s="1"/>
  <c r="M408" i="434" s="1"/>
  <c r="J408" i="434" a="1"/>
  <c r="J408" i="434" s="1"/>
  <c r="H408" i="434"/>
  <c r="V407" i="434"/>
  <c r="W407" i="434" s="1"/>
  <c r="N407" i="434"/>
  <c r="K407" i="434" a="1"/>
  <c r="K407" i="434" s="1"/>
  <c r="M407" i="434" s="1"/>
  <c r="J407" i="434" a="1"/>
  <c r="J407" i="434" s="1"/>
  <c r="H407" i="434"/>
  <c r="V406" i="434"/>
  <c r="W406" i="434" s="1"/>
  <c r="N406" i="434"/>
  <c r="K406" i="434" a="1"/>
  <c r="K406" i="434" s="1"/>
  <c r="M406" i="434" s="1"/>
  <c r="J406" i="434" a="1"/>
  <c r="J406" i="434" s="1"/>
  <c r="H406" i="434"/>
  <c r="V405" i="434"/>
  <c r="W405" i="434" s="1"/>
  <c r="N405" i="434"/>
  <c r="K405" i="434" a="1"/>
  <c r="K405" i="434" s="1"/>
  <c r="M405" i="434" s="1"/>
  <c r="J405" i="434" a="1"/>
  <c r="J405" i="434" s="1"/>
  <c r="H405" i="434"/>
  <c r="V404" i="434"/>
  <c r="W404" i="434" s="1"/>
  <c r="N404" i="434"/>
  <c r="K404" i="434" a="1"/>
  <c r="K404" i="434" s="1"/>
  <c r="M404" i="434" s="1"/>
  <c r="J404" i="434" a="1"/>
  <c r="J404" i="434" s="1"/>
  <c r="H404" i="434"/>
  <c r="V403" i="434"/>
  <c r="W403" i="434" s="1"/>
  <c r="N403" i="434"/>
  <c r="K403" i="434" a="1"/>
  <c r="K403" i="434" s="1"/>
  <c r="M403" i="434" s="1"/>
  <c r="J403" i="434" a="1"/>
  <c r="J403" i="434" s="1"/>
  <c r="H403" i="434"/>
  <c r="V402" i="434"/>
  <c r="W402" i="434" s="1"/>
  <c r="N402" i="434"/>
  <c r="K402" i="434" a="1"/>
  <c r="K402" i="434" s="1"/>
  <c r="M402" i="434" s="1"/>
  <c r="J402" i="434" a="1"/>
  <c r="J402" i="434" s="1"/>
  <c r="H402" i="434"/>
  <c r="V401" i="434"/>
  <c r="W401" i="434" s="1"/>
  <c r="N401" i="434"/>
  <c r="K401" i="434" a="1"/>
  <c r="K401" i="434" s="1"/>
  <c r="M401" i="434" s="1"/>
  <c r="J401" i="434" a="1"/>
  <c r="J401" i="434" s="1"/>
  <c r="H401" i="434"/>
  <c r="V400" i="434"/>
  <c r="W400" i="434" s="1"/>
  <c r="N400" i="434"/>
  <c r="K400" i="434" a="1"/>
  <c r="K400" i="434" s="1"/>
  <c r="M400" i="434" s="1"/>
  <c r="J400" i="434" a="1"/>
  <c r="J400" i="434" s="1"/>
  <c r="H400" i="434"/>
  <c r="V399" i="434"/>
  <c r="W399" i="434" s="1"/>
  <c r="N399" i="434"/>
  <c r="K399" i="434" a="1"/>
  <c r="K399" i="434" s="1"/>
  <c r="M399" i="434" s="1"/>
  <c r="J399" i="434" a="1"/>
  <c r="J399" i="434" s="1"/>
  <c r="H399" i="434"/>
  <c r="H398" i="434"/>
  <c r="H397" i="434"/>
  <c r="H396" i="434"/>
  <c r="H395" i="434"/>
  <c r="N394" i="434"/>
  <c r="K394" i="434" a="1"/>
  <c r="K394" i="434" s="1"/>
  <c r="M394" i="434" s="1"/>
  <c r="H394" i="434"/>
  <c r="N393" i="434"/>
  <c r="K393" i="434" a="1"/>
  <c r="K393" i="434" s="1"/>
  <c r="M393" i="434" s="1"/>
  <c r="H393" i="434"/>
  <c r="N392" i="434"/>
  <c r="K392" i="434" a="1"/>
  <c r="K392" i="434" s="1"/>
  <c r="M392" i="434" s="1"/>
  <c r="H392" i="434"/>
  <c r="N391" i="434"/>
  <c r="K391" i="434" a="1"/>
  <c r="K391" i="434" s="1"/>
  <c r="M391" i="434" s="1"/>
  <c r="H391" i="434"/>
  <c r="V390" i="434"/>
  <c r="W390" i="434" s="1"/>
  <c r="N390" i="434"/>
  <c r="K390" i="434" a="1"/>
  <c r="K390" i="434" s="1"/>
  <c r="M390" i="434" s="1"/>
  <c r="J390" i="434" a="1"/>
  <c r="J390" i="434" s="1"/>
  <c r="H390" i="434"/>
  <c r="V389" i="434"/>
  <c r="W389" i="434" s="1"/>
  <c r="N389" i="434"/>
  <c r="K389" i="434" a="1"/>
  <c r="K389" i="434" s="1"/>
  <c r="M389" i="434" s="1"/>
  <c r="J389" i="434" a="1"/>
  <c r="J389" i="434" s="1"/>
  <c r="H389" i="434"/>
  <c r="V388" i="434"/>
  <c r="W388" i="434" s="1"/>
  <c r="N388" i="434"/>
  <c r="K388" i="434" a="1"/>
  <c r="K388" i="434" s="1"/>
  <c r="M388" i="434" s="1"/>
  <c r="J388" i="434" a="1"/>
  <c r="J388" i="434" s="1"/>
  <c r="H388" i="434"/>
  <c r="V387" i="434"/>
  <c r="W387" i="434" s="1"/>
  <c r="N387" i="434"/>
  <c r="K387" i="434" a="1"/>
  <c r="K387" i="434" s="1"/>
  <c r="M387" i="434" s="1"/>
  <c r="J387" i="434" a="1"/>
  <c r="J387" i="434" s="1"/>
  <c r="H387" i="434"/>
  <c r="V386" i="434"/>
  <c r="W386" i="434" s="1"/>
  <c r="N386" i="434"/>
  <c r="K386" i="434" a="1"/>
  <c r="K386" i="434" s="1"/>
  <c r="M386" i="434" s="1"/>
  <c r="J386" i="434" a="1"/>
  <c r="J386" i="434" s="1"/>
  <c r="H386" i="434"/>
  <c r="V385" i="434"/>
  <c r="W385" i="434" s="1"/>
  <c r="N385" i="434"/>
  <c r="K385" i="434" a="1"/>
  <c r="K385" i="434" s="1"/>
  <c r="M385" i="434" s="1"/>
  <c r="J385" i="434" a="1"/>
  <c r="J385" i="434" s="1"/>
  <c r="H385" i="434"/>
  <c r="V384" i="434"/>
  <c r="W384" i="434" s="1"/>
  <c r="N384" i="434"/>
  <c r="K384" i="434" a="1"/>
  <c r="K384" i="434" s="1"/>
  <c r="M384" i="434" s="1"/>
  <c r="J384" i="434" a="1"/>
  <c r="J384" i="434" s="1"/>
  <c r="H384" i="434"/>
  <c r="V383" i="434"/>
  <c r="W383" i="434" s="1"/>
  <c r="N383" i="434"/>
  <c r="K383" i="434" a="1"/>
  <c r="K383" i="434" s="1"/>
  <c r="M383" i="434" s="1"/>
  <c r="J383" i="434" a="1"/>
  <c r="J383" i="434" s="1"/>
  <c r="H383" i="434"/>
  <c r="V382" i="434"/>
  <c r="W382" i="434" s="1"/>
  <c r="N382" i="434"/>
  <c r="K382" i="434" a="1"/>
  <c r="K382" i="434" s="1"/>
  <c r="M382" i="434" s="1"/>
  <c r="J382" i="434" a="1"/>
  <c r="J382" i="434" s="1"/>
  <c r="H382" i="434"/>
  <c r="V381" i="434"/>
  <c r="W381" i="434" s="1"/>
  <c r="N381" i="434"/>
  <c r="K381" i="434" a="1"/>
  <c r="K381" i="434" s="1"/>
  <c r="M381" i="434" s="1"/>
  <c r="J381" i="434" a="1"/>
  <c r="J381" i="434" s="1"/>
  <c r="H381" i="434"/>
  <c r="V380" i="434"/>
  <c r="W380" i="434" s="1"/>
  <c r="N380" i="434"/>
  <c r="K380" i="434" a="1"/>
  <c r="K380" i="434" s="1"/>
  <c r="M380" i="434" s="1"/>
  <c r="J380" i="434" a="1"/>
  <c r="J380" i="434" s="1"/>
  <c r="H380" i="434"/>
  <c r="V379" i="434"/>
  <c r="W379" i="434" s="1"/>
  <c r="N379" i="434"/>
  <c r="K379" i="434" a="1"/>
  <c r="K379" i="434" s="1"/>
  <c r="M379" i="434" s="1"/>
  <c r="J379" i="434" a="1"/>
  <c r="J379" i="434" s="1"/>
  <c r="H379" i="434"/>
  <c r="V375" i="434"/>
  <c r="W375" i="434" s="1"/>
  <c r="N375" i="434"/>
  <c r="K375" i="434" a="1"/>
  <c r="K375" i="434" s="1"/>
  <c r="M375" i="434" s="1"/>
  <c r="J375" i="434" a="1"/>
  <c r="J375" i="434" s="1"/>
  <c r="H375" i="434"/>
  <c r="V374" i="434"/>
  <c r="W374" i="434" s="1"/>
  <c r="N374" i="434"/>
  <c r="K374" i="434" a="1"/>
  <c r="K374" i="434" s="1"/>
  <c r="M374" i="434" s="1"/>
  <c r="J374" i="434" a="1"/>
  <c r="J374" i="434" s="1"/>
  <c r="H374" i="434"/>
  <c r="V373" i="434"/>
  <c r="W373" i="434" s="1"/>
  <c r="N373" i="434"/>
  <c r="K373" i="434" a="1"/>
  <c r="K373" i="434" s="1"/>
  <c r="M373" i="434" s="1"/>
  <c r="J373" i="434" a="1"/>
  <c r="J373" i="434" s="1"/>
  <c r="V371" i="434"/>
  <c r="W371" i="434" s="1"/>
  <c r="N371" i="434"/>
  <c r="K371" i="434" a="1"/>
  <c r="K371" i="434" s="1"/>
  <c r="M371" i="434" s="1"/>
  <c r="J371" i="434" a="1"/>
  <c r="J371" i="434" s="1"/>
  <c r="H371" i="434"/>
  <c r="AA370" i="434"/>
  <c r="AA507" i="434" s="1"/>
  <c r="Z370" i="434"/>
  <c r="Z507" i="434" s="1"/>
  <c r="Y370" i="434"/>
  <c r="Y507" i="434" s="1"/>
  <c r="X370" i="434"/>
  <c r="X507" i="434" s="1"/>
  <c r="U370" i="434"/>
  <c r="U507" i="434" s="1"/>
  <c r="T370" i="434"/>
  <c r="T507" i="434" s="1"/>
  <c r="S370" i="434"/>
  <c r="S507" i="434" s="1"/>
  <c r="R370" i="434"/>
  <c r="R507" i="434" s="1"/>
  <c r="Q370" i="434"/>
  <c r="Q507" i="434" s="1"/>
  <c r="P370" i="434"/>
  <c r="P507" i="434" s="1"/>
  <c r="O370" i="434"/>
  <c r="I370" i="434"/>
  <c r="I507" i="434" s="1"/>
  <c r="G370" i="434"/>
  <c r="G507" i="434" s="1"/>
  <c r="V369" i="434"/>
  <c r="W369" i="434" s="1"/>
  <c r="N369" i="434"/>
  <c r="K369" i="434" a="1"/>
  <c r="K369" i="434" s="1"/>
  <c r="M369" i="434" s="1"/>
  <c r="J369" i="434" a="1"/>
  <c r="J369" i="434" s="1"/>
  <c r="H369" i="434"/>
  <c r="V368" i="434"/>
  <c r="W368" i="434" s="1"/>
  <c r="N368" i="434"/>
  <c r="K368" i="434" a="1"/>
  <c r="K368" i="434" s="1"/>
  <c r="M368" i="434" s="1"/>
  <c r="J368" i="434" a="1"/>
  <c r="J368" i="434" s="1"/>
  <c r="H368" i="434"/>
  <c r="K367" i="434" a="1"/>
  <c r="K367" i="434" s="1"/>
  <c r="M367" i="434" s="1"/>
  <c r="H367" i="434"/>
  <c r="K366" i="434" a="1"/>
  <c r="K366" i="434" s="1"/>
  <c r="M366" i="434" s="1"/>
  <c r="H366" i="434"/>
  <c r="K365" i="434" a="1"/>
  <c r="K365" i="434" s="1"/>
  <c r="M365" i="434" s="1"/>
  <c r="H365" i="434"/>
  <c r="K364" i="434" a="1"/>
  <c r="K364" i="434" s="1"/>
  <c r="M364" i="434" s="1"/>
  <c r="H364" i="434"/>
  <c r="V363" i="434"/>
  <c r="W363" i="434" s="1"/>
  <c r="N363" i="434"/>
  <c r="K363" i="434" a="1"/>
  <c r="K363" i="434" s="1"/>
  <c r="M363" i="434" s="1"/>
  <c r="J363" i="434" a="1"/>
  <c r="J363" i="434" s="1"/>
  <c r="V362" i="434"/>
  <c r="W362" i="434" s="1"/>
  <c r="N362" i="434"/>
  <c r="K362" i="434" a="1"/>
  <c r="K362" i="434" s="1"/>
  <c r="M362" i="434" s="1"/>
  <c r="J362" i="434" a="1"/>
  <c r="J362" i="434" s="1"/>
  <c r="V361" i="434"/>
  <c r="W361" i="434" s="1"/>
  <c r="N361" i="434"/>
  <c r="K361" i="434" a="1"/>
  <c r="K361" i="434" s="1"/>
  <c r="M361" i="434" s="1"/>
  <c r="J361" i="434" a="1"/>
  <c r="J361" i="434" s="1"/>
  <c r="V358" i="434"/>
  <c r="W358" i="434" s="1"/>
  <c r="N358" i="434"/>
  <c r="K358" i="434" a="1"/>
  <c r="K358" i="434" s="1"/>
  <c r="M358" i="434" s="1"/>
  <c r="J358" i="434" a="1"/>
  <c r="J358" i="434" s="1"/>
  <c r="H358" i="434"/>
  <c r="V357" i="434"/>
  <c r="W357" i="434" s="1"/>
  <c r="N357" i="434"/>
  <c r="K357" i="434" a="1"/>
  <c r="K357" i="434" s="1"/>
  <c r="M357" i="434" s="1"/>
  <c r="J357" i="434" a="1"/>
  <c r="J357" i="434" s="1"/>
  <c r="H357" i="434"/>
  <c r="K356" i="434" a="1"/>
  <c r="K356" i="434" s="1"/>
  <c r="M356" i="434" s="1"/>
  <c r="H356" i="434"/>
  <c r="K355" i="434" a="1"/>
  <c r="K355" i="434" s="1"/>
  <c r="M355" i="434" s="1"/>
  <c r="H355" i="434"/>
  <c r="V354" i="434"/>
  <c r="W354" i="434" s="1"/>
  <c r="N354" i="434"/>
  <c r="K354" i="434" a="1"/>
  <c r="K354" i="434" s="1"/>
  <c r="M354" i="434" s="1"/>
  <c r="J354" i="434" a="1"/>
  <c r="J354" i="434" s="1"/>
  <c r="H354" i="434"/>
  <c r="V353" i="434"/>
  <c r="W353" i="434" s="1"/>
  <c r="N353" i="434"/>
  <c r="K353" i="434" a="1"/>
  <c r="K353" i="434" s="1"/>
  <c r="M353" i="434" s="1"/>
  <c r="J353" i="434" a="1"/>
  <c r="J353" i="434" s="1"/>
  <c r="H353" i="434"/>
  <c r="V352" i="434"/>
  <c r="W352" i="434" s="1"/>
  <c r="N352" i="434"/>
  <c r="K352" i="434" a="1"/>
  <c r="K352" i="434" s="1"/>
  <c r="M352" i="434" s="1"/>
  <c r="J352" i="434" a="1"/>
  <c r="J352" i="434" s="1"/>
  <c r="H352" i="434"/>
  <c r="V351" i="434"/>
  <c r="W351" i="434" s="1"/>
  <c r="N351" i="434"/>
  <c r="K351" i="434" a="1"/>
  <c r="K351" i="434" s="1"/>
  <c r="M351" i="434" s="1"/>
  <c r="J351" i="434" a="1"/>
  <c r="J351" i="434" s="1"/>
  <c r="H351" i="434"/>
  <c r="V350" i="434"/>
  <c r="W350" i="434" s="1"/>
  <c r="N350" i="434"/>
  <c r="K350" i="434" a="1"/>
  <c r="K350" i="434" s="1"/>
  <c r="M350" i="434" s="1"/>
  <c r="J350" i="434" a="1"/>
  <c r="J350" i="434" s="1"/>
  <c r="H350" i="434"/>
  <c r="V349" i="434"/>
  <c r="N349" i="434"/>
  <c r="K349" i="434" a="1"/>
  <c r="K349" i="434" s="1"/>
  <c r="M349" i="434" s="1"/>
  <c r="J349" i="434" a="1"/>
  <c r="J349" i="434" s="1"/>
  <c r="H349" i="434"/>
  <c r="G341" i="434"/>
  <c r="C341" i="434"/>
  <c r="I340" i="434"/>
  <c r="E340" i="434"/>
  <c r="I339" i="434"/>
  <c r="E339" i="434"/>
  <c r="I338" i="434"/>
  <c r="E338" i="434"/>
  <c r="I337" i="434"/>
  <c r="I341" i="434" s="1"/>
  <c r="E337" i="434"/>
  <c r="E341" i="434" s="1"/>
  <c r="AA334" i="434"/>
  <c r="Z334" i="434"/>
  <c r="Y334" i="434"/>
  <c r="X334" i="434"/>
  <c r="U334" i="434"/>
  <c r="T334" i="434"/>
  <c r="S334" i="434"/>
  <c r="R334" i="434"/>
  <c r="Q334" i="434"/>
  <c r="P334" i="434"/>
  <c r="O334" i="434"/>
  <c r="I334" i="434"/>
  <c r="G334" i="434"/>
  <c r="V330" i="434"/>
  <c r="W330" i="434" s="1"/>
  <c r="N330" i="434"/>
  <c r="H330" i="434"/>
  <c r="V326" i="434"/>
  <c r="W326" i="434" s="1"/>
  <c r="N326" i="434"/>
  <c r="K326" i="434" a="1"/>
  <c r="K326" i="434" s="1"/>
  <c r="M326" i="434" s="1"/>
  <c r="J326" i="434" a="1"/>
  <c r="J326" i="434" s="1"/>
  <c r="V325" i="434"/>
  <c r="W325" i="434" s="1"/>
  <c r="N325" i="434"/>
  <c r="K325" i="434" a="1"/>
  <c r="K325" i="434" s="1"/>
  <c r="M325" i="434" s="1"/>
  <c r="J325" i="434" a="1"/>
  <c r="J325" i="434" s="1"/>
  <c r="V323" i="434"/>
  <c r="W323" i="434" s="1"/>
  <c r="N323" i="434"/>
  <c r="K323" i="434" a="1"/>
  <c r="K323" i="434" s="1"/>
  <c r="M323" i="434" s="1"/>
  <c r="J323" i="434" a="1"/>
  <c r="J323" i="434" s="1"/>
  <c r="H323" i="434"/>
  <c r="V322" i="434"/>
  <c r="W322" i="434" s="1"/>
  <c r="N322" i="434"/>
  <c r="K322" i="434" a="1"/>
  <c r="K322" i="434" s="1"/>
  <c r="M322" i="434" s="1"/>
  <c r="J322" i="434" a="1"/>
  <c r="J322" i="434" s="1"/>
  <c r="H322" i="434"/>
  <c r="V321" i="434"/>
  <c r="W321" i="434" s="1"/>
  <c r="N321" i="434"/>
  <c r="K321" i="434" a="1"/>
  <c r="K321" i="434" s="1"/>
  <c r="M321" i="434" s="1"/>
  <c r="J321" i="434" a="1"/>
  <c r="J321" i="434" s="1"/>
  <c r="H321" i="434"/>
  <c r="V320" i="434"/>
  <c r="N320" i="434"/>
  <c r="K320" i="434" a="1"/>
  <c r="K320" i="434" s="1"/>
  <c r="J320" i="434" a="1"/>
  <c r="J320" i="434" s="1"/>
  <c r="H320" i="434"/>
  <c r="AA319" i="434"/>
  <c r="Z319" i="434"/>
  <c r="Y319" i="434"/>
  <c r="X319" i="434"/>
  <c r="U319" i="434"/>
  <c r="T319" i="434"/>
  <c r="S319" i="434"/>
  <c r="Q319" i="434"/>
  <c r="P319" i="434"/>
  <c r="O319" i="434"/>
  <c r="I319" i="434"/>
  <c r="G319" i="434"/>
  <c r="V318" i="434"/>
  <c r="W318" i="434" s="1"/>
  <c r="N318" i="434"/>
  <c r="K318" i="434" a="1"/>
  <c r="K318" i="434" s="1"/>
  <c r="M318" i="434" s="1"/>
  <c r="J318" i="434" a="1"/>
  <c r="J318" i="434" s="1"/>
  <c r="H318" i="434"/>
  <c r="V313" i="434"/>
  <c r="W313" i="434" s="1"/>
  <c r="N313" i="434"/>
  <c r="K313" i="434" a="1"/>
  <c r="K313" i="434" s="1"/>
  <c r="M313" i="434" s="1"/>
  <c r="J313" i="434" a="1"/>
  <c r="J313" i="434" s="1"/>
  <c r="H313" i="434"/>
  <c r="V312" i="434"/>
  <c r="W312" i="434" s="1"/>
  <c r="N312" i="434"/>
  <c r="K312" i="434" a="1"/>
  <c r="K312" i="434" s="1"/>
  <c r="M312" i="434" s="1"/>
  <c r="J312" i="434" a="1"/>
  <c r="J312" i="434" s="1"/>
  <c r="H312" i="434"/>
  <c r="V311" i="434"/>
  <c r="W311" i="434" s="1"/>
  <c r="N311" i="434"/>
  <c r="K311" i="434" a="1"/>
  <c r="K311" i="434" s="1"/>
  <c r="M311" i="434" s="1"/>
  <c r="J311" i="434" a="1"/>
  <c r="J311" i="434" s="1"/>
  <c r="H311" i="434"/>
  <c r="V310" i="434"/>
  <c r="W310" i="434" s="1"/>
  <c r="N310" i="434"/>
  <c r="K310" i="434" a="1"/>
  <c r="K310" i="434" s="1"/>
  <c r="M310" i="434" s="1"/>
  <c r="J310" i="434" a="1"/>
  <c r="J310" i="434" s="1"/>
  <c r="H310" i="434"/>
  <c r="V309" i="434"/>
  <c r="N309" i="434"/>
  <c r="K309" i="434" a="1"/>
  <c r="K309" i="434" s="1"/>
  <c r="J309" i="434" a="1"/>
  <c r="J309" i="434" s="1"/>
  <c r="H309" i="434"/>
  <c r="AA308" i="434"/>
  <c r="Z308" i="434"/>
  <c r="Y308" i="434"/>
  <c r="X308" i="434"/>
  <c r="U308" i="434"/>
  <c r="T308" i="434"/>
  <c r="S308" i="434"/>
  <c r="Q308" i="434"/>
  <c r="P308" i="434"/>
  <c r="O308" i="434"/>
  <c r="I308" i="434"/>
  <c r="G308" i="434"/>
  <c r="V307" i="434"/>
  <c r="W307" i="434" s="1"/>
  <c r="N307" i="434"/>
  <c r="K307" i="434" a="1"/>
  <c r="K307" i="434" s="1"/>
  <c r="M307" i="434" s="1"/>
  <c r="J307" i="434" a="1"/>
  <c r="J307" i="434" s="1"/>
  <c r="H307" i="434"/>
  <c r="V306" i="434"/>
  <c r="W306" i="434" s="1"/>
  <c r="N306" i="434"/>
  <c r="K306" i="434" a="1"/>
  <c r="K306" i="434" s="1"/>
  <c r="M306" i="434" s="1"/>
  <c r="J306" i="434" a="1"/>
  <c r="J306" i="434" s="1"/>
  <c r="H306" i="434"/>
  <c r="V305" i="434"/>
  <c r="W305" i="434" s="1"/>
  <c r="N305" i="434"/>
  <c r="K305" i="434" a="1"/>
  <c r="K305" i="434" s="1"/>
  <c r="M305" i="434" s="1"/>
  <c r="J305" i="434" a="1"/>
  <c r="J305" i="434" s="1"/>
  <c r="H305" i="434"/>
  <c r="V304" i="434"/>
  <c r="W304" i="434" s="1"/>
  <c r="N304" i="434"/>
  <c r="K304" i="434" a="1"/>
  <c r="K304" i="434" s="1"/>
  <c r="M304" i="434" s="1"/>
  <c r="J304" i="434" a="1"/>
  <c r="J304" i="434" s="1"/>
  <c r="H304" i="434"/>
  <c r="V303" i="434"/>
  <c r="W303" i="434" s="1"/>
  <c r="N303" i="434"/>
  <c r="K303" i="434" a="1"/>
  <c r="K303" i="434" s="1"/>
  <c r="M303" i="434" s="1"/>
  <c r="J303" i="434" a="1"/>
  <c r="J303" i="434" s="1"/>
  <c r="H303" i="434"/>
  <c r="V302" i="434"/>
  <c r="W302" i="434" s="1"/>
  <c r="N302" i="434"/>
  <c r="K302" i="434" a="1"/>
  <c r="K302" i="434" s="1"/>
  <c r="M302" i="434" s="1"/>
  <c r="J302" i="434" a="1"/>
  <c r="J302" i="434" s="1"/>
  <c r="H302" i="434"/>
  <c r="V301" i="434"/>
  <c r="W301" i="434" s="1"/>
  <c r="N301" i="434"/>
  <c r="K301" i="434" a="1"/>
  <c r="K301" i="434" s="1"/>
  <c r="M301" i="434" s="1"/>
  <c r="J301" i="434" a="1"/>
  <c r="J301" i="434" s="1"/>
  <c r="H301" i="434"/>
  <c r="V300" i="434"/>
  <c r="W300" i="434" s="1"/>
  <c r="N300" i="434"/>
  <c r="K300" i="434" a="1"/>
  <c r="K300" i="434" s="1"/>
  <c r="M300" i="434" s="1"/>
  <c r="J300" i="434" a="1"/>
  <c r="J300" i="434" s="1"/>
  <c r="H300" i="434"/>
  <c r="V299" i="434"/>
  <c r="W299" i="434" s="1"/>
  <c r="N299" i="434"/>
  <c r="K299" i="434" a="1"/>
  <c r="K299" i="434" s="1"/>
  <c r="M299" i="434" s="1"/>
  <c r="J299" i="434" a="1"/>
  <c r="J299" i="434" s="1"/>
  <c r="H299" i="434"/>
  <c r="V298" i="434"/>
  <c r="W298" i="434" s="1"/>
  <c r="N298" i="434"/>
  <c r="K298" i="434" a="1"/>
  <c r="K298" i="434" s="1"/>
  <c r="M298" i="434" s="1"/>
  <c r="J298" i="434" a="1"/>
  <c r="J298" i="434" s="1"/>
  <c r="H298" i="434"/>
  <c r="V297" i="434"/>
  <c r="W297" i="434" s="1"/>
  <c r="N297" i="434"/>
  <c r="K297" i="434" a="1"/>
  <c r="K297" i="434" s="1"/>
  <c r="M297" i="434" s="1"/>
  <c r="J297" i="434" a="1"/>
  <c r="J297" i="434" s="1"/>
  <c r="H297" i="434"/>
  <c r="V296" i="434"/>
  <c r="W296" i="434" s="1"/>
  <c r="N296" i="434"/>
  <c r="K296" i="434" a="1"/>
  <c r="K296" i="434" s="1"/>
  <c r="M296" i="434" s="1"/>
  <c r="J296" i="434" a="1"/>
  <c r="J296" i="434" s="1"/>
  <c r="H296" i="434"/>
  <c r="V295" i="434"/>
  <c r="W295" i="434" s="1"/>
  <c r="N295" i="434"/>
  <c r="K295" i="434" a="1"/>
  <c r="K295" i="434" s="1"/>
  <c r="M295" i="434" s="1"/>
  <c r="J295" i="434" a="1"/>
  <c r="J295" i="434" s="1"/>
  <c r="H295" i="434"/>
  <c r="V294" i="434"/>
  <c r="W294" i="434" s="1"/>
  <c r="N294" i="434"/>
  <c r="K294" i="434" a="1"/>
  <c r="K294" i="434" s="1"/>
  <c r="M294" i="434" s="1"/>
  <c r="J294" i="434" a="1"/>
  <c r="J294" i="434" s="1"/>
  <c r="H294" i="434"/>
  <c r="V293" i="434"/>
  <c r="N293" i="434"/>
  <c r="K293" i="434" a="1"/>
  <c r="K293" i="434" s="1"/>
  <c r="J293" i="434" a="1"/>
  <c r="J293" i="434" s="1"/>
  <c r="H293" i="434"/>
  <c r="AA292" i="434"/>
  <c r="Z292" i="434"/>
  <c r="Y292" i="434"/>
  <c r="X292" i="434"/>
  <c r="U292" i="434"/>
  <c r="T292" i="434"/>
  <c r="S292" i="434"/>
  <c r="R292" i="434"/>
  <c r="Q292" i="434"/>
  <c r="P292" i="434"/>
  <c r="O292" i="434"/>
  <c r="I292" i="434"/>
  <c r="G292" i="434"/>
  <c r="V291" i="434"/>
  <c r="W291" i="434" s="1"/>
  <c r="N291" i="434"/>
  <c r="K291" i="434" a="1"/>
  <c r="K291" i="434" s="1"/>
  <c r="M291" i="434" s="1"/>
  <c r="J291" i="434" a="1"/>
  <c r="J291" i="434" s="1"/>
  <c r="H291" i="434"/>
  <c r="V290" i="434"/>
  <c r="W290" i="434" s="1"/>
  <c r="N290" i="434"/>
  <c r="K290" i="434" a="1"/>
  <c r="K290" i="434" s="1"/>
  <c r="M290" i="434" s="1"/>
  <c r="J290" i="434" a="1"/>
  <c r="J290" i="434" s="1"/>
  <c r="H290" i="434"/>
  <c r="V289" i="434"/>
  <c r="W289" i="434" s="1"/>
  <c r="N289" i="434"/>
  <c r="K289" i="434" a="1"/>
  <c r="K289" i="434" s="1"/>
  <c r="M289" i="434" s="1"/>
  <c r="J289" i="434" a="1"/>
  <c r="J289" i="434" s="1"/>
  <c r="H289" i="434"/>
  <c r="V285" i="434"/>
  <c r="W285" i="434" s="1"/>
  <c r="N285" i="434"/>
  <c r="K285" i="434" a="1"/>
  <c r="K285" i="434" s="1"/>
  <c r="M285" i="434" s="1"/>
  <c r="J285" i="434" a="1"/>
  <c r="J285" i="434" s="1"/>
  <c r="H285" i="434"/>
  <c r="V284" i="434"/>
  <c r="W284" i="434" s="1"/>
  <c r="N284" i="434"/>
  <c r="K284" i="434" a="1"/>
  <c r="K284" i="434" s="1"/>
  <c r="M284" i="434" s="1"/>
  <c r="J284" i="434" a="1"/>
  <c r="J284" i="434" s="1"/>
  <c r="H284" i="434"/>
  <c r="N283" i="434"/>
  <c r="K283" i="434" a="1"/>
  <c r="K283" i="434" s="1"/>
  <c r="M283" i="434" s="1"/>
  <c r="H283" i="434"/>
  <c r="N282" i="434"/>
  <c r="K282" i="434" a="1"/>
  <c r="K282" i="434" s="1"/>
  <c r="M282" i="434" s="1"/>
  <c r="H282" i="434"/>
  <c r="N281" i="434"/>
  <c r="K281" i="434" a="1"/>
  <c r="K281" i="434" s="1"/>
  <c r="M281" i="434" s="1"/>
  <c r="H281" i="434"/>
  <c r="N280" i="434"/>
  <c r="K280" i="434" a="1"/>
  <c r="K280" i="434" s="1"/>
  <c r="M280" i="434" s="1"/>
  <c r="H280" i="434"/>
  <c r="N279" i="434"/>
  <c r="K279" i="434" a="1"/>
  <c r="K279" i="434" s="1"/>
  <c r="M279" i="434" s="1"/>
  <c r="H279" i="434"/>
  <c r="N278" i="434"/>
  <c r="K278" i="434" a="1"/>
  <c r="K278" i="434" s="1"/>
  <c r="M278" i="434" s="1"/>
  <c r="H278" i="434"/>
  <c r="V277" i="434"/>
  <c r="W277" i="434" s="1"/>
  <c r="N277" i="434"/>
  <c r="K277" i="434" a="1"/>
  <c r="K277" i="434" s="1"/>
  <c r="M277" i="434" s="1"/>
  <c r="J277" i="434" a="1"/>
  <c r="J277" i="434" s="1"/>
  <c r="H277" i="434"/>
  <c r="V276" i="434"/>
  <c r="W276" i="434" s="1"/>
  <c r="N276" i="434"/>
  <c r="K276" i="434" a="1"/>
  <c r="K276" i="434" s="1"/>
  <c r="M276" i="434" s="1"/>
  <c r="J276" i="434" a="1"/>
  <c r="J276" i="434" s="1"/>
  <c r="H276" i="434"/>
  <c r="V275" i="434"/>
  <c r="W275" i="434" s="1"/>
  <c r="N275" i="434"/>
  <c r="K275" i="434" a="1"/>
  <c r="K275" i="434" s="1"/>
  <c r="M275" i="434" s="1"/>
  <c r="J275" i="434" a="1"/>
  <c r="J275" i="434" s="1"/>
  <c r="H275" i="434"/>
  <c r="V274" i="434"/>
  <c r="W274" i="434" s="1"/>
  <c r="N274" i="434"/>
  <c r="K274" i="434" a="1"/>
  <c r="K274" i="434" s="1"/>
  <c r="M274" i="434" s="1"/>
  <c r="J274" i="434" a="1"/>
  <c r="J274" i="434" s="1"/>
  <c r="H274" i="434"/>
  <c r="V273" i="434"/>
  <c r="W273" i="434" s="1"/>
  <c r="N273" i="434"/>
  <c r="K273" i="434" a="1"/>
  <c r="K273" i="434" s="1"/>
  <c r="M273" i="434" s="1"/>
  <c r="J273" i="434" a="1"/>
  <c r="J273" i="434" s="1"/>
  <c r="H273" i="434"/>
  <c r="V272" i="434"/>
  <c r="W272" i="434" s="1"/>
  <c r="N272" i="434"/>
  <c r="K272" i="434" a="1"/>
  <c r="K272" i="434" s="1"/>
  <c r="M272" i="434" s="1"/>
  <c r="J272" i="434" a="1"/>
  <c r="J272" i="434" s="1"/>
  <c r="H272" i="434"/>
  <c r="V271" i="434"/>
  <c r="W271" i="434" s="1"/>
  <c r="N271" i="434"/>
  <c r="K271" i="434" a="1"/>
  <c r="K271" i="434" s="1"/>
  <c r="M271" i="434" s="1"/>
  <c r="J271" i="434" a="1"/>
  <c r="J271" i="434" s="1"/>
  <c r="H271" i="434"/>
  <c r="V270" i="434"/>
  <c r="W270" i="434" s="1"/>
  <c r="N270" i="434"/>
  <c r="K270" i="434" a="1"/>
  <c r="K270" i="434" s="1"/>
  <c r="M270" i="434" s="1"/>
  <c r="J270" i="434" a="1"/>
  <c r="J270" i="434" s="1"/>
  <c r="H270" i="434"/>
  <c r="V269" i="434"/>
  <c r="W269" i="434" s="1"/>
  <c r="N269" i="434"/>
  <c r="K269" i="434" a="1"/>
  <c r="K269" i="434" s="1"/>
  <c r="M269" i="434" s="1"/>
  <c r="J269" i="434" a="1"/>
  <c r="J269" i="434" s="1"/>
  <c r="H269" i="434"/>
  <c r="V268" i="434"/>
  <c r="W268" i="434" s="1"/>
  <c r="N268" i="434"/>
  <c r="K268" i="434" a="1"/>
  <c r="K268" i="434" s="1"/>
  <c r="M268" i="434" s="1"/>
  <c r="J268" i="434" a="1"/>
  <c r="J268" i="434" s="1"/>
  <c r="H268" i="434"/>
  <c r="V267" i="434"/>
  <c r="W267" i="434" s="1"/>
  <c r="N267" i="434"/>
  <c r="K267" i="434" a="1"/>
  <c r="K267" i="434" s="1"/>
  <c r="M267" i="434" s="1"/>
  <c r="J267" i="434" a="1"/>
  <c r="J267" i="434" s="1"/>
  <c r="H267" i="434"/>
  <c r="V266" i="434"/>
  <c r="W266" i="434" s="1"/>
  <c r="N266" i="434"/>
  <c r="K266" i="434" a="1"/>
  <c r="K266" i="434" s="1"/>
  <c r="M266" i="434" s="1"/>
  <c r="J266" i="434" a="1"/>
  <c r="J266" i="434" s="1"/>
  <c r="H266" i="434"/>
  <c r="N265" i="434"/>
  <c r="K265" i="434" a="1"/>
  <c r="K265" i="434" s="1"/>
  <c r="M265" i="434" s="1"/>
  <c r="H265" i="434"/>
  <c r="V264" i="434"/>
  <c r="W264" i="434" s="1"/>
  <c r="N264" i="434"/>
  <c r="K264" i="434" a="1"/>
  <c r="K264" i="434" s="1"/>
  <c r="M264" i="434" s="1"/>
  <c r="J264" i="434" a="1"/>
  <c r="J264" i="434" s="1"/>
  <c r="H264" i="434"/>
  <c r="V263" i="434"/>
  <c r="W263" i="434" s="1"/>
  <c r="N263" i="434"/>
  <c r="K263" i="434" a="1"/>
  <c r="K263" i="434" s="1"/>
  <c r="M263" i="434" s="1"/>
  <c r="J263" i="434" a="1"/>
  <c r="J263" i="434" s="1"/>
  <c r="H263" i="434"/>
  <c r="V262" i="434"/>
  <c r="W262" i="434" s="1"/>
  <c r="N262" i="434"/>
  <c r="K262" i="434" a="1"/>
  <c r="K262" i="434" s="1"/>
  <c r="M262" i="434" s="1"/>
  <c r="J262" i="434" a="1"/>
  <c r="J262" i="434" s="1"/>
  <c r="H262" i="434"/>
  <c r="V261" i="434"/>
  <c r="W261" i="434" s="1"/>
  <c r="N261" i="434"/>
  <c r="K261" i="434" a="1"/>
  <c r="K261" i="434" s="1"/>
  <c r="M261" i="434" s="1"/>
  <c r="J261" i="434" a="1"/>
  <c r="J261" i="434" s="1"/>
  <c r="H261" i="434"/>
  <c r="V260" i="434"/>
  <c r="W260" i="434" s="1"/>
  <c r="N260" i="434"/>
  <c r="K260" i="434" a="1"/>
  <c r="K260" i="434" s="1"/>
  <c r="M260" i="434" s="1"/>
  <c r="J260" i="434" a="1"/>
  <c r="J260" i="434" s="1"/>
  <c r="H260" i="434"/>
  <c r="V259" i="434"/>
  <c r="W259" i="434" s="1"/>
  <c r="N259" i="434"/>
  <c r="K259" i="434" a="1"/>
  <c r="K259" i="434" s="1"/>
  <c r="M259" i="434" s="1"/>
  <c r="J259" i="434" a="1"/>
  <c r="J259" i="434" s="1"/>
  <c r="H259" i="434"/>
  <c r="V258" i="434"/>
  <c r="N258" i="434"/>
  <c r="K258" i="434" a="1"/>
  <c r="K258" i="434" s="1"/>
  <c r="J258" i="434" a="1"/>
  <c r="J258" i="434" s="1"/>
  <c r="H258" i="434"/>
  <c r="AA257" i="434"/>
  <c r="Z257" i="434"/>
  <c r="Y257" i="434"/>
  <c r="X257" i="434"/>
  <c r="U257" i="434"/>
  <c r="T257" i="434"/>
  <c r="S257" i="434"/>
  <c r="R257" i="434"/>
  <c r="Q257" i="434"/>
  <c r="P257" i="434"/>
  <c r="O257" i="434"/>
  <c r="I257" i="434"/>
  <c r="G257" i="434"/>
  <c r="V246" i="434"/>
  <c r="W246" i="434" s="1"/>
  <c r="N246" i="434"/>
  <c r="K246" i="434" a="1"/>
  <c r="K246" i="434" s="1"/>
  <c r="M246" i="434" s="1"/>
  <c r="J246" i="434" a="1"/>
  <c r="J246" i="434" s="1"/>
  <c r="V245" i="434"/>
  <c r="W245" i="434" s="1"/>
  <c r="N245" i="434"/>
  <c r="K245" i="434" a="1"/>
  <c r="K245" i="434" s="1"/>
  <c r="M245" i="434" s="1"/>
  <c r="J245" i="434" a="1"/>
  <c r="J245" i="434" s="1"/>
  <c r="V244" i="434"/>
  <c r="W244" i="434" s="1"/>
  <c r="N244" i="434"/>
  <c r="K244" i="434" a="1"/>
  <c r="K244" i="434" s="1"/>
  <c r="M244" i="434" s="1"/>
  <c r="J244" i="434" a="1"/>
  <c r="J244" i="434" s="1"/>
  <c r="V243" i="434"/>
  <c r="W243" i="434" s="1"/>
  <c r="N243" i="434"/>
  <c r="K243" i="434" a="1"/>
  <c r="K243" i="434" s="1"/>
  <c r="M243" i="434" s="1"/>
  <c r="J243" i="434" a="1"/>
  <c r="J243" i="434" s="1"/>
  <c r="V241" i="434"/>
  <c r="W241" i="434" s="1"/>
  <c r="N241" i="434"/>
  <c r="K241" i="434" a="1"/>
  <c r="K241" i="434" s="1"/>
  <c r="M241" i="434" s="1"/>
  <c r="J241" i="434" a="1"/>
  <c r="J241" i="434" s="1"/>
  <c r="V240" i="434"/>
  <c r="W240" i="434" s="1"/>
  <c r="N240" i="434"/>
  <c r="J240" i="434" a="1"/>
  <c r="J240" i="434" s="1"/>
  <c r="H239" i="434"/>
  <c r="V237" i="434"/>
  <c r="W237" i="434" s="1"/>
  <c r="N237" i="434"/>
  <c r="K237" i="434" a="1"/>
  <c r="K237" i="434" s="1"/>
  <c r="M237" i="434" s="1"/>
  <c r="J237" i="434" a="1"/>
  <c r="J237" i="434" s="1"/>
  <c r="H237" i="434"/>
  <c r="V236" i="434"/>
  <c r="W236" i="434" s="1"/>
  <c r="N236" i="434"/>
  <c r="K236" i="434" a="1"/>
  <c r="K236" i="434" s="1"/>
  <c r="M236" i="434" s="1"/>
  <c r="J236" i="434" a="1"/>
  <c r="J236" i="434" s="1"/>
  <c r="H236" i="434"/>
  <c r="V235" i="434"/>
  <c r="W235" i="434" s="1"/>
  <c r="N235" i="434"/>
  <c r="K235" i="434" a="1"/>
  <c r="K235" i="434" s="1"/>
  <c r="M235" i="434" s="1"/>
  <c r="J235" i="434" a="1"/>
  <c r="J235" i="434" s="1"/>
  <c r="H235" i="434"/>
  <c r="V234" i="434"/>
  <c r="W234" i="434" s="1"/>
  <c r="N234" i="434"/>
  <c r="K234" i="434" a="1"/>
  <c r="K234" i="434" s="1"/>
  <c r="M234" i="434" s="1"/>
  <c r="J234" i="434" a="1"/>
  <c r="J234" i="434" s="1"/>
  <c r="H234" i="434"/>
  <c r="V233" i="434"/>
  <c r="W233" i="434" s="1"/>
  <c r="N233" i="434"/>
  <c r="K233" i="434" a="1"/>
  <c r="K233" i="434" s="1"/>
  <c r="M233" i="434" s="1"/>
  <c r="J233" i="434" a="1"/>
  <c r="J233" i="434" s="1"/>
  <c r="H233" i="434"/>
  <c r="V232" i="434"/>
  <c r="W232" i="434" s="1"/>
  <c r="N232" i="434"/>
  <c r="K232" i="434" a="1"/>
  <c r="K232" i="434" s="1"/>
  <c r="M232" i="434" s="1"/>
  <c r="J232" i="434" a="1"/>
  <c r="J232" i="434" s="1"/>
  <c r="H232" i="434"/>
  <c r="V231" i="434"/>
  <c r="W231" i="434" s="1"/>
  <c r="N231" i="434"/>
  <c r="K231" i="434" a="1"/>
  <c r="K231" i="434" s="1"/>
  <c r="M231" i="434" s="1"/>
  <c r="J231" i="434" a="1"/>
  <c r="J231" i="434" s="1"/>
  <c r="H231" i="434"/>
  <c r="V230" i="434"/>
  <c r="W230" i="434" s="1"/>
  <c r="N230" i="434"/>
  <c r="K230" i="434" a="1"/>
  <c r="K230" i="434" s="1"/>
  <c r="M230" i="434" s="1"/>
  <c r="J230" i="434" a="1"/>
  <c r="J230" i="434" s="1"/>
  <c r="H230" i="434"/>
  <c r="V229" i="434"/>
  <c r="W229" i="434" s="1"/>
  <c r="N229" i="434"/>
  <c r="K229" i="434" a="1"/>
  <c r="K229" i="434" s="1"/>
  <c r="M229" i="434" s="1"/>
  <c r="J229" i="434" a="1"/>
  <c r="J229" i="434" s="1"/>
  <c r="V228" i="434"/>
  <c r="W228" i="434" s="1"/>
  <c r="K228" i="434" a="1"/>
  <c r="K228" i="434" s="1"/>
  <c r="M228" i="434" s="1"/>
  <c r="J228" i="434" a="1"/>
  <c r="J228" i="434" s="1"/>
  <c r="N223" i="434"/>
  <c r="K223" i="434" a="1"/>
  <c r="K223" i="434" s="1"/>
  <c r="M223" i="434" s="1"/>
  <c r="H223" i="434"/>
  <c r="N222" i="434"/>
  <c r="K222" i="434" a="1"/>
  <c r="K222" i="434" s="1"/>
  <c r="M222" i="434" s="1"/>
  <c r="H222" i="434"/>
  <c r="N221" i="434"/>
  <c r="K221" i="434" a="1"/>
  <c r="K221" i="434" s="1"/>
  <c r="M221" i="434" s="1"/>
  <c r="H221" i="434"/>
  <c r="N220" i="434"/>
  <c r="K220" i="434" a="1"/>
  <c r="K220" i="434" s="1"/>
  <c r="M220" i="434" s="1"/>
  <c r="H220" i="434"/>
  <c r="V219" i="434"/>
  <c r="W219" i="434" s="1"/>
  <c r="N219" i="434"/>
  <c r="K219" i="434" a="1"/>
  <c r="K219" i="434" s="1"/>
  <c r="M219" i="434" s="1"/>
  <c r="J219" i="434" a="1"/>
  <c r="J219" i="434" s="1"/>
  <c r="H219" i="434"/>
  <c r="V218" i="434"/>
  <c r="W218" i="434" s="1"/>
  <c r="N218" i="434"/>
  <c r="K218" i="434" a="1"/>
  <c r="K218" i="434" s="1"/>
  <c r="M218" i="434" s="1"/>
  <c r="J218" i="434" a="1"/>
  <c r="J218" i="434" s="1"/>
  <c r="H218" i="434"/>
  <c r="V217" i="434"/>
  <c r="W217" i="434" s="1"/>
  <c r="N217" i="434"/>
  <c r="K217" i="434" a="1"/>
  <c r="K217" i="434" s="1"/>
  <c r="M217" i="434" s="1"/>
  <c r="J217" i="434" a="1"/>
  <c r="J217" i="434" s="1"/>
  <c r="H217" i="434"/>
  <c r="V216" i="434"/>
  <c r="W216" i="434" s="1"/>
  <c r="N216" i="434"/>
  <c r="K216" i="434" a="1"/>
  <c r="K216" i="434" s="1"/>
  <c r="M216" i="434" s="1"/>
  <c r="J216" i="434" a="1"/>
  <c r="J216" i="434" s="1"/>
  <c r="H216" i="434"/>
  <c r="V215" i="434"/>
  <c r="W215" i="434" s="1"/>
  <c r="N215" i="434"/>
  <c r="K215" i="434" a="1"/>
  <c r="K215" i="434" s="1"/>
  <c r="M215" i="434" s="1"/>
  <c r="J215" i="434" a="1"/>
  <c r="J215" i="434" s="1"/>
  <c r="H215" i="434"/>
  <c r="V214" i="434"/>
  <c r="W214" i="434" s="1"/>
  <c r="N214" i="434"/>
  <c r="K214" i="434" a="1"/>
  <c r="K214" i="434" s="1"/>
  <c r="M214" i="434" s="1"/>
  <c r="J214" i="434" a="1"/>
  <c r="J214" i="434" s="1"/>
  <c r="H214" i="434"/>
  <c r="V213" i="434"/>
  <c r="W213" i="434" s="1"/>
  <c r="N213" i="434"/>
  <c r="K213" i="434" a="1"/>
  <c r="K213" i="434" s="1"/>
  <c r="M213" i="434" s="1"/>
  <c r="J213" i="434" a="1"/>
  <c r="J213" i="434" s="1"/>
  <c r="H213" i="434"/>
  <c r="V212" i="434"/>
  <c r="W212" i="434" s="1"/>
  <c r="N212" i="434"/>
  <c r="K212" i="434" a="1"/>
  <c r="K212" i="434" s="1"/>
  <c r="M212" i="434" s="1"/>
  <c r="J212" i="434" a="1"/>
  <c r="J212" i="434" s="1"/>
  <c r="H212" i="434"/>
  <c r="V211" i="434"/>
  <c r="W211" i="434" s="1"/>
  <c r="N211" i="434"/>
  <c r="K211" i="434" a="1"/>
  <c r="K211" i="434" s="1"/>
  <c r="M211" i="434" s="1"/>
  <c r="J211" i="434" a="1"/>
  <c r="J211" i="434" s="1"/>
  <c r="H211" i="434"/>
  <c r="V210" i="434"/>
  <c r="W210" i="434" s="1"/>
  <c r="N210" i="434"/>
  <c r="K210" i="434" a="1"/>
  <c r="K210" i="434" s="1"/>
  <c r="M210" i="434" s="1"/>
  <c r="J210" i="434" a="1"/>
  <c r="J210" i="434" s="1"/>
  <c r="V209" i="434"/>
  <c r="W209" i="434" s="1"/>
  <c r="N209" i="434"/>
  <c r="K209" i="434" a="1"/>
  <c r="K209" i="434" s="1"/>
  <c r="M209" i="434" s="1"/>
  <c r="J209" i="434" a="1"/>
  <c r="J209" i="434" s="1"/>
  <c r="V208" i="434"/>
  <c r="W208" i="434" s="1"/>
  <c r="N208" i="434"/>
  <c r="K208" i="434" a="1"/>
  <c r="K208" i="434" s="1"/>
  <c r="M208" i="434" s="1"/>
  <c r="J208" i="434" a="1"/>
  <c r="J208" i="434" s="1"/>
  <c r="V204" i="434"/>
  <c r="W204" i="434" s="1"/>
  <c r="N204" i="434"/>
  <c r="K204" i="434" a="1"/>
  <c r="K204" i="434" s="1"/>
  <c r="M204" i="434" s="1"/>
  <c r="J204" i="434" a="1"/>
  <c r="J204" i="434" s="1"/>
  <c r="V203" i="434"/>
  <c r="W203" i="434" s="1"/>
  <c r="N203" i="434"/>
  <c r="K203" i="434" a="1"/>
  <c r="K203" i="434" s="1"/>
  <c r="M203" i="434" s="1"/>
  <c r="J203" i="434" a="1"/>
  <c r="J203" i="434" s="1"/>
  <c r="H203" i="434"/>
  <c r="V202" i="434"/>
  <c r="W202" i="434" s="1"/>
  <c r="N202" i="434"/>
  <c r="K202" i="434" a="1"/>
  <c r="K202" i="434" s="1"/>
  <c r="M202" i="434" s="1"/>
  <c r="J202" i="434" a="1"/>
  <c r="J202" i="434" s="1"/>
  <c r="H202" i="434"/>
  <c r="V200" i="434"/>
  <c r="W200" i="434" s="1"/>
  <c r="N200" i="434"/>
  <c r="K200" i="434" a="1"/>
  <c r="K200" i="434" s="1"/>
  <c r="M200" i="434" s="1"/>
  <c r="J200" i="434" a="1"/>
  <c r="J200" i="434" s="1"/>
  <c r="H200" i="434"/>
  <c r="AA199" i="434"/>
  <c r="AA335" i="434" s="1"/>
  <c r="Z199" i="434"/>
  <c r="Z335" i="434" s="1"/>
  <c r="Y199" i="434"/>
  <c r="Y335" i="434" s="1"/>
  <c r="X199" i="434"/>
  <c r="X335" i="434" s="1"/>
  <c r="U199" i="434"/>
  <c r="U335" i="434" s="1"/>
  <c r="T199" i="434"/>
  <c r="T335" i="434" s="1"/>
  <c r="S199" i="434"/>
  <c r="S335" i="434" s="1"/>
  <c r="R199" i="434"/>
  <c r="R335" i="434" s="1"/>
  <c r="Q199" i="434"/>
  <c r="Q335" i="434" s="1"/>
  <c r="P199" i="434"/>
  <c r="O199" i="434"/>
  <c r="O335" i="434" s="1"/>
  <c r="I199" i="434"/>
  <c r="I335" i="434" s="1"/>
  <c r="G199" i="434"/>
  <c r="G335" i="434" s="1"/>
  <c r="V198" i="434"/>
  <c r="W198" i="434" s="1"/>
  <c r="N198" i="434"/>
  <c r="K198" i="434" a="1"/>
  <c r="K198" i="434" s="1"/>
  <c r="M198" i="434" s="1"/>
  <c r="J198" i="434" a="1"/>
  <c r="J198" i="434" s="1"/>
  <c r="H198" i="434"/>
  <c r="V197" i="434"/>
  <c r="W197" i="434" s="1"/>
  <c r="N197" i="434"/>
  <c r="K197" i="434" a="1"/>
  <c r="K197" i="434" s="1"/>
  <c r="M197" i="434" s="1"/>
  <c r="J197" i="434" a="1"/>
  <c r="J197" i="434" s="1"/>
  <c r="H197" i="434"/>
  <c r="K196" i="434" a="1"/>
  <c r="K196" i="434" s="1"/>
  <c r="M196" i="434" s="1"/>
  <c r="H196" i="434"/>
  <c r="K195" i="434" a="1"/>
  <c r="K195" i="434" s="1"/>
  <c r="M195" i="434" s="1"/>
  <c r="H195" i="434"/>
  <c r="K194" i="434" a="1"/>
  <c r="K194" i="434" s="1"/>
  <c r="M194" i="434" s="1"/>
  <c r="H194" i="434"/>
  <c r="K193" i="434" a="1"/>
  <c r="K193" i="434" s="1"/>
  <c r="M193" i="434" s="1"/>
  <c r="H193" i="434"/>
  <c r="V192" i="434"/>
  <c r="W192" i="434" s="1"/>
  <c r="N192" i="434"/>
  <c r="K192" i="434" a="1"/>
  <c r="K192" i="434" s="1"/>
  <c r="M192" i="434" s="1"/>
  <c r="J192" i="434" a="1"/>
  <c r="J192" i="434" s="1"/>
  <c r="H192" i="434"/>
  <c r="V191" i="434"/>
  <c r="W191" i="434" s="1"/>
  <c r="N191" i="434"/>
  <c r="K191" i="434" a="1"/>
  <c r="K191" i="434" s="1"/>
  <c r="M191" i="434" s="1"/>
  <c r="J191" i="434" a="1"/>
  <c r="J191" i="434" s="1"/>
  <c r="H191" i="434"/>
  <c r="V190" i="434"/>
  <c r="W190" i="434" s="1"/>
  <c r="N190" i="434"/>
  <c r="K190" i="434" a="1"/>
  <c r="K190" i="434" s="1"/>
  <c r="M190" i="434" s="1"/>
  <c r="J190" i="434" a="1"/>
  <c r="J190" i="434" s="1"/>
  <c r="H190" i="434"/>
  <c r="N189" i="434"/>
  <c r="K189" i="434" a="1"/>
  <c r="K189" i="434" s="1"/>
  <c r="M189" i="434" s="1"/>
  <c r="J189" i="434" a="1"/>
  <c r="J189" i="434" s="1"/>
  <c r="H189" i="434"/>
  <c r="N188" i="434"/>
  <c r="K188" i="434" a="1"/>
  <c r="K188" i="434" s="1"/>
  <c r="M188" i="434" s="1"/>
  <c r="J188" i="434" a="1"/>
  <c r="J188" i="434" s="1"/>
  <c r="H188" i="434"/>
  <c r="V187" i="434"/>
  <c r="W187" i="434" s="1"/>
  <c r="N187" i="434"/>
  <c r="K187" i="434" a="1"/>
  <c r="K187" i="434" s="1"/>
  <c r="M187" i="434" s="1"/>
  <c r="J187" i="434" a="1"/>
  <c r="J187" i="434" s="1"/>
  <c r="H187" i="434"/>
  <c r="V186" i="434"/>
  <c r="W186" i="434" s="1"/>
  <c r="N186" i="434"/>
  <c r="K186" i="434" a="1"/>
  <c r="K186" i="434" s="1"/>
  <c r="M186" i="434" s="1"/>
  <c r="J186" i="434" a="1"/>
  <c r="J186" i="434" s="1"/>
  <c r="H186" i="434"/>
  <c r="N185" i="434"/>
  <c r="K185" i="434" a="1"/>
  <c r="K185" i="434" s="1"/>
  <c r="M185" i="434" s="1"/>
  <c r="H185" i="434"/>
  <c r="N184" i="434"/>
  <c r="K184" i="434" a="1"/>
  <c r="K184" i="434" s="1"/>
  <c r="M184" i="434" s="1"/>
  <c r="H184" i="434"/>
  <c r="V183" i="434"/>
  <c r="W183" i="434" s="1"/>
  <c r="N183" i="434"/>
  <c r="K183" i="434" a="1"/>
  <c r="K183" i="434" s="1"/>
  <c r="M183" i="434" s="1"/>
  <c r="J183" i="434" a="1"/>
  <c r="J183" i="434" s="1"/>
  <c r="H183" i="434"/>
  <c r="V182" i="434"/>
  <c r="W182" i="434" s="1"/>
  <c r="N182" i="434"/>
  <c r="K182" i="434" a="1"/>
  <c r="K182" i="434" s="1"/>
  <c r="M182" i="434" s="1"/>
  <c r="J182" i="434" a="1"/>
  <c r="J182" i="434" s="1"/>
  <c r="H182" i="434"/>
  <c r="V181" i="434"/>
  <c r="W181" i="434" s="1"/>
  <c r="N181" i="434"/>
  <c r="K181" i="434" a="1"/>
  <c r="K181" i="434" s="1"/>
  <c r="M181" i="434" s="1"/>
  <c r="J181" i="434" a="1"/>
  <c r="J181" i="434" s="1"/>
  <c r="H181" i="434"/>
  <c r="V180" i="434"/>
  <c r="W180" i="434" s="1"/>
  <c r="N180" i="434"/>
  <c r="K180" i="434" a="1"/>
  <c r="K180" i="434" s="1"/>
  <c r="M180" i="434" s="1"/>
  <c r="J180" i="434" a="1"/>
  <c r="J180" i="434" s="1"/>
  <c r="H180" i="434"/>
  <c r="V179" i="434"/>
  <c r="W179" i="434" s="1"/>
  <c r="N179" i="434"/>
  <c r="K179" i="434" a="1"/>
  <c r="K179" i="434" s="1"/>
  <c r="M179" i="434" s="1"/>
  <c r="J179" i="434" a="1"/>
  <c r="J179" i="434" s="1"/>
  <c r="H179" i="434"/>
  <c r="V178" i="434"/>
  <c r="W178" i="434" s="1"/>
  <c r="N178" i="434"/>
  <c r="K178" i="434" a="1"/>
  <c r="K178" i="434" s="1"/>
  <c r="M178" i="434" s="1"/>
  <c r="J178" i="434" a="1"/>
  <c r="J178" i="434" s="1"/>
  <c r="H178" i="434"/>
  <c r="G170" i="434"/>
  <c r="C170" i="434"/>
  <c r="I169" i="434"/>
  <c r="E169" i="434"/>
  <c r="I168" i="434"/>
  <c r="E168" i="434"/>
  <c r="I167" i="434"/>
  <c r="E167" i="434"/>
  <c r="I166" i="434"/>
  <c r="I170" i="434" s="1"/>
  <c r="E166" i="434"/>
  <c r="E170" i="434" s="1"/>
  <c r="AA163" i="434"/>
  <c r="Z163" i="434"/>
  <c r="Y163" i="434"/>
  <c r="X163" i="434"/>
  <c r="U163" i="434"/>
  <c r="T163" i="434"/>
  <c r="S163" i="434"/>
  <c r="R163" i="434"/>
  <c r="Q163" i="434"/>
  <c r="P163" i="434"/>
  <c r="O163" i="434"/>
  <c r="I163" i="434"/>
  <c r="G163" i="434"/>
  <c r="V159" i="434"/>
  <c r="W159" i="434" s="1"/>
  <c r="N159" i="434"/>
  <c r="K159" i="434" a="1"/>
  <c r="K159" i="434" s="1"/>
  <c r="J159" i="434" a="1"/>
  <c r="J159" i="434" s="1"/>
  <c r="D159" i="434"/>
  <c r="V158" i="434"/>
  <c r="W158" i="434" s="1"/>
  <c r="N158" i="434"/>
  <c r="K158" i="434" a="1"/>
  <c r="K158" i="434" s="1"/>
  <c r="M158" i="434" s="1"/>
  <c r="J158" i="434" a="1"/>
  <c r="J158" i="434" s="1"/>
  <c r="V155" i="434"/>
  <c r="W155" i="434" s="1"/>
  <c r="N155" i="434"/>
  <c r="K155" i="434" a="1"/>
  <c r="K155" i="434" s="1"/>
  <c r="M155" i="434" s="1"/>
  <c r="J155" i="434" a="1"/>
  <c r="J155" i="434" s="1"/>
  <c r="V154" i="434"/>
  <c r="W154" i="434" s="1"/>
  <c r="N154" i="434"/>
  <c r="K154" i="434" a="1"/>
  <c r="K154" i="434" s="1"/>
  <c r="M154" i="434" s="1"/>
  <c r="J154" i="434" a="1"/>
  <c r="J154" i="434" s="1"/>
  <c r="V152" i="434"/>
  <c r="W152" i="434" s="1"/>
  <c r="N152" i="434"/>
  <c r="K152" i="434" a="1"/>
  <c r="K152" i="434" s="1"/>
  <c r="M152" i="434" s="1"/>
  <c r="J152" i="434" a="1"/>
  <c r="J152" i="434" s="1"/>
  <c r="V151" i="434"/>
  <c r="W151" i="434" s="1"/>
  <c r="N151" i="434"/>
  <c r="K151" i="434" a="1"/>
  <c r="K151" i="434" s="1"/>
  <c r="M151" i="434" s="1"/>
  <c r="J151" i="434" a="1"/>
  <c r="J151" i="434" s="1"/>
  <c r="H151" i="434"/>
  <c r="V150" i="434"/>
  <c r="W150" i="434" s="1"/>
  <c r="N150" i="434"/>
  <c r="K150" i="434" a="1"/>
  <c r="K150" i="434" s="1"/>
  <c r="M150" i="434" s="1"/>
  <c r="J150" i="434" a="1"/>
  <c r="J150" i="434" s="1"/>
  <c r="H150" i="434"/>
  <c r="V149" i="434"/>
  <c r="W149" i="434" s="1"/>
  <c r="N149" i="434"/>
  <c r="K149" i="434" a="1"/>
  <c r="K149" i="434" s="1"/>
  <c r="J149" i="434" a="1"/>
  <c r="J149" i="434" s="1"/>
  <c r="H149" i="434"/>
  <c r="AA148" i="434"/>
  <c r="Z148" i="434"/>
  <c r="Y148" i="434"/>
  <c r="X148" i="434"/>
  <c r="U148" i="434"/>
  <c r="T148" i="434"/>
  <c r="S148" i="434"/>
  <c r="Q148" i="434"/>
  <c r="P148" i="434"/>
  <c r="O148" i="434"/>
  <c r="I148" i="434"/>
  <c r="G148" i="434"/>
  <c r="C528" i="434" s="1"/>
  <c r="V147" i="434"/>
  <c r="W147" i="434" s="1"/>
  <c r="N147" i="434"/>
  <c r="K147" i="434" a="1"/>
  <c r="K147" i="434" s="1"/>
  <c r="M147" i="434" s="1"/>
  <c r="J147" i="434" a="1"/>
  <c r="J147" i="434" s="1"/>
  <c r="H147" i="434"/>
  <c r="V142" i="434"/>
  <c r="W142" i="434" s="1"/>
  <c r="N142" i="434"/>
  <c r="K142" i="434" a="1"/>
  <c r="K142" i="434" s="1"/>
  <c r="M142" i="434" s="1"/>
  <c r="J142" i="434" a="1"/>
  <c r="J142" i="434" s="1"/>
  <c r="H142" i="434"/>
  <c r="V141" i="434"/>
  <c r="W141" i="434" s="1"/>
  <c r="N141" i="434"/>
  <c r="K141" i="434" a="1"/>
  <c r="K141" i="434" s="1"/>
  <c r="M141" i="434" s="1"/>
  <c r="J141" i="434" a="1"/>
  <c r="J141" i="434" s="1"/>
  <c r="H141" i="434"/>
  <c r="V140" i="434"/>
  <c r="W140" i="434" s="1"/>
  <c r="N140" i="434"/>
  <c r="K140" i="434" a="1"/>
  <c r="K140" i="434" s="1"/>
  <c r="M140" i="434" s="1"/>
  <c r="J140" i="434" a="1"/>
  <c r="J140" i="434" s="1"/>
  <c r="H140" i="434"/>
  <c r="V139" i="434"/>
  <c r="W139" i="434" s="1"/>
  <c r="N139" i="434"/>
  <c r="K139" i="434" a="1"/>
  <c r="K139" i="434" s="1"/>
  <c r="M139" i="434" s="1"/>
  <c r="J139" i="434" a="1"/>
  <c r="J139" i="434" s="1"/>
  <c r="H139" i="434"/>
  <c r="V138" i="434"/>
  <c r="N138" i="434"/>
  <c r="K138" i="434" a="1"/>
  <c r="K138" i="434" s="1"/>
  <c r="J138" i="434" a="1"/>
  <c r="J138" i="434" s="1"/>
  <c r="H138" i="434"/>
  <c r="AA137" i="434"/>
  <c r="Z137" i="434"/>
  <c r="Y137" i="434"/>
  <c r="X137" i="434"/>
  <c r="U137" i="434"/>
  <c r="T137" i="434"/>
  <c r="S137" i="434"/>
  <c r="Q137" i="434"/>
  <c r="P137" i="434"/>
  <c r="O137" i="434"/>
  <c r="I137" i="434"/>
  <c r="G137" i="434"/>
  <c r="V136" i="434"/>
  <c r="W136" i="434" s="1"/>
  <c r="N136" i="434"/>
  <c r="K136" i="434" a="1"/>
  <c r="K136" i="434" s="1"/>
  <c r="M136" i="434" s="1"/>
  <c r="J136" i="434" a="1"/>
  <c r="J136" i="434" s="1"/>
  <c r="H136" i="434"/>
  <c r="V135" i="434"/>
  <c r="W135" i="434" s="1"/>
  <c r="N135" i="434"/>
  <c r="K135" i="434" a="1"/>
  <c r="K135" i="434" s="1"/>
  <c r="M135" i="434" s="1"/>
  <c r="J135" i="434" a="1"/>
  <c r="J135" i="434" s="1"/>
  <c r="H135" i="434"/>
  <c r="V134" i="434"/>
  <c r="W134" i="434" s="1"/>
  <c r="N134" i="434"/>
  <c r="K134" i="434" a="1"/>
  <c r="K134" i="434" s="1"/>
  <c r="M134" i="434" s="1"/>
  <c r="J134" i="434" a="1"/>
  <c r="J134" i="434" s="1"/>
  <c r="H134" i="434"/>
  <c r="V133" i="434"/>
  <c r="W133" i="434" s="1"/>
  <c r="N133" i="434"/>
  <c r="K133" i="434" a="1"/>
  <c r="K133" i="434" s="1"/>
  <c r="M133" i="434" s="1"/>
  <c r="J133" i="434" a="1"/>
  <c r="J133" i="434" s="1"/>
  <c r="H133" i="434"/>
  <c r="V132" i="434"/>
  <c r="W132" i="434" s="1"/>
  <c r="N132" i="434"/>
  <c r="K132" i="434" a="1"/>
  <c r="K132" i="434" s="1"/>
  <c r="M132" i="434" s="1"/>
  <c r="J132" i="434" a="1"/>
  <c r="J132" i="434" s="1"/>
  <c r="H132" i="434"/>
  <c r="V131" i="434"/>
  <c r="W131" i="434" s="1"/>
  <c r="N131" i="434"/>
  <c r="K131" i="434" a="1"/>
  <c r="K131" i="434" s="1"/>
  <c r="M131" i="434" s="1"/>
  <c r="J131" i="434" a="1"/>
  <c r="J131" i="434" s="1"/>
  <c r="H131" i="434"/>
  <c r="V130" i="434"/>
  <c r="W130" i="434" s="1"/>
  <c r="N130" i="434"/>
  <c r="K130" i="434" a="1"/>
  <c r="K130" i="434" s="1"/>
  <c r="M130" i="434" s="1"/>
  <c r="J130" i="434" a="1"/>
  <c r="J130" i="434" s="1"/>
  <c r="H130" i="434"/>
  <c r="V129" i="434"/>
  <c r="W129" i="434" s="1"/>
  <c r="N129" i="434"/>
  <c r="K129" i="434" a="1"/>
  <c r="K129" i="434" s="1"/>
  <c r="M129" i="434" s="1"/>
  <c r="J129" i="434" a="1"/>
  <c r="J129" i="434" s="1"/>
  <c r="H129" i="434"/>
  <c r="V128" i="434"/>
  <c r="W128" i="434" s="1"/>
  <c r="N128" i="434"/>
  <c r="K128" i="434" a="1"/>
  <c r="K128" i="434" s="1"/>
  <c r="M128" i="434" s="1"/>
  <c r="J128" i="434" a="1"/>
  <c r="J128" i="434" s="1"/>
  <c r="H128" i="434"/>
  <c r="V127" i="434"/>
  <c r="W127" i="434" s="1"/>
  <c r="N127" i="434"/>
  <c r="K127" i="434" a="1"/>
  <c r="K127" i="434" s="1"/>
  <c r="M127" i="434" s="1"/>
  <c r="J127" i="434" a="1"/>
  <c r="J127" i="434" s="1"/>
  <c r="H127" i="434"/>
  <c r="V126" i="434"/>
  <c r="W126" i="434" s="1"/>
  <c r="N126" i="434"/>
  <c r="K126" i="434" a="1"/>
  <c r="K126" i="434" s="1"/>
  <c r="M126" i="434" s="1"/>
  <c r="J126" i="434" a="1"/>
  <c r="J126" i="434" s="1"/>
  <c r="H126" i="434"/>
  <c r="V125" i="434"/>
  <c r="W125" i="434" s="1"/>
  <c r="N125" i="434"/>
  <c r="K125" i="434" a="1"/>
  <c r="K125" i="434" s="1"/>
  <c r="M125" i="434" s="1"/>
  <c r="J125" i="434" a="1"/>
  <c r="J125" i="434" s="1"/>
  <c r="H125" i="434"/>
  <c r="V124" i="434"/>
  <c r="W124" i="434" s="1"/>
  <c r="N124" i="434"/>
  <c r="K124" i="434" a="1"/>
  <c r="K124" i="434" s="1"/>
  <c r="M124" i="434" s="1"/>
  <c r="J124" i="434" a="1"/>
  <c r="J124" i="434" s="1"/>
  <c r="H124" i="434"/>
  <c r="V123" i="434"/>
  <c r="W123" i="434" s="1"/>
  <c r="N123" i="434"/>
  <c r="K123" i="434" a="1"/>
  <c r="K123" i="434" s="1"/>
  <c r="M123" i="434" s="1"/>
  <c r="J123" i="434" a="1"/>
  <c r="J123" i="434" s="1"/>
  <c r="H123" i="434"/>
  <c r="V122" i="434"/>
  <c r="W122" i="434" s="1"/>
  <c r="N122" i="434"/>
  <c r="K122" i="434" a="1"/>
  <c r="K122" i="434" s="1"/>
  <c r="M122" i="434" s="1"/>
  <c r="J122" i="434" a="1"/>
  <c r="J122" i="434" s="1"/>
  <c r="H122" i="434"/>
  <c r="AA121" i="434"/>
  <c r="Z121" i="434"/>
  <c r="Y121" i="434"/>
  <c r="X121" i="434"/>
  <c r="U121" i="434"/>
  <c r="T121" i="434"/>
  <c r="S121" i="434"/>
  <c r="R121" i="434"/>
  <c r="Q121" i="434"/>
  <c r="P121" i="434"/>
  <c r="O121" i="434"/>
  <c r="I121" i="434"/>
  <c r="G121" i="434"/>
  <c r="C526" i="434" s="1"/>
  <c r="V120" i="434"/>
  <c r="W120" i="434" s="1"/>
  <c r="N120" i="434"/>
  <c r="K120" i="434" a="1"/>
  <c r="K120" i="434" s="1"/>
  <c r="M120" i="434" s="1"/>
  <c r="J120" i="434" a="1"/>
  <c r="J120" i="434" s="1"/>
  <c r="H120" i="434"/>
  <c r="V119" i="434"/>
  <c r="W119" i="434" s="1"/>
  <c r="N119" i="434"/>
  <c r="K119" i="434" a="1"/>
  <c r="K119" i="434" s="1"/>
  <c r="M119" i="434" s="1"/>
  <c r="J119" i="434" a="1"/>
  <c r="J119" i="434" s="1"/>
  <c r="H119" i="434"/>
  <c r="V118" i="434"/>
  <c r="W118" i="434" s="1"/>
  <c r="N118" i="434"/>
  <c r="K118" i="434" a="1"/>
  <c r="K118" i="434" s="1"/>
  <c r="M118" i="434" s="1"/>
  <c r="J118" i="434" a="1"/>
  <c r="J118" i="434" s="1"/>
  <c r="H118" i="434"/>
  <c r="H117" i="434"/>
  <c r="H116" i="434"/>
  <c r="H115" i="434"/>
  <c r="V114" i="434"/>
  <c r="W114" i="434" s="1"/>
  <c r="N114" i="434"/>
  <c r="K114" i="434" a="1"/>
  <c r="K114" i="434" s="1"/>
  <c r="M114" i="434" s="1"/>
  <c r="J114" i="434" a="1"/>
  <c r="J114" i="434" s="1"/>
  <c r="H114" i="434"/>
  <c r="V113" i="434"/>
  <c r="W113" i="434" s="1"/>
  <c r="N113" i="434"/>
  <c r="K113" i="434" a="1"/>
  <c r="K113" i="434" s="1"/>
  <c r="M113" i="434" s="1"/>
  <c r="J113" i="434" a="1"/>
  <c r="J113" i="434" s="1"/>
  <c r="H113" i="434"/>
  <c r="N112" i="434"/>
  <c r="K112" i="434" a="1"/>
  <c r="K112" i="434" s="1"/>
  <c r="M112" i="434" s="1"/>
  <c r="H112" i="434"/>
  <c r="N111" i="434"/>
  <c r="K111" i="434" a="1"/>
  <c r="K111" i="434" s="1"/>
  <c r="M111" i="434" s="1"/>
  <c r="H111" i="434"/>
  <c r="N110" i="434"/>
  <c r="K110" i="434" a="1"/>
  <c r="K110" i="434" s="1"/>
  <c r="M110" i="434" s="1"/>
  <c r="H110" i="434"/>
  <c r="N109" i="434"/>
  <c r="K109" i="434" a="1"/>
  <c r="K109" i="434" s="1"/>
  <c r="M109" i="434" s="1"/>
  <c r="H109" i="434"/>
  <c r="N108" i="434"/>
  <c r="K108" i="434" a="1"/>
  <c r="K108" i="434" s="1"/>
  <c r="M108" i="434" s="1"/>
  <c r="H108" i="434"/>
  <c r="N107" i="434"/>
  <c r="K107" i="434" a="1"/>
  <c r="K107" i="434" s="1"/>
  <c r="M107" i="434" s="1"/>
  <c r="H107" i="434"/>
  <c r="V106" i="434"/>
  <c r="W106" i="434" s="1"/>
  <c r="N106" i="434"/>
  <c r="K106" i="434" a="1"/>
  <c r="K106" i="434" s="1"/>
  <c r="M106" i="434" s="1"/>
  <c r="J106" i="434" a="1"/>
  <c r="J106" i="434" s="1"/>
  <c r="H106" i="434"/>
  <c r="V105" i="434"/>
  <c r="W105" i="434" s="1"/>
  <c r="N105" i="434"/>
  <c r="K105" i="434" a="1"/>
  <c r="K105" i="434" s="1"/>
  <c r="M105" i="434" s="1"/>
  <c r="J105" i="434" a="1"/>
  <c r="J105" i="434" s="1"/>
  <c r="H105" i="434"/>
  <c r="V104" i="434"/>
  <c r="W104" i="434" s="1"/>
  <c r="N104" i="434"/>
  <c r="K104" i="434" a="1"/>
  <c r="K104" i="434" s="1"/>
  <c r="M104" i="434" s="1"/>
  <c r="J104" i="434" a="1"/>
  <c r="J104" i="434" s="1"/>
  <c r="H104" i="434"/>
  <c r="V103" i="434"/>
  <c r="W103" i="434" s="1"/>
  <c r="N103" i="434"/>
  <c r="K103" i="434" a="1"/>
  <c r="K103" i="434" s="1"/>
  <c r="M103" i="434" s="1"/>
  <c r="J103" i="434" a="1"/>
  <c r="J103" i="434" s="1"/>
  <c r="H103" i="434"/>
  <c r="V102" i="434"/>
  <c r="W102" i="434" s="1"/>
  <c r="N102" i="434"/>
  <c r="K102" i="434" a="1"/>
  <c r="K102" i="434" s="1"/>
  <c r="M102" i="434" s="1"/>
  <c r="J102" i="434" a="1"/>
  <c r="J102" i="434" s="1"/>
  <c r="H102" i="434"/>
  <c r="V101" i="434"/>
  <c r="W101" i="434" s="1"/>
  <c r="N101" i="434"/>
  <c r="K101" i="434" a="1"/>
  <c r="K101" i="434" s="1"/>
  <c r="M101" i="434" s="1"/>
  <c r="J101" i="434" a="1"/>
  <c r="J101" i="434" s="1"/>
  <c r="H101" i="434"/>
  <c r="V100" i="434"/>
  <c r="W100" i="434" s="1"/>
  <c r="N100" i="434"/>
  <c r="K100" i="434" a="1"/>
  <c r="K100" i="434" s="1"/>
  <c r="M100" i="434" s="1"/>
  <c r="J100" i="434" a="1"/>
  <c r="J100" i="434" s="1"/>
  <c r="H100" i="434"/>
  <c r="V99" i="434"/>
  <c r="W99" i="434" s="1"/>
  <c r="N99" i="434"/>
  <c r="K99" i="434" a="1"/>
  <c r="K99" i="434" s="1"/>
  <c r="M99" i="434" s="1"/>
  <c r="J99" i="434" a="1"/>
  <c r="J99" i="434" s="1"/>
  <c r="H99" i="434"/>
  <c r="V98" i="434"/>
  <c r="W98" i="434" s="1"/>
  <c r="N98" i="434"/>
  <c r="K98" i="434" a="1"/>
  <c r="K98" i="434" s="1"/>
  <c r="M98" i="434" s="1"/>
  <c r="J98" i="434" a="1"/>
  <c r="J98" i="434" s="1"/>
  <c r="H98" i="434"/>
  <c r="V97" i="434"/>
  <c r="W97" i="434" s="1"/>
  <c r="N97" i="434"/>
  <c r="K97" i="434" a="1"/>
  <c r="K97" i="434" s="1"/>
  <c r="M97" i="434" s="1"/>
  <c r="J97" i="434" a="1"/>
  <c r="J97" i="434" s="1"/>
  <c r="H97" i="434"/>
  <c r="V96" i="434"/>
  <c r="W96" i="434" s="1"/>
  <c r="N96" i="434"/>
  <c r="K96" i="434" a="1"/>
  <c r="K96" i="434" s="1"/>
  <c r="M96" i="434" s="1"/>
  <c r="J96" i="434" a="1"/>
  <c r="J96" i="434" s="1"/>
  <c r="H96" i="434"/>
  <c r="V95" i="434"/>
  <c r="W95" i="434" s="1"/>
  <c r="N95" i="434"/>
  <c r="K95" i="434" a="1"/>
  <c r="K95" i="434" s="1"/>
  <c r="M95" i="434" s="1"/>
  <c r="J95" i="434" a="1"/>
  <c r="J95" i="434" s="1"/>
  <c r="H95" i="434"/>
  <c r="K94" i="434" a="1"/>
  <c r="K94" i="434" s="1"/>
  <c r="M94" i="434" s="1"/>
  <c r="H94" i="434"/>
  <c r="V93" i="434"/>
  <c r="W93" i="434" s="1"/>
  <c r="N93" i="434"/>
  <c r="K93" i="434" a="1"/>
  <c r="K93" i="434" s="1"/>
  <c r="M93" i="434" s="1"/>
  <c r="J93" i="434" a="1"/>
  <c r="J93" i="434" s="1"/>
  <c r="H93" i="434"/>
  <c r="V92" i="434"/>
  <c r="W92" i="434" s="1"/>
  <c r="N92" i="434"/>
  <c r="K92" i="434" a="1"/>
  <c r="K92" i="434" s="1"/>
  <c r="M92" i="434" s="1"/>
  <c r="J92" i="434" a="1"/>
  <c r="J92" i="434" s="1"/>
  <c r="H92" i="434"/>
  <c r="V91" i="434"/>
  <c r="W91" i="434" s="1"/>
  <c r="N91" i="434"/>
  <c r="K91" i="434" a="1"/>
  <c r="K91" i="434" s="1"/>
  <c r="M91" i="434" s="1"/>
  <c r="J91" i="434" a="1"/>
  <c r="J91" i="434" s="1"/>
  <c r="H91" i="434"/>
  <c r="V90" i="434"/>
  <c r="W90" i="434" s="1"/>
  <c r="N90" i="434"/>
  <c r="K90" i="434" a="1"/>
  <c r="K90" i="434" s="1"/>
  <c r="M90" i="434" s="1"/>
  <c r="J90" i="434" a="1"/>
  <c r="J90" i="434" s="1"/>
  <c r="H90" i="434"/>
  <c r="V89" i="434"/>
  <c r="W89" i="434" s="1"/>
  <c r="N89" i="434"/>
  <c r="K89" i="434" a="1"/>
  <c r="K89" i="434" s="1"/>
  <c r="M89" i="434" s="1"/>
  <c r="J89" i="434" a="1"/>
  <c r="J89" i="434" s="1"/>
  <c r="H89" i="434"/>
  <c r="V88" i="434"/>
  <c r="W88" i="434" s="1"/>
  <c r="N88" i="434"/>
  <c r="K88" i="434" a="1"/>
  <c r="K88" i="434" s="1"/>
  <c r="M88" i="434" s="1"/>
  <c r="J88" i="434" a="1"/>
  <c r="J88" i="434" s="1"/>
  <c r="H88" i="434"/>
  <c r="V87" i="434"/>
  <c r="W87" i="434" s="1"/>
  <c r="N87" i="434"/>
  <c r="K87" i="434" a="1"/>
  <c r="K87" i="434" s="1"/>
  <c r="J87" i="434" a="1"/>
  <c r="J87" i="434" s="1"/>
  <c r="H87" i="434"/>
  <c r="AA86" i="434"/>
  <c r="Z86" i="434"/>
  <c r="Y86" i="434"/>
  <c r="X86" i="434"/>
  <c r="U86" i="434"/>
  <c r="T86" i="434"/>
  <c r="S86" i="434"/>
  <c r="R86" i="434"/>
  <c r="Q86" i="434"/>
  <c r="P86" i="434"/>
  <c r="O86" i="434"/>
  <c r="I86" i="434"/>
  <c r="G86" i="434"/>
  <c r="V75" i="434"/>
  <c r="W75" i="434" s="1"/>
  <c r="N75" i="434"/>
  <c r="K75" i="434" a="1"/>
  <c r="K75" i="434" s="1"/>
  <c r="M75" i="434" s="1"/>
  <c r="J75" i="434" a="1"/>
  <c r="J75" i="434" s="1"/>
  <c r="V74" i="434"/>
  <c r="W74" i="434" s="1"/>
  <c r="N74" i="434"/>
  <c r="K74" i="434" a="1"/>
  <c r="K74" i="434" s="1"/>
  <c r="M74" i="434" s="1"/>
  <c r="J74" i="434" a="1"/>
  <c r="J74" i="434" s="1"/>
  <c r="V73" i="434"/>
  <c r="W73" i="434" s="1"/>
  <c r="N73" i="434"/>
  <c r="K73" i="434" a="1"/>
  <c r="K73" i="434" s="1"/>
  <c r="M73" i="434" s="1"/>
  <c r="J73" i="434" a="1"/>
  <c r="J73" i="434" s="1"/>
  <c r="V72" i="434"/>
  <c r="W72" i="434" s="1"/>
  <c r="N72" i="434"/>
  <c r="K72" i="434" a="1"/>
  <c r="K72" i="434" s="1"/>
  <c r="M72" i="434" s="1"/>
  <c r="J72" i="434" a="1"/>
  <c r="J72" i="434" s="1"/>
  <c r="V70" i="434"/>
  <c r="W70" i="434" s="1"/>
  <c r="N70" i="434"/>
  <c r="K70" i="434" a="1"/>
  <c r="K70" i="434" s="1"/>
  <c r="M70" i="434" s="1"/>
  <c r="J70" i="434" a="1"/>
  <c r="J70" i="434" s="1"/>
  <c r="V69" i="434"/>
  <c r="W69" i="434" s="1"/>
  <c r="N69" i="434"/>
  <c r="K69" i="434" a="1"/>
  <c r="K69" i="434" s="1"/>
  <c r="M69" i="434" s="1"/>
  <c r="J69" i="434" a="1"/>
  <c r="J69" i="434" s="1"/>
  <c r="V66" i="434"/>
  <c r="W66" i="434" s="1"/>
  <c r="N66" i="434"/>
  <c r="K66" i="434" a="1"/>
  <c r="K66" i="434" s="1"/>
  <c r="M66" i="434" s="1"/>
  <c r="J66" i="434" a="1"/>
  <c r="J66" i="434" s="1"/>
  <c r="H66" i="434"/>
  <c r="V65" i="434"/>
  <c r="W65" i="434" s="1"/>
  <c r="N65" i="434"/>
  <c r="K65" i="434" a="1"/>
  <c r="K65" i="434" s="1"/>
  <c r="M65" i="434" s="1"/>
  <c r="J65" i="434" a="1"/>
  <c r="J65" i="434" s="1"/>
  <c r="H65" i="434"/>
  <c r="V64" i="434"/>
  <c r="W64" i="434" s="1"/>
  <c r="N64" i="434"/>
  <c r="K64" i="434" a="1"/>
  <c r="K64" i="434" s="1"/>
  <c r="M64" i="434" s="1"/>
  <c r="J64" i="434" a="1"/>
  <c r="J64" i="434" s="1"/>
  <c r="H64" i="434"/>
  <c r="V63" i="434"/>
  <c r="W63" i="434" s="1"/>
  <c r="N63" i="434"/>
  <c r="K63" i="434" a="1"/>
  <c r="K63" i="434" s="1"/>
  <c r="M63" i="434" s="1"/>
  <c r="J63" i="434" a="1"/>
  <c r="J63" i="434" s="1"/>
  <c r="H63" i="434"/>
  <c r="V62" i="434"/>
  <c r="W62" i="434" s="1"/>
  <c r="N62" i="434"/>
  <c r="K62" i="434" a="1"/>
  <c r="K62" i="434" s="1"/>
  <c r="M62" i="434" s="1"/>
  <c r="J62" i="434" a="1"/>
  <c r="J62" i="434" s="1"/>
  <c r="H62" i="434"/>
  <c r="V61" i="434"/>
  <c r="W61" i="434" s="1"/>
  <c r="N61" i="434"/>
  <c r="K61" i="434" a="1"/>
  <c r="K61" i="434" s="1"/>
  <c r="M61" i="434" s="1"/>
  <c r="J61" i="434" a="1"/>
  <c r="J61" i="434" s="1"/>
  <c r="H61" i="434"/>
  <c r="V60" i="434"/>
  <c r="W60" i="434" s="1"/>
  <c r="N60" i="434"/>
  <c r="K60" i="434" a="1"/>
  <c r="K60" i="434" s="1"/>
  <c r="M60" i="434" s="1"/>
  <c r="J60" i="434" a="1"/>
  <c r="J60" i="434" s="1"/>
  <c r="H60" i="434"/>
  <c r="V59" i="434"/>
  <c r="W59" i="434" s="1"/>
  <c r="N59" i="434"/>
  <c r="K59" i="434" a="1"/>
  <c r="K59" i="434" s="1"/>
  <c r="M59" i="434" s="1"/>
  <c r="J59" i="434" a="1"/>
  <c r="J59" i="434" s="1"/>
  <c r="H59" i="434"/>
  <c r="V58" i="434"/>
  <c r="W58" i="434" s="1"/>
  <c r="N58" i="434"/>
  <c r="K58" i="434" a="1"/>
  <c r="K58" i="434" s="1"/>
  <c r="M58" i="434" s="1"/>
  <c r="J58" i="434" a="1"/>
  <c r="J58" i="434" s="1"/>
  <c r="H58" i="434"/>
  <c r="V57" i="434"/>
  <c r="W57" i="434" s="1"/>
  <c r="N57" i="434"/>
  <c r="K57" i="434" a="1"/>
  <c r="K57" i="434" s="1"/>
  <c r="M57" i="434" s="1"/>
  <c r="J57" i="434" a="1"/>
  <c r="J57" i="434" s="1"/>
  <c r="H57" i="434"/>
  <c r="K56" i="434" a="1"/>
  <c r="K56" i="434" s="1"/>
  <c r="M56" i="434" s="1"/>
  <c r="H56" i="434"/>
  <c r="K55" i="434" a="1"/>
  <c r="K55" i="434" s="1"/>
  <c r="M55" i="434" s="1"/>
  <c r="H55" i="434"/>
  <c r="K54" i="434" a="1"/>
  <c r="K54" i="434" s="1"/>
  <c r="M54" i="434" s="1"/>
  <c r="H54" i="434"/>
  <c r="K53" i="434" a="1"/>
  <c r="K53" i="434" s="1"/>
  <c r="M53" i="434" s="1"/>
  <c r="H53" i="434"/>
  <c r="N52" i="434"/>
  <c r="K52" i="434" a="1"/>
  <c r="K52" i="434" s="1"/>
  <c r="M52" i="434" s="1"/>
  <c r="H52" i="434"/>
  <c r="N51" i="434"/>
  <c r="K51" i="434" a="1"/>
  <c r="K51" i="434" s="1"/>
  <c r="M51" i="434" s="1"/>
  <c r="H51" i="434"/>
  <c r="N50" i="434"/>
  <c r="K50" i="434" a="1"/>
  <c r="K50" i="434" s="1"/>
  <c r="M50" i="434" s="1"/>
  <c r="H50" i="434"/>
  <c r="N49" i="434"/>
  <c r="K49" i="434" a="1"/>
  <c r="K49" i="434" s="1"/>
  <c r="M49" i="434" s="1"/>
  <c r="H49" i="434"/>
  <c r="V48" i="434"/>
  <c r="W48" i="434" s="1"/>
  <c r="N48" i="434"/>
  <c r="K48" i="434" a="1"/>
  <c r="K48" i="434" s="1"/>
  <c r="M48" i="434" s="1"/>
  <c r="J48" i="434" a="1"/>
  <c r="J48" i="434" s="1"/>
  <c r="H48" i="434"/>
  <c r="V47" i="434"/>
  <c r="W47" i="434" s="1"/>
  <c r="N47" i="434"/>
  <c r="K47" i="434" a="1"/>
  <c r="K47" i="434" s="1"/>
  <c r="M47" i="434" s="1"/>
  <c r="J47" i="434" a="1"/>
  <c r="J47" i="434" s="1"/>
  <c r="H47" i="434"/>
  <c r="V46" i="434"/>
  <c r="W46" i="434" s="1"/>
  <c r="N46" i="434"/>
  <c r="K46" i="434" a="1"/>
  <c r="K46" i="434" s="1"/>
  <c r="M46" i="434" s="1"/>
  <c r="J46" i="434" a="1"/>
  <c r="J46" i="434" s="1"/>
  <c r="H46" i="434"/>
  <c r="V45" i="434"/>
  <c r="W45" i="434" s="1"/>
  <c r="N45" i="434"/>
  <c r="K45" i="434" a="1"/>
  <c r="K45" i="434" s="1"/>
  <c r="M45" i="434" s="1"/>
  <c r="J45" i="434" a="1"/>
  <c r="J45" i="434" s="1"/>
  <c r="H45" i="434"/>
  <c r="V44" i="434"/>
  <c r="W44" i="434" s="1"/>
  <c r="N44" i="434"/>
  <c r="K44" i="434" a="1"/>
  <c r="K44" i="434" s="1"/>
  <c r="M44" i="434" s="1"/>
  <c r="J44" i="434" a="1"/>
  <c r="J44" i="434" s="1"/>
  <c r="H44" i="434"/>
  <c r="V43" i="434"/>
  <c r="W43" i="434" s="1"/>
  <c r="N43" i="434"/>
  <c r="K43" i="434" a="1"/>
  <c r="K43" i="434" s="1"/>
  <c r="M43" i="434" s="1"/>
  <c r="J43" i="434" a="1"/>
  <c r="J43" i="434" s="1"/>
  <c r="H43" i="434"/>
  <c r="V42" i="434"/>
  <c r="W42" i="434" s="1"/>
  <c r="N42" i="434"/>
  <c r="K42" i="434" a="1"/>
  <c r="K42" i="434" s="1"/>
  <c r="M42" i="434" s="1"/>
  <c r="J42" i="434" a="1"/>
  <c r="J42" i="434" s="1"/>
  <c r="H42" i="434"/>
  <c r="V41" i="434"/>
  <c r="W41" i="434" s="1"/>
  <c r="N41" i="434"/>
  <c r="K41" i="434" a="1"/>
  <c r="K41" i="434" s="1"/>
  <c r="M41" i="434" s="1"/>
  <c r="J41" i="434" a="1"/>
  <c r="J41" i="434" s="1"/>
  <c r="H41" i="434"/>
  <c r="V40" i="434"/>
  <c r="W40" i="434" s="1"/>
  <c r="N40" i="434"/>
  <c r="K40" i="434" a="1"/>
  <c r="K40" i="434" s="1"/>
  <c r="M40" i="434" s="1"/>
  <c r="J40" i="434" a="1"/>
  <c r="J40" i="434" s="1"/>
  <c r="H40" i="434"/>
  <c r="V39" i="434"/>
  <c r="W39" i="434" s="1"/>
  <c r="N39" i="434"/>
  <c r="K39" i="434" a="1"/>
  <c r="K39" i="434" s="1"/>
  <c r="M39" i="434" s="1"/>
  <c r="J39" i="434" a="1"/>
  <c r="J39" i="434" s="1"/>
  <c r="H39" i="434"/>
  <c r="V38" i="434"/>
  <c r="W38" i="434" s="1"/>
  <c r="N38" i="434"/>
  <c r="K38" i="434" a="1"/>
  <c r="K38" i="434" s="1"/>
  <c r="M38" i="434" s="1"/>
  <c r="J38" i="434" a="1"/>
  <c r="J38" i="434" s="1"/>
  <c r="H38" i="434"/>
  <c r="V37" i="434"/>
  <c r="W37" i="434" s="1"/>
  <c r="N37" i="434"/>
  <c r="K37" i="434" a="1"/>
  <c r="K37" i="434" s="1"/>
  <c r="M37" i="434" s="1"/>
  <c r="J37" i="434" a="1"/>
  <c r="J37" i="434" s="1"/>
  <c r="H37" i="434"/>
  <c r="V33" i="434"/>
  <c r="W33" i="434" s="1"/>
  <c r="N33" i="434"/>
  <c r="K33" i="434" a="1"/>
  <c r="K33" i="434" s="1"/>
  <c r="M33" i="434" s="1"/>
  <c r="J33" i="434" a="1"/>
  <c r="J33" i="434" s="1"/>
  <c r="H33" i="434"/>
  <c r="V32" i="434"/>
  <c r="W32" i="434" s="1"/>
  <c r="N32" i="434"/>
  <c r="K32" i="434" a="1"/>
  <c r="K32" i="434" s="1"/>
  <c r="M32" i="434" s="1"/>
  <c r="J32" i="434" a="1"/>
  <c r="J32" i="434" s="1"/>
  <c r="H32" i="434"/>
  <c r="V31" i="434"/>
  <c r="W31" i="434" s="1"/>
  <c r="N31" i="434"/>
  <c r="K31" i="434" a="1"/>
  <c r="K31" i="434" s="1"/>
  <c r="M31" i="434" s="1"/>
  <c r="J31" i="434" a="1"/>
  <c r="J31" i="434" s="1"/>
  <c r="V29" i="434"/>
  <c r="W29" i="434" s="1"/>
  <c r="N29" i="434"/>
  <c r="K29" i="434" a="1"/>
  <c r="K29" i="434" s="1"/>
  <c r="M29" i="434" s="1"/>
  <c r="J29" i="434" a="1"/>
  <c r="J29" i="434" s="1"/>
  <c r="H29" i="434"/>
  <c r="AA28" i="434"/>
  <c r="Z28" i="434"/>
  <c r="Z164" i="434" s="1"/>
  <c r="Y28" i="434"/>
  <c r="X28" i="434"/>
  <c r="X164" i="434" s="1"/>
  <c r="U28" i="434"/>
  <c r="T28" i="434"/>
  <c r="S28" i="434"/>
  <c r="R28" i="434"/>
  <c r="Q28" i="434"/>
  <c r="Q164" i="434" s="1"/>
  <c r="P28" i="434"/>
  <c r="O28" i="434"/>
  <c r="O164" i="434" s="1"/>
  <c r="I28" i="434"/>
  <c r="G28" i="434"/>
  <c r="G164" i="434" s="1"/>
  <c r="V27" i="434"/>
  <c r="W27" i="434" s="1"/>
  <c r="N27" i="434"/>
  <c r="K27" i="434" a="1"/>
  <c r="K27" i="434" s="1"/>
  <c r="M27" i="434" s="1"/>
  <c r="J27" i="434" a="1"/>
  <c r="J27" i="434" s="1"/>
  <c r="H27" i="434"/>
  <c r="V26" i="434"/>
  <c r="W26" i="434" s="1"/>
  <c r="N26" i="434"/>
  <c r="K26" i="434" a="1"/>
  <c r="K26" i="434" s="1"/>
  <c r="M26" i="434" s="1"/>
  <c r="J26" i="434" a="1"/>
  <c r="J26" i="434" s="1"/>
  <c r="H26" i="434"/>
  <c r="K25" i="434" a="1"/>
  <c r="K25" i="434" s="1"/>
  <c r="M25" i="434" s="1"/>
  <c r="J25" i="434" a="1"/>
  <c r="J25" i="434" s="1"/>
  <c r="H25" i="434"/>
  <c r="K24" i="434" a="1"/>
  <c r="K24" i="434" s="1"/>
  <c r="M24" i="434" s="1"/>
  <c r="J24" i="434" a="1"/>
  <c r="J24" i="434" s="1"/>
  <c r="H24" i="434"/>
  <c r="K23" i="434" a="1"/>
  <c r="K23" i="434" s="1"/>
  <c r="M23" i="434" s="1"/>
  <c r="J23" i="434" a="1"/>
  <c r="J23" i="434" s="1"/>
  <c r="H23" i="434"/>
  <c r="K22" i="434" a="1"/>
  <c r="K22" i="434" s="1"/>
  <c r="M22" i="434" s="1"/>
  <c r="J22" i="434" a="1"/>
  <c r="J22" i="434" s="1"/>
  <c r="H22" i="434"/>
  <c r="V21" i="434"/>
  <c r="W21" i="434" s="1"/>
  <c r="N21" i="434"/>
  <c r="K21" i="434" a="1"/>
  <c r="K21" i="434" s="1"/>
  <c r="M21" i="434" s="1"/>
  <c r="J21" i="434" a="1"/>
  <c r="J21" i="434" s="1"/>
  <c r="H21" i="434"/>
  <c r="V20" i="434"/>
  <c r="W20" i="434" s="1"/>
  <c r="N20" i="434"/>
  <c r="K20" i="434" a="1"/>
  <c r="K20" i="434" s="1"/>
  <c r="M20" i="434" s="1"/>
  <c r="J20" i="434" a="1"/>
  <c r="J20" i="434" s="1"/>
  <c r="H20" i="434"/>
  <c r="V19" i="434"/>
  <c r="W19" i="434" s="1"/>
  <c r="N19" i="434"/>
  <c r="K19" i="434" a="1"/>
  <c r="K19" i="434" s="1"/>
  <c r="M19" i="434" s="1"/>
  <c r="J19" i="434" a="1"/>
  <c r="J19" i="434" s="1"/>
  <c r="H19" i="434"/>
  <c r="N18" i="434"/>
  <c r="K18" i="434" a="1"/>
  <c r="K18" i="434" s="1"/>
  <c r="M18" i="434" s="1"/>
  <c r="J18" i="434" a="1"/>
  <c r="J18" i="434" s="1"/>
  <c r="H18" i="434"/>
  <c r="N17" i="434"/>
  <c r="K17" i="434" a="1"/>
  <c r="K17" i="434" s="1"/>
  <c r="M17" i="434" s="1"/>
  <c r="J17" i="434" a="1"/>
  <c r="J17" i="434" s="1"/>
  <c r="H17" i="434"/>
  <c r="V16" i="434"/>
  <c r="W16" i="434" s="1"/>
  <c r="N16" i="434"/>
  <c r="K16" i="434" a="1"/>
  <c r="K16" i="434" s="1"/>
  <c r="M16" i="434" s="1"/>
  <c r="J16" i="434" a="1"/>
  <c r="J16" i="434" s="1"/>
  <c r="H16" i="434"/>
  <c r="V15" i="434"/>
  <c r="W15" i="434" s="1"/>
  <c r="N15" i="434"/>
  <c r="K15" i="434" a="1"/>
  <c r="K15" i="434" s="1"/>
  <c r="M15" i="434" s="1"/>
  <c r="J15" i="434" a="1"/>
  <c r="J15" i="434" s="1"/>
  <c r="H15" i="434"/>
  <c r="N14" i="434"/>
  <c r="K14" i="434" a="1"/>
  <c r="K14" i="434" s="1"/>
  <c r="M14" i="434" s="1"/>
  <c r="H14" i="434"/>
  <c r="N13" i="434"/>
  <c r="K13" i="434" a="1"/>
  <c r="K13" i="434" s="1"/>
  <c r="M13" i="434" s="1"/>
  <c r="H13" i="434"/>
  <c r="V12" i="434"/>
  <c r="W12" i="434" s="1"/>
  <c r="N12" i="434"/>
  <c r="K12" i="434" a="1"/>
  <c r="K12" i="434" s="1"/>
  <c r="M12" i="434" s="1"/>
  <c r="J12" i="434" a="1"/>
  <c r="J12" i="434" s="1"/>
  <c r="H12" i="434"/>
  <c r="V11" i="434"/>
  <c r="W11" i="434" s="1"/>
  <c r="N11" i="434"/>
  <c r="K11" i="434" a="1"/>
  <c r="K11" i="434" s="1"/>
  <c r="M11" i="434" s="1"/>
  <c r="J11" i="434" a="1"/>
  <c r="J11" i="434" s="1"/>
  <c r="H11" i="434"/>
  <c r="V10" i="434"/>
  <c r="W10" i="434" s="1"/>
  <c r="N10" i="434"/>
  <c r="K10" i="434" a="1"/>
  <c r="K10" i="434" s="1"/>
  <c r="M10" i="434" s="1"/>
  <c r="J10" i="434" a="1"/>
  <c r="J10" i="434" s="1"/>
  <c r="H10" i="434"/>
  <c r="V9" i="434"/>
  <c r="W9" i="434" s="1"/>
  <c r="N9" i="434"/>
  <c r="K9" i="434" a="1"/>
  <c r="K9" i="434" s="1"/>
  <c r="M9" i="434" s="1"/>
  <c r="J9" i="434" a="1"/>
  <c r="J9" i="434" s="1"/>
  <c r="H9" i="434"/>
  <c r="V8" i="434"/>
  <c r="W8" i="434" s="1"/>
  <c r="N8" i="434"/>
  <c r="K8" i="434" a="1"/>
  <c r="K8" i="434" s="1"/>
  <c r="M8" i="434" s="1"/>
  <c r="J8" i="434" a="1"/>
  <c r="J8" i="434" s="1"/>
  <c r="H8" i="434"/>
  <c r="V7" i="434"/>
  <c r="N7" i="434"/>
  <c r="K7" i="434" a="1"/>
  <c r="K7" i="434" s="1"/>
  <c r="M7" i="434" s="1"/>
  <c r="J7" i="434" a="1"/>
  <c r="J7" i="434" s="1"/>
  <c r="H7" i="434"/>
  <c r="X167" i="434" l="1"/>
  <c r="O507" i="434"/>
  <c r="X510" i="434" s="1"/>
  <c r="X509" i="434"/>
  <c r="P335" i="434"/>
  <c r="X339" i="434" s="1"/>
  <c r="X338" i="434"/>
  <c r="B515" i="434"/>
  <c r="S164" i="434"/>
  <c r="U164" i="434"/>
  <c r="Y164" i="434"/>
  <c r="AA164" i="434"/>
  <c r="C525" i="434"/>
  <c r="K510" i="434"/>
  <c r="M510" i="434" s="1"/>
  <c r="K511" i="434"/>
  <c r="M511" i="434" s="1"/>
  <c r="K512" i="434"/>
  <c r="M512" i="434" s="1"/>
  <c r="R167" i="434"/>
  <c r="J257" i="434" a="1"/>
  <c r="J257" i="434" s="1"/>
  <c r="C536" i="434"/>
  <c r="I164" i="434"/>
  <c r="B172" i="434" s="1"/>
  <c r="P164" i="434"/>
  <c r="X168" i="434" s="1"/>
  <c r="R164" i="434"/>
  <c r="T164" i="434"/>
  <c r="N257" i="434"/>
  <c r="N121" i="434"/>
  <c r="J292" i="434" a="1"/>
  <c r="J292" i="434" s="1"/>
  <c r="R339" i="434"/>
  <c r="N199" i="434"/>
  <c r="N28" i="434"/>
  <c r="R168" i="434"/>
  <c r="N137" i="434"/>
  <c r="N148" i="434"/>
  <c r="J308" i="434" a="1"/>
  <c r="J308" i="434" s="1"/>
  <c r="N334" i="434"/>
  <c r="K338" i="434"/>
  <c r="M338" i="434" s="1"/>
  <c r="K339" i="434"/>
  <c r="M339" i="434" s="1"/>
  <c r="K340" i="434"/>
  <c r="M340" i="434" s="1"/>
  <c r="N370" i="434"/>
  <c r="V479" i="434"/>
  <c r="W479" i="434" s="1"/>
  <c r="H28" i="434"/>
  <c r="H479" i="434"/>
  <c r="C524" i="434"/>
  <c r="N86" i="434"/>
  <c r="H137" i="434"/>
  <c r="V137" i="434"/>
  <c r="W137" i="434" s="1"/>
  <c r="C527" i="434"/>
  <c r="N163" i="434"/>
  <c r="C529" i="434"/>
  <c r="B343" i="434"/>
  <c r="H292" i="434"/>
  <c r="V292" i="434"/>
  <c r="W292" i="434" s="1"/>
  <c r="V308" i="434"/>
  <c r="W308" i="434" s="1"/>
  <c r="N319" i="434"/>
  <c r="J319" i="434" a="1"/>
  <c r="J319" i="434" s="1"/>
  <c r="N428" i="434"/>
  <c r="H463" i="434"/>
  <c r="V463" i="434"/>
  <c r="W463" i="434" s="1"/>
  <c r="J479" i="434" a="1"/>
  <c r="J479" i="434" s="1"/>
  <c r="R512" i="434"/>
  <c r="H490" i="434"/>
  <c r="V490" i="434"/>
  <c r="W490" i="434" s="1"/>
  <c r="J490" i="434" a="1"/>
  <c r="J490" i="434" s="1"/>
  <c r="R513" i="434"/>
  <c r="K121" i="434"/>
  <c r="M137" i="434"/>
  <c r="V28" i="434"/>
  <c r="H86" i="434"/>
  <c r="V86" i="434"/>
  <c r="W86" i="434" s="1"/>
  <c r="H121" i="434"/>
  <c r="V121" i="434"/>
  <c r="W121" i="434" s="1"/>
  <c r="R169" i="434"/>
  <c r="H148" i="434"/>
  <c r="V148" i="434"/>
  <c r="W148" i="434" s="1"/>
  <c r="R170" i="434"/>
  <c r="H163" i="434"/>
  <c r="R171" i="434"/>
  <c r="K529" i="434" s="1"/>
  <c r="K167" i="434"/>
  <c r="M167" i="434" s="1"/>
  <c r="K168" i="434"/>
  <c r="M168" i="434" s="1"/>
  <c r="K169" i="434"/>
  <c r="M169" i="434" s="1"/>
  <c r="H199" i="434"/>
  <c r="K292" i="434"/>
  <c r="R340" i="434"/>
  <c r="H319" i="434"/>
  <c r="V319" i="434"/>
  <c r="W319" i="434" s="1"/>
  <c r="R341" i="434"/>
  <c r="H334" i="434"/>
  <c r="V334" i="434"/>
  <c r="R342" i="434"/>
  <c r="H370" i="434"/>
  <c r="V370" i="434"/>
  <c r="J370" i="434" a="1"/>
  <c r="J370" i="434" s="1"/>
  <c r="H428" i="434"/>
  <c r="J428" i="434" a="1"/>
  <c r="J428" i="434" s="1"/>
  <c r="R510" i="434"/>
  <c r="N463" i="434"/>
  <c r="W429" i="434"/>
  <c r="R511" i="434"/>
  <c r="N479" i="434"/>
  <c r="W464" i="434"/>
  <c r="N490" i="434"/>
  <c r="N506" i="434"/>
  <c r="R514" i="434"/>
  <c r="J137" i="434" a="1"/>
  <c r="J137" i="434" s="1"/>
  <c r="J148" i="434" a="1"/>
  <c r="J148" i="434" s="1"/>
  <c r="J199" i="434" a="1"/>
  <c r="J199" i="434" s="1"/>
  <c r="H257" i="434"/>
  <c r="V257" i="434"/>
  <c r="W257" i="434" s="1"/>
  <c r="N292" i="434"/>
  <c r="W258" i="434"/>
  <c r="K463" i="434"/>
  <c r="J463" i="434" a="1"/>
  <c r="J463" i="434" s="1"/>
  <c r="J506" i="434" a="1"/>
  <c r="J506" i="434" s="1"/>
  <c r="M28" i="434"/>
  <c r="Q525" i="434"/>
  <c r="Q527" i="434"/>
  <c r="Q529" i="434"/>
  <c r="K86" i="434"/>
  <c r="M86" i="434"/>
  <c r="K527" i="434"/>
  <c r="K148" i="434"/>
  <c r="M138" i="434"/>
  <c r="M148" i="434" s="1"/>
  <c r="K528" i="434"/>
  <c r="K163" i="434"/>
  <c r="M149" i="434"/>
  <c r="M163" i="434" s="1"/>
  <c r="W7" i="434"/>
  <c r="M199" i="434"/>
  <c r="W199" i="434"/>
  <c r="W28" i="434"/>
  <c r="Q524" i="434"/>
  <c r="Q528" i="434"/>
  <c r="K525" i="434"/>
  <c r="K526" i="434"/>
  <c r="K308" i="434"/>
  <c r="M293" i="434"/>
  <c r="M308" i="434" s="1"/>
  <c r="K28" i="434"/>
  <c r="M257" i="434"/>
  <c r="C530" i="434"/>
  <c r="E524" i="434" s="1"/>
  <c r="K319" i="434"/>
  <c r="M309" i="434"/>
  <c r="M319" i="434" s="1"/>
  <c r="K334" i="434"/>
  <c r="M320" i="434"/>
  <c r="M334" i="434" s="1"/>
  <c r="M87" i="434"/>
  <c r="M121" i="434" s="1"/>
  <c r="J121" i="434" a="1"/>
  <c r="J121" i="434" s="1"/>
  <c r="K137" i="434"/>
  <c r="J163" i="434" a="1"/>
  <c r="J163" i="434" s="1"/>
  <c r="V163" i="434"/>
  <c r="W163" i="434" s="1"/>
  <c r="K166" i="434"/>
  <c r="R166" i="434"/>
  <c r="K199" i="434"/>
  <c r="V199" i="434"/>
  <c r="V335" i="434" s="1"/>
  <c r="K257" i="434"/>
  <c r="M428" i="434"/>
  <c r="J335" i="434" a="1"/>
  <c r="J335" i="434" s="1"/>
  <c r="M342" i="434" s="1"/>
  <c r="B342" i="434"/>
  <c r="R337" i="434"/>
  <c r="K370" i="434"/>
  <c r="M370" i="434"/>
  <c r="J28" i="434" a="1"/>
  <c r="J28" i="434" s="1"/>
  <c r="J86" i="434" a="1"/>
  <c r="J86" i="434" s="1"/>
  <c r="W138" i="434"/>
  <c r="R338" i="434"/>
  <c r="M258" i="434"/>
  <c r="M292" i="434" s="1"/>
  <c r="H308" i="434"/>
  <c r="N308" i="434"/>
  <c r="W293" i="434"/>
  <c r="B514" i="434"/>
  <c r="J507" i="434" a="1"/>
  <c r="J507" i="434" s="1"/>
  <c r="M514" i="434" s="1"/>
  <c r="R509" i="434"/>
  <c r="K490" i="434"/>
  <c r="M480" i="434"/>
  <c r="M490" i="434" s="1"/>
  <c r="K506" i="434"/>
  <c r="M491" i="434"/>
  <c r="M506" i="434" s="1"/>
  <c r="W309" i="434"/>
  <c r="W320" i="434"/>
  <c r="W334" i="434" s="1"/>
  <c r="K337" i="434"/>
  <c r="W349" i="434"/>
  <c r="W370" i="434" s="1"/>
  <c r="V428" i="434"/>
  <c r="W428" i="434" s="1"/>
  <c r="M479" i="434"/>
  <c r="H506" i="434"/>
  <c r="W506" i="434"/>
  <c r="K428" i="434"/>
  <c r="T536" i="434" a="1"/>
  <c r="T536" i="434" s="1"/>
  <c r="M429" i="434"/>
  <c r="M463" i="434" s="1"/>
  <c r="K479" i="434"/>
  <c r="V506" i="434"/>
  <c r="J533" i="434"/>
  <c r="J534" i="434"/>
  <c r="Q534" i="434" s="1"/>
  <c r="J535" i="434"/>
  <c r="Q535" i="434" s="1"/>
  <c r="W480" i="434"/>
  <c r="K509" i="434"/>
  <c r="T533" i="434" a="1"/>
  <c r="T533" i="434" s="1"/>
  <c r="K507" i="434" l="1"/>
  <c r="V507" i="434"/>
  <c r="N507" i="434"/>
  <c r="M507" i="434"/>
  <c r="H507" i="434"/>
  <c r="E514" i="434" s="1"/>
  <c r="E529" i="434"/>
  <c r="E526" i="434"/>
  <c r="B516" i="434"/>
  <c r="E516" i="434" s="1"/>
  <c r="K335" i="434"/>
  <c r="M335" i="434"/>
  <c r="H335" i="434"/>
  <c r="E342" i="434" s="1"/>
  <c r="N335" i="434"/>
  <c r="B344" i="434" s="1"/>
  <c r="E344" i="434" s="1"/>
  <c r="W335" i="434"/>
  <c r="C520" i="434"/>
  <c r="M164" i="434"/>
  <c r="N164" i="434"/>
  <c r="B173" i="434" s="1"/>
  <c r="E173" i="434" s="1"/>
  <c r="K164" i="434"/>
  <c r="E172" i="434" s="1"/>
  <c r="W164" i="434"/>
  <c r="V164" i="434"/>
  <c r="H164" i="434"/>
  <c r="E171" i="434" s="1"/>
  <c r="X173" i="434"/>
  <c r="Z166" i="434" s="1" a="1"/>
  <c r="Z166" i="434" s="1"/>
  <c r="E528" i="434"/>
  <c r="E527" i="434"/>
  <c r="E525" i="434"/>
  <c r="K513" i="434"/>
  <c r="M513" i="434" s="1"/>
  <c r="M509" i="434"/>
  <c r="S534" i="434" a="1"/>
  <c r="S534" i="434" s="1"/>
  <c r="R534" i="434"/>
  <c r="X516" i="434"/>
  <c r="Z509" i="434" s="1" a="1"/>
  <c r="Z509" i="434" s="1"/>
  <c r="R344" i="434"/>
  <c r="T337" i="434" s="1" a="1"/>
  <c r="T337" i="434" s="1"/>
  <c r="X344" i="434"/>
  <c r="Z337" i="434" s="1" a="1"/>
  <c r="Z337" i="434" s="1"/>
  <c r="K524" i="434"/>
  <c r="R173" i="434"/>
  <c r="T166" i="434" s="1" a="1"/>
  <c r="T166" i="434" s="1"/>
  <c r="S535" i="434" a="1"/>
  <c r="S535" i="434" s="1"/>
  <c r="R535" i="434"/>
  <c r="Q533" i="434"/>
  <c r="J536" i="434"/>
  <c r="K341" i="434"/>
  <c r="M341" i="434" s="1"/>
  <c r="M337" i="434"/>
  <c r="R516" i="434"/>
  <c r="T509" i="434" s="1" a="1"/>
  <c r="T509" i="434" s="1"/>
  <c r="I344" i="434"/>
  <c r="M344" i="434" s="1" a="1"/>
  <c r="M344" i="434" s="1"/>
  <c r="Q526" i="434"/>
  <c r="Q530" i="434" s="1"/>
  <c r="K170" i="434"/>
  <c r="M170" i="434" s="1"/>
  <c r="M166" i="434"/>
  <c r="J164" i="434" a="1"/>
  <c r="J164" i="434" s="1"/>
  <c r="M171" i="434" s="1"/>
  <c r="B171" i="434"/>
  <c r="C519" i="434" s="1"/>
  <c r="Z512" i="434" l="1"/>
  <c r="T338" i="434"/>
  <c r="Z341" i="434"/>
  <c r="Z170" i="434"/>
  <c r="Z338" i="434"/>
  <c r="Z342" i="434"/>
  <c r="Z339" i="434"/>
  <c r="Z171" i="434"/>
  <c r="Z167" i="434"/>
  <c r="C521" i="434"/>
  <c r="G521" i="434" s="1"/>
  <c r="Z513" i="434"/>
  <c r="S529" i="434"/>
  <c r="G519" i="434"/>
  <c r="Z343" i="434"/>
  <c r="Z510" i="434"/>
  <c r="Z514" i="434"/>
  <c r="Z168" i="434"/>
  <c r="Z340" i="434"/>
  <c r="Z511" i="434"/>
  <c r="Z515" i="434"/>
  <c r="Z169" i="434"/>
  <c r="Z172" i="434"/>
  <c r="E530" i="434"/>
  <c r="S525" i="434"/>
  <c r="S527" i="434"/>
  <c r="I173" i="434"/>
  <c r="I516" i="434"/>
  <c r="M516" i="434" s="1" a="1"/>
  <c r="M516" i="434" s="1"/>
  <c r="W507" i="434"/>
  <c r="O519" i="434" a="1"/>
  <c r="O519" i="434" s="1"/>
  <c r="E343" i="434"/>
  <c r="I343" i="434" s="1"/>
  <c r="M343" i="434" s="1"/>
  <c r="L335" i="434"/>
  <c r="I342" i="434" s="1"/>
  <c r="K530" i="434"/>
  <c r="T167" i="434"/>
  <c r="T168" i="434"/>
  <c r="T172" i="434"/>
  <c r="T169" i="434"/>
  <c r="T170" i="434"/>
  <c r="T171" i="434"/>
  <c r="S528" i="434"/>
  <c r="I172" i="434"/>
  <c r="M172" i="434" s="1"/>
  <c r="E515" i="434"/>
  <c r="I515" i="434" s="1"/>
  <c r="M515" i="434" s="1"/>
  <c r="L507" i="434"/>
  <c r="I514" i="434" s="1"/>
  <c r="T510" i="434"/>
  <c r="T512" i="434"/>
  <c r="T514" i="434"/>
  <c r="T513" i="434"/>
  <c r="T515" i="434"/>
  <c r="T511" i="434"/>
  <c r="Q536" i="434"/>
  <c r="S536" i="434" s="1" a="1"/>
  <c r="S536" i="434" s="1"/>
  <c r="S533" i="434" a="1"/>
  <c r="S533" i="434" s="1"/>
  <c r="R533" i="434"/>
  <c r="R536" i="434" s="1"/>
  <c r="T339" i="434"/>
  <c r="T341" i="434"/>
  <c r="T343" i="434"/>
  <c r="T340" i="434"/>
  <c r="T342" i="434"/>
  <c r="S524" i="434" a="1"/>
  <c r="S524" i="434" s="1"/>
  <c r="L164" i="434"/>
  <c r="I171" i="434" s="1"/>
  <c r="S526" i="434"/>
  <c r="M524" i="434" a="1"/>
  <c r="M524" i="434" s="1"/>
  <c r="M526" i="434" l="1"/>
  <c r="M529" i="434"/>
  <c r="M527" i="434"/>
  <c r="M525" i="434"/>
  <c r="M528" i="434"/>
  <c r="S530" i="434"/>
  <c r="G520" i="434"/>
  <c r="K521" i="434"/>
  <c r="O521" i="434" s="1" a="1"/>
  <c r="O521" i="434" s="1"/>
  <c r="M173" i="434" a="1"/>
  <c r="M173" i="434" s="1"/>
  <c r="K520" i="434" l="1"/>
  <c r="O520" i="434" s="1"/>
  <c r="K519" i="434"/>
</calcChain>
</file>

<file path=xl/comments1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112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75件返工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4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5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6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17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18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201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返工624件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3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退库返箱</t>
        </r>
      </text>
    </comment>
    <comment ref="G201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退库返箱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3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返工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<sst xmlns="http://schemas.openxmlformats.org/spreadsheetml/2006/main" count="22096" uniqueCount="553">
  <si>
    <t>充气乐园背包</t>
  </si>
  <si>
    <t>顽仔背包</t>
  </si>
  <si>
    <t>小翠花手提袋果冻</t>
  </si>
  <si>
    <t xml:space="preserve">新进 </t>
  </si>
  <si>
    <t xml:space="preserve">调入 </t>
  </si>
  <si>
    <t xml:space="preserve">调出 </t>
  </si>
  <si>
    <t xml:space="preserve">工休 </t>
  </si>
  <si>
    <t xml:space="preserve">借调 </t>
  </si>
  <si>
    <t xml:space="preserve">请假 </t>
  </si>
  <si>
    <t xml:space="preserve">旷工 </t>
  </si>
  <si>
    <t xml:space="preserve">早退 </t>
  </si>
  <si>
    <t xml:space="preserve">合计 </t>
  </si>
  <si>
    <t>物料编码</t>
    <phoneticPr fontId="4" type="noConversion"/>
  </si>
  <si>
    <t>封口不良/不严/旋盖不紧</t>
  </si>
  <si>
    <t>异常工时</t>
  </si>
  <si>
    <t>果肉类产品</t>
  </si>
  <si>
    <t>果味类产品</t>
  </si>
  <si>
    <t>吸吸类产品</t>
  </si>
  <si>
    <t>层层类产品</t>
  </si>
  <si>
    <t>自立袋类产品</t>
  </si>
  <si>
    <t>礼包类产品</t>
  </si>
  <si>
    <t>批号不清晰/打印错误</t>
  </si>
  <si>
    <t xml:space="preserve">            南京来一口食品有限公司</t>
    <phoneticPr fontId="4" type="noConversion"/>
  </si>
  <si>
    <t>包装车间生产日报表</t>
    <phoneticPr fontId="4" type="noConversion"/>
  </si>
  <si>
    <t>一、包装A班生产日报表</t>
    <phoneticPr fontId="4" type="noConversion"/>
  </si>
  <si>
    <t>产品名称</t>
    <phoneticPr fontId="4" type="noConversion"/>
  </si>
  <si>
    <t>品种</t>
    <phoneticPr fontId="4" type="noConversion"/>
  </si>
  <si>
    <t>规格</t>
    <phoneticPr fontId="4" type="noConversion"/>
  </si>
  <si>
    <t>生产订单号</t>
    <phoneticPr fontId="4" type="noConversion"/>
  </si>
  <si>
    <t>生产批号</t>
    <phoneticPr fontId="4" type="noConversion"/>
  </si>
  <si>
    <t>当班产量</t>
    <phoneticPr fontId="4" type="noConversion"/>
  </si>
  <si>
    <t>生产工时</t>
    <phoneticPr fontId="4" type="noConversion"/>
  </si>
  <si>
    <t>实际产能</t>
    <phoneticPr fontId="4" type="noConversion"/>
  </si>
  <si>
    <t>标准生产工时</t>
    <phoneticPr fontId="4" type="noConversion"/>
  </si>
  <si>
    <t>标准产能</t>
    <phoneticPr fontId="4" type="noConversion"/>
  </si>
  <si>
    <t>工时差异</t>
    <phoneticPr fontId="4" type="noConversion"/>
  </si>
  <si>
    <t>异常工时</t>
    <phoneticPr fontId="4" type="noConversion"/>
  </si>
  <si>
    <t>生产异常工时</t>
    <phoneticPr fontId="4" type="noConversion"/>
  </si>
  <si>
    <t>制程返箱（件）</t>
    <phoneticPr fontId="4" type="noConversion"/>
  </si>
  <si>
    <t>当班返箱率（%）</t>
    <phoneticPr fontId="4" type="noConversion"/>
  </si>
  <si>
    <t>返箱原因</t>
    <phoneticPr fontId="4" type="noConversion"/>
  </si>
  <si>
    <t>新工培训</t>
    <phoneticPr fontId="4" type="noConversion"/>
  </si>
  <si>
    <t>半成品不良处理</t>
    <phoneticPr fontId="4" type="noConversion"/>
  </si>
  <si>
    <t>材料异常处理</t>
    <phoneticPr fontId="4" type="noConversion"/>
  </si>
  <si>
    <t>批号不清晰/打印错误</t>
    <phoneticPr fontId="4" type="noConversion"/>
  </si>
  <si>
    <t>成品返箱</t>
    <phoneticPr fontId="4" type="noConversion"/>
  </si>
  <si>
    <t>设备故障</t>
    <phoneticPr fontId="4" type="noConversion"/>
  </si>
  <si>
    <t>其它</t>
    <phoneticPr fontId="4" type="noConversion"/>
  </si>
  <si>
    <t>果肉挂杯</t>
    <phoneticPr fontId="4" type="noConversion"/>
  </si>
  <si>
    <t>恶性异物</t>
    <phoneticPr fontId="4" type="noConversion"/>
  </si>
  <si>
    <t>箱/班</t>
    <phoneticPr fontId="4" type="noConversion"/>
  </si>
  <si>
    <t>kg/班</t>
    <phoneticPr fontId="4" type="noConversion"/>
  </si>
  <si>
    <t>30g果肉果冻</t>
    <phoneticPr fontId="4" type="noConversion"/>
  </si>
  <si>
    <t>香橙</t>
    <phoneticPr fontId="4" type="noConversion"/>
  </si>
  <si>
    <t>36g情人心语果肉果冻</t>
    <phoneticPr fontId="4" type="noConversion"/>
  </si>
  <si>
    <t>菠萝</t>
    <phoneticPr fontId="4" type="noConversion"/>
  </si>
  <si>
    <t>45g果肉果冻</t>
    <phoneticPr fontId="4" type="noConversion"/>
  </si>
  <si>
    <t>青提</t>
    <phoneticPr fontId="4" type="noConversion"/>
  </si>
  <si>
    <t>80g情人心语果冻</t>
    <phoneticPr fontId="4" type="noConversion"/>
  </si>
  <si>
    <t>92g果肉粒布甸果冻</t>
    <phoneticPr fontId="4" type="noConversion"/>
  </si>
  <si>
    <t>草莓</t>
    <phoneticPr fontId="4" type="noConversion"/>
  </si>
  <si>
    <t>芒果</t>
    <phoneticPr fontId="4" type="noConversion"/>
  </si>
  <si>
    <t>95g果肉果冻</t>
    <phoneticPr fontId="4" type="noConversion"/>
  </si>
  <si>
    <t>杂果</t>
    <phoneticPr fontId="4" type="noConversion"/>
  </si>
  <si>
    <t>黄桃</t>
    <phoneticPr fontId="4" type="noConversion"/>
  </si>
  <si>
    <t>荔枝</t>
    <phoneticPr fontId="4" type="noConversion"/>
  </si>
  <si>
    <t>苹果</t>
    <phoneticPr fontId="4" type="noConversion"/>
  </si>
  <si>
    <t>125g果肉果冻</t>
    <phoneticPr fontId="4" type="noConversion"/>
  </si>
  <si>
    <t>185g什锦果冻</t>
    <phoneticPr fontId="4" type="noConversion"/>
  </si>
  <si>
    <t>200g什锦果冻</t>
    <phoneticPr fontId="4" type="noConversion"/>
  </si>
  <si>
    <t>果肉类产品</t>
    <phoneticPr fontId="4" type="noConversion"/>
  </si>
  <si>
    <t>小计：</t>
    <phoneticPr fontId="4" type="noConversion"/>
  </si>
  <si>
    <t>玉米</t>
    <phoneticPr fontId="4" type="noConversion"/>
  </si>
  <si>
    <t>酸奶</t>
    <phoneticPr fontId="4" type="noConversion"/>
  </si>
  <si>
    <t>哈密瓜</t>
    <phoneticPr fontId="4" type="noConversion"/>
  </si>
  <si>
    <t>红苹果</t>
    <phoneticPr fontId="4" type="noConversion"/>
  </si>
  <si>
    <t>25g乳酸果冻</t>
    <phoneticPr fontId="4" type="noConversion"/>
  </si>
  <si>
    <t>香芋</t>
    <phoneticPr fontId="4" type="noConversion"/>
  </si>
  <si>
    <t>30g果冻条</t>
    <phoneticPr fontId="4" type="noConversion"/>
  </si>
  <si>
    <t>30g果味果冻</t>
    <phoneticPr fontId="4" type="noConversion"/>
  </si>
  <si>
    <t>30g椰果果冻</t>
    <phoneticPr fontId="4" type="noConversion"/>
  </si>
  <si>
    <t>42g布甸果冻</t>
    <phoneticPr fontId="4" type="noConversion"/>
  </si>
  <si>
    <t>鸡蛋</t>
    <phoneticPr fontId="4" type="noConversion"/>
  </si>
  <si>
    <t>45g奶香酪果冻</t>
    <phoneticPr fontId="4" type="noConversion"/>
  </si>
  <si>
    <t>60g果味果冻</t>
    <phoneticPr fontId="4" type="noConversion"/>
  </si>
  <si>
    <t>92g布甸果冻</t>
    <phoneticPr fontId="4" type="noConversion"/>
  </si>
  <si>
    <t>果味类产品</t>
    <phoneticPr fontId="4" type="noConversion"/>
  </si>
  <si>
    <t>50g兵器吸之冻</t>
    <phoneticPr fontId="4" type="noConversion"/>
  </si>
  <si>
    <t>65g可吸果冻</t>
    <phoneticPr fontId="4" type="noConversion"/>
  </si>
  <si>
    <t>乳酸</t>
    <phoneticPr fontId="4" type="noConversion"/>
  </si>
  <si>
    <t>78ml棒冰冰果味饮料</t>
    <phoneticPr fontId="4" type="noConversion"/>
  </si>
  <si>
    <t>130g可吸果冻爽</t>
    <phoneticPr fontId="4" type="noConversion"/>
  </si>
  <si>
    <t>吸吸类产品</t>
    <phoneticPr fontId="4" type="noConversion"/>
  </si>
  <si>
    <t>36g情人心语层层果冻</t>
    <phoneticPr fontId="4" type="noConversion"/>
  </si>
  <si>
    <t>红毛丹</t>
    <phoneticPr fontId="4" type="noConversion"/>
  </si>
  <si>
    <t>90g布甸果冻</t>
    <phoneticPr fontId="4" type="noConversion"/>
  </si>
  <si>
    <t>巧克力</t>
    <phoneticPr fontId="4" type="noConversion"/>
  </si>
  <si>
    <t>90g双层布甸果冻</t>
    <phoneticPr fontId="4" type="noConversion"/>
  </si>
  <si>
    <t>125g果味果司果冻</t>
    <phoneticPr fontId="4" type="noConversion"/>
  </si>
  <si>
    <t>层层类产品</t>
    <phoneticPr fontId="4" type="noConversion"/>
  </si>
  <si>
    <t>85g雪人吸吸果冻</t>
    <phoneticPr fontId="4" type="noConversion"/>
  </si>
  <si>
    <t>葡萄</t>
    <phoneticPr fontId="4" type="noConversion"/>
  </si>
  <si>
    <t>自立袋类产品</t>
    <phoneticPr fontId="4" type="noConversion"/>
  </si>
  <si>
    <t>卡通猫玩具</t>
    <phoneticPr fontId="4" type="noConversion"/>
  </si>
  <si>
    <t>6粒袋喜庆果冻</t>
    <phoneticPr fontId="4" type="noConversion"/>
  </si>
  <si>
    <t>624ml棒冰冰风味饮料</t>
    <phoneticPr fontId="4" type="noConversion"/>
  </si>
  <si>
    <t>礼包类产品</t>
    <phoneticPr fontId="4" type="noConversion"/>
  </si>
  <si>
    <t>其他类产品</t>
    <phoneticPr fontId="4" type="noConversion"/>
  </si>
  <si>
    <t>合计：</t>
    <phoneticPr fontId="4" type="noConversion"/>
  </si>
  <si>
    <t>当班辅助岗位</t>
    <phoneticPr fontId="4" type="noConversion"/>
  </si>
  <si>
    <t>岗位</t>
    <phoneticPr fontId="4" type="noConversion"/>
  </si>
  <si>
    <t>实际人力配置</t>
    <phoneticPr fontId="4" type="noConversion"/>
  </si>
  <si>
    <t>实际生产工时</t>
    <phoneticPr fontId="4" type="noConversion"/>
  </si>
  <si>
    <t>标准人力配置</t>
    <phoneticPr fontId="4" type="noConversion"/>
  </si>
  <si>
    <t>标准工时</t>
    <phoneticPr fontId="4" type="noConversion"/>
  </si>
  <si>
    <t>异常工时占比</t>
    <phoneticPr fontId="4" type="noConversion"/>
  </si>
  <si>
    <t>生产异常工时分析</t>
    <phoneticPr fontId="4" type="noConversion"/>
  </si>
  <si>
    <t>按产品结构分类</t>
    <phoneticPr fontId="4" type="noConversion"/>
  </si>
  <si>
    <t>占比</t>
    <phoneticPr fontId="4" type="noConversion"/>
  </si>
  <si>
    <t>按异常类别分析</t>
    <phoneticPr fontId="4" type="noConversion"/>
  </si>
  <si>
    <t>转接产品</t>
    <phoneticPr fontId="4" type="noConversion"/>
  </si>
  <si>
    <t>打码喷码</t>
    <phoneticPr fontId="4" type="noConversion"/>
  </si>
  <si>
    <t>打扫卫生</t>
    <phoneticPr fontId="4" type="noConversion"/>
  </si>
  <si>
    <t>合计</t>
    <phoneticPr fontId="4" type="noConversion"/>
  </si>
  <si>
    <t>当班产量(kg/班)</t>
    <phoneticPr fontId="4" type="noConversion"/>
  </si>
  <si>
    <t>当班生产工时</t>
    <phoneticPr fontId="4" type="noConversion"/>
  </si>
  <si>
    <t>当班返箱数</t>
    <phoneticPr fontId="4" type="noConversion"/>
  </si>
  <si>
    <t>当班返箱率</t>
    <phoneticPr fontId="4" type="noConversion"/>
  </si>
  <si>
    <t>二、包装B班生产日报表</t>
    <phoneticPr fontId="4" type="noConversion"/>
  </si>
  <si>
    <t>三、包装C班生产日报表</t>
    <phoneticPr fontId="4" type="noConversion"/>
  </si>
  <si>
    <t>类别</t>
    <phoneticPr fontId="4" type="noConversion"/>
  </si>
  <si>
    <t>当天产量</t>
    <phoneticPr fontId="4" type="noConversion"/>
  </si>
  <si>
    <t>班别</t>
    <phoneticPr fontId="4" type="noConversion"/>
  </si>
  <si>
    <t xml:space="preserve">在编人数 </t>
    <phoneticPr fontId="4" type="noConversion"/>
  </si>
  <si>
    <t xml:space="preserve">昨天人数 </t>
    <phoneticPr fontId="4" type="noConversion"/>
  </si>
  <si>
    <t xml:space="preserve">应出勤人数 </t>
    <phoneticPr fontId="4" type="noConversion"/>
  </si>
  <si>
    <t>迟到</t>
    <phoneticPr fontId="4" type="noConversion"/>
  </si>
  <si>
    <t xml:space="preserve">已辞职 </t>
    <phoneticPr fontId="4" type="noConversion"/>
  </si>
  <si>
    <t>已自离</t>
    <phoneticPr fontId="4" type="noConversion"/>
  </si>
  <si>
    <t xml:space="preserve">实际出勤人数 </t>
    <phoneticPr fontId="4" type="noConversion"/>
  </si>
  <si>
    <t>实际出勤工时</t>
    <phoneticPr fontId="4" type="noConversion"/>
  </si>
  <si>
    <t xml:space="preserve">人员出勤率 </t>
    <phoneticPr fontId="4" type="noConversion"/>
  </si>
  <si>
    <t>人员流失率</t>
    <phoneticPr fontId="4" type="noConversion"/>
  </si>
  <si>
    <t>包装A班</t>
    <phoneticPr fontId="4" type="noConversion"/>
  </si>
  <si>
    <t>包装B班</t>
    <phoneticPr fontId="4" type="noConversion"/>
  </si>
  <si>
    <t>包装C班</t>
    <phoneticPr fontId="4" type="noConversion"/>
  </si>
  <si>
    <t>批准：</t>
    <phoneticPr fontId="4" type="noConversion"/>
  </si>
  <si>
    <t>审核：</t>
    <phoneticPr fontId="4" type="noConversion"/>
  </si>
  <si>
    <t>当班异常工时</t>
  </si>
  <si>
    <t>异常工时占比</t>
  </si>
  <si>
    <t>生产工时与标准差异</t>
    <phoneticPr fontId="4" type="noConversion"/>
  </si>
  <si>
    <t>生产工时差异占比</t>
    <phoneticPr fontId="4" type="noConversion"/>
  </si>
  <si>
    <t>当月产量(箱/班)</t>
    <phoneticPr fontId="4" type="noConversion"/>
  </si>
  <si>
    <t>当月生产工时</t>
    <phoneticPr fontId="4" type="noConversion"/>
  </si>
  <si>
    <t>当月异常工时</t>
    <phoneticPr fontId="12" type="noConversion"/>
  </si>
  <si>
    <t>当月产量(kg/班)</t>
    <phoneticPr fontId="4" type="noConversion"/>
  </si>
  <si>
    <t>当月返箱率</t>
    <phoneticPr fontId="4" type="noConversion"/>
  </si>
  <si>
    <t>当班产量(箱/班)</t>
    <phoneticPr fontId="4" type="noConversion"/>
  </si>
  <si>
    <t>当月返箱数</t>
    <phoneticPr fontId="4" type="noConversion"/>
  </si>
  <si>
    <t>乳酸果冻（粉色猪卡通罐）</t>
    <phoneticPr fontId="4" type="noConversion"/>
  </si>
  <si>
    <t>乳酸果冻（白色熊卡通罐）</t>
    <phoneticPr fontId="4" type="noConversion"/>
  </si>
  <si>
    <t>160g果肉</t>
    <phoneticPr fontId="4" type="noConversion"/>
  </si>
  <si>
    <t>50ml棒冰冰风味饮料</t>
    <phoneticPr fontId="4" type="noConversion"/>
  </si>
  <si>
    <t>果肉：指标18件/人/h</t>
  </si>
  <si>
    <t>果味：指标35件/人/h</t>
  </si>
  <si>
    <t>吸吸：指标10.5件/人/h</t>
  </si>
  <si>
    <t>层层：指标23件/人/h</t>
  </si>
  <si>
    <t>礼包：指标5.5件/人/h</t>
  </si>
  <si>
    <t>A</t>
    <phoneticPr fontId="12" type="noConversion"/>
  </si>
  <si>
    <t>B</t>
    <phoneticPr fontId="12" type="noConversion"/>
  </si>
  <si>
    <t>C</t>
    <phoneticPr fontId="12" type="noConversion"/>
  </si>
  <si>
    <t>95g鲜果</t>
    <phoneticPr fontId="15" type="noConversion"/>
  </si>
  <si>
    <t>苹果</t>
    <phoneticPr fontId="15" type="noConversion"/>
  </si>
  <si>
    <t>雪梨</t>
    <phoneticPr fontId="15" type="noConversion"/>
  </si>
  <si>
    <t>产量</t>
    <phoneticPr fontId="12" type="noConversion"/>
  </si>
  <si>
    <t>工时</t>
    <phoneticPr fontId="12" type="noConversion"/>
  </si>
  <si>
    <t>重量</t>
    <phoneticPr fontId="12" type="noConversion"/>
  </si>
  <si>
    <t>香橙</t>
    <phoneticPr fontId="17" type="noConversion"/>
  </si>
  <si>
    <r>
      <t>30g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</si>
  <si>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香橙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</si>
  <si>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情人心语果肉果冻</t>
    </r>
    <phoneticPr fontId="4" type="noConversion"/>
  </si>
  <si>
    <r>
      <rPr>
        <sz val="11"/>
        <rFont val="楷体_GB2312"/>
        <family val="3"/>
        <charset val="134"/>
      </rPr>
      <t>菠萝</t>
    </r>
    <phoneticPr fontId="4" type="noConversion"/>
  </si>
  <si>
    <r>
      <t>45g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</si>
  <si>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青提</t>
    </r>
    <phoneticPr fontId="4" type="noConversion"/>
  </si>
  <si>
    <r>
      <t>80g</t>
    </r>
    <r>
      <rPr>
        <sz val="11"/>
        <rFont val="楷体_GB2312"/>
        <family val="3"/>
        <charset val="134"/>
      </rPr>
      <t>情人心语果冻</t>
    </r>
    <phoneticPr fontId="4" type="noConversion"/>
  </si>
  <si>
    <r>
      <t>92g</t>
    </r>
    <r>
      <rPr>
        <sz val="11"/>
        <rFont val="楷体_GB2312"/>
        <family val="3"/>
        <charset val="134"/>
      </rPr>
      <t>果肉粒布甸果冻</t>
    </r>
    <phoneticPr fontId="4" type="noConversion"/>
  </si>
  <si>
    <r>
      <rPr>
        <sz val="11"/>
        <rFont val="楷体_GB2312"/>
        <family val="3"/>
        <charset val="134"/>
      </rPr>
      <t>草莓</t>
    </r>
    <phoneticPr fontId="4" type="noConversion"/>
  </si>
  <si>
    <r>
      <rPr>
        <sz val="11"/>
        <rFont val="楷体_GB2312"/>
        <family val="3"/>
        <charset val="134"/>
      </rPr>
      <t>芒果</t>
    </r>
    <phoneticPr fontId="4" type="noConversion"/>
  </si>
  <si>
    <r>
      <t>95g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</si>
  <si>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杂果</t>
    </r>
    <phoneticPr fontId="4" type="noConversion"/>
  </si>
  <si>
    <r>
      <rPr>
        <sz val="11"/>
        <rFont val="楷体_GB2312"/>
        <family val="3"/>
        <charset val="134"/>
      </rPr>
      <t>黄桃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</si>
  <si>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</si>
  <si>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rPr>
        <sz val="11"/>
        <rFont val="楷体_GB2312"/>
        <family val="3"/>
        <charset val="134"/>
      </rPr>
      <t>苹果</t>
    </r>
    <phoneticPr fontId="15" type="noConversion"/>
  </si>
  <si>
    <r>
      <rPr>
        <sz val="11"/>
        <rFont val="楷体_GB2312"/>
        <family val="3"/>
        <charset val="134"/>
      </rPr>
      <t>雪梨</t>
    </r>
    <phoneticPr fontId="15" type="noConversion"/>
  </si>
  <si>
    <r>
      <rPr>
        <sz val="11"/>
        <rFont val="楷体_GB2312"/>
        <family val="3"/>
        <charset val="134"/>
      </rPr>
      <t>荔枝</t>
    </r>
    <phoneticPr fontId="4" type="noConversion"/>
  </si>
  <si>
    <r>
      <rPr>
        <sz val="11"/>
        <rFont val="楷体_GB2312"/>
        <family val="3"/>
        <charset val="134"/>
      </rPr>
      <t>苹果</t>
    </r>
    <phoneticPr fontId="4" type="noConversion"/>
  </si>
  <si>
    <r>
      <t>125g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</si>
  <si>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185g</t>
    </r>
    <r>
      <rPr>
        <sz val="11"/>
        <rFont val="楷体_GB2312"/>
        <family val="3"/>
        <charset val="134"/>
      </rPr>
      <t>什锦果冻</t>
    </r>
    <phoneticPr fontId="4" type="noConversion"/>
  </si>
  <si>
    <r>
      <t>160g</t>
    </r>
    <r>
      <rPr>
        <sz val="11"/>
        <rFont val="楷体_GB2312"/>
        <family val="3"/>
        <charset val="134"/>
      </rPr>
      <t>果肉</t>
    </r>
    <phoneticPr fontId="4" type="noConversion"/>
  </si>
  <si>
    <r>
      <rPr>
        <sz val="11"/>
        <rFont val="楷体_GB2312"/>
        <family val="3"/>
        <charset val="134"/>
      </rPr>
      <t>酸奶</t>
    </r>
    <phoneticPr fontId="4" type="noConversion"/>
  </si>
  <si>
    <r>
      <t>200g</t>
    </r>
    <r>
      <rPr>
        <sz val="11"/>
        <rFont val="楷体_GB2312"/>
        <family val="3"/>
        <charset val="134"/>
      </rPr>
      <t>什锦果冻</t>
    </r>
    <phoneticPr fontId="4" type="noConversion"/>
  </si>
  <si>
    <r>
      <rPr>
        <sz val="11"/>
        <rFont val="楷体_GB2312"/>
        <family val="3"/>
        <charset val="134"/>
      </rPr>
      <t>果肉类产品</t>
    </r>
    <phoneticPr fontId="4" type="noConversion"/>
  </si>
  <si>
    <r>
      <rPr>
        <sz val="11"/>
        <rFont val="楷体_GB2312"/>
        <family val="3"/>
        <charset val="134"/>
      </rPr>
      <t>小计：</t>
    </r>
    <phoneticPr fontId="4" type="noConversion"/>
  </si>
  <si>
    <r>
      <rPr>
        <sz val="11"/>
        <rFont val="楷体_GB2312"/>
        <family val="3"/>
        <charset val="134"/>
      </rPr>
      <t>玉米</t>
    </r>
    <phoneticPr fontId="4" type="noConversion"/>
  </si>
  <si>
    <r>
      <rPr>
        <sz val="11"/>
        <rFont val="楷体_GB2312"/>
        <family val="3"/>
        <charset val="134"/>
      </rPr>
      <t>哈密瓜</t>
    </r>
    <phoneticPr fontId="4" type="noConversion"/>
  </si>
  <si>
    <r>
      <rPr>
        <sz val="11"/>
        <rFont val="楷体_GB2312"/>
        <family val="3"/>
        <charset val="134"/>
      </rPr>
      <t>红苹果</t>
    </r>
    <phoneticPr fontId="4" type="noConversion"/>
  </si>
  <si>
    <r>
      <t>25g</t>
    </r>
    <r>
      <rPr>
        <sz val="11"/>
        <rFont val="楷体_GB2312"/>
        <family val="3"/>
        <charset val="134"/>
      </rPr>
      <t>乳酸果冻</t>
    </r>
    <phoneticPr fontId="4" type="noConversion"/>
  </si>
  <si>
    <r>
      <rPr>
        <sz val="11"/>
        <rFont val="楷体_GB2312"/>
        <family val="3"/>
        <charset val="134"/>
      </rPr>
      <t>香芋</t>
    </r>
    <phoneticPr fontId="4" type="noConversion"/>
  </si>
  <si>
    <r>
      <t>30g</t>
    </r>
    <r>
      <rPr>
        <sz val="11"/>
        <rFont val="楷体_GB2312"/>
        <family val="3"/>
        <charset val="134"/>
      </rPr>
      <t>果冻条</t>
    </r>
    <phoneticPr fontId="4" type="noConversion"/>
  </si>
  <si>
    <r>
      <t>30g</t>
    </r>
    <r>
      <rPr>
        <sz val="11"/>
        <rFont val="楷体_GB2312"/>
        <family val="3"/>
        <charset val="134"/>
      </rPr>
      <t>果味果冻</t>
    </r>
    <phoneticPr fontId="4" type="noConversion"/>
  </si>
  <si>
    <r>
      <t>30g</t>
    </r>
    <r>
      <rPr>
        <sz val="11"/>
        <rFont val="楷体_GB2312"/>
        <family val="3"/>
        <charset val="134"/>
      </rPr>
      <t>椰果果冻</t>
    </r>
    <phoneticPr fontId="4" type="noConversion"/>
  </si>
  <si>
    <r>
      <t>42g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</si>
  <si>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鸡蛋</t>
    </r>
    <phoneticPr fontId="4" type="noConversion"/>
  </si>
  <si>
    <r>
      <t>45g</t>
    </r>
    <r>
      <rPr>
        <sz val="11"/>
        <rFont val="楷体_GB2312"/>
        <family val="3"/>
        <charset val="134"/>
      </rPr>
      <t>奶香酪果冻</t>
    </r>
    <phoneticPr fontId="4" type="noConversion"/>
  </si>
  <si>
    <r>
      <t>60g</t>
    </r>
    <r>
      <rPr>
        <sz val="11"/>
        <rFont val="楷体_GB2312"/>
        <family val="3"/>
        <charset val="134"/>
      </rPr>
      <t>果味果冻</t>
    </r>
    <phoneticPr fontId="4" type="noConversion"/>
  </si>
  <si>
    <r>
      <t>92g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</si>
  <si>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果味类产品</t>
    </r>
    <phoneticPr fontId="4" type="noConversion"/>
  </si>
  <si>
    <r>
      <t>50g</t>
    </r>
    <r>
      <rPr>
        <sz val="11"/>
        <rFont val="楷体_GB2312"/>
        <family val="3"/>
        <charset val="134"/>
      </rPr>
      <t>兵器吸之冻</t>
    </r>
    <phoneticPr fontId="4" type="noConversion"/>
  </si>
  <si>
    <r>
      <rPr>
        <sz val="11"/>
        <rFont val="楷体_GB2312"/>
        <family val="3"/>
        <charset val="134"/>
      </rPr>
      <t>香橙</t>
    </r>
    <phoneticPr fontId="17" type="noConversion"/>
  </si>
  <si>
    <r>
      <t>50ml</t>
    </r>
    <r>
      <rPr>
        <sz val="11"/>
        <rFont val="楷体_GB2312"/>
        <family val="3"/>
        <charset val="134"/>
      </rPr>
      <t>棒冰冰风味饮料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</si>
  <si>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</si>
  <si>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rPr>
        <sz val="11"/>
        <rFont val="楷体_GB2312"/>
        <family val="3"/>
        <charset val="134"/>
      </rPr>
      <t>乳酸</t>
    </r>
    <phoneticPr fontId="4" type="noConversion"/>
  </si>
  <si>
    <r>
      <t>78ml</t>
    </r>
    <r>
      <rPr>
        <sz val="11"/>
        <rFont val="楷体_GB2312"/>
        <family val="3"/>
        <charset val="134"/>
      </rPr>
      <t>棒冰冰果味饮料</t>
    </r>
    <phoneticPr fontId="4" type="noConversion"/>
  </si>
  <si>
    <r>
      <t>130g</t>
    </r>
    <r>
      <rPr>
        <sz val="11"/>
        <rFont val="楷体_GB2312"/>
        <family val="3"/>
        <charset val="134"/>
      </rPr>
      <t>可吸果冻爽</t>
    </r>
    <phoneticPr fontId="4" type="noConversion"/>
  </si>
  <si>
    <r>
      <rPr>
        <sz val="11"/>
        <rFont val="楷体_GB2312"/>
        <family val="3"/>
        <charset val="134"/>
      </rPr>
      <t>吸吸类产品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</si>
  <si>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情人心语层层果冻</t>
    </r>
    <phoneticPr fontId="4" type="noConversion"/>
  </si>
  <si>
    <r>
      <rPr>
        <sz val="11"/>
        <rFont val="楷体_GB2312"/>
        <family val="3"/>
        <charset val="134"/>
      </rPr>
      <t>红毛丹</t>
    </r>
    <phoneticPr fontId="4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</si>
  <si>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</si>
  <si>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巧克力</t>
    </r>
    <phoneticPr fontId="4" type="noConversion"/>
  </si>
  <si>
    <r>
      <t>90g</t>
    </r>
    <r>
      <rPr>
        <sz val="11"/>
        <rFont val="楷体_GB2312"/>
        <family val="3"/>
        <charset val="134"/>
      </rPr>
      <t>双层布甸果冻</t>
    </r>
    <phoneticPr fontId="4" type="noConversion"/>
  </si>
  <si>
    <r>
      <t>125g</t>
    </r>
    <r>
      <rPr>
        <sz val="11"/>
        <rFont val="楷体_GB2312"/>
        <family val="3"/>
        <charset val="134"/>
      </rPr>
      <t>果味果司果冻</t>
    </r>
    <phoneticPr fontId="4" type="noConversion"/>
  </si>
  <si>
    <r>
      <rPr>
        <sz val="11"/>
        <rFont val="楷体_GB2312"/>
        <family val="3"/>
        <charset val="134"/>
      </rPr>
      <t>层层类产品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</si>
  <si>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</si>
  <si>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rPr>
        <sz val="11"/>
        <rFont val="楷体_GB2312"/>
        <family val="3"/>
        <charset val="134"/>
      </rPr>
      <t>葡萄</t>
    </r>
    <phoneticPr fontId="4" type="noConversion"/>
  </si>
  <si>
    <r>
      <rPr>
        <sz val="11"/>
        <rFont val="楷体_GB2312"/>
        <family val="3"/>
        <charset val="134"/>
      </rPr>
      <t>自立袋类产品</t>
    </r>
    <phoneticPr fontId="4" type="noConversion"/>
  </si>
  <si>
    <r>
      <rPr>
        <sz val="11"/>
        <rFont val="楷体_GB2312"/>
        <family val="3"/>
        <charset val="134"/>
      </rPr>
      <t>卡通猫玩具</t>
    </r>
    <phoneticPr fontId="4" type="noConversion"/>
  </si>
  <si>
    <r>
      <rPr>
        <sz val="11"/>
        <rFont val="楷体_GB2312"/>
        <family val="3"/>
        <charset val="134"/>
      </rPr>
      <t>充气乐园背包</t>
    </r>
  </si>
  <si>
    <r>
      <rPr>
        <sz val="11"/>
        <rFont val="楷体_GB2312"/>
        <family val="3"/>
        <charset val="134"/>
      </rPr>
      <t>顽仔背包</t>
    </r>
  </si>
  <si>
    <r>
      <rPr>
        <sz val="11"/>
        <rFont val="楷体_GB2312"/>
        <family val="3"/>
        <charset val="134"/>
      </rPr>
      <t>小翠花手提袋果冻</t>
    </r>
  </si>
  <si>
    <r>
      <t>6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</si>
  <si>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rPr>
        <sz val="11"/>
        <rFont val="楷体_GB2312"/>
        <family val="3"/>
        <charset val="134"/>
      </rPr>
      <t>乳酸果冻（小鸟卡通罐）</t>
    </r>
    <phoneticPr fontId="4" type="noConversion"/>
  </si>
  <si>
    <r>
      <t>624ml</t>
    </r>
    <r>
      <rPr>
        <sz val="11"/>
        <rFont val="楷体_GB2312"/>
        <family val="3"/>
        <charset val="134"/>
      </rPr>
      <t>棒冰冰风味饮料</t>
    </r>
    <phoneticPr fontId="4" type="noConversion"/>
  </si>
  <si>
    <r>
      <rPr>
        <sz val="11"/>
        <rFont val="楷体_GB2312"/>
        <family val="3"/>
        <charset val="134"/>
      </rPr>
      <t>乳酸果冻（粉色猪卡通罐）</t>
    </r>
    <phoneticPr fontId="4" type="noConversion"/>
  </si>
  <si>
    <r>
      <rPr>
        <sz val="11"/>
        <rFont val="楷体_GB2312"/>
        <family val="3"/>
        <charset val="134"/>
      </rPr>
      <t>乳酸果冻（白色熊卡通罐）</t>
    </r>
    <phoneticPr fontId="4" type="noConversion"/>
  </si>
  <si>
    <r>
      <rPr>
        <sz val="11"/>
        <rFont val="楷体_GB2312"/>
        <family val="3"/>
        <charset val="134"/>
      </rPr>
      <t>礼包类产品</t>
    </r>
    <phoneticPr fontId="4" type="noConversion"/>
  </si>
  <si>
    <r>
      <rPr>
        <sz val="11"/>
        <rFont val="楷体_GB2312"/>
        <family val="3"/>
        <charset val="134"/>
      </rPr>
      <t>其他类产品</t>
    </r>
    <phoneticPr fontId="4" type="noConversion"/>
  </si>
  <si>
    <r>
      <rPr>
        <sz val="11"/>
        <rFont val="楷体_GB2312"/>
        <family val="3"/>
        <charset val="134"/>
      </rPr>
      <t>合计：</t>
    </r>
    <phoneticPr fontId="4" type="noConversion"/>
  </si>
  <si>
    <r>
      <rPr>
        <sz val="11"/>
        <rFont val="楷体_GB2312"/>
        <family val="3"/>
        <charset val="134"/>
      </rPr>
      <t>岗位</t>
    </r>
    <phoneticPr fontId="4" type="noConversion"/>
  </si>
  <si>
    <r>
      <rPr>
        <sz val="11"/>
        <rFont val="楷体_GB2312"/>
        <family val="3"/>
        <charset val="134"/>
      </rPr>
      <t>实际人力配置</t>
    </r>
    <phoneticPr fontId="4" type="noConversion"/>
  </si>
  <si>
    <r>
      <rPr>
        <sz val="11"/>
        <rFont val="楷体_GB2312"/>
        <family val="3"/>
        <charset val="134"/>
      </rPr>
      <t>实际生产工时</t>
    </r>
    <phoneticPr fontId="4" type="noConversion"/>
  </si>
  <si>
    <r>
      <rPr>
        <sz val="11"/>
        <rFont val="楷体_GB2312"/>
        <family val="3"/>
        <charset val="134"/>
      </rPr>
      <t>标准人力配置</t>
    </r>
    <phoneticPr fontId="4" type="noConversion"/>
  </si>
  <si>
    <r>
      <rPr>
        <sz val="11"/>
        <rFont val="楷体_GB2312"/>
        <family val="3"/>
        <charset val="134"/>
      </rPr>
      <t>标准工时</t>
    </r>
    <phoneticPr fontId="4" type="noConversion"/>
  </si>
  <si>
    <r>
      <rPr>
        <sz val="11"/>
        <rFont val="楷体_GB2312"/>
        <family val="3"/>
        <charset val="134"/>
      </rPr>
      <t>异常工时</t>
    </r>
    <phoneticPr fontId="4" type="noConversion"/>
  </si>
  <si>
    <r>
      <rPr>
        <sz val="11"/>
        <rFont val="楷体_GB2312"/>
        <family val="3"/>
        <charset val="134"/>
      </rPr>
      <t>异常工时占比</t>
    </r>
    <phoneticPr fontId="4" type="noConversion"/>
  </si>
  <si>
    <r>
      <rPr>
        <sz val="11"/>
        <rFont val="楷体_GB2312"/>
        <family val="3"/>
        <charset val="134"/>
      </rPr>
      <t>生产异常工时分析</t>
    </r>
    <phoneticPr fontId="4" type="noConversion"/>
  </si>
  <si>
    <r>
      <rPr>
        <sz val="11"/>
        <rFont val="楷体_GB2312"/>
        <family val="3"/>
        <charset val="134"/>
      </rPr>
      <t>按产品结构分类</t>
    </r>
    <phoneticPr fontId="4" type="noConversion"/>
  </si>
  <si>
    <r>
      <rPr>
        <sz val="11"/>
        <rFont val="楷体_GB2312"/>
        <family val="3"/>
        <charset val="134"/>
      </rPr>
      <t>占比</t>
    </r>
    <phoneticPr fontId="4" type="noConversion"/>
  </si>
  <si>
    <r>
      <rPr>
        <sz val="11"/>
        <rFont val="楷体_GB2312"/>
        <family val="3"/>
        <charset val="134"/>
      </rPr>
      <t>按异常类别分析</t>
    </r>
    <phoneticPr fontId="4" type="noConversion"/>
  </si>
  <si>
    <r>
      <rPr>
        <sz val="11"/>
        <rFont val="楷体_GB2312"/>
        <family val="3"/>
        <charset val="134"/>
      </rPr>
      <t>转接产品</t>
    </r>
    <phoneticPr fontId="4" type="noConversion"/>
  </si>
  <si>
    <r>
      <rPr>
        <sz val="11"/>
        <rFont val="楷体_GB2312"/>
        <family val="3"/>
        <charset val="134"/>
      </rPr>
      <t>新工培训</t>
    </r>
    <phoneticPr fontId="4" type="noConversion"/>
  </si>
  <si>
    <r>
      <rPr>
        <sz val="11"/>
        <rFont val="楷体_GB2312"/>
        <family val="3"/>
        <charset val="134"/>
      </rPr>
      <t>打码喷码</t>
    </r>
    <phoneticPr fontId="4" type="noConversion"/>
  </si>
  <si>
    <r>
      <rPr>
        <sz val="11"/>
        <rFont val="楷体_GB2312"/>
        <family val="3"/>
        <charset val="134"/>
      </rPr>
      <t>半成品不良处理</t>
    </r>
    <phoneticPr fontId="4" type="noConversion"/>
  </si>
  <si>
    <r>
      <rPr>
        <sz val="11"/>
        <rFont val="楷体_GB2312"/>
        <family val="3"/>
        <charset val="134"/>
      </rPr>
      <t>打扫卫生</t>
    </r>
    <phoneticPr fontId="4" type="noConversion"/>
  </si>
  <si>
    <r>
      <rPr>
        <sz val="11"/>
        <rFont val="楷体_GB2312"/>
        <family val="3"/>
        <charset val="134"/>
      </rPr>
      <t>材料异常处理</t>
    </r>
    <phoneticPr fontId="4" type="noConversion"/>
  </si>
  <si>
    <r>
      <rPr>
        <sz val="11"/>
        <rFont val="楷体_GB2312"/>
        <family val="3"/>
        <charset val="134"/>
      </rPr>
      <t>其它</t>
    </r>
    <phoneticPr fontId="4" type="noConversion"/>
  </si>
  <si>
    <r>
      <rPr>
        <sz val="11"/>
        <rFont val="楷体_GB2312"/>
        <family val="3"/>
        <charset val="134"/>
      </rPr>
      <t>批号不清晰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打印错误</t>
    </r>
    <phoneticPr fontId="4" type="noConversion"/>
  </si>
  <si>
    <r>
      <rPr>
        <sz val="11"/>
        <rFont val="楷体_GB2312"/>
        <family val="3"/>
        <charset val="134"/>
      </rPr>
      <t>合计</t>
    </r>
    <phoneticPr fontId="4" type="noConversion"/>
  </si>
  <si>
    <r>
      <rPr>
        <sz val="11"/>
        <rFont val="楷体_GB2312"/>
        <family val="3"/>
        <charset val="134"/>
      </rPr>
      <t>成品返箱</t>
    </r>
    <phoneticPr fontId="4" type="noConversion"/>
  </si>
  <si>
    <r>
      <rPr>
        <sz val="11"/>
        <rFont val="楷体_GB2312"/>
        <family val="3"/>
        <charset val="134"/>
      </rPr>
      <t>当班产量</t>
    </r>
    <r>
      <rPr>
        <sz val="11"/>
        <rFont val="Times New Roman"/>
        <family val="1"/>
      </rPr>
      <t>(</t>
    </r>
    <r>
      <rPr>
        <sz val="11"/>
        <rFont val="楷体_GB2312"/>
        <family val="3"/>
        <charset val="134"/>
      </rPr>
      <t>箱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班</t>
    </r>
    <r>
      <rPr>
        <sz val="11"/>
        <rFont val="Times New Roman"/>
        <family val="1"/>
      </rPr>
      <t>)</t>
    </r>
    <phoneticPr fontId="4" type="noConversion"/>
  </si>
  <si>
    <r>
      <rPr>
        <sz val="11"/>
        <rFont val="楷体_GB2312"/>
        <family val="3"/>
        <charset val="134"/>
      </rPr>
      <t>当班产量</t>
    </r>
    <r>
      <rPr>
        <sz val="11"/>
        <rFont val="Times New Roman"/>
        <family val="1"/>
      </rPr>
      <t>(kg/</t>
    </r>
    <r>
      <rPr>
        <sz val="11"/>
        <rFont val="楷体_GB2312"/>
        <family val="3"/>
        <charset val="134"/>
      </rPr>
      <t>班</t>
    </r>
    <r>
      <rPr>
        <sz val="11"/>
        <rFont val="Times New Roman"/>
        <family val="1"/>
      </rPr>
      <t>)</t>
    </r>
    <phoneticPr fontId="4" type="noConversion"/>
  </si>
  <si>
    <r>
      <rPr>
        <sz val="11"/>
        <rFont val="楷体_GB2312"/>
        <family val="3"/>
        <charset val="134"/>
      </rPr>
      <t>标准产能</t>
    </r>
    <phoneticPr fontId="4" type="noConversion"/>
  </si>
  <si>
    <r>
      <rPr>
        <sz val="11"/>
        <rFont val="楷体_GB2312"/>
        <family val="3"/>
        <charset val="134"/>
      </rPr>
      <t>实际产能</t>
    </r>
    <phoneticPr fontId="4" type="noConversion"/>
  </si>
  <si>
    <r>
      <rPr>
        <sz val="11"/>
        <rFont val="楷体_GB2312"/>
        <family val="3"/>
        <charset val="134"/>
      </rPr>
      <t>设备故障</t>
    </r>
    <phoneticPr fontId="4" type="noConversion"/>
  </si>
  <si>
    <r>
      <rPr>
        <sz val="11"/>
        <rFont val="楷体_GB2312"/>
        <family val="3"/>
        <charset val="134"/>
      </rPr>
      <t>当班生产工时</t>
    </r>
    <phoneticPr fontId="4" type="noConversion"/>
  </si>
  <si>
    <r>
      <rPr>
        <sz val="11"/>
        <rFont val="楷体_GB2312"/>
        <family val="3"/>
        <charset val="134"/>
      </rPr>
      <t>生产工时与标准差异</t>
    </r>
    <phoneticPr fontId="4" type="noConversion"/>
  </si>
  <si>
    <r>
      <rPr>
        <sz val="11"/>
        <rFont val="楷体_GB2312"/>
        <family val="3"/>
        <charset val="134"/>
      </rPr>
      <t>生产工时差异占比</t>
    </r>
    <phoneticPr fontId="4" type="noConversion"/>
  </si>
  <si>
    <r>
      <rPr>
        <sz val="11"/>
        <rFont val="楷体_GB2312"/>
        <family val="3"/>
        <charset val="134"/>
      </rPr>
      <t>当班异常工时</t>
    </r>
  </si>
  <si>
    <r>
      <rPr>
        <sz val="11"/>
        <rFont val="楷体_GB2312"/>
        <family val="3"/>
        <charset val="134"/>
      </rPr>
      <t>异常工时占比</t>
    </r>
  </si>
  <si>
    <r>
      <rPr>
        <sz val="11"/>
        <rFont val="楷体_GB2312"/>
        <family val="3"/>
        <charset val="134"/>
      </rPr>
      <t>当班返箱数</t>
    </r>
    <phoneticPr fontId="4" type="noConversion"/>
  </si>
  <si>
    <r>
      <rPr>
        <sz val="11"/>
        <rFont val="楷体_GB2312"/>
        <family val="3"/>
        <charset val="134"/>
      </rPr>
      <t>当班返箱率</t>
    </r>
    <phoneticPr fontId="4" type="noConversion"/>
  </si>
  <si>
    <r>
      <rPr>
        <sz val="11"/>
        <rFont val="楷体_GB2312"/>
        <family val="3"/>
        <charset val="134"/>
      </rPr>
      <t>产品名称</t>
    </r>
    <phoneticPr fontId="4" type="noConversion"/>
  </si>
  <si>
    <r>
      <rPr>
        <sz val="11"/>
        <rFont val="楷体_GB2312"/>
        <family val="3"/>
        <charset val="134"/>
      </rPr>
      <t>品种</t>
    </r>
    <phoneticPr fontId="4" type="noConversion"/>
  </si>
  <si>
    <r>
      <rPr>
        <sz val="11"/>
        <rFont val="楷体_GB2312"/>
        <family val="3"/>
        <charset val="134"/>
      </rPr>
      <t>规格</t>
    </r>
    <phoneticPr fontId="4" type="noConversion"/>
  </si>
  <si>
    <r>
      <rPr>
        <sz val="11"/>
        <rFont val="楷体_GB2312"/>
        <family val="3"/>
        <charset val="134"/>
      </rPr>
      <t>生产订单号</t>
    </r>
    <phoneticPr fontId="4" type="noConversion"/>
  </si>
  <si>
    <r>
      <rPr>
        <sz val="11"/>
        <rFont val="楷体_GB2312"/>
        <family val="3"/>
        <charset val="134"/>
      </rPr>
      <t>生产批号</t>
    </r>
    <phoneticPr fontId="4" type="noConversion"/>
  </si>
  <si>
    <r>
      <rPr>
        <sz val="11"/>
        <rFont val="楷体_GB2312"/>
        <family val="3"/>
        <charset val="134"/>
      </rPr>
      <t>当班产量</t>
    </r>
    <phoneticPr fontId="4" type="noConversion"/>
  </si>
  <si>
    <r>
      <rPr>
        <sz val="11"/>
        <rFont val="楷体_GB2312"/>
        <family val="3"/>
        <charset val="134"/>
      </rPr>
      <t>生产工时</t>
    </r>
    <phoneticPr fontId="4" type="noConversion"/>
  </si>
  <si>
    <r>
      <rPr>
        <sz val="11"/>
        <rFont val="楷体_GB2312"/>
        <family val="3"/>
        <charset val="134"/>
      </rPr>
      <t>标准生产工时</t>
    </r>
    <phoneticPr fontId="4" type="noConversion"/>
  </si>
  <si>
    <r>
      <rPr>
        <sz val="11"/>
        <rFont val="楷体_GB2312"/>
        <family val="3"/>
        <charset val="134"/>
      </rPr>
      <t>工时差异</t>
    </r>
    <phoneticPr fontId="4" type="noConversion"/>
  </si>
  <si>
    <r>
      <rPr>
        <sz val="11"/>
        <rFont val="楷体_GB2312"/>
        <family val="3"/>
        <charset val="134"/>
      </rPr>
      <t>生产异常工时</t>
    </r>
    <phoneticPr fontId="4" type="noConversion"/>
  </si>
  <si>
    <r>
      <rPr>
        <sz val="11"/>
        <rFont val="楷体_GB2312"/>
        <family val="3"/>
        <charset val="134"/>
      </rPr>
      <t>制程返箱（件）</t>
    </r>
    <phoneticPr fontId="4" type="noConversion"/>
  </si>
  <si>
    <r>
      <rPr>
        <sz val="11"/>
        <rFont val="楷体_GB2312"/>
        <family val="3"/>
        <charset val="134"/>
      </rPr>
      <t>当班返箱率（</t>
    </r>
    <r>
      <rPr>
        <sz val="11"/>
        <rFont val="Times New Roman"/>
        <family val="1"/>
      </rPr>
      <t>%</t>
    </r>
    <r>
      <rPr>
        <sz val="11"/>
        <rFont val="楷体_GB2312"/>
        <family val="3"/>
        <charset val="134"/>
      </rPr>
      <t>）</t>
    </r>
    <phoneticPr fontId="4" type="noConversion"/>
  </si>
  <si>
    <r>
      <rPr>
        <sz val="11"/>
        <rFont val="楷体_GB2312"/>
        <family val="3"/>
        <charset val="134"/>
      </rPr>
      <t>返箱原因</t>
    </r>
    <phoneticPr fontId="4" type="noConversion"/>
  </si>
  <si>
    <r>
      <rPr>
        <sz val="11"/>
        <rFont val="楷体_GB2312"/>
        <family val="3"/>
        <charset val="134"/>
      </rPr>
      <t>封口不良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不严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旋盖不紧</t>
    </r>
  </si>
  <si>
    <r>
      <rPr>
        <sz val="11"/>
        <rFont val="楷体_GB2312"/>
        <family val="3"/>
        <charset val="134"/>
      </rPr>
      <t>果肉挂杯</t>
    </r>
    <phoneticPr fontId="4" type="noConversion"/>
  </si>
  <si>
    <r>
      <rPr>
        <sz val="11"/>
        <rFont val="楷体_GB2312"/>
        <family val="3"/>
        <charset val="134"/>
      </rPr>
      <t>恶性异物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</si>
  <si>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</si>
  <si>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t>kg/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</si>
  <si>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类别</t>
    </r>
    <phoneticPr fontId="4" type="noConversion"/>
  </si>
  <si>
    <r>
      <rPr>
        <sz val="11"/>
        <rFont val="楷体_GB2312"/>
        <family val="3"/>
        <charset val="134"/>
      </rPr>
      <t>当天产量</t>
    </r>
    <phoneticPr fontId="4" type="noConversion"/>
  </si>
  <si>
    <r>
      <rPr>
        <sz val="11"/>
        <rFont val="楷体_GB2312"/>
        <family val="3"/>
        <charset val="134"/>
      </rPr>
      <t>异常工时</t>
    </r>
  </si>
  <si>
    <r>
      <rPr>
        <sz val="11"/>
        <rFont val="楷体_GB2312"/>
        <family val="3"/>
        <charset val="134"/>
      </rPr>
      <t>果肉类产品</t>
    </r>
  </si>
  <si>
    <r>
      <rPr>
        <sz val="11"/>
        <rFont val="楷体_GB2312"/>
        <family val="3"/>
        <charset val="134"/>
      </rPr>
      <t>果味类产品</t>
    </r>
  </si>
  <si>
    <r>
      <rPr>
        <sz val="11"/>
        <rFont val="楷体_GB2312"/>
        <family val="3"/>
        <charset val="134"/>
      </rPr>
      <t>吸吸类产品</t>
    </r>
  </si>
  <si>
    <r>
      <rPr>
        <sz val="11"/>
        <rFont val="楷体_GB2312"/>
        <family val="3"/>
        <charset val="134"/>
      </rPr>
      <t>层层类产品</t>
    </r>
  </si>
  <si>
    <r>
      <rPr>
        <sz val="11"/>
        <rFont val="楷体_GB2312"/>
        <family val="3"/>
        <charset val="134"/>
      </rPr>
      <t>批号不清晰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打印错误</t>
    </r>
  </si>
  <si>
    <r>
      <rPr>
        <sz val="11"/>
        <rFont val="楷体_GB2312"/>
        <family val="3"/>
        <charset val="134"/>
      </rPr>
      <t>自立袋类产品</t>
    </r>
  </si>
  <si>
    <r>
      <rPr>
        <sz val="11"/>
        <rFont val="楷体_GB2312"/>
        <family val="3"/>
        <charset val="134"/>
      </rPr>
      <t>礼包类产品</t>
    </r>
  </si>
  <si>
    <r>
      <rPr>
        <sz val="11"/>
        <rFont val="楷体_GB2312"/>
        <family val="3"/>
        <charset val="134"/>
      </rPr>
      <t>班别</t>
    </r>
    <phoneticPr fontId="4" type="noConversion"/>
  </si>
  <si>
    <r>
      <rPr>
        <sz val="11"/>
        <rFont val="楷体_GB2312"/>
        <family val="3"/>
        <charset val="134"/>
      </rPr>
      <t>在编人数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</si>
  <si>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昨天人数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</si>
  <si>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新进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</si>
  <si>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调入</t>
    </r>
    <r>
      <rPr>
        <sz val="11"/>
        <rFont val="Times New Roman"/>
        <family val="1"/>
      </rPr>
      <t xml:space="preserve"> </t>
    </r>
  </si>
  <si>
    <r>
      <rPr>
        <sz val="11"/>
        <color theme="1"/>
        <rFont val="楷体_GB2312"/>
        <family val="3"/>
        <charset val="134"/>
      </rPr>
      <t>调出</t>
    </r>
    <r>
      <rPr>
        <sz val="11"/>
        <color theme="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</si>
  <si>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工休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</si>
  <si>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借调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</si>
  <si>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应出勤人数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</si>
  <si>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请假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</si>
  <si>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旷工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</si>
  <si>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迟到</t>
    </r>
    <phoneticPr fontId="4" type="noConversion"/>
  </si>
  <si>
    <r>
      <rPr>
        <sz val="11"/>
        <rFont val="楷体_GB2312"/>
        <family val="3"/>
        <charset val="134"/>
      </rPr>
      <t>早退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</si>
  <si>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已辞职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</si>
  <si>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已自离</t>
    </r>
    <phoneticPr fontId="4" type="noConversion"/>
  </si>
  <si>
    <r>
      <rPr>
        <sz val="11"/>
        <rFont val="楷体_GB2312"/>
        <family val="3"/>
        <charset val="134"/>
      </rPr>
      <t>实际出勤人数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</si>
  <si>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实际出勤工时</t>
    </r>
    <phoneticPr fontId="4" type="noConversion"/>
  </si>
  <si>
    <r>
      <rPr>
        <sz val="11"/>
        <rFont val="楷体_GB2312"/>
        <family val="3"/>
        <charset val="134"/>
      </rPr>
      <t>人员出勤率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</si>
  <si>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人员流失率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</si>
  <si>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A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</si>
  <si>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B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</si>
  <si>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C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</si>
  <si>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合计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</si>
  <si>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批准：</t>
    </r>
    <phoneticPr fontId="4" type="noConversion"/>
  </si>
  <si>
    <r>
      <rPr>
        <sz val="11"/>
        <rFont val="楷体_GB2312"/>
        <family val="3"/>
        <charset val="134"/>
      </rPr>
      <t>审核：</t>
    </r>
    <phoneticPr fontId="4" type="noConversion"/>
  </si>
  <si>
    <r>
      <rPr>
        <sz val="11"/>
        <rFont val="楷体_GB2312"/>
        <family val="3"/>
        <charset val="134"/>
      </rPr>
      <t>制表：</t>
    </r>
    <phoneticPr fontId="4" type="noConversion"/>
  </si>
  <si>
    <r>
      <rPr>
        <b/>
        <sz val="12"/>
        <rFont val="楷体_GB2312"/>
        <family val="3"/>
        <charset val="134"/>
      </rPr>
      <t>四、生产数据汇总</t>
    </r>
    <phoneticPr fontId="4" type="noConversion"/>
  </si>
  <si>
    <r>
      <rPr>
        <b/>
        <sz val="12"/>
        <rFont val="楷体_GB2312"/>
        <family val="3"/>
        <charset val="134"/>
      </rPr>
      <t>三、包装</t>
    </r>
    <r>
      <rPr>
        <b/>
        <sz val="12"/>
        <rFont val="Times New Roman"/>
        <family val="1"/>
      </rPr>
      <t>C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</si>
  <si>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r>
      <rPr>
        <b/>
        <sz val="12"/>
        <rFont val="楷体_GB2312"/>
        <family val="3"/>
        <charset val="134"/>
      </rPr>
      <t>二、包装</t>
    </r>
    <r>
      <rPr>
        <b/>
        <sz val="12"/>
        <rFont val="Times New Roman"/>
        <family val="1"/>
      </rPr>
      <t>B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</si>
  <si>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t>草莓</t>
    <phoneticPr fontId="17" type="noConversion"/>
  </si>
  <si>
    <t>草莓</t>
    <phoneticPr fontId="17" type="noConversion"/>
  </si>
  <si>
    <t>菠萝</t>
    <phoneticPr fontId="17" type="noConversion"/>
  </si>
  <si>
    <t>菠萝</t>
    <phoneticPr fontId="17" type="noConversion"/>
  </si>
  <si>
    <t>香蕉</t>
    <phoneticPr fontId="17" type="noConversion"/>
  </si>
  <si>
    <t>104果爽</t>
    <phoneticPr fontId="17" type="noConversion"/>
  </si>
  <si>
    <t>冰糖葫芦</t>
    <phoneticPr fontId="17" type="noConversion"/>
  </si>
  <si>
    <t>冰糖葫芦</t>
    <phoneticPr fontId="17" type="noConversion"/>
  </si>
  <si>
    <t>山楂</t>
    <phoneticPr fontId="17" type="noConversion"/>
  </si>
  <si>
    <t>山楂</t>
    <phoneticPr fontId="17" type="noConversion"/>
  </si>
  <si>
    <t>雪梨</t>
    <phoneticPr fontId="17" type="noConversion"/>
  </si>
  <si>
    <t>么么蛋</t>
    <phoneticPr fontId="17" type="noConversion"/>
  </si>
  <si>
    <t>草莓</t>
    <phoneticPr fontId="17" type="noConversion"/>
  </si>
  <si>
    <t>菠萝</t>
    <phoneticPr fontId="17" type="noConversion"/>
  </si>
  <si>
    <t>香蕉</t>
    <phoneticPr fontId="17" type="noConversion"/>
  </si>
  <si>
    <t>104果爽</t>
    <phoneticPr fontId="17" type="noConversion"/>
  </si>
  <si>
    <t>冰糖葫芦</t>
    <phoneticPr fontId="17" type="noConversion"/>
  </si>
  <si>
    <t>山楂</t>
    <phoneticPr fontId="17" type="noConversion"/>
  </si>
  <si>
    <t>雪梨</t>
    <phoneticPr fontId="17" type="noConversion"/>
  </si>
  <si>
    <t>香蕉</t>
    <phoneticPr fontId="17" type="noConversion"/>
  </si>
  <si>
    <t>雪梨</t>
    <phoneticPr fontId="17" type="noConversion"/>
  </si>
  <si>
    <t>么么蛋</t>
    <phoneticPr fontId="17" type="noConversion"/>
  </si>
  <si>
    <r>
      <t>120g</t>
    </r>
    <r>
      <rPr>
        <sz val="11"/>
        <rFont val="宋体"/>
        <family val="3"/>
        <charset val="134"/>
      </rPr>
      <t>果味果冻小卡通罐</t>
    </r>
    <phoneticPr fontId="4" type="noConversion"/>
  </si>
  <si>
    <r>
      <t>90g</t>
    </r>
    <r>
      <rPr>
        <sz val="11"/>
        <rFont val="宋体"/>
        <family val="3"/>
        <charset val="134"/>
      </rPr>
      <t>双层布甸果冻</t>
    </r>
    <phoneticPr fontId="4" type="noConversion"/>
  </si>
  <si>
    <t>鸡蛋</t>
    <phoneticPr fontId="30" type="noConversion"/>
  </si>
  <si>
    <t>160g优酪果冻</t>
    <phoneticPr fontId="17" type="noConversion"/>
  </si>
  <si>
    <r>
      <t>160g</t>
    </r>
    <r>
      <rPr>
        <sz val="11"/>
        <rFont val="宋体"/>
        <family val="3"/>
        <charset val="134"/>
      </rPr>
      <t>优酪果冻</t>
    </r>
    <phoneticPr fontId="17" type="noConversion"/>
  </si>
  <si>
    <t>蜂蜜柚子</t>
    <phoneticPr fontId="12" type="noConversion"/>
  </si>
  <si>
    <t>冰糖雪梨</t>
    <phoneticPr fontId="12" type="noConversion"/>
  </si>
  <si>
    <t>柠檬</t>
    <phoneticPr fontId="12" type="noConversion"/>
  </si>
  <si>
    <t>香橙</t>
    <phoneticPr fontId="12" type="noConversion"/>
  </si>
  <si>
    <t>么么冰</t>
    <phoneticPr fontId="31" type="noConversion"/>
  </si>
  <si>
    <t>香蕉</t>
    <phoneticPr fontId="31" type="noConversion"/>
  </si>
  <si>
    <t>蓝莓</t>
    <phoneticPr fontId="31" type="noConversion"/>
  </si>
  <si>
    <t>草莓</t>
    <phoneticPr fontId="31" type="noConversion"/>
  </si>
  <si>
    <t>乳酸</t>
    <phoneticPr fontId="17" type="noConversion"/>
  </si>
  <si>
    <t>乳酸</t>
    <phoneticPr fontId="17" type="noConversion"/>
  </si>
  <si>
    <t>香草</t>
    <phoneticPr fontId="31" type="noConversion"/>
  </si>
  <si>
    <t>香草</t>
    <phoneticPr fontId="31" type="noConversion"/>
  </si>
  <si>
    <t>乳酸</t>
    <phoneticPr fontId="32" type="noConversion"/>
  </si>
  <si>
    <t>120g么么冰</t>
    <phoneticPr fontId="31" type="noConversion"/>
  </si>
  <si>
    <t>120g么么冰</t>
    <phoneticPr fontId="31" type="noConversion"/>
  </si>
  <si>
    <t>苹果</t>
    <phoneticPr fontId="15" type="noConversion"/>
  </si>
  <si>
    <t>雪梨</t>
    <phoneticPr fontId="15" type="noConversion"/>
  </si>
  <si>
    <t>杂果</t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</si>
  <si>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</si>
  <si>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t>蔓越莓味</t>
    <phoneticPr fontId="35" type="noConversion"/>
  </si>
  <si>
    <t>柠檬味</t>
    <phoneticPr fontId="35" type="noConversion"/>
  </si>
  <si>
    <t>30g钙铁锌果冻</t>
    <phoneticPr fontId="12" type="noConversion"/>
  </si>
  <si>
    <t>蔓越莓味</t>
    <phoneticPr fontId="12" type="noConversion"/>
  </si>
  <si>
    <t>柠檬味</t>
    <phoneticPr fontId="12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</si>
  <si>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</si>
  <si>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t>奇异果味</t>
    <phoneticPr fontId="35" type="noConversion"/>
  </si>
  <si>
    <t>奇异果味</t>
    <phoneticPr fontId="35" type="noConversion"/>
  </si>
  <si>
    <t>百香果味</t>
    <phoneticPr fontId="35" type="noConversion"/>
  </si>
  <si>
    <t>百香果味</t>
    <phoneticPr fontId="35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</si>
  <si>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</si>
  <si>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</si>
  <si>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t>酸奶</t>
    <phoneticPr fontId="37" type="noConversion"/>
  </si>
  <si>
    <t>酸奶</t>
    <phoneticPr fontId="37" type="noConversion"/>
  </si>
  <si>
    <r>
      <t>45</t>
    </r>
    <r>
      <rPr>
        <sz val="11"/>
        <rFont val="宋体"/>
        <family val="3"/>
        <charset val="134"/>
      </rPr>
      <t>果味果冻</t>
    </r>
    <phoneticPr fontId="37" type="noConversion"/>
  </si>
  <si>
    <t>黄桃</t>
    <phoneticPr fontId="37" type="noConversion"/>
  </si>
  <si>
    <t>黄桃</t>
    <phoneticPr fontId="37" type="noConversion"/>
  </si>
  <si>
    <r>
      <t>45g</t>
    </r>
    <r>
      <rPr>
        <sz val="11"/>
        <rFont val="宋体"/>
        <family val="3"/>
        <charset val="134"/>
      </rPr>
      <t>果味果冻</t>
    </r>
    <phoneticPr fontId="37" type="noConversion"/>
  </si>
  <si>
    <r>
      <t>45g</t>
    </r>
    <r>
      <rPr>
        <sz val="11"/>
        <rFont val="宋体"/>
        <family val="3"/>
        <charset val="134"/>
      </rPr>
      <t>果味果冻</t>
    </r>
    <phoneticPr fontId="37" type="noConversion"/>
  </si>
  <si>
    <t>香蕉牛奶</t>
    <phoneticPr fontId="38" type="noConversion"/>
  </si>
  <si>
    <t>香蕉牛奶</t>
    <phoneticPr fontId="38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</si>
  <si>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</si>
  <si>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t>蔓越莓</t>
    <phoneticPr fontId="38" type="noConversion"/>
  </si>
  <si>
    <t>蔓越莓</t>
    <phoneticPr fontId="38" type="noConversion"/>
  </si>
  <si>
    <t>100g优酪</t>
    <phoneticPr fontId="34" type="noConversion"/>
  </si>
  <si>
    <t>草莓</t>
    <phoneticPr fontId="34" type="noConversion"/>
  </si>
  <si>
    <t>菠萝</t>
    <phoneticPr fontId="34" type="noConversion"/>
  </si>
  <si>
    <t>香蕉</t>
    <phoneticPr fontId="34" type="noConversion"/>
  </si>
  <si>
    <t>香蕉</t>
    <phoneticPr fontId="34" type="noConversion"/>
  </si>
  <si>
    <t>童波</t>
    <phoneticPr fontId="11" type="noConversion"/>
  </si>
  <si>
    <r>
      <t xml:space="preserve">            </t>
    </r>
    <r>
      <rPr>
        <sz val="24"/>
        <rFont val="楷体_GB2312"/>
        <family val="3"/>
        <charset val="134"/>
      </rPr>
      <t>南京来一口食品有限公司</t>
    </r>
    <phoneticPr fontId="4" type="noConversion"/>
  </si>
  <si>
    <r>
      <t>28g</t>
    </r>
    <r>
      <rPr>
        <sz val="11"/>
        <rFont val="宋体"/>
        <family val="3"/>
        <charset val="134"/>
      </rPr>
      <t>拉丝果冻</t>
    </r>
    <phoneticPr fontId="4" type="noConversion"/>
  </si>
  <si>
    <t>水蜜桃</t>
    <phoneticPr fontId="4" type="noConversion"/>
  </si>
  <si>
    <t>香蕉</t>
    <phoneticPr fontId="4" type="noConversion"/>
  </si>
  <si>
    <t>芒果</t>
    <phoneticPr fontId="4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</si>
  <si>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</si>
  <si>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125</t>
    </r>
    <r>
      <rPr>
        <sz val="11"/>
        <rFont val="宋体"/>
        <family val="3"/>
        <charset val="134"/>
      </rPr>
      <t>通天娃娃可吸果冻</t>
    </r>
    <phoneticPr fontId="4" type="noConversion"/>
  </si>
  <si>
    <t>酸奶</t>
    <phoneticPr fontId="4" type="noConversion"/>
  </si>
  <si>
    <t>草莓</t>
    <phoneticPr fontId="4" type="noConversion"/>
  </si>
  <si>
    <t>香蕉牛奶</t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</si>
  <si>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</si>
  <si>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</si>
  <si>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</si>
  <si>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</si>
  <si>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t>哈密瓜</t>
    <phoneticPr fontId="43" type="noConversion"/>
  </si>
  <si>
    <t>哈密瓜</t>
    <phoneticPr fontId="43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</si>
  <si>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</si>
  <si>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</si>
  <si>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</si>
  <si>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t>哈密瓜</t>
    <phoneticPr fontId="43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</si>
  <si>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</si>
  <si>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t>总直接包装人工总成本</t>
    </r>
    <r>
      <rPr>
        <b/>
        <sz val="9"/>
        <color indexed="10"/>
        <rFont val="Times New Roman"/>
        <family val="1"/>
      </rPr>
      <t>(</t>
    </r>
    <r>
      <rPr>
        <b/>
        <sz val="9"/>
        <color indexed="10"/>
        <rFont val="宋体"/>
        <family val="3"/>
        <charset val="134"/>
      </rPr>
      <t>元</t>
    </r>
    <r>
      <rPr>
        <b/>
        <sz val="9"/>
        <color indexed="10"/>
        <rFont val="Times New Roman"/>
        <family val="1"/>
      </rPr>
      <t>/</t>
    </r>
    <r>
      <rPr>
        <b/>
        <sz val="9"/>
        <color indexed="10"/>
        <rFont val="宋体"/>
        <family val="3"/>
        <charset val="134"/>
      </rPr>
      <t>箱</t>
    </r>
    <r>
      <rPr>
        <b/>
        <sz val="9"/>
        <color indexed="10"/>
        <rFont val="Times New Roman"/>
        <family val="1"/>
      </rPr>
      <t>)</t>
    </r>
    <phoneticPr fontId="43" type="noConversion"/>
  </si>
  <si>
    <t>直接人工成本</t>
    <phoneticPr fontId="4" type="noConversion"/>
  </si>
  <si>
    <t>福利糖</t>
    <phoneticPr fontId="42" type="noConversion"/>
  </si>
  <si>
    <t>福利糖</t>
    <phoneticPr fontId="42" type="noConversion"/>
  </si>
  <si>
    <t>福利糖</t>
    <phoneticPr fontId="4" type="noConversion"/>
  </si>
  <si>
    <r>
      <t>60g</t>
    </r>
    <r>
      <rPr>
        <sz val="11"/>
        <rFont val="宋体"/>
        <family val="3"/>
        <charset val="134"/>
      </rPr>
      <t>吸吸果冻</t>
    </r>
    <phoneticPr fontId="41" type="noConversion"/>
  </si>
  <si>
    <r>
      <t>60g</t>
    </r>
    <r>
      <rPr>
        <sz val="11"/>
        <rFont val="宋体"/>
        <family val="3"/>
        <charset val="134"/>
      </rPr>
      <t>吸吸果冻</t>
    </r>
    <phoneticPr fontId="41" type="noConversion"/>
  </si>
  <si>
    <t>草莓</t>
    <phoneticPr fontId="41" type="noConversion"/>
  </si>
  <si>
    <t>草莓</t>
    <phoneticPr fontId="41" type="noConversion"/>
  </si>
  <si>
    <r>
      <t>5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</si>
  <si>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t>5</t>
    </r>
    <r>
      <rPr>
        <sz val="11"/>
        <rFont val="楷体_GB2312"/>
        <family val="3"/>
        <charset val="134"/>
      </rPr>
      <t>粒袋喜庆果冻</t>
    </r>
    <phoneticPr fontId="4" type="noConversion"/>
  </si>
  <si>
    <t>草莓</t>
    <phoneticPr fontId="4" type="noConversion"/>
  </si>
  <si>
    <t>草莓</t>
    <phoneticPr fontId="4" type="noConversion"/>
  </si>
  <si>
    <t>顾恩塘</t>
    <phoneticPr fontId="11" type="noConversion"/>
  </si>
  <si>
    <t>顾恩塘</t>
    <phoneticPr fontId="11" type="noConversion"/>
  </si>
  <si>
    <t>顾恩塘</t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</si>
  <si>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</si>
  <si>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rPr>
        <sz val="10"/>
        <rFont val="华文中宋"/>
        <family val="3"/>
        <charset val="134"/>
      </rPr>
      <t>哈密瓜</t>
    </r>
    <phoneticPr fontId="4" type="noConversion"/>
  </si>
  <si>
    <t>哈密瓜</t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</si>
  <si>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</si>
  <si>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28g</t>
    </r>
    <r>
      <rPr>
        <sz val="11"/>
        <rFont val="宋体"/>
        <family val="3"/>
        <charset val="134"/>
      </rPr>
      <t>拉丝果冻</t>
    </r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</si>
  <si>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</si>
  <si>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</si>
  <si>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</si>
  <si>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</si>
  <si>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r>
      <t>125</t>
    </r>
    <r>
      <rPr>
        <sz val="11"/>
        <rFont val="宋体"/>
        <family val="3"/>
        <charset val="134"/>
      </rPr>
      <t>通天娃娃可吸果冻</t>
    </r>
    <phoneticPr fontId="4" type="noConversion"/>
  </si>
  <si>
    <r>
      <t>30g</t>
    </r>
    <r>
      <rPr>
        <sz val="11"/>
        <rFont val="楷体_GB2312"/>
        <family val="3"/>
        <charset val="134"/>
      </rPr>
      <t>果肉果冻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</si>
  <si>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情人心语果肉果冻</t>
    </r>
    <phoneticPr fontId="4" type="noConversion"/>
  </si>
  <si>
    <r>
      <t>45g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</si>
  <si>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80g</t>
    </r>
    <r>
      <rPr>
        <sz val="11"/>
        <rFont val="楷体_GB2312"/>
        <family val="3"/>
        <charset val="134"/>
      </rPr>
      <t>情人心语果冻</t>
    </r>
    <phoneticPr fontId="4" type="noConversion"/>
  </si>
  <si>
    <r>
      <t>92g</t>
    </r>
    <r>
      <rPr>
        <sz val="11"/>
        <rFont val="楷体_GB2312"/>
        <family val="3"/>
        <charset val="134"/>
      </rPr>
      <t>果肉粒布甸果冻</t>
    </r>
    <phoneticPr fontId="4" type="noConversion"/>
  </si>
  <si>
    <r>
      <t>95g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</si>
  <si>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</si>
  <si>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125g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</si>
  <si>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185g</t>
    </r>
    <r>
      <rPr>
        <sz val="11"/>
        <rFont val="楷体_GB2312"/>
        <family val="3"/>
        <charset val="134"/>
      </rPr>
      <t>什锦果冻</t>
    </r>
    <phoneticPr fontId="4" type="noConversion"/>
  </si>
  <si>
    <r>
      <t>160g</t>
    </r>
    <r>
      <rPr>
        <sz val="11"/>
        <rFont val="楷体_GB2312"/>
        <family val="3"/>
        <charset val="134"/>
      </rPr>
      <t>果肉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</si>
  <si>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</si>
  <si>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</si>
  <si>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</si>
  <si>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r>
      <t>50g</t>
    </r>
    <r>
      <rPr>
        <sz val="11"/>
        <rFont val="楷体_GB2312"/>
        <family val="3"/>
        <charset val="134"/>
      </rPr>
      <t>动物园可吸果冻</t>
    </r>
    <phoneticPr fontId="4" type="noConversion"/>
  </si>
  <si>
    <r>
      <t>50g</t>
    </r>
    <r>
      <rPr>
        <sz val="11"/>
        <rFont val="楷体_GB2312"/>
        <family val="3"/>
        <charset val="134"/>
      </rPr>
      <t>动物园可吸果冻</t>
    </r>
    <phoneticPr fontId="4" type="noConversion"/>
  </si>
  <si>
    <t>卡通猫玩具</t>
    <phoneticPr fontId="4" type="noConversion"/>
  </si>
  <si>
    <r>
      <rPr>
        <sz val="12"/>
        <rFont val="楷体_GB2312"/>
        <family val="3"/>
        <charset val="134"/>
      </rPr>
      <t>当班辅助岗位</t>
    </r>
    <phoneticPr fontId="4" type="noConversion"/>
  </si>
  <si>
    <r>
      <rPr>
        <sz val="12"/>
        <rFont val="楷体_GB2312"/>
        <family val="3"/>
        <charset val="134"/>
      </rPr>
      <t>当班产量</t>
    </r>
    <r>
      <rPr>
        <sz val="12"/>
        <rFont val="Times New Roman"/>
        <family val="1"/>
      </rPr>
      <t>(</t>
    </r>
    <r>
      <rPr>
        <sz val="12"/>
        <rFont val="楷体_GB2312"/>
        <family val="3"/>
        <charset val="134"/>
      </rPr>
      <t>箱</t>
    </r>
    <r>
      <rPr>
        <sz val="12"/>
        <rFont val="Times New Roman"/>
        <family val="1"/>
      </rPr>
      <t>/</t>
    </r>
    <r>
      <rPr>
        <sz val="12"/>
        <rFont val="楷体_GB2312"/>
        <family val="3"/>
        <charset val="134"/>
      </rPr>
      <t>班</t>
    </r>
    <r>
      <rPr>
        <sz val="12"/>
        <rFont val="Times New Roman"/>
        <family val="1"/>
      </rPr>
      <t>)</t>
    </r>
    <phoneticPr fontId="4" type="noConversion"/>
  </si>
  <si>
    <r>
      <rPr>
        <sz val="12"/>
        <rFont val="楷体_GB2312"/>
        <family val="3"/>
        <charset val="134"/>
      </rPr>
      <t>当班生产工时</t>
    </r>
    <phoneticPr fontId="4" type="noConversion"/>
  </si>
  <si>
    <r>
      <rPr>
        <sz val="12"/>
        <rFont val="楷体_GB2312"/>
        <family val="3"/>
        <charset val="134"/>
      </rPr>
      <t>当班异常工时</t>
    </r>
  </si>
  <si>
    <r>
      <rPr>
        <sz val="12"/>
        <rFont val="楷体_GB2312"/>
        <family val="3"/>
        <charset val="134"/>
      </rPr>
      <t>物料编码</t>
    </r>
    <phoneticPr fontId="4" type="noConversion"/>
  </si>
  <si>
    <r>
      <t>4.1</t>
    </r>
    <r>
      <rPr>
        <sz val="12"/>
        <rFont val="楷体_GB2312"/>
        <family val="3"/>
        <charset val="134"/>
      </rPr>
      <t>、关键管理指标</t>
    </r>
    <phoneticPr fontId="4" type="noConversion"/>
  </si>
  <si>
    <r>
      <t>4.2</t>
    </r>
    <r>
      <rPr>
        <sz val="12"/>
        <rFont val="楷体_GB2312"/>
        <family val="3"/>
        <charset val="134"/>
      </rPr>
      <t>、产品结构与异常工时分析</t>
    </r>
    <phoneticPr fontId="4" type="noConversion"/>
  </si>
  <si>
    <r>
      <rPr>
        <sz val="12"/>
        <rFont val="楷体_GB2312"/>
        <family val="3"/>
        <charset val="134"/>
      </rPr>
      <t>五、人员出勤情况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</si>
  <si>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</si>
  <si>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</si>
  <si>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45</t>
    </r>
    <r>
      <rPr>
        <sz val="11"/>
        <rFont val="宋体"/>
        <family val="3"/>
        <charset val="134"/>
      </rPr>
      <t>果味果冻</t>
    </r>
    <phoneticPr fontId="37" type="noConversion"/>
  </si>
  <si>
    <r>
      <t>90g</t>
    </r>
    <r>
      <rPr>
        <sz val="11"/>
        <rFont val="宋体"/>
        <family val="3"/>
        <charset val="134"/>
      </rPr>
      <t>双层布甸果冻</t>
    </r>
    <phoneticPr fontId="4" type="noConversion"/>
  </si>
  <si>
    <r>
      <t>92g</t>
    </r>
    <r>
      <rPr>
        <sz val="11"/>
        <rFont val="楷体_GB2312"/>
        <family val="3"/>
        <charset val="134"/>
      </rPr>
      <t>布甸果冻</t>
    </r>
    <phoneticPr fontId="4" type="noConversion"/>
  </si>
  <si>
    <r>
      <t>92g</t>
    </r>
    <r>
      <rPr>
        <sz val="11"/>
        <rFont val="楷体_GB2312"/>
        <family val="3"/>
        <charset val="134"/>
      </rPr>
      <t>布甸果冻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</si>
  <si>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</si>
  <si>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</si>
  <si>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t>104</t>
    </r>
    <r>
      <rPr>
        <sz val="11"/>
        <rFont val="宋体"/>
        <family val="3"/>
        <charset val="134"/>
      </rPr>
      <t>果爽</t>
    </r>
    <phoneticPr fontId="17" type="noConversion"/>
  </si>
  <si>
    <r>
      <t>104</t>
    </r>
    <r>
      <rPr>
        <sz val="11"/>
        <rFont val="宋体"/>
        <family val="3"/>
        <charset val="134"/>
      </rPr>
      <t>果爽</t>
    </r>
    <phoneticPr fontId="17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</si>
  <si>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</si>
  <si>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</si>
  <si>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t>90g</t>
    </r>
    <r>
      <rPr>
        <sz val="11"/>
        <rFont val="楷体_GB2312"/>
        <family val="3"/>
        <charset val="134"/>
      </rPr>
      <t>双层布甸果冻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</si>
  <si>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</si>
  <si>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</si>
  <si>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6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</si>
  <si>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t xml:space="preserve">            </t>
    </r>
    <r>
      <rPr>
        <b/>
        <sz val="12"/>
        <rFont val="华文楷体"/>
        <family val="3"/>
        <charset val="134"/>
      </rPr>
      <t>南京来一口食品有限公司</t>
    </r>
    <phoneticPr fontId="4" type="noConversion"/>
  </si>
  <si>
    <r>
      <rPr>
        <b/>
        <sz val="12"/>
        <rFont val="华文中宋"/>
        <family val="3"/>
        <charset val="134"/>
      </rPr>
      <t>一、包装</t>
    </r>
    <r>
      <rPr>
        <b/>
        <sz val="12"/>
        <rFont val="Times New Roman"/>
        <family val="1"/>
      </rPr>
      <t>A</t>
    </r>
    <r>
      <rPr>
        <b/>
        <sz val="12"/>
        <rFont val="华文中宋"/>
        <family val="3"/>
        <charset val="134"/>
      </rPr>
      <t>班生产日报表</t>
    </r>
    <phoneticPr fontId="4" type="noConversion"/>
  </si>
  <si>
    <r>
      <rPr>
        <sz val="12"/>
        <rFont val="华文中宋"/>
        <family val="3"/>
        <charset val="134"/>
      </rPr>
      <t>物料编码</t>
    </r>
    <phoneticPr fontId="4" type="noConversion"/>
  </si>
  <si>
    <r>
      <rPr>
        <sz val="12"/>
        <rFont val="华文中宋"/>
        <family val="3"/>
        <charset val="134"/>
      </rPr>
      <t>当班辅助岗位</t>
    </r>
    <phoneticPr fontId="4" type="noConversion"/>
  </si>
  <si>
    <r>
      <rPr>
        <sz val="12"/>
        <rFont val="华文中宋"/>
        <family val="3"/>
        <charset val="134"/>
      </rPr>
      <t>当月产量</t>
    </r>
    <r>
      <rPr>
        <sz val="12"/>
        <rFont val="Times New Roman"/>
        <family val="1"/>
      </rPr>
      <t>(</t>
    </r>
    <r>
      <rPr>
        <sz val="12"/>
        <rFont val="华文中宋"/>
        <family val="3"/>
        <charset val="134"/>
      </rPr>
      <t>箱</t>
    </r>
    <r>
      <rPr>
        <sz val="12"/>
        <rFont val="Times New Roman"/>
        <family val="1"/>
      </rPr>
      <t>/</t>
    </r>
    <r>
      <rPr>
        <sz val="12"/>
        <rFont val="华文中宋"/>
        <family val="3"/>
        <charset val="134"/>
      </rPr>
      <t>班</t>
    </r>
    <r>
      <rPr>
        <sz val="12"/>
        <rFont val="Times New Roman"/>
        <family val="1"/>
      </rPr>
      <t>)</t>
    </r>
    <phoneticPr fontId="4" type="noConversion"/>
  </si>
  <si>
    <r>
      <rPr>
        <sz val="12"/>
        <rFont val="华文中宋"/>
        <family val="3"/>
        <charset val="134"/>
      </rPr>
      <t>当月生产工时</t>
    </r>
    <phoneticPr fontId="4" type="noConversion"/>
  </si>
  <si>
    <r>
      <rPr>
        <b/>
        <sz val="12"/>
        <rFont val="楷体_GB2312"/>
        <family val="3"/>
        <charset val="134"/>
      </rPr>
      <t>一、包装</t>
    </r>
    <r>
      <rPr>
        <b/>
        <sz val="12"/>
        <rFont val="Times New Roman"/>
        <family val="1"/>
      </rPr>
      <t>A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</si>
  <si>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r>
      <rPr>
        <sz val="12"/>
        <rFont val="华文中宋"/>
        <family val="3"/>
        <charset val="134"/>
      </rPr>
      <t>当月异常工时</t>
    </r>
    <phoneticPr fontId="12" type="noConversion"/>
  </si>
  <si>
    <r>
      <rPr>
        <b/>
        <sz val="12"/>
        <rFont val="华文中宋"/>
        <family val="3"/>
        <charset val="134"/>
      </rPr>
      <t>四、生产数据汇总</t>
    </r>
    <phoneticPr fontId="4" type="noConversion"/>
  </si>
  <si>
    <r>
      <t>4.1</t>
    </r>
    <r>
      <rPr>
        <sz val="12"/>
        <rFont val="华文中宋"/>
        <family val="3"/>
        <charset val="134"/>
      </rPr>
      <t>、关键管理指标</t>
    </r>
    <phoneticPr fontId="4" type="noConversion"/>
  </si>
  <si>
    <r>
      <t>4.2</t>
    </r>
    <r>
      <rPr>
        <sz val="12"/>
        <rFont val="华文中宋"/>
        <family val="3"/>
        <charset val="134"/>
      </rPr>
      <t>、产品结构与异常工时分析</t>
    </r>
    <phoneticPr fontId="4" type="noConversion"/>
  </si>
  <si>
    <r>
      <rPr>
        <b/>
        <sz val="12"/>
        <rFont val="华文中宋"/>
        <family val="3"/>
        <charset val="134"/>
      </rPr>
      <t>五、人员出勤情况</t>
    </r>
    <phoneticPr fontId="4" type="noConversion"/>
  </si>
  <si>
    <t>50g动物园可吸果冻</t>
  </si>
  <si>
    <t>50g果蔬园可吸果冻</t>
  </si>
  <si>
    <t>120g果蔬园可吸果冻</t>
  </si>
  <si>
    <t>箱/班</t>
    <phoneticPr fontId="4" type="noConversion"/>
  </si>
  <si>
    <t>哈密瓜</t>
    <phoneticPr fontId="4" type="noConversion"/>
  </si>
  <si>
    <t>香橙</t>
    <phoneticPr fontId="4" type="noConversion"/>
  </si>
  <si>
    <t>项目</t>
    <phoneticPr fontId="4" type="noConversion"/>
  </si>
  <si>
    <t>A班</t>
    <phoneticPr fontId="4" type="noConversion"/>
  </si>
  <si>
    <t>B班</t>
    <phoneticPr fontId="4" type="noConversion"/>
  </si>
  <si>
    <t>C班</t>
    <phoneticPr fontId="52" type="noConversion"/>
  </si>
  <si>
    <t>类别</t>
    <phoneticPr fontId="4" type="noConversion"/>
  </si>
  <si>
    <t>当班产量（箱）</t>
    <phoneticPr fontId="4" type="noConversion"/>
  </si>
  <si>
    <t>生产工时（H）</t>
    <phoneticPr fontId="52" type="noConversion"/>
  </si>
  <si>
    <t>产能</t>
    <phoneticPr fontId="52" type="noConversion"/>
  </si>
  <si>
    <t>果肉类</t>
    <phoneticPr fontId="4" type="noConversion"/>
  </si>
  <si>
    <t>果味类</t>
    <phoneticPr fontId="4" type="noConversion"/>
  </si>
  <si>
    <t>吸吸类</t>
    <phoneticPr fontId="4" type="noConversion"/>
  </si>
  <si>
    <t>层层类</t>
    <phoneticPr fontId="4" type="noConversion"/>
  </si>
  <si>
    <t>自立袋</t>
    <phoneticPr fontId="4" type="noConversion"/>
  </si>
  <si>
    <t>礼包类</t>
    <phoneticPr fontId="4" type="noConversion"/>
  </si>
  <si>
    <t>其他类</t>
    <phoneticPr fontId="4" type="noConversion"/>
  </si>
  <si>
    <t>合计：</t>
    <phoneticPr fontId="4" type="noConversion"/>
  </si>
  <si>
    <t>当班总计（箱）：</t>
    <phoneticPr fontId="4" type="noConversion"/>
  </si>
  <si>
    <t>汇总</t>
    <phoneticPr fontId="4" type="noConversion"/>
  </si>
  <si>
    <t>包装产品日报表日期：2017-1</t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</si>
  <si>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</si>
  <si>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</si>
  <si>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</si>
  <si>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</si>
  <si>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</si>
  <si>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</si>
  <si>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</si>
  <si>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t>j</t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</si>
  <si>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</si>
  <si>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</si>
  <si>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t>2017-1-11/1-7</t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</si>
  <si>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</si>
  <si>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调出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</si>
  <si>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箱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班</t>
    </r>
    <phoneticPr fontId="4" type="noConversion"/>
  </si>
  <si>
    <t>果味类产品</t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</si>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</sst>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0.0_);[Red]\(0.0\)"/>
    <numFmt numFmtId="177" formatCode="0.0_ "/>
    <numFmt numFmtId="178" formatCode="0.00_ ;[Red]\-0.00\ "/>
    <numFmt numFmtId="179" formatCode="0_);[Red]\(0\)"/>
    <numFmt numFmtId="180" formatCode="0_ ;[Red]\-0\ "/>
    <numFmt numFmtId="181" formatCode="0.00_ "/>
    <numFmt numFmtId="182" formatCode="0.0_ ;[Red]\-0.0\ "/>
    <numFmt numFmtId="183" formatCode="0.00_);[Red]\(0.00\)"/>
  </numFmts>
  <fonts count="54">
    <font>
      <sz val="12"/>
      <name val="宋体"/>
      <charset val="134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11"/>
      <name val="华文中宋"/>
      <family val="3"/>
      <charset val="134"/>
    </font>
    <font>
      <b/>
      <sz val="14"/>
      <name val="华文中宋"/>
      <family val="3"/>
      <charset val="134"/>
    </font>
    <font>
      <b/>
      <sz val="11"/>
      <name val="华文中宋"/>
      <family val="3"/>
      <charset val="134"/>
    </font>
    <font>
      <b/>
      <sz val="12"/>
      <name val="华文楷体"/>
      <family val="3"/>
      <charset val="134"/>
    </font>
    <font>
      <sz val="11"/>
      <color rgb="FFFF0000"/>
      <name val="华文中宋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9"/>
      <name val="宋体"/>
      <family val="3"/>
      <charset val="134"/>
    </font>
    <font>
      <sz val="11"/>
      <name val="宋体"/>
      <family val="3"/>
      <charset val="134"/>
    </font>
    <font>
      <sz val="9"/>
      <name val="宋体"/>
      <family val="3"/>
      <charset val="134"/>
    </font>
    <font>
      <sz val="11"/>
      <name val="楷体_GB2312"/>
      <family val="3"/>
      <charset val="134"/>
    </font>
    <font>
      <sz val="11"/>
      <color theme="1"/>
      <name val="楷体_GB2312"/>
      <family val="3"/>
      <charset val="134"/>
    </font>
    <font>
      <b/>
      <sz val="12"/>
      <name val="楷体_GB2312"/>
      <family val="3"/>
      <charset val="134"/>
    </font>
    <font>
      <b/>
      <sz val="12"/>
      <color theme="1"/>
      <name val="楷体_GB2312"/>
      <family val="3"/>
      <charset val="134"/>
    </font>
    <font>
      <sz val="11"/>
      <name val="Times New Roman"/>
      <family val="1"/>
    </font>
    <font>
      <sz val="11"/>
      <color theme="1"/>
      <name val="Times New Roman"/>
      <family val="1"/>
    </font>
    <font>
      <sz val="12"/>
      <name val="Times New Roman"/>
      <family val="1"/>
    </font>
    <font>
      <sz val="14"/>
      <name val="Times New Roman"/>
      <family val="1"/>
    </font>
    <font>
      <b/>
      <sz val="12"/>
      <name val="Times New Roman"/>
      <family val="1"/>
    </font>
    <font>
      <sz val="12"/>
      <color theme="1"/>
      <name val="Times New Roman"/>
      <family val="1"/>
    </font>
    <font>
      <sz val="11"/>
      <color rgb="FFFF0000"/>
      <name val="Times New Roman"/>
      <family val="1"/>
    </font>
    <font>
      <sz val="10"/>
      <name val="Times New Roman"/>
      <family val="1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color indexed="81"/>
      <name val="Tahoma"/>
      <family val="2"/>
    </font>
    <font>
      <sz val="9"/>
      <name val="宋体"/>
      <family val="3"/>
      <charset val="134"/>
    </font>
    <font>
      <sz val="9"/>
      <name val="宋体"/>
      <family val="3"/>
      <charset val="134"/>
    </font>
    <font>
      <b/>
      <sz val="9"/>
      <color indexed="81"/>
      <name val="Tahoma"/>
      <family val="2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24"/>
      <name val="Times New Roman"/>
      <family val="1"/>
    </font>
    <font>
      <sz val="24"/>
      <name val="楷体_GB2312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family val="3"/>
      <charset val="134"/>
    </font>
    <font>
      <b/>
      <sz val="9"/>
      <color rgb="FFFF0000"/>
      <name val="宋体"/>
      <family val="3"/>
      <charset val="134"/>
    </font>
    <font>
      <b/>
      <sz val="9"/>
      <color indexed="10"/>
      <name val="Times New Roman"/>
      <family val="1"/>
    </font>
    <font>
      <b/>
      <sz val="9"/>
      <color indexed="10"/>
      <name val="宋体"/>
      <family val="3"/>
      <charset val="134"/>
    </font>
    <font>
      <sz val="10"/>
      <name val="华文中宋"/>
      <family val="3"/>
      <charset val="134"/>
    </font>
    <font>
      <sz val="12"/>
      <name val="楷体_GB2312"/>
      <family val="3"/>
      <charset val="134"/>
    </font>
    <font>
      <b/>
      <sz val="12"/>
      <name val="华文中宋"/>
      <family val="3"/>
      <charset val="134"/>
    </font>
    <font>
      <sz val="12"/>
      <name val="华文中宋"/>
      <family val="3"/>
      <charset val="134"/>
    </font>
    <font>
      <sz val="9"/>
      <name val="宋体"/>
      <family val="2"/>
      <charset val="134"/>
      <scheme val="minor"/>
    </font>
    <font>
      <sz val="18"/>
      <name val="华文中宋"/>
      <family val="3"/>
      <charset val="13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B4C5FC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6">
    <xf numFmtId="0" fontId="0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/>
    <xf numFmtId="0" fontId="2" fillId="0" borderId="0">
      <alignment vertical="center"/>
    </xf>
    <xf numFmtId="0" fontId="5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44" fillId="0" borderId="0"/>
  </cellStyleXfs>
  <cellXfs count="740">
    <xf numFmtId="0" fontId="0" fillId="0" borderId="0" xfId="0"/>
    <xf numFmtId="0" fontId="6" fillId="0" borderId="5" xfId="0" applyFont="1" applyFill="1" applyBorder="1" applyAlignment="1"/>
    <xf numFmtId="178" fontId="6" fillId="0" borderId="5" xfId="0" applyNumberFormat="1" applyFont="1" applyFill="1" applyBorder="1" applyAlignment="1"/>
    <xf numFmtId="0" fontId="6" fillId="0" borderId="0" xfId="0" applyFont="1" applyFill="1" applyBorder="1" applyAlignment="1">
      <alignment horizontal="center"/>
    </xf>
    <xf numFmtId="0" fontId="6" fillId="0" borderId="0" xfId="0" applyFont="1" applyFill="1" applyAlignment="1">
      <alignment horizontal="center" vertical="center"/>
    </xf>
    <xf numFmtId="178" fontId="6" fillId="0" borderId="0" xfId="0" applyNumberFormat="1" applyFont="1" applyFill="1" applyAlignment="1">
      <alignment horizontal="center" vertical="center"/>
    </xf>
    <xf numFmtId="14" fontId="6" fillId="0" borderId="1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178" fontId="6" fillId="0" borderId="0" xfId="0" applyNumberFormat="1" applyFont="1" applyFill="1" applyBorder="1" applyAlignment="1">
      <alignment vertical="center"/>
    </xf>
    <xf numFmtId="178" fontId="6" fillId="0" borderId="0" xfId="0" applyNumberFormat="1" applyFont="1" applyFill="1" applyBorder="1" applyAlignment="1">
      <alignment vertical="top"/>
    </xf>
    <xf numFmtId="178" fontId="6" fillId="0" borderId="0" xfId="0" applyNumberFormat="1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179" fontId="6" fillId="0" borderId="1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/>
    </xf>
    <xf numFmtId="0" fontId="6" fillId="0" borderId="0" xfId="0" applyFont="1" applyFill="1" applyAlignment="1">
      <alignment vertical="center"/>
    </xf>
    <xf numFmtId="0" fontId="6" fillId="0" borderId="1" xfId="0" applyFont="1" applyFill="1" applyBorder="1" applyAlignment="1" applyProtection="1">
      <alignment horizontal="center" vertical="center"/>
      <protection locked="0"/>
    </xf>
    <xf numFmtId="0" fontId="6" fillId="0" borderId="1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6" fillId="4" borderId="1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 wrapText="1"/>
    </xf>
    <xf numFmtId="10" fontId="6" fillId="0" borderId="0" xfId="0" applyNumberFormat="1" applyFont="1" applyFill="1" applyBorder="1" applyAlignment="1">
      <alignment vertical="center"/>
    </xf>
    <xf numFmtId="178" fontId="9" fillId="0" borderId="0" xfId="0" applyNumberFormat="1" applyFont="1" applyFill="1" applyAlignment="1">
      <alignment vertical="center"/>
    </xf>
    <xf numFmtId="178" fontId="6" fillId="0" borderId="0" xfId="0" applyNumberFormat="1" applyFont="1" applyFill="1" applyBorder="1" applyAlignment="1"/>
    <xf numFmtId="178" fontId="6" fillId="0" borderId="0" xfId="0" applyNumberFormat="1" applyFont="1" applyFill="1" applyBorder="1" applyAlignment="1">
      <alignment horizontal="center" vertical="center"/>
    </xf>
    <xf numFmtId="176" fontId="6" fillId="0" borderId="0" xfId="0" applyNumberFormat="1" applyFont="1" applyFill="1" applyBorder="1" applyAlignment="1">
      <alignment horizontal="center" vertical="center"/>
    </xf>
    <xf numFmtId="178" fontId="6" fillId="0" borderId="5" xfId="0" applyNumberFormat="1" applyFont="1" applyFill="1" applyBorder="1" applyAlignment="1">
      <alignment horizontal="center" vertical="center"/>
    </xf>
    <xf numFmtId="182" fontId="6" fillId="0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center"/>
    </xf>
    <xf numFmtId="178" fontId="6" fillId="4" borderId="1" xfId="0" applyNumberFormat="1" applyFont="1" applyFill="1" applyBorder="1" applyAlignment="1">
      <alignment horizontal="center" vertical="center"/>
    </xf>
    <xf numFmtId="178" fontId="6" fillId="4" borderId="1" xfId="0" applyNumberFormat="1" applyFont="1" applyFill="1" applyBorder="1" applyAlignment="1">
      <alignment horizontal="center" vertical="center" wrapText="1"/>
    </xf>
    <xf numFmtId="14" fontId="6" fillId="4" borderId="1" xfId="0" applyNumberFormat="1" applyFont="1" applyFill="1" applyBorder="1" applyAlignment="1">
      <alignment horizontal="center" vertical="center"/>
    </xf>
    <xf numFmtId="10" fontId="6" fillId="4" borderId="1" xfId="0" applyNumberFormat="1" applyFont="1" applyFill="1" applyBorder="1" applyAlignment="1">
      <alignment horizontal="center" vertical="center"/>
    </xf>
    <xf numFmtId="182" fontId="6" fillId="4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/>
    </xf>
    <xf numFmtId="178" fontId="6" fillId="0" borderId="2" xfId="0" applyNumberFormat="1" applyFont="1" applyFill="1" applyBorder="1" applyAlignment="1">
      <alignment horizontal="center" vertical="center" wrapText="1"/>
    </xf>
    <xf numFmtId="179" fontId="6" fillId="3" borderId="1" xfId="0" applyNumberFormat="1" applyFont="1" applyFill="1" applyBorder="1" applyAlignment="1">
      <alignment horizontal="center" vertical="center" wrapText="1"/>
    </xf>
    <xf numFmtId="10" fontId="8" fillId="3" borderId="1" xfId="0" applyNumberFormat="1" applyFont="1" applyFill="1" applyBorder="1" applyAlignment="1">
      <alignment horizontal="center" vertical="center" wrapText="1"/>
    </xf>
    <xf numFmtId="10" fontId="6" fillId="3" borderId="1" xfId="0" applyNumberFormat="1" applyFont="1" applyFill="1" applyBorder="1" applyAlignment="1">
      <alignment horizontal="center" vertical="center" wrapText="1"/>
    </xf>
    <xf numFmtId="0" fontId="6" fillId="3" borderId="0" xfId="0" applyFont="1" applyFill="1" applyAlignment="1">
      <alignment vertical="center"/>
    </xf>
    <xf numFmtId="0" fontId="6" fillId="3" borderId="0" xfId="0" applyFont="1" applyFill="1" applyAlignment="1">
      <alignment horizontal="center" vertical="center"/>
    </xf>
    <xf numFmtId="0" fontId="0" fillId="3" borderId="0" xfId="0" applyFill="1"/>
    <xf numFmtId="178" fontId="6" fillId="0" borderId="0" xfId="0" applyNumberFormat="1" applyFont="1" applyFill="1" applyAlignment="1">
      <alignment horizontal="center"/>
    </xf>
    <xf numFmtId="178" fontId="8" fillId="0" borderId="0" xfId="0" applyNumberFormat="1" applyFont="1" applyFill="1" applyBorder="1" applyAlignment="1">
      <alignment vertical="center"/>
    </xf>
    <xf numFmtId="178" fontId="6" fillId="3" borderId="1" xfId="0" applyNumberFormat="1" applyFont="1" applyFill="1" applyBorder="1" applyAlignment="1">
      <alignment horizontal="center" vertical="center" wrapText="1"/>
    </xf>
    <xf numFmtId="178" fontId="0" fillId="0" borderId="0" xfId="0" applyNumberFormat="1"/>
    <xf numFmtId="182" fontId="6" fillId="0" borderId="0" xfId="0" applyNumberFormat="1" applyFont="1" applyFill="1" applyBorder="1" applyAlignment="1">
      <alignment vertical="center"/>
    </xf>
    <xf numFmtId="182" fontId="8" fillId="0" borderId="0" xfId="0" applyNumberFormat="1" applyFont="1" applyFill="1" applyBorder="1" applyAlignment="1">
      <alignment vertical="center"/>
    </xf>
    <xf numFmtId="182" fontId="6" fillId="0" borderId="5" xfId="0" applyNumberFormat="1" applyFont="1" applyFill="1" applyBorder="1" applyAlignment="1"/>
    <xf numFmtId="182" fontId="0" fillId="0" borderId="0" xfId="0" applyNumberFormat="1"/>
    <xf numFmtId="0" fontId="0" fillId="0" borderId="0" xfId="0" applyBorder="1"/>
    <xf numFmtId="178" fontId="6" fillId="3" borderId="6" xfId="0" applyNumberFormat="1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 wrapText="1"/>
    </xf>
    <xf numFmtId="182" fontId="6" fillId="0" borderId="0" xfId="0" applyNumberFormat="1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 vertical="center" wrapText="1"/>
    </xf>
    <xf numFmtId="182" fontId="6" fillId="0" borderId="0" xfId="0" applyNumberFormat="1" applyFont="1" applyFill="1" applyBorder="1" applyAlignment="1">
      <alignment vertical="center" wrapText="1"/>
    </xf>
    <xf numFmtId="10" fontId="6" fillId="0" borderId="0" xfId="0" applyNumberFormat="1" applyFont="1" applyFill="1" applyBorder="1" applyAlignment="1">
      <alignment horizontal="center"/>
    </xf>
    <xf numFmtId="0" fontId="6" fillId="0" borderId="0" xfId="0" applyNumberFormat="1" applyFont="1" applyFill="1" applyBorder="1" applyAlignment="1">
      <alignment horizontal="center" vertical="center"/>
    </xf>
    <xf numFmtId="0" fontId="0" fillId="0" borderId="0" xfId="0" applyFill="1"/>
    <xf numFmtId="178" fontId="9" fillId="0" borderId="0" xfId="0" applyNumberFormat="1" applyFont="1" applyFill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6" fillId="0" borderId="1" xfId="4" applyFont="1" applyFill="1" applyBorder="1" applyAlignment="1">
      <alignment horizontal="left" vertical="center"/>
    </xf>
    <xf numFmtId="0" fontId="6" fillId="0" borderId="1" xfId="10" applyFont="1" applyFill="1" applyBorder="1" applyAlignment="1">
      <alignment horizontal="left" vertical="center"/>
    </xf>
    <xf numFmtId="0" fontId="6" fillId="0" borderId="1" xfId="9" applyFont="1" applyFill="1" applyBorder="1" applyAlignment="1">
      <alignment horizontal="left" vertical="center"/>
    </xf>
    <xf numFmtId="0" fontId="6" fillId="0" borderId="1" xfId="6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0" fontId="6" fillId="0" borderId="5" xfId="0" applyFont="1" applyFill="1" applyBorder="1" applyAlignment="1">
      <alignment horizontal="left"/>
    </xf>
    <xf numFmtId="0" fontId="6" fillId="0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6" fillId="4" borderId="0" xfId="0" applyNumberFormat="1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/>
    </xf>
    <xf numFmtId="0" fontId="7" fillId="0" borderId="0" xfId="0" applyFont="1" applyFill="1" applyAlignment="1"/>
    <xf numFmtId="178" fontId="6" fillId="0" borderId="0" xfId="0" applyNumberFormat="1" applyFont="1" applyFill="1" applyBorder="1" applyAlignment="1">
      <alignment horizontal="center" vertical="center" wrapText="1"/>
    </xf>
    <xf numFmtId="182" fontId="6" fillId="4" borderId="0" xfId="0" applyNumberFormat="1" applyFont="1" applyFill="1" applyBorder="1" applyAlignment="1">
      <alignment horizontal="center" vertical="center"/>
    </xf>
    <xf numFmtId="178" fontId="6" fillId="4" borderId="0" xfId="0" applyNumberFormat="1" applyFont="1" applyFill="1" applyBorder="1" applyAlignment="1">
      <alignment horizontal="center" vertical="center"/>
    </xf>
    <xf numFmtId="0" fontId="6" fillId="3" borderId="0" xfId="0" applyFont="1" applyFill="1" applyBorder="1" applyAlignment="1"/>
    <xf numFmtId="182" fontId="6" fillId="3" borderId="0" xfId="0" applyNumberFormat="1" applyFont="1" applyFill="1" applyBorder="1" applyAlignment="1">
      <alignment vertical="center" wrapText="1"/>
    </xf>
    <xf numFmtId="10" fontId="6" fillId="3" borderId="1" xfId="0" applyNumberFormat="1" applyFont="1" applyFill="1" applyBorder="1" applyAlignment="1">
      <alignment horizontal="center" vertical="center"/>
    </xf>
    <xf numFmtId="14" fontId="6" fillId="0" borderId="1" xfId="0" applyNumberFormat="1" applyFont="1" applyFill="1" applyBorder="1" applyAlignment="1" applyProtection="1">
      <alignment horizontal="center" vertical="center"/>
      <protection locked="0"/>
    </xf>
    <xf numFmtId="0" fontId="6" fillId="2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 applyProtection="1">
      <alignment horizontal="center" vertical="center"/>
      <protection locked="0"/>
    </xf>
    <xf numFmtId="0" fontId="6" fillId="2" borderId="1" xfId="0" applyFont="1" applyFill="1" applyBorder="1" applyAlignment="1">
      <alignment horizontal="left" vertical="center"/>
    </xf>
    <xf numFmtId="14" fontId="6" fillId="2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vertical="center" wrapText="1"/>
    </xf>
    <xf numFmtId="0" fontId="0" fillId="2" borderId="0" xfId="0" applyFill="1"/>
    <xf numFmtId="178" fontId="6" fillId="0" borderId="1" xfId="0" applyNumberFormat="1" applyFont="1" applyFill="1" applyBorder="1" applyAlignment="1">
      <alignment horizontal="center" vertical="center" wrapText="1"/>
    </xf>
    <xf numFmtId="182" fontId="6" fillId="3" borderId="1" xfId="0" applyNumberFormat="1" applyFont="1" applyFill="1" applyBorder="1" applyAlignment="1">
      <alignment horizontal="center" vertical="center" wrapText="1"/>
    </xf>
    <xf numFmtId="178" fontId="6" fillId="4" borderId="2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Border="1" applyAlignment="1">
      <alignment vertical="center" wrapText="1"/>
    </xf>
    <xf numFmtId="176" fontId="6" fillId="4" borderId="1" xfId="0" applyNumberFormat="1" applyFont="1" applyFill="1" applyBorder="1" applyAlignment="1">
      <alignment horizontal="center" vertical="center"/>
    </xf>
    <xf numFmtId="179" fontId="6" fillId="4" borderId="1" xfId="0" applyNumberFormat="1" applyFont="1" applyFill="1" applyBorder="1" applyAlignment="1">
      <alignment horizontal="center" vertical="center"/>
    </xf>
    <xf numFmtId="180" fontId="10" fillId="0" borderId="1" xfId="0" applyNumberFormat="1" applyFont="1" applyFill="1" applyBorder="1" applyAlignment="1">
      <alignment horizontal="center"/>
    </xf>
    <xf numFmtId="180" fontId="6" fillId="4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/>
    </xf>
    <xf numFmtId="178" fontId="6" fillId="2" borderId="2" xfId="0" applyNumberFormat="1" applyFont="1" applyFill="1" applyBorder="1" applyAlignment="1">
      <alignment horizontal="center" vertical="center" wrapText="1"/>
    </xf>
    <xf numFmtId="178" fontId="6" fillId="5" borderId="1" xfId="0" applyNumberFormat="1" applyFont="1" applyFill="1" applyBorder="1" applyAlignment="1">
      <alignment horizontal="center" vertical="center"/>
    </xf>
    <xf numFmtId="180" fontId="10" fillId="6" borderId="1" xfId="0" applyNumberFormat="1" applyFont="1" applyFill="1" applyBorder="1" applyAlignment="1">
      <alignment horizontal="center"/>
    </xf>
    <xf numFmtId="0" fontId="4" fillId="0" borderId="4" xfId="0" applyFont="1" applyBorder="1" applyAlignment="1">
      <alignment horizontal="center" vertical="center"/>
    </xf>
    <xf numFmtId="180" fontId="0" fillId="0" borderId="0" xfId="0" applyNumberFormat="1"/>
    <xf numFmtId="177" fontId="0" fillId="0" borderId="0" xfId="0" applyNumberFormat="1"/>
    <xf numFmtId="180" fontId="10" fillId="4" borderId="1" xfId="0" applyNumberFormat="1" applyFont="1" applyFill="1" applyBorder="1" applyAlignment="1">
      <alignment horizontal="center"/>
    </xf>
    <xf numFmtId="0" fontId="20" fillId="0" borderId="0" xfId="0" applyFont="1"/>
    <xf numFmtId="0" fontId="21" fillId="0" borderId="1" xfId="0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 wrapText="1"/>
    </xf>
    <xf numFmtId="0" fontId="23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178" fontId="22" fillId="0" borderId="2" xfId="0" applyNumberFormat="1" applyFont="1" applyFill="1" applyBorder="1" applyAlignment="1">
      <alignment horizontal="center" vertical="center" wrapText="1"/>
    </xf>
    <xf numFmtId="0" fontId="22" fillId="2" borderId="1" xfId="0" applyNumberFormat="1" applyFont="1" applyFill="1" applyBorder="1" applyAlignment="1">
      <alignment horizontal="center" vertical="center" wrapText="1"/>
    </xf>
    <xf numFmtId="0" fontId="22" fillId="2" borderId="1" xfId="0" applyNumberFormat="1" applyFont="1" applyFill="1" applyBorder="1" applyAlignment="1">
      <alignment horizontal="center" vertical="center"/>
    </xf>
    <xf numFmtId="0" fontId="22" fillId="3" borderId="1" xfId="0" applyNumberFormat="1" applyFont="1" applyFill="1" applyBorder="1" applyAlignment="1">
      <alignment horizontal="center" vertical="center" wrapText="1"/>
    </xf>
    <xf numFmtId="0" fontId="23" fillId="3" borderId="1" xfId="0" applyNumberFormat="1" applyFont="1" applyFill="1" applyBorder="1" applyAlignment="1">
      <alignment horizontal="center" vertical="center" wrapText="1"/>
    </xf>
    <xf numFmtId="179" fontId="22" fillId="3" borderId="1" xfId="0" applyNumberFormat="1" applyFont="1" applyFill="1" applyBorder="1" applyAlignment="1">
      <alignment horizontal="center" vertical="center" wrapText="1"/>
    </xf>
    <xf numFmtId="10" fontId="22" fillId="3" borderId="1" xfId="0" applyNumberFormat="1" applyFont="1" applyFill="1" applyBorder="1" applyAlignment="1">
      <alignment horizontal="center" vertical="center" wrapText="1"/>
    </xf>
    <xf numFmtId="0" fontId="22" fillId="0" borderId="0" xfId="0" applyFont="1" applyFill="1" applyAlignment="1">
      <alignment horizontal="center"/>
    </xf>
    <xf numFmtId="0" fontId="23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178" fontId="22" fillId="0" borderId="0" xfId="0" applyNumberFormat="1" applyFont="1" applyFill="1" applyAlignment="1">
      <alignment horizontal="center"/>
    </xf>
    <xf numFmtId="182" fontId="22" fillId="0" borderId="0" xfId="0" applyNumberFormat="1" applyFont="1" applyFill="1" applyAlignment="1">
      <alignment horizontal="center"/>
    </xf>
    <xf numFmtId="0" fontId="24" fillId="0" borderId="0" xfId="0" applyFont="1"/>
    <xf numFmtId="0" fontId="22" fillId="0" borderId="0" xfId="0" applyFont="1" applyFill="1" applyBorder="1" applyAlignment="1">
      <alignment vertical="center"/>
    </xf>
    <xf numFmtId="0" fontId="22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vertical="center"/>
    </xf>
    <xf numFmtId="178" fontId="22" fillId="0" borderId="0" xfId="0" applyNumberFormat="1" applyFont="1" applyFill="1" applyBorder="1" applyAlignment="1">
      <alignment vertical="center"/>
    </xf>
    <xf numFmtId="0" fontId="22" fillId="0" borderId="1" xfId="0" applyFont="1" applyFill="1" applyBorder="1" applyAlignment="1" applyProtection="1">
      <alignment horizontal="center" vertical="center"/>
      <protection locked="0"/>
    </xf>
    <xf numFmtId="14" fontId="22" fillId="0" borderId="1" xfId="0" applyNumberFormat="1" applyFont="1" applyFill="1" applyBorder="1" applyAlignment="1">
      <alignment horizontal="center" vertical="center"/>
    </xf>
    <xf numFmtId="0" fontId="23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 wrapText="1"/>
    </xf>
    <xf numFmtId="178" fontId="22" fillId="4" borderId="1" xfId="0" applyNumberFormat="1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/>
    </xf>
    <xf numFmtId="180" fontId="22" fillId="0" borderId="1" xfId="0" applyNumberFormat="1" applyFont="1" applyFill="1" applyBorder="1" applyAlignment="1">
      <alignment horizontal="center" vertical="center"/>
    </xf>
    <xf numFmtId="10" fontId="22" fillId="4" borderId="1" xfId="0" applyNumberFormat="1" applyFont="1" applyFill="1" applyBorder="1" applyAlignment="1">
      <alignment horizontal="center" vertical="center"/>
    </xf>
    <xf numFmtId="0" fontId="22" fillId="0" borderId="1" xfId="4" applyFont="1" applyFill="1" applyBorder="1" applyAlignment="1">
      <alignment horizontal="center" vertical="center"/>
    </xf>
    <xf numFmtId="182" fontId="23" fillId="0" borderId="1" xfId="0" applyNumberFormat="1" applyFont="1" applyFill="1" applyBorder="1" applyAlignment="1">
      <alignment horizontal="center" vertical="center" wrapText="1"/>
    </xf>
    <xf numFmtId="14" fontId="24" fillId="0" borderId="1" xfId="0" applyNumberFormat="1" applyFont="1" applyFill="1" applyBorder="1" applyAlignment="1">
      <alignment vertical="center" wrapText="1"/>
    </xf>
    <xf numFmtId="0" fontId="27" fillId="0" borderId="1" xfId="0" applyFont="1" applyFill="1" applyBorder="1" applyAlignment="1">
      <alignment horizontal="center" vertical="center" wrapText="1"/>
    </xf>
    <xf numFmtId="178" fontId="24" fillId="0" borderId="1" xfId="0" applyNumberFormat="1" applyFont="1" applyFill="1" applyBorder="1" applyAlignment="1">
      <alignment horizontal="center" vertical="center" wrapText="1"/>
    </xf>
    <xf numFmtId="14" fontId="22" fillId="0" borderId="1" xfId="0" applyNumberFormat="1" applyFont="1" applyFill="1" applyBorder="1" applyAlignment="1" applyProtection="1">
      <alignment horizontal="center" vertical="center"/>
      <protection locked="0"/>
    </xf>
    <xf numFmtId="0" fontId="22" fillId="0" borderId="1" xfId="10" applyFont="1" applyFill="1" applyBorder="1" applyAlignment="1">
      <alignment horizontal="center" vertical="center"/>
    </xf>
    <xf numFmtId="0" fontId="22" fillId="0" borderId="1" xfId="9" applyFont="1" applyFill="1" applyBorder="1" applyAlignment="1">
      <alignment horizontal="center" vertical="center"/>
    </xf>
    <xf numFmtId="179" fontId="22" fillId="0" borderId="1" xfId="0" applyNumberFormat="1" applyFont="1" applyFill="1" applyBorder="1" applyAlignment="1">
      <alignment horizontal="center" vertical="center"/>
    </xf>
    <xf numFmtId="0" fontId="22" fillId="4" borderId="1" xfId="0" applyNumberFormat="1" applyFont="1" applyFill="1" applyBorder="1" applyAlignment="1">
      <alignment horizontal="center" vertical="center"/>
    </xf>
    <xf numFmtId="14" fontId="22" fillId="4" borderId="1" xfId="0" applyNumberFormat="1" applyFont="1" applyFill="1" applyBorder="1" applyAlignment="1">
      <alignment horizontal="center" vertical="center"/>
    </xf>
    <xf numFmtId="0" fontId="23" fillId="4" borderId="1" xfId="0" applyNumberFormat="1" applyFont="1" applyFill="1" applyBorder="1" applyAlignment="1">
      <alignment horizontal="center" vertical="center"/>
    </xf>
    <xf numFmtId="178" fontId="22" fillId="4" borderId="1" xfId="0" applyNumberFormat="1" applyFont="1" applyFill="1" applyBorder="1" applyAlignment="1">
      <alignment horizontal="center" vertical="center"/>
    </xf>
    <xf numFmtId="178" fontId="22" fillId="5" borderId="1" xfId="0" applyNumberFormat="1" applyFont="1" applyFill="1" applyBorder="1" applyAlignment="1">
      <alignment horizontal="center" vertical="center"/>
    </xf>
    <xf numFmtId="182" fontId="22" fillId="4" borderId="1" xfId="0" applyNumberFormat="1" applyFont="1" applyFill="1" applyBorder="1" applyAlignment="1">
      <alignment horizontal="center" vertical="center"/>
    </xf>
    <xf numFmtId="180" fontId="22" fillId="4" borderId="1" xfId="0" applyNumberFormat="1" applyFont="1" applyFill="1" applyBorder="1" applyAlignment="1">
      <alignment horizontal="center" vertical="center"/>
    </xf>
    <xf numFmtId="178" fontId="22" fillId="4" borderId="2" xfId="0" applyNumberFormat="1" applyFont="1" applyFill="1" applyBorder="1" applyAlignment="1">
      <alignment horizontal="center" vertical="center"/>
    </xf>
    <xf numFmtId="0" fontId="22" fillId="0" borderId="1" xfId="6" applyFont="1" applyFill="1" applyBorder="1" applyAlignment="1">
      <alignment horizontal="center" vertical="center"/>
    </xf>
    <xf numFmtId="0" fontId="28" fillId="0" borderId="1" xfId="0" applyNumberFormat="1" applyFont="1" applyFill="1" applyBorder="1" applyAlignment="1">
      <alignment horizontal="center" vertical="center"/>
    </xf>
    <xf numFmtId="14" fontId="22" fillId="0" borderId="1" xfId="0" applyNumberFormat="1" applyFont="1" applyFill="1" applyBorder="1" applyAlignment="1">
      <alignment horizontal="center" vertical="center" wrapText="1"/>
    </xf>
    <xf numFmtId="0" fontId="23" fillId="3" borderId="6" xfId="0" applyFont="1" applyFill="1" applyBorder="1" applyAlignment="1">
      <alignment horizontal="center" vertical="center"/>
    </xf>
    <xf numFmtId="178" fontId="22" fillId="3" borderId="6" xfId="0" applyNumberFormat="1" applyFont="1" applyFill="1" applyBorder="1" applyAlignment="1">
      <alignment horizontal="center" vertical="center" wrapText="1"/>
    </xf>
    <xf numFmtId="10" fontId="22" fillId="3" borderId="1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vertical="center" wrapText="1"/>
    </xf>
    <xf numFmtId="0" fontId="22" fillId="0" borderId="0" xfId="0" applyFont="1" applyFill="1" applyAlignment="1">
      <alignment vertical="center"/>
    </xf>
    <xf numFmtId="182" fontId="22" fillId="0" borderId="0" xfId="0" applyNumberFormat="1" applyFont="1" applyFill="1" applyBorder="1" applyAlignment="1">
      <alignment vertical="center"/>
    </xf>
    <xf numFmtId="178" fontId="22" fillId="0" borderId="0" xfId="0" applyNumberFormat="1" applyFont="1" applyFill="1" applyBorder="1" applyAlignment="1">
      <alignment vertical="top"/>
    </xf>
    <xf numFmtId="178" fontId="22" fillId="0" borderId="0" xfId="0" applyNumberFormat="1" applyFont="1" applyFill="1" applyBorder="1" applyAlignment="1">
      <alignment horizontal="center" vertical="top"/>
    </xf>
    <xf numFmtId="0" fontId="23" fillId="0" borderId="0" xfId="0" applyFont="1" applyFill="1" applyBorder="1" applyAlignment="1">
      <alignment horizontal="center" vertical="center"/>
    </xf>
    <xf numFmtId="178" fontId="22" fillId="0" borderId="0" xfId="0" applyNumberFormat="1" applyFont="1" applyFill="1" applyAlignment="1">
      <alignment vertical="center"/>
    </xf>
    <xf numFmtId="176" fontId="22" fillId="0" borderId="0" xfId="0" applyNumberFormat="1" applyFont="1" applyFill="1" applyBorder="1" applyAlignment="1">
      <alignment horizontal="center" vertical="center"/>
    </xf>
    <xf numFmtId="178" fontId="22" fillId="0" borderId="0" xfId="0" applyNumberFormat="1" applyFont="1" applyFill="1" applyBorder="1" applyAlignment="1">
      <alignment horizontal="center" vertical="center"/>
    </xf>
    <xf numFmtId="10" fontId="23" fillId="0" borderId="0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vertical="center"/>
    </xf>
    <xf numFmtId="182" fontId="22" fillId="0" borderId="0" xfId="0" applyNumberFormat="1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/>
    </xf>
    <xf numFmtId="0" fontId="22" fillId="0" borderId="5" xfId="0" applyFont="1" applyFill="1" applyBorder="1" applyAlignment="1">
      <alignment horizontal="center"/>
    </xf>
    <xf numFmtId="0" fontId="22" fillId="0" borderId="5" xfId="0" applyFont="1" applyFill="1" applyBorder="1" applyAlignment="1"/>
    <xf numFmtId="178" fontId="23" fillId="0" borderId="5" xfId="0" applyNumberFormat="1" applyFont="1" applyFill="1" applyBorder="1" applyAlignment="1">
      <alignment horizontal="center" vertical="center"/>
    </xf>
    <xf numFmtId="178" fontId="22" fillId="0" borderId="5" xfId="0" applyNumberFormat="1" applyFont="1" applyFill="1" applyBorder="1" applyAlignment="1"/>
    <xf numFmtId="178" fontId="22" fillId="0" borderId="5" xfId="0" applyNumberFormat="1" applyFont="1" applyFill="1" applyBorder="1" applyAlignment="1">
      <alignment horizontal="center" vertical="center"/>
    </xf>
    <xf numFmtId="182" fontId="22" fillId="0" borderId="5" xfId="0" applyNumberFormat="1" applyFont="1" applyFill="1" applyBorder="1" applyAlignment="1"/>
    <xf numFmtId="178" fontId="22" fillId="0" borderId="0" xfId="0" applyNumberFormat="1" applyFont="1" applyFill="1" applyBorder="1" applyAlignment="1"/>
    <xf numFmtId="178" fontId="22" fillId="0" borderId="0" xfId="0" applyNumberFormat="1" applyFont="1" applyFill="1" applyAlignment="1">
      <alignment horizontal="center" vertical="center"/>
    </xf>
    <xf numFmtId="0" fontId="24" fillId="0" borderId="0" xfId="0" applyFont="1" applyBorder="1"/>
    <xf numFmtId="0" fontId="24" fillId="3" borderId="0" xfId="0" applyFont="1" applyFill="1"/>
    <xf numFmtId="0" fontId="22" fillId="3" borderId="0" xfId="0" applyFont="1" applyFill="1" applyAlignment="1">
      <alignment horizontal="center"/>
    </xf>
    <xf numFmtId="0" fontId="22" fillId="3" borderId="0" xfId="0" applyFont="1" applyFill="1" applyAlignment="1">
      <alignment vertical="center"/>
    </xf>
    <xf numFmtId="0" fontId="24" fillId="0" borderId="0" xfId="0" applyFont="1" applyAlignment="1">
      <alignment horizontal="center"/>
    </xf>
    <xf numFmtId="0" fontId="27" fillId="0" borderId="0" xfId="0" applyFont="1"/>
    <xf numFmtId="0" fontId="26" fillId="7" borderId="0" xfId="0" applyFont="1" applyFill="1" applyBorder="1" applyAlignment="1">
      <alignment vertical="center"/>
    </xf>
    <xf numFmtId="0" fontId="26" fillId="7" borderId="0" xfId="0" applyFont="1" applyFill="1" applyBorder="1" applyAlignment="1">
      <alignment horizontal="center" vertical="center"/>
    </xf>
    <xf numFmtId="0" fontId="16" fillId="0" borderId="1" xfId="0" applyFont="1" applyFill="1" applyBorder="1" applyAlignment="1" applyProtection="1">
      <alignment horizontal="center" vertical="center"/>
      <protection locked="0"/>
    </xf>
    <xf numFmtId="0" fontId="16" fillId="0" borderId="1" xfId="0" applyFont="1" applyFill="1" applyBorder="1" applyAlignment="1">
      <alignment horizontal="center" vertical="center" wrapText="1"/>
    </xf>
    <xf numFmtId="0" fontId="22" fillId="0" borderId="1" xfId="10" applyFont="1" applyFill="1" applyBorder="1" applyAlignment="1">
      <alignment horizontal="left" vertical="center"/>
    </xf>
    <xf numFmtId="0" fontId="22" fillId="0" borderId="1" xfId="0" applyFont="1" applyFill="1" applyBorder="1" applyAlignment="1">
      <alignment horizontal="left" vertical="center"/>
    </xf>
    <xf numFmtId="14" fontId="22" fillId="0" borderId="1" xfId="0" applyNumberFormat="1" applyFont="1" applyFill="1" applyBorder="1" applyAlignment="1">
      <alignment horizontal="left" vertical="center"/>
    </xf>
    <xf numFmtId="0" fontId="22" fillId="0" borderId="1" xfId="4" applyFont="1" applyFill="1" applyBorder="1" applyAlignment="1">
      <alignment horizontal="left" vertical="center"/>
    </xf>
    <xf numFmtId="180" fontId="6" fillId="3" borderId="6" xfId="0" applyNumberFormat="1" applyFont="1" applyFill="1" applyBorder="1" applyAlignment="1">
      <alignment horizontal="center" vertical="center"/>
    </xf>
    <xf numFmtId="10" fontId="10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 applyProtection="1">
      <alignment horizontal="center" vertical="center"/>
      <protection locked="0"/>
    </xf>
    <xf numFmtId="0" fontId="16" fillId="0" borderId="1" xfId="10" applyFont="1" applyFill="1" applyBorder="1" applyAlignment="1">
      <alignment horizontal="center" vertical="center"/>
    </xf>
    <xf numFmtId="0" fontId="16" fillId="0" borderId="1" xfId="10" applyFont="1" applyFill="1" applyBorder="1" applyAlignment="1">
      <alignment horizontal="left" vertical="center"/>
    </xf>
    <xf numFmtId="178" fontId="18" fillId="0" borderId="0" xfId="0" applyNumberFormat="1" applyFont="1" applyFill="1" applyAlignment="1">
      <alignment horizontal="center"/>
    </xf>
    <xf numFmtId="0" fontId="16" fillId="0" borderId="1" xfId="0" applyFont="1" applyFill="1" applyBorder="1" applyAlignment="1">
      <alignment horizontal="center" vertical="center"/>
    </xf>
    <xf numFmtId="10" fontId="10" fillId="2" borderId="1" xfId="0" applyNumberFormat="1" applyFont="1" applyFill="1" applyBorder="1" applyAlignment="1">
      <alignment horizontal="center" vertical="center" wrapText="1"/>
    </xf>
    <xf numFmtId="0" fontId="18" fillId="0" borderId="0" xfId="0" applyFont="1" applyFill="1" applyAlignment="1">
      <alignment horizontal="center"/>
    </xf>
    <xf numFmtId="0" fontId="6" fillId="0" borderId="1" xfId="4" applyFont="1" applyFill="1" applyBorder="1" applyAlignment="1">
      <alignment horizontal="center" vertical="center"/>
    </xf>
    <xf numFmtId="0" fontId="6" fillId="8" borderId="0" xfId="0" applyFont="1" applyFill="1" applyAlignment="1">
      <alignment horizontal="center"/>
    </xf>
    <xf numFmtId="0" fontId="8" fillId="8" borderId="0" xfId="0" applyFont="1" applyFill="1" applyBorder="1" applyAlignment="1">
      <alignment vertical="center"/>
    </xf>
    <xf numFmtId="180" fontId="10" fillId="8" borderId="1" xfId="0" applyNumberFormat="1" applyFont="1" applyFill="1" applyBorder="1" applyAlignment="1">
      <alignment horizontal="center"/>
    </xf>
    <xf numFmtId="179" fontId="6" fillId="8" borderId="1" xfId="0" applyNumberFormat="1" applyFont="1" applyFill="1" applyBorder="1" applyAlignment="1">
      <alignment horizontal="center" vertical="center"/>
    </xf>
    <xf numFmtId="180" fontId="6" fillId="8" borderId="1" xfId="0" applyNumberFormat="1" applyFont="1" applyFill="1" applyBorder="1" applyAlignment="1">
      <alignment horizontal="center" vertical="center"/>
    </xf>
    <xf numFmtId="178" fontId="6" fillId="8" borderId="1" xfId="0" applyNumberFormat="1" applyFont="1" applyFill="1" applyBorder="1" applyAlignment="1">
      <alignment horizontal="center" vertical="center"/>
    </xf>
    <xf numFmtId="178" fontId="6" fillId="8" borderId="0" xfId="0" applyNumberFormat="1" applyFont="1" applyFill="1" applyBorder="1" applyAlignment="1">
      <alignment vertical="center"/>
    </xf>
    <xf numFmtId="178" fontId="6" fillId="8" borderId="0" xfId="0" applyNumberFormat="1" applyFont="1" applyFill="1" applyAlignment="1">
      <alignment vertical="center"/>
    </xf>
    <xf numFmtId="178" fontId="6" fillId="8" borderId="0" xfId="0" applyNumberFormat="1" applyFont="1" applyFill="1" applyBorder="1" applyAlignment="1">
      <alignment horizontal="center" vertical="center"/>
    </xf>
    <xf numFmtId="178" fontId="6" fillId="8" borderId="0" xfId="0" applyNumberFormat="1" applyFont="1" applyFill="1" applyBorder="1" applyAlignment="1"/>
    <xf numFmtId="0" fontId="0" fillId="8" borderId="0" xfId="0" applyFill="1" applyBorder="1"/>
    <xf numFmtId="0" fontId="0" fillId="8" borderId="0" xfId="0" applyFill="1"/>
    <xf numFmtId="0" fontId="22" fillId="0" borderId="1" xfId="6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182" fontId="22" fillId="0" borderId="1" xfId="0" applyNumberFormat="1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177" fontId="22" fillId="0" borderId="0" xfId="0" applyNumberFormat="1" applyFont="1" applyFill="1" applyBorder="1" applyAlignment="1">
      <alignment horizontal="center" vertical="center" wrapText="1"/>
    </xf>
    <xf numFmtId="58" fontId="0" fillId="0" borderId="0" xfId="0" applyNumberFormat="1" applyBorder="1" applyAlignment="1"/>
    <xf numFmtId="0" fontId="22" fillId="0" borderId="0" xfId="0" applyFont="1" applyFill="1" applyBorder="1" applyAlignment="1" applyProtection="1">
      <alignment horizontal="center" vertical="center"/>
      <protection locked="0"/>
    </xf>
    <xf numFmtId="182" fontId="22" fillId="0" borderId="1" xfId="0" applyNumberFormat="1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left" vertical="center"/>
    </xf>
    <xf numFmtId="0" fontId="16" fillId="8" borderId="1" xfId="10" applyFont="1" applyFill="1" applyBorder="1" applyAlignment="1">
      <alignment horizontal="left" vertical="center"/>
    </xf>
    <xf numFmtId="0" fontId="6" fillId="2" borderId="1" xfId="4" applyFont="1" applyFill="1" applyBorder="1" applyAlignment="1">
      <alignment horizontal="left" vertical="center"/>
    </xf>
    <xf numFmtId="176" fontId="6" fillId="0" borderId="0" xfId="0" applyNumberFormat="1" applyFont="1" applyFill="1" applyAlignment="1">
      <alignment horizontal="center"/>
    </xf>
    <xf numFmtId="176" fontId="7" fillId="0" borderId="0" xfId="0" applyNumberFormat="1" applyFont="1" applyFill="1" applyAlignment="1">
      <alignment horizontal="center"/>
    </xf>
    <xf numFmtId="176" fontId="8" fillId="0" borderId="0" xfId="0" applyNumberFormat="1" applyFont="1" applyFill="1" applyBorder="1" applyAlignment="1">
      <alignment horizontal="center" vertical="center"/>
    </xf>
    <xf numFmtId="176" fontId="6" fillId="2" borderId="1" xfId="0" applyNumberFormat="1" applyFont="1" applyFill="1" applyBorder="1" applyAlignment="1">
      <alignment horizontal="center" vertical="center" wrapText="1"/>
    </xf>
    <xf numFmtId="176" fontId="10" fillId="6" borderId="1" xfId="0" applyNumberFormat="1" applyFont="1" applyFill="1" applyBorder="1" applyAlignment="1">
      <alignment horizontal="center"/>
    </xf>
    <xf numFmtId="176" fontId="6" fillId="3" borderId="6" xfId="0" applyNumberFormat="1" applyFont="1" applyFill="1" applyBorder="1" applyAlignment="1">
      <alignment horizontal="center" vertical="center"/>
    </xf>
    <xf numFmtId="176" fontId="0" fillId="0" borderId="0" xfId="0" applyNumberFormat="1" applyAlignment="1">
      <alignment horizontal="center"/>
    </xf>
    <xf numFmtId="176" fontId="6" fillId="4" borderId="0" xfId="0" applyNumberFormat="1" applyFont="1" applyFill="1" applyBorder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center"/>
    </xf>
    <xf numFmtId="179" fontId="5" fillId="0" borderId="0" xfId="0" applyNumberFormat="1" applyFont="1" applyAlignment="1">
      <alignment horizontal="center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left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 applyProtection="1">
      <alignment horizontal="center" vertical="center"/>
      <protection locked="0"/>
    </xf>
    <xf numFmtId="0" fontId="18" fillId="0" borderId="1" xfId="9" applyFont="1" applyFill="1" applyBorder="1" applyAlignment="1">
      <alignment horizontal="center" vertical="center"/>
    </xf>
    <xf numFmtId="0" fontId="24" fillId="0" borderId="1" xfId="0" applyFont="1" applyFill="1" applyBorder="1" applyAlignment="1" applyProtection="1">
      <alignment horizontal="center" vertical="center"/>
      <protection locked="0"/>
    </xf>
    <xf numFmtId="0" fontId="24" fillId="0" borderId="1" xfId="5" applyFont="1" applyFill="1" applyBorder="1" applyAlignment="1">
      <alignment horizontal="center" vertical="center"/>
    </xf>
    <xf numFmtId="0" fontId="24" fillId="0" borderId="0" xfId="0" applyFont="1" applyAlignment="1">
      <alignment horizontal="center" vertical="center" wrapText="1"/>
    </xf>
    <xf numFmtId="0" fontId="24" fillId="0" borderId="1" xfId="11" applyFont="1" applyFill="1" applyBorder="1" applyAlignment="1">
      <alignment horizontal="center" vertical="center"/>
    </xf>
    <xf numFmtId="0" fontId="24" fillId="0" borderId="1" xfId="8" applyFont="1" applyFill="1" applyBorder="1" applyAlignment="1">
      <alignment horizontal="center" vertical="center"/>
    </xf>
    <xf numFmtId="0" fontId="24" fillId="0" borderId="1" xfId="7" applyFont="1" applyFill="1" applyBorder="1" applyAlignment="1">
      <alignment horizontal="center" vertical="center"/>
    </xf>
    <xf numFmtId="0" fontId="24" fillId="0" borderId="1" xfId="13" applyFont="1" applyFill="1" applyBorder="1" applyAlignment="1" applyProtection="1">
      <alignment horizontal="center" vertical="center"/>
      <protection locked="0"/>
    </xf>
    <xf numFmtId="0" fontId="24" fillId="0" borderId="2" xfId="0" applyFont="1" applyFill="1" applyBorder="1" applyAlignment="1" applyProtection="1">
      <alignment horizontal="center" vertical="center"/>
      <protection locked="0"/>
    </xf>
    <xf numFmtId="178" fontId="24" fillId="0" borderId="2" xfId="0" applyNumberFormat="1" applyFont="1" applyFill="1" applyBorder="1" applyAlignment="1">
      <alignment vertical="center" wrapText="1"/>
    </xf>
    <xf numFmtId="0" fontId="24" fillId="0" borderId="2" xfId="0" applyFont="1" applyFill="1" applyBorder="1" applyAlignment="1">
      <alignment vertical="center" wrapText="1"/>
    </xf>
    <xf numFmtId="178" fontId="24" fillId="0" borderId="2" xfId="0" applyNumberFormat="1" applyFont="1" applyFill="1" applyBorder="1" applyAlignment="1">
      <alignment vertical="center"/>
    </xf>
    <xf numFmtId="0" fontId="24" fillId="0" borderId="2" xfId="0" applyFont="1" applyFill="1" applyBorder="1" applyAlignment="1">
      <alignment vertical="center"/>
    </xf>
    <xf numFmtId="0" fontId="24" fillId="0" borderId="0" xfId="0" applyFont="1" applyFill="1" applyBorder="1" applyAlignment="1">
      <alignment horizontal="left" vertical="center"/>
    </xf>
    <xf numFmtId="0" fontId="24" fillId="0" borderId="5" xfId="0" applyFont="1" applyFill="1" applyBorder="1" applyAlignment="1">
      <alignment vertical="center"/>
    </xf>
    <xf numFmtId="0" fontId="24" fillId="0" borderId="0" xfId="0" applyFont="1" applyFill="1" applyAlignment="1">
      <alignment horizontal="center"/>
    </xf>
    <xf numFmtId="0" fontId="50" fillId="0" borderId="0" xfId="0" applyFont="1" applyFill="1" applyBorder="1" applyAlignment="1">
      <alignment vertical="center"/>
    </xf>
    <xf numFmtId="0" fontId="24" fillId="2" borderId="1" xfId="0" applyFont="1" applyFill="1" applyBorder="1" applyAlignment="1" applyProtection="1">
      <alignment horizontal="center" vertical="center"/>
      <protection locked="0"/>
    </xf>
    <xf numFmtId="0" fontId="51" fillId="0" borderId="1" xfId="5" applyFont="1" applyFill="1" applyBorder="1" applyAlignment="1">
      <alignment horizontal="center" vertical="center"/>
    </xf>
    <xf numFmtId="0" fontId="51" fillId="0" borderId="0" xfId="0" applyFont="1" applyAlignment="1">
      <alignment horizontal="center" vertical="center" wrapText="1"/>
    </xf>
    <xf numFmtId="0" fontId="51" fillId="0" borderId="1" xfId="11" applyFont="1" applyFill="1" applyBorder="1" applyAlignment="1">
      <alignment horizontal="center" vertical="center"/>
    </xf>
    <xf numFmtId="0" fontId="51" fillId="0" borderId="1" xfId="8" applyFont="1" applyFill="1" applyBorder="1" applyAlignment="1">
      <alignment horizontal="center" vertical="center"/>
    </xf>
    <xf numFmtId="0" fontId="51" fillId="0" borderId="1" xfId="0" applyFont="1" applyFill="1" applyBorder="1" applyAlignment="1" applyProtection="1">
      <alignment horizontal="center" vertical="center"/>
      <protection locked="0"/>
    </xf>
    <xf numFmtId="0" fontId="51" fillId="0" borderId="1" xfId="7" applyFont="1" applyFill="1" applyBorder="1" applyAlignment="1">
      <alignment horizontal="center" vertical="center"/>
    </xf>
    <xf numFmtId="0" fontId="51" fillId="0" borderId="1" xfId="13" applyFont="1" applyFill="1" applyBorder="1" applyAlignment="1" applyProtection="1">
      <alignment horizontal="center" vertical="center"/>
      <protection locked="0"/>
    </xf>
    <xf numFmtId="0" fontId="51" fillId="0" borderId="2" xfId="0" applyFont="1" applyFill="1" applyBorder="1" applyAlignment="1" applyProtection="1">
      <alignment horizontal="center" vertical="center"/>
      <protection locked="0"/>
    </xf>
    <xf numFmtId="178" fontId="51" fillId="0" borderId="2" xfId="0" applyNumberFormat="1" applyFont="1" applyFill="1" applyBorder="1" applyAlignment="1">
      <alignment vertical="center"/>
    </xf>
    <xf numFmtId="0" fontId="51" fillId="0" borderId="2" xfId="0" applyFont="1" applyFill="1" applyBorder="1" applyAlignment="1">
      <alignment vertical="center"/>
    </xf>
    <xf numFmtId="0" fontId="51" fillId="2" borderId="1" xfId="0" applyFont="1" applyFill="1" applyBorder="1" applyAlignment="1" applyProtection="1">
      <alignment horizontal="center" vertical="center"/>
      <protection locked="0"/>
    </xf>
    <xf numFmtId="0" fontId="24" fillId="0" borderId="0" xfId="10" applyFont="1" applyFill="1" applyBorder="1" applyAlignment="1">
      <alignment vertical="center"/>
    </xf>
    <xf numFmtId="178" fontId="26" fillId="0" borderId="0" xfId="0" applyNumberFormat="1" applyFont="1" applyFill="1" applyAlignment="1">
      <alignment vertical="center"/>
    </xf>
    <xf numFmtId="0" fontId="26" fillId="0" borderId="0" xfId="0" applyFont="1" applyFill="1" applyBorder="1" applyAlignment="1">
      <alignment vertical="center"/>
    </xf>
    <xf numFmtId="0" fontId="26" fillId="0" borderId="5" xfId="0" applyFont="1" applyFill="1" applyBorder="1" applyAlignment="1">
      <alignment vertical="center"/>
    </xf>
    <xf numFmtId="0" fontId="24" fillId="0" borderId="0" xfId="0" applyFont="1" applyBorder="1" applyAlignment="1"/>
    <xf numFmtId="0" fontId="5" fillId="2" borderId="0" xfId="0" applyFont="1" applyFill="1" applyAlignment="1">
      <alignment horizontal="center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182" fontId="6" fillId="0" borderId="1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0" fontId="6" fillId="4" borderId="1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10" fontId="23" fillId="0" borderId="0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182" fontId="23" fillId="0" borderId="1" xfId="0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24" fillId="0" borderId="0" xfId="0" applyFont="1" applyFill="1"/>
    <xf numFmtId="182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/>
    </xf>
    <xf numFmtId="0" fontId="6" fillId="0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/>
    </xf>
    <xf numFmtId="182" fontId="6" fillId="0" borderId="1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181" fontId="6" fillId="0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6" fillId="8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79" fontId="0" fillId="0" borderId="0" xfId="0" applyNumberFormat="1" applyAlignment="1">
      <alignment horizont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77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0" fontId="23" fillId="8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180" fontId="6" fillId="2" borderId="5" xfId="0" applyNumberFormat="1" applyFont="1" applyFill="1" applyBorder="1" applyAlignment="1"/>
    <xf numFmtId="0" fontId="22" fillId="2" borderId="5" xfId="0" applyFont="1" applyFill="1" applyBorder="1" applyAlignment="1"/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3" fillId="2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 wrapText="1"/>
    </xf>
    <xf numFmtId="0" fontId="22" fillId="3" borderId="6" xfId="0" applyFont="1" applyFill="1" applyBorder="1" applyAlignment="1">
      <alignment horizontal="center" vertical="center"/>
    </xf>
    <xf numFmtId="14" fontId="22" fillId="2" borderId="1" xfId="0" applyNumberFormat="1" applyFont="1" applyFill="1" applyBorder="1" applyAlignment="1">
      <alignment horizontal="center" vertical="center"/>
    </xf>
    <xf numFmtId="178" fontId="39" fillId="0" borderId="0" xfId="0" applyNumberFormat="1" applyFont="1" applyFill="1" applyAlignment="1">
      <alignment horizontal="center" vertical="center"/>
    </xf>
    <xf numFmtId="0" fontId="25" fillId="0" borderId="0" xfId="0" applyFont="1" applyFill="1" applyAlignment="1">
      <alignment horizontal="center"/>
    </xf>
    <xf numFmtId="0" fontId="20" fillId="0" borderId="6" xfId="0" applyFont="1" applyFill="1" applyBorder="1" applyAlignment="1">
      <alignment horizontal="center" vertical="center" wrapText="1"/>
    </xf>
    <xf numFmtId="0" fontId="20" fillId="0" borderId="7" xfId="0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center" vertical="center" wrapText="1"/>
    </xf>
    <xf numFmtId="176" fontId="20" fillId="0" borderId="6" xfId="0" applyNumberFormat="1" applyFont="1" applyFill="1" applyBorder="1" applyAlignment="1">
      <alignment horizontal="center" vertical="center" wrapText="1"/>
    </xf>
    <xf numFmtId="176" fontId="20" fillId="0" borderId="7" xfId="0" applyNumberFormat="1" applyFont="1" applyFill="1" applyBorder="1" applyAlignment="1">
      <alignment horizontal="center" vertical="center" wrapText="1"/>
    </xf>
    <xf numFmtId="176" fontId="20" fillId="0" borderId="8" xfId="0" applyNumberFormat="1" applyFont="1" applyFill="1" applyBorder="1" applyAlignment="1">
      <alignment horizontal="center" vertical="center" wrapText="1"/>
    </xf>
    <xf numFmtId="0" fontId="20" fillId="0" borderId="6" xfId="0" applyNumberFormat="1" applyFont="1" applyFill="1" applyBorder="1" applyAlignment="1">
      <alignment horizontal="center" vertical="center" wrapText="1"/>
    </xf>
    <xf numFmtId="0" fontId="20" fillId="0" borderId="7" xfId="0" applyNumberFormat="1" applyFont="1" applyFill="1" applyBorder="1" applyAlignment="1">
      <alignment horizontal="center" vertical="center" wrapText="1"/>
    </xf>
    <xf numFmtId="0" fontId="20" fillId="0" borderId="8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181" fontId="20" fillId="0" borderId="1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/>
    </xf>
    <xf numFmtId="178" fontId="20" fillId="4" borderId="6" xfId="0" applyNumberFormat="1" applyFont="1" applyFill="1" applyBorder="1" applyAlignment="1">
      <alignment horizontal="center" vertical="center" wrapText="1"/>
    </xf>
    <xf numFmtId="178" fontId="20" fillId="4" borderId="7" xfId="0" applyNumberFormat="1" applyFont="1" applyFill="1" applyBorder="1" applyAlignment="1">
      <alignment horizontal="center" vertical="center" wrapText="1"/>
    </xf>
    <xf numFmtId="178" fontId="20" fillId="4" borderId="8" xfId="0" applyNumberFormat="1" applyFont="1" applyFill="1" applyBorder="1" applyAlignment="1">
      <alignment horizontal="center" vertical="center" wrapText="1"/>
    </xf>
    <xf numFmtId="182" fontId="20" fillId="0" borderId="6" xfId="0" applyNumberFormat="1" applyFont="1" applyFill="1" applyBorder="1" applyAlignment="1">
      <alignment horizontal="center" vertical="center" wrapText="1"/>
    </xf>
    <xf numFmtId="182" fontId="20" fillId="0" borderId="7" xfId="0" applyNumberFormat="1" applyFont="1" applyFill="1" applyBorder="1" applyAlignment="1">
      <alignment horizontal="center" vertical="center" wrapText="1"/>
    </xf>
    <xf numFmtId="182" fontId="20" fillId="0" borderId="8" xfId="0" applyNumberFormat="1" applyFont="1" applyFill="1" applyBorder="1" applyAlignment="1">
      <alignment horizontal="center" vertical="center" wrapText="1"/>
    </xf>
    <xf numFmtId="0" fontId="20" fillId="0" borderId="9" xfId="0" applyFont="1" applyFill="1" applyBorder="1" applyAlignment="1">
      <alignment horizontal="center" vertical="center"/>
    </xf>
    <xf numFmtId="0" fontId="20" fillId="0" borderId="10" xfId="0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center" wrapText="1"/>
    </xf>
    <xf numFmtId="0" fontId="22" fillId="4" borderId="2" xfId="0" applyFont="1" applyFill="1" applyBorder="1" applyAlignment="1" applyProtection="1">
      <alignment horizontal="left" vertical="center"/>
      <protection locked="0"/>
    </xf>
    <xf numFmtId="0" fontId="22" fillId="4" borderId="4" xfId="0" applyFont="1" applyFill="1" applyBorder="1" applyAlignment="1" applyProtection="1">
      <alignment horizontal="left" vertical="center"/>
      <protection locked="0"/>
    </xf>
    <xf numFmtId="0" fontId="22" fillId="3" borderId="2" xfId="0" applyFont="1" applyFill="1" applyBorder="1" applyAlignment="1" applyProtection="1">
      <alignment horizontal="center" vertical="center"/>
      <protection locked="0"/>
    </xf>
    <xf numFmtId="0" fontId="22" fillId="3" borderId="3" xfId="0" applyFont="1" applyFill="1" applyBorder="1" applyAlignment="1" applyProtection="1">
      <alignment horizontal="center" vertical="center"/>
      <protection locked="0"/>
    </xf>
    <xf numFmtId="0" fontId="22" fillId="3" borderId="4" xfId="0" applyFont="1" applyFill="1" applyBorder="1" applyAlignment="1" applyProtection="1">
      <alignment horizontal="center" vertical="center"/>
      <protection locked="0"/>
    </xf>
    <xf numFmtId="0" fontId="24" fillId="0" borderId="9" xfId="0" applyFont="1" applyFill="1" applyBorder="1" applyAlignment="1">
      <alignment horizontal="center" vertical="center" wrapText="1"/>
    </xf>
    <xf numFmtId="0" fontId="24" fillId="0" borderId="10" xfId="0" applyFont="1" applyFill="1" applyBorder="1" applyAlignment="1">
      <alignment horizontal="center" vertical="center" wrapText="1"/>
    </xf>
    <xf numFmtId="0" fontId="24" fillId="0" borderId="11" xfId="0" applyFont="1" applyFill="1" applyBorder="1" applyAlignment="1">
      <alignment horizontal="center" vertical="center" wrapText="1"/>
    </xf>
    <xf numFmtId="176" fontId="22" fillId="0" borderId="2" xfId="0" applyNumberFormat="1" applyFont="1" applyFill="1" applyBorder="1" applyAlignment="1">
      <alignment horizontal="center" vertical="center"/>
    </xf>
    <xf numFmtId="176" fontId="22" fillId="0" borderId="4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22" fillId="4" borderId="1" xfId="0" applyFont="1" applyFill="1" applyBorder="1" applyAlignment="1" applyProtection="1">
      <alignment horizontal="left" vertical="center"/>
      <protection locked="0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77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6" fontId="22" fillId="0" borderId="2" xfId="0" applyNumberFormat="1" applyFont="1" applyFill="1" applyBorder="1" applyAlignment="1">
      <alignment horizontal="center" vertical="center" wrapText="1"/>
    </xf>
    <xf numFmtId="0" fontId="22" fillId="0" borderId="4" xfId="0" applyFont="1" applyFill="1" applyBorder="1" applyAlignment="1">
      <alignment horizontal="center" vertical="center" wrapText="1"/>
    </xf>
    <xf numFmtId="178" fontId="22" fillId="0" borderId="2" xfId="0" applyNumberFormat="1" applyFont="1" applyFill="1" applyBorder="1" applyAlignment="1">
      <alignment horizontal="center" vertical="center"/>
    </xf>
    <xf numFmtId="178" fontId="22" fillId="0" borderId="4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/>
    </xf>
    <xf numFmtId="0" fontId="22" fillId="0" borderId="4" xfId="0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0" fontId="24" fillId="0" borderId="6" xfId="0" applyFont="1" applyFill="1" applyBorder="1" applyAlignment="1">
      <alignment horizontal="center" vertical="center" wrapText="1"/>
    </xf>
    <xf numFmtId="0" fontId="24" fillId="0" borderId="7" xfId="0" applyFont="1" applyFill="1" applyBorder="1" applyAlignment="1">
      <alignment horizontal="center" vertical="center" wrapText="1"/>
    </xf>
    <xf numFmtId="0" fontId="24" fillId="0" borderId="8" xfId="0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 wrapText="1"/>
    </xf>
    <xf numFmtId="0" fontId="22" fillId="0" borderId="7" xfId="0" applyFont="1" applyFill="1" applyBorder="1" applyAlignment="1">
      <alignment horizontal="center" vertical="center" wrapText="1"/>
    </xf>
    <xf numFmtId="0" fontId="22" fillId="0" borderId="8" xfId="0" applyFont="1" applyFill="1" applyBorder="1" applyAlignment="1">
      <alignment horizontal="center" vertical="center" wrapText="1"/>
    </xf>
    <xf numFmtId="176" fontId="22" fillId="0" borderId="6" xfId="0" applyNumberFormat="1" applyFont="1" applyFill="1" applyBorder="1" applyAlignment="1">
      <alignment horizontal="center" vertical="center" wrapText="1"/>
    </xf>
    <xf numFmtId="176" fontId="22" fillId="0" borderId="7" xfId="0" applyNumberFormat="1" applyFont="1" applyFill="1" applyBorder="1" applyAlignment="1">
      <alignment horizontal="center" vertical="center" wrapText="1"/>
    </xf>
    <xf numFmtId="176" fontId="22" fillId="0" borderId="8" xfId="0" applyNumberFormat="1" applyFont="1" applyFill="1" applyBorder="1" applyAlignment="1">
      <alignment horizontal="center" vertical="center" wrapText="1"/>
    </xf>
    <xf numFmtId="178" fontId="22" fillId="4" borderId="6" xfId="0" applyNumberFormat="1" applyFont="1" applyFill="1" applyBorder="1" applyAlignment="1">
      <alignment horizontal="center" vertical="center" wrapText="1"/>
    </xf>
    <xf numFmtId="178" fontId="22" fillId="4" borderId="7" xfId="0" applyNumberFormat="1" applyFont="1" applyFill="1" applyBorder="1" applyAlignment="1">
      <alignment horizontal="center" vertical="center" wrapText="1"/>
    </xf>
    <xf numFmtId="178" fontId="22" fillId="4" borderId="8" xfId="0" applyNumberFormat="1" applyFont="1" applyFill="1" applyBorder="1" applyAlignment="1">
      <alignment horizontal="center" vertical="center" wrapText="1"/>
    </xf>
    <xf numFmtId="182" fontId="22" fillId="0" borderId="6" xfId="0" applyNumberFormat="1" applyFont="1" applyFill="1" applyBorder="1" applyAlignment="1">
      <alignment horizontal="center" vertical="center" wrapText="1"/>
    </xf>
    <xf numFmtId="182" fontId="22" fillId="0" borderId="7" xfId="0" applyNumberFormat="1" applyFont="1" applyFill="1" applyBorder="1" applyAlignment="1">
      <alignment horizontal="center" vertical="center" wrapText="1"/>
    </xf>
    <xf numFmtId="182" fontId="22" fillId="0" borderId="8" xfId="0" applyNumberFormat="1" applyFont="1" applyFill="1" applyBorder="1" applyAlignment="1">
      <alignment horizontal="center" vertical="center" wrapText="1"/>
    </xf>
    <xf numFmtId="0" fontId="22" fillId="0" borderId="9" xfId="0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81" fontId="22" fillId="0" borderId="1" xfId="0" applyNumberFormat="1" applyFont="1" applyFill="1" applyBorder="1" applyAlignment="1">
      <alignment horizontal="center" vertical="center" wrapText="1"/>
    </xf>
    <xf numFmtId="0" fontId="22" fillId="0" borderId="6" xfId="0" applyNumberFormat="1" applyFont="1" applyFill="1" applyBorder="1" applyAlignment="1">
      <alignment horizontal="center" vertical="center" wrapText="1"/>
    </xf>
    <xf numFmtId="0" fontId="22" fillId="0" borderId="7" xfId="0" applyNumberFormat="1" applyFont="1" applyFill="1" applyBorder="1" applyAlignment="1">
      <alignment horizontal="center" vertical="center" wrapText="1"/>
    </xf>
    <xf numFmtId="0" fontId="22" fillId="0" borderId="8" xfId="0" applyNumberFormat="1" applyFont="1" applyFill="1" applyBorder="1" applyAlignment="1">
      <alignment horizontal="center" vertical="center" wrapText="1"/>
    </xf>
    <xf numFmtId="176" fontId="23" fillId="0" borderId="2" xfId="0" applyNumberFormat="1" applyFont="1" applyFill="1" applyBorder="1" applyAlignment="1">
      <alignment horizontal="center" vertical="center"/>
    </xf>
    <xf numFmtId="176" fontId="23" fillId="0" borderId="4" xfId="0" applyNumberFormat="1" applyFont="1" applyFill="1" applyBorder="1" applyAlignment="1">
      <alignment horizontal="center" vertical="center"/>
    </xf>
    <xf numFmtId="182" fontId="22" fillId="0" borderId="2" xfId="0" applyNumberFormat="1" applyFont="1" applyFill="1" applyBorder="1" applyAlignment="1">
      <alignment horizontal="center" vertical="center"/>
    </xf>
    <xf numFmtId="182" fontId="22" fillId="0" borderId="4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0" fontId="22" fillId="0" borderId="2" xfId="0" applyNumberFormat="1" applyFont="1" applyFill="1" applyBorder="1" applyAlignment="1">
      <alignment horizontal="center" vertical="center" wrapText="1"/>
    </xf>
    <xf numFmtId="10" fontId="22" fillId="0" borderId="4" xfId="0" applyNumberFormat="1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9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center" vertical="center" wrapText="1"/>
    </xf>
    <xf numFmtId="0" fontId="22" fillId="0" borderId="10" xfId="0" applyFont="1" applyFill="1" applyBorder="1" applyAlignment="1">
      <alignment horizontal="center" vertical="center" wrapText="1"/>
    </xf>
    <xf numFmtId="0" fontId="22" fillId="0" borderId="13" xfId="0" applyFont="1" applyFill="1" applyBorder="1" applyAlignment="1">
      <alignment horizontal="center" vertical="center" wrapText="1"/>
    </xf>
    <xf numFmtId="0" fontId="22" fillId="0" borderId="11" xfId="0" applyFont="1" applyFill="1" applyBorder="1" applyAlignment="1">
      <alignment horizontal="center" vertical="center" wrapText="1"/>
    </xf>
    <xf numFmtId="0" fontId="22" fillId="0" borderId="14" xfId="0" applyFont="1" applyFill="1" applyBorder="1" applyAlignment="1">
      <alignment horizontal="center" vertical="center" wrapText="1"/>
    </xf>
    <xf numFmtId="0" fontId="22" fillId="0" borderId="3" xfId="0" applyFont="1" applyFill="1" applyBorder="1" applyAlignment="1">
      <alignment horizontal="center" vertical="center"/>
    </xf>
    <xf numFmtId="10" fontId="22" fillId="0" borderId="2" xfId="0" applyNumberFormat="1" applyFont="1" applyFill="1" applyBorder="1" applyAlignment="1">
      <alignment horizontal="center" vertical="center"/>
    </xf>
    <xf numFmtId="10" fontId="22" fillId="0" borderId="4" xfId="0" applyNumberFormat="1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center" vertical="center" wrapText="1"/>
    </xf>
    <xf numFmtId="178" fontId="22" fillId="0" borderId="4" xfId="0" applyNumberFormat="1" applyFont="1" applyFill="1" applyBorder="1" applyAlignment="1">
      <alignment horizontal="center" vertical="center" wrapText="1"/>
    </xf>
    <xf numFmtId="178" fontId="22" fillId="0" borderId="2" xfId="0" applyNumberFormat="1" applyFont="1" applyFill="1" applyBorder="1" applyAlignment="1">
      <alignment horizontal="center" vertical="top"/>
    </xf>
    <xf numFmtId="178" fontId="22" fillId="0" borderId="4" xfId="0" applyNumberFormat="1" applyFont="1" applyFill="1" applyBorder="1" applyAlignment="1">
      <alignment horizontal="center" vertical="top"/>
    </xf>
    <xf numFmtId="0" fontId="22" fillId="3" borderId="2" xfId="0" applyFont="1" applyFill="1" applyBorder="1" applyAlignment="1">
      <alignment horizontal="center" vertical="center" wrapText="1"/>
    </xf>
    <xf numFmtId="0" fontId="22" fillId="3" borderId="4" xfId="0" applyFont="1" applyFill="1" applyBorder="1" applyAlignment="1">
      <alignment horizontal="center" vertical="center" wrapText="1"/>
    </xf>
    <xf numFmtId="0" fontId="18" fillId="4" borderId="1" xfId="0" applyFont="1" applyFill="1" applyBorder="1" applyAlignment="1" applyProtection="1">
      <alignment horizontal="left" vertical="center"/>
      <protection locked="0"/>
    </xf>
    <xf numFmtId="178" fontId="6" fillId="0" borderId="2" xfId="0" applyNumberFormat="1" applyFont="1" applyFill="1" applyBorder="1" applyAlignment="1">
      <alignment horizontal="center" vertical="top"/>
    </xf>
    <xf numFmtId="178" fontId="6" fillId="0" borderId="4" xfId="0" applyNumberFormat="1" applyFont="1" applyFill="1" applyBorder="1" applyAlignment="1">
      <alignment horizontal="center" vertical="top"/>
    </xf>
    <xf numFmtId="0" fontId="6" fillId="3" borderId="2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81" fontId="6" fillId="0" borderId="2" xfId="0" applyNumberFormat="1" applyFont="1" applyFill="1" applyBorder="1" applyAlignment="1">
      <alignment horizontal="center" vertical="center"/>
    </xf>
    <xf numFmtId="181" fontId="6" fillId="0" borderId="4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10" fontId="6" fillId="0" borderId="4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180" fontId="6" fillId="0" borderId="2" xfId="0" applyNumberFormat="1" applyFont="1" applyFill="1" applyBorder="1" applyAlignment="1">
      <alignment horizontal="center" vertical="center"/>
    </xf>
    <xf numFmtId="178" fontId="6" fillId="0" borderId="4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178" fontId="6" fillId="0" borderId="4" xfId="0" applyNumberFormat="1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0" fontId="6" fillId="0" borderId="14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 wrapText="1"/>
    </xf>
    <xf numFmtId="10" fontId="6" fillId="0" borderId="4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76" fontId="6" fillId="0" borderId="2" xfId="0" applyNumberFormat="1" applyFont="1" applyFill="1" applyBorder="1" applyAlignment="1">
      <alignment horizontal="center" vertical="center"/>
    </xf>
    <xf numFmtId="176" fontId="6" fillId="0" borderId="4" xfId="0" applyNumberFormat="1" applyFont="1" applyFill="1" applyBorder="1" applyAlignment="1">
      <alignment horizontal="center" vertical="center"/>
    </xf>
    <xf numFmtId="182" fontId="6" fillId="0" borderId="2" xfId="0" applyNumberFormat="1" applyFont="1" applyFill="1" applyBorder="1" applyAlignment="1">
      <alignment horizontal="center" vertical="center"/>
    </xf>
    <xf numFmtId="182" fontId="6" fillId="0" borderId="4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0" fontId="6" fillId="0" borderId="1" xfId="0" applyNumberFormat="1" applyFont="1" applyFill="1" applyBorder="1" applyAlignment="1">
      <alignment horizontal="center" vertical="center"/>
    </xf>
    <xf numFmtId="10" fontId="6" fillId="0" borderId="1" xfId="0" applyNumberFormat="1" applyFont="1" applyFill="1" applyBorder="1" applyAlignment="1">
      <alignment horizontal="center" vertical="center" wrapText="1"/>
    </xf>
    <xf numFmtId="180" fontId="6" fillId="0" borderId="1" xfId="0" applyNumberFormat="1" applyFont="1" applyFill="1" applyBorder="1" applyAlignment="1">
      <alignment horizontal="center" vertical="center" wrapText="1"/>
    </xf>
    <xf numFmtId="182" fontId="6" fillId="0" borderId="1" xfId="0" applyNumberFormat="1" applyFont="1" applyFill="1" applyBorder="1" applyAlignment="1">
      <alignment horizontal="center" vertical="center" wrapText="1"/>
    </xf>
    <xf numFmtId="180" fontId="10" fillId="0" borderId="2" xfId="0" applyNumberFormat="1" applyFont="1" applyFill="1" applyBorder="1" applyAlignment="1">
      <alignment horizontal="center"/>
    </xf>
    <xf numFmtId="180" fontId="10" fillId="0" borderId="4" xfId="0" applyNumberFormat="1" applyFont="1" applyFill="1" applyBorder="1" applyAlignment="1">
      <alignment horizontal="center"/>
    </xf>
    <xf numFmtId="0" fontId="6" fillId="4" borderId="2" xfId="0" applyFont="1" applyFill="1" applyBorder="1" applyAlignment="1" applyProtection="1">
      <alignment horizontal="left" vertical="center"/>
      <protection locked="0"/>
    </xf>
    <xf numFmtId="0" fontId="6" fillId="4" borderId="4" xfId="0" applyFont="1" applyFill="1" applyBorder="1" applyAlignment="1" applyProtection="1">
      <alignment horizontal="left" vertical="center"/>
      <protection locked="0"/>
    </xf>
    <xf numFmtId="0" fontId="6" fillId="3" borderId="2" xfId="0" applyFont="1" applyFill="1" applyBorder="1" applyAlignment="1" applyProtection="1">
      <alignment horizontal="center" vertical="center"/>
      <protection locked="0"/>
    </xf>
    <xf numFmtId="0" fontId="6" fillId="3" borderId="3" xfId="0" applyFont="1" applyFill="1" applyBorder="1" applyAlignment="1" applyProtection="1">
      <alignment horizontal="center" vertical="center"/>
      <protection locked="0"/>
    </xf>
    <xf numFmtId="0" fontId="6" fillId="3" borderId="4" xfId="0" applyFont="1" applyFill="1" applyBorder="1" applyAlignment="1" applyProtection="1">
      <alignment horizontal="center" vertical="center"/>
      <protection locked="0"/>
    </xf>
    <xf numFmtId="182" fontId="6" fillId="0" borderId="0" xfId="0" applyNumberFormat="1" applyFont="1" applyFill="1" applyBorder="1" applyAlignment="1">
      <alignment horizontal="center"/>
    </xf>
    <xf numFmtId="178" fontId="6" fillId="4" borderId="2" xfId="0" applyNumberFormat="1" applyFont="1" applyFill="1" applyBorder="1" applyAlignment="1" applyProtection="1">
      <alignment horizontal="left" vertical="center"/>
      <protection locked="0"/>
    </xf>
    <xf numFmtId="178" fontId="6" fillId="4" borderId="4" xfId="0" applyNumberFormat="1" applyFont="1" applyFill="1" applyBorder="1" applyAlignment="1" applyProtection="1">
      <alignment horizontal="left" vertical="center"/>
      <protection locked="0"/>
    </xf>
    <xf numFmtId="0" fontId="6" fillId="4" borderId="1" xfId="0" applyFont="1" applyFill="1" applyBorder="1" applyAlignment="1" applyProtection="1">
      <alignment horizontal="left" vertical="center"/>
      <protection locked="0"/>
    </xf>
    <xf numFmtId="0" fontId="6" fillId="0" borderId="0" xfId="0" applyFont="1" applyFill="1" applyBorder="1" applyAlignment="1">
      <alignment horizontal="center" vertical="center" wrapText="1"/>
    </xf>
    <xf numFmtId="181" fontId="6" fillId="0" borderId="1" xfId="0" applyNumberFormat="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178" fontId="6" fillId="4" borderId="6" xfId="0" applyNumberFormat="1" applyFont="1" applyFill="1" applyBorder="1" applyAlignment="1">
      <alignment horizontal="center" vertical="center" wrapText="1"/>
    </xf>
    <xf numFmtId="178" fontId="6" fillId="4" borderId="7" xfId="0" applyNumberFormat="1" applyFont="1" applyFill="1" applyBorder="1" applyAlignment="1">
      <alignment horizontal="center" vertical="center" wrapText="1"/>
    </xf>
    <xf numFmtId="178" fontId="6" fillId="4" borderId="8" xfId="0" applyNumberFormat="1" applyFont="1" applyFill="1" applyBorder="1" applyAlignment="1">
      <alignment horizontal="center" vertical="center" wrapText="1"/>
    </xf>
    <xf numFmtId="182" fontId="6" fillId="0" borderId="6" xfId="0" applyNumberFormat="1" applyFont="1" applyFill="1" applyBorder="1" applyAlignment="1">
      <alignment horizontal="center" vertical="center" wrapText="1"/>
    </xf>
    <xf numFmtId="182" fontId="6" fillId="0" borderId="7" xfId="0" applyNumberFormat="1" applyFont="1" applyFill="1" applyBorder="1" applyAlignment="1">
      <alignment horizontal="center" vertical="center" wrapText="1"/>
    </xf>
    <xf numFmtId="182" fontId="6" fillId="0" borderId="8" xfId="0" applyNumberFormat="1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left" vertical="center"/>
    </xf>
    <xf numFmtId="176" fontId="6" fillId="0" borderId="6" xfId="0" applyNumberFormat="1" applyFont="1" applyFill="1" applyBorder="1" applyAlignment="1">
      <alignment horizontal="center" vertical="center" wrapText="1"/>
    </xf>
    <xf numFmtId="176" fontId="6" fillId="0" borderId="7" xfId="0" applyNumberFormat="1" applyFont="1" applyFill="1" applyBorder="1" applyAlignment="1">
      <alignment horizontal="center" vertical="center" wrapText="1"/>
    </xf>
    <xf numFmtId="176" fontId="6" fillId="0" borderId="8" xfId="0" applyNumberFormat="1" applyFont="1" applyFill="1" applyBorder="1" applyAlignment="1">
      <alignment horizontal="center" vertical="center" wrapText="1"/>
    </xf>
    <xf numFmtId="0" fontId="6" fillId="0" borderId="6" xfId="0" applyNumberFormat="1" applyFont="1" applyFill="1" applyBorder="1" applyAlignment="1">
      <alignment horizontal="center" vertical="center" wrapText="1"/>
    </xf>
    <xf numFmtId="0" fontId="6" fillId="0" borderId="7" xfId="0" applyNumberFormat="1" applyFont="1" applyFill="1" applyBorder="1" applyAlignment="1">
      <alignment horizontal="center" vertical="center" wrapText="1"/>
    </xf>
    <xf numFmtId="0" fontId="6" fillId="0" borderId="8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78" fontId="8" fillId="0" borderId="0" xfId="0" applyNumberFormat="1" applyFont="1" applyFill="1" applyBorder="1" applyAlignment="1">
      <alignment horizontal="left" vertical="center"/>
    </xf>
    <xf numFmtId="0" fontId="7" fillId="0" borderId="0" xfId="0" applyFont="1" applyFill="1" applyAlignment="1">
      <alignment horizontal="center"/>
    </xf>
    <xf numFmtId="0" fontId="51" fillId="0" borderId="6" xfId="0" applyFont="1" applyFill="1" applyBorder="1" applyAlignment="1">
      <alignment horizontal="center" vertical="center" wrapText="1"/>
    </xf>
    <xf numFmtId="0" fontId="51" fillId="0" borderId="7" xfId="0" applyFont="1" applyFill="1" applyBorder="1" applyAlignment="1">
      <alignment horizontal="center" vertical="center" wrapText="1"/>
    </xf>
    <xf numFmtId="0" fontId="51" fillId="0" borderId="8" xfId="0" applyFont="1" applyFill="1" applyBorder="1" applyAlignment="1">
      <alignment horizontal="center" vertical="center" wrapText="1"/>
    </xf>
    <xf numFmtId="183" fontId="45" fillId="2" borderId="9" xfId="25" applyNumberFormat="1" applyFont="1" applyFill="1" applyBorder="1" applyAlignment="1">
      <alignment horizontal="center" vertical="center" wrapText="1" shrinkToFit="1"/>
    </xf>
    <xf numFmtId="183" fontId="45" fillId="2" borderId="10" xfId="25" applyNumberFormat="1" applyFont="1" applyFill="1" applyBorder="1" applyAlignment="1">
      <alignment horizontal="center" vertical="center" wrapText="1" shrinkToFit="1"/>
    </xf>
    <xf numFmtId="176" fontId="6" fillId="0" borderId="1" xfId="0" applyNumberFormat="1" applyFont="1" applyFill="1" applyBorder="1" applyAlignment="1">
      <alignment horizontal="center" vertical="center" wrapText="1"/>
    </xf>
    <xf numFmtId="0" fontId="51" fillId="0" borderId="9" xfId="0" applyFont="1" applyFill="1" applyBorder="1" applyAlignment="1">
      <alignment horizontal="center" vertical="center" wrapText="1"/>
    </xf>
    <xf numFmtId="0" fontId="51" fillId="0" borderId="10" xfId="0" applyFont="1" applyFill="1" applyBorder="1" applyAlignment="1">
      <alignment horizontal="center" vertical="center" wrapText="1"/>
    </xf>
    <xf numFmtId="0" fontId="51" fillId="0" borderId="11" xfId="0" applyFont="1" applyFill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53" fillId="0" borderId="2" xfId="0" applyFont="1" applyFill="1" applyBorder="1" applyAlignment="1">
      <alignment horizontal="center" vertical="center"/>
    </xf>
    <xf numFmtId="0" fontId="53" fillId="0" borderId="3" xfId="0" applyFont="1" applyFill="1" applyBorder="1" applyAlignment="1">
      <alignment horizontal="center" vertical="center"/>
    </xf>
    <xf numFmtId="0" fontId="53" fillId="0" borderId="4" xfId="0" applyFont="1" applyFill="1" applyBorder="1" applyAlignment="1">
      <alignment horizontal="center" vertical="center"/>
    </xf>
  </cellXfs>
  <cellStyles count="26">
    <cellStyle name="常规" xfId="0" builtinId="0"/>
    <cellStyle name="常规 10" xfId="8"/>
    <cellStyle name="常规 10 2" xfId="22"/>
    <cellStyle name="常规 114" xfId="24"/>
    <cellStyle name="常规 12" xfId="9"/>
    <cellStyle name="常规 13" xfId="10"/>
    <cellStyle name="常规 14" xfId="11"/>
    <cellStyle name="常规 15" xfId="12"/>
    <cellStyle name="常规 15 4" xfId="23"/>
    <cellStyle name="常规 16" xfId="13"/>
    <cellStyle name="常规 2" xfId="4"/>
    <cellStyle name="常规 2 2" xfId="14"/>
    <cellStyle name="常规 3" xfId="5"/>
    <cellStyle name="常规 3 2" xfId="15"/>
    <cellStyle name="常规 4" xfId="1"/>
    <cellStyle name="常规 4 2" xfId="16"/>
    <cellStyle name="常规 5" xfId="2"/>
    <cellStyle name="常规 5 2" xfId="17"/>
    <cellStyle name="常规 6" xfId="3"/>
    <cellStyle name="常规 6 2" xfId="18"/>
    <cellStyle name="常规 7" xfId="6"/>
    <cellStyle name="常规 7 2" xfId="19"/>
    <cellStyle name="常规 8" xfId="7"/>
    <cellStyle name="常规 8 2" xfId="20"/>
    <cellStyle name="常规 9 2" xfId="21"/>
    <cellStyle name="常规_Sheet1" xfId="25"/>
  </cellStyles>
  <dxfs count="0"/>
  <tableStyles count="0" defaultTableStyle="TableStyleMedium9" defaultPivotStyle="PivotStyleLight16"/>
  <colors>
    <mruColors>
      <color rgb="FFB4C5FC"/>
      <color rgb="FFFFCCCC"/>
      <color rgb="FFCC99FF"/>
      <color rgb="FFF3BD95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8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534" activePane="bottomRight" state="frozen"/>
      <selection activeCell="E487" sqref="E487"/>
      <selection pane="topRight" activeCell="E487" sqref="E487"/>
      <selection pane="bottomLeft" activeCell="E487" sqref="E487"/>
      <selection pane="bottomRight" activeCell="E487" sqref="E487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55" t="s">
        <v>413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55"/>
      <c r="M1" s="555"/>
      <c r="N1" s="555"/>
      <c r="O1" s="555"/>
      <c r="P1" s="555"/>
      <c r="Q1" s="555"/>
      <c r="R1" s="555"/>
      <c r="S1" s="555"/>
      <c r="T1" s="555"/>
      <c r="U1" s="555"/>
      <c r="V1" s="555"/>
      <c r="W1" s="555"/>
      <c r="X1" s="555"/>
      <c r="Y1" s="555"/>
      <c r="Z1" s="555"/>
      <c r="AA1" s="555"/>
    </row>
    <row r="2" spans="1:27" ht="18.75">
      <c r="A2" s="556"/>
      <c r="B2" s="556"/>
      <c r="C2" s="556"/>
      <c r="D2" s="556"/>
      <c r="E2" s="556"/>
      <c r="F2" s="556"/>
      <c r="G2" s="556"/>
      <c r="H2" s="556"/>
      <c r="I2" s="556"/>
      <c r="J2" s="556"/>
      <c r="K2" s="556"/>
      <c r="L2" s="556"/>
      <c r="M2" s="556"/>
      <c r="N2" s="556"/>
      <c r="O2" s="556"/>
      <c r="P2" s="556"/>
      <c r="Q2" s="556"/>
      <c r="R2" s="556"/>
      <c r="S2" s="556"/>
      <c r="T2" s="556"/>
      <c r="U2" s="556"/>
      <c r="V2" s="556"/>
      <c r="W2" s="556"/>
      <c r="X2" s="556"/>
      <c r="Y2" s="556"/>
      <c r="Z2" s="556"/>
      <c r="AA2" s="556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57" t="s">
        <v>12</v>
      </c>
      <c r="B4" s="557" t="s">
        <v>25</v>
      </c>
      <c r="C4" s="557" t="s">
        <v>26</v>
      </c>
      <c r="D4" s="557" t="s">
        <v>27</v>
      </c>
      <c r="E4" s="560" t="s">
        <v>28</v>
      </c>
      <c r="F4" s="563" t="s">
        <v>29</v>
      </c>
      <c r="G4" s="566" t="s">
        <v>30</v>
      </c>
      <c r="H4" s="566"/>
      <c r="I4" s="557" t="s">
        <v>31</v>
      </c>
      <c r="J4" s="569" t="s">
        <v>32</v>
      </c>
      <c r="K4" s="572" t="s">
        <v>33</v>
      </c>
      <c r="L4" s="557" t="s">
        <v>34</v>
      </c>
      <c r="M4" s="575" t="s">
        <v>35</v>
      </c>
      <c r="N4" s="577" t="s">
        <v>36</v>
      </c>
      <c r="O4" s="566" t="s">
        <v>37</v>
      </c>
      <c r="P4" s="566"/>
      <c r="Q4" s="566"/>
      <c r="R4" s="566"/>
      <c r="S4" s="566"/>
      <c r="T4" s="566"/>
      <c r="U4" s="566"/>
      <c r="V4" s="566" t="s">
        <v>38</v>
      </c>
      <c r="W4" s="577" t="s">
        <v>39</v>
      </c>
      <c r="X4" s="566" t="s">
        <v>40</v>
      </c>
      <c r="Y4" s="566"/>
      <c r="Z4" s="566"/>
      <c r="AA4" s="566"/>
    </row>
    <row r="5" spans="1:27" s="104" customFormat="1" ht="15" customHeight="1">
      <c r="A5" s="558"/>
      <c r="B5" s="558"/>
      <c r="C5" s="558"/>
      <c r="D5" s="558"/>
      <c r="E5" s="561"/>
      <c r="F5" s="564"/>
      <c r="G5" s="566"/>
      <c r="H5" s="566"/>
      <c r="I5" s="558"/>
      <c r="J5" s="570"/>
      <c r="K5" s="573"/>
      <c r="L5" s="558"/>
      <c r="M5" s="576"/>
      <c r="N5" s="577"/>
      <c r="O5" s="566" t="s">
        <v>41</v>
      </c>
      <c r="P5" s="566" t="s">
        <v>42</v>
      </c>
      <c r="Q5" s="566" t="s">
        <v>43</v>
      </c>
      <c r="R5" s="567" t="s">
        <v>44</v>
      </c>
      <c r="S5" s="568" t="s">
        <v>45</v>
      </c>
      <c r="T5" s="566" t="s">
        <v>46</v>
      </c>
      <c r="U5" s="566" t="s">
        <v>47</v>
      </c>
      <c r="V5" s="566"/>
      <c r="W5" s="577"/>
      <c r="X5" s="566" t="s">
        <v>13</v>
      </c>
      <c r="Y5" s="566" t="s">
        <v>48</v>
      </c>
      <c r="Z5" s="566" t="s">
        <v>49</v>
      </c>
      <c r="AA5" s="566" t="s">
        <v>47</v>
      </c>
    </row>
    <row r="6" spans="1:27" s="104" customFormat="1" ht="27.75" customHeight="1">
      <c r="A6" s="559"/>
      <c r="B6" s="559"/>
      <c r="C6" s="559"/>
      <c r="D6" s="559"/>
      <c r="E6" s="562"/>
      <c r="F6" s="565"/>
      <c r="G6" s="350" t="s">
        <v>50</v>
      </c>
      <c r="H6" s="411" t="s">
        <v>51</v>
      </c>
      <c r="I6" s="559"/>
      <c r="J6" s="571"/>
      <c r="K6" s="574"/>
      <c r="L6" s="559"/>
      <c r="M6" s="576"/>
      <c r="N6" s="577"/>
      <c r="O6" s="566"/>
      <c r="P6" s="566"/>
      <c r="Q6" s="566"/>
      <c r="R6" s="567"/>
      <c r="S6" s="568"/>
      <c r="T6" s="566"/>
      <c r="U6" s="566"/>
      <c r="V6" s="566"/>
      <c r="W6" s="577"/>
      <c r="X6" s="566"/>
      <c r="Y6" s="566"/>
      <c r="Z6" s="566"/>
      <c r="AA6" s="566"/>
    </row>
    <row r="7" spans="1:27" ht="20.100000000000001" hidden="1" customHeight="1">
      <c r="A7" s="299">
        <v>30100030</v>
      </c>
      <c r="B7" s="400" t="s">
        <v>178</v>
      </c>
      <c r="C7" s="126" t="s">
        <v>179</v>
      </c>
      <c r="D7" s="108">
        <v>5.03</v>
      </c>
      <c r="E7" s="108"/>
      <c r="F7" s="127"/>
      <c r="G7" s="128"/>
      <c r="H7" s="401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409"/>
      <c r="P7" s="409"/>
      <c r="Q7" s="409"/>
      <c r="R7" s="409"/>
      <c r="S7" s="409"/>
      <c r="T7" s="409"/>
      <c r="U7" s="409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01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409"/>
      <c r="Q8" s="409"/>
      <c r="R8" s="409"/>
      <c r="S8" s="409"/>
      <c r="T8" s="409"/>
      <c r="U8" s="409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01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09"/>
      <c r="P9" s="409"/>
      <c r="Q9" s="409"/>
      <c r="R9" s="409"/>
      <c r="S9" s="409"/>
      <c r="T9" s="409"/>
      <c r="U9" s="409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401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409"/>
      <c r="P10" s="409"/>
      <c r="Q10" s="409"/>
      <c r="R10" s="409"/>
      <c r="S10" s="409"/>
      <c r="T10" s="409"/>
      <c r="U10" s="409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401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409"/>
      <c r="P11" s="409"/>
      <c r="Q11" s="409"/>
      <c r="R11" s="409"/>
      <c r="S11" s="409"/>
      <c r="T11" s="409"/>
      <c r="U11" s="409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401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409"/>
      <c r="P12" s="409"/>
      <c r="Q12" s="409"/>
      <c r="R12" s="409"/>
      <c r="S12" s="409"/>
      <c r="T12" s="409"/>
      <c r="U12" s="409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01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09"/>
      <c r="P13" s="409"/>
      <c r="Q13" s="409"/>
      <c r="R13" s="409"/>
      <c r="S13" s="409"/>
      <c r="T13" s="409"/>
      <c r="U13" s="409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01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09"/>
      <c r="P14" s="409"/>
      <c r="Q14" s="409"/>
      <c r="R14" s="409"/>
      <c r="S14" s="409"/>
      <c r="T14" s="409"/>
      <c r="U14" s="409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401">
        <f t="shared" si="0"/>
        <v>0</v>
      </c>
      <c r="I15" s="401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409"/>
      <c r="P15" s="409"/>
      <c r="Q15" s="409"/>
      <c r="R15" s="409"/>
      <c r="S15" s="409"/>
      <c r="T15" s="409"/>
      <c r="U15" s="409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401">
        <f t="shared" si="0"/>
        <v>0</v>
      </c>
      <c r="I16" s="401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09"/>
      <c r="P16" s="409"/>
      <c r="Q16" s="409"/>
      <c r="R16" s="409"/>
      <c r="S16" s="409"/>
      <c r="T16" s="409"/>
      <c r="U16" s="409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401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09"/>
      <c r="P17" s="409"/>
      <c r="Q17" s="409"/>
      <c r="R17" s="409"/>
      <c r="S17" s="409"/>
      <c r="T17" s="409"/>
      <c r="U17" s="409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401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09"/>
      <c r="P18" s="409"/>
      <c r="Q18" s="409"/>
      <c r="R18" s="409"/>
      <c r="S18" s="409"/>
      <c r="T18" s="409"/>
      <c r="U18" s="409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401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409"/>
      <c r="P19" s="409"/>
      <c r="Q19" s="409"/>
      <c r="R19" s="409"/>
      <c r="S19" s="409"/>
      <c r="T19" s="409"/>
      <c r="U19" s="409"/>
      <c r="V19" s="132">
        <f t="shared" ref="V19:V21" si="5">SUM(X19:AA19)</f>
        <v>0</v>
      </c>
      <c r="W19" s="402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401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409"/>
      <c r="P20" s="409"/>
      <c r="Q20" s="409"/>
      <c r="R20" s="409"/>
      <c r="S20" s="409"/>
      <c r="T20" s="409"/>
      <c r="U20" s="409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01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09"/>
      <c r="P21" s="409"/>
      <c r="Q21" s="409"/>
      <c r="R21" s="409"/>
      <c r="S21" s="409"/>
      <c r="T21" s="409"/>
      <c r="U21" s="409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406" t="s">
        <v>190</v>
      </c>
      <c r="D22" s="108">
        <v>4.8</v>
      </c>
      <c r="E22" s="108"/>
      <c r="F22" s="127"/>
      <c r="G22" s="128"/>
      <c r="H22" s="401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09"/>
      <c r="P22" s="409"/>
      <c r="Q22" s="409"/>
      <c r="R22" s="409"/>
      <c r="S22" s="409"/>
      <c r="T22" s="409"/>
      <c r="U22" s="409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406" t="s">
        <v>187</v>
      </c>
      <c r="D23" s="108">
        <v>4.8</v>
      </c>
      <c r="E23" s="108"/>
      <c r="F23" s="127"/>
      <c r="G23" s="128"/>
      <c r="H23" s="401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09"/>
      <c r="P23" s="409"/>
      <c r="Q23" s="409"/>
      <c r="R23" s="409"/>
      <c r="S23" s="409"/>
      <c r="T23" s="409"/>
      <c r="U23" s="409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406" t="s">
        <v>179</v>
      </c>
      <c r="D24" s="108">
        <v>4.8</v>
      </c>
      <c r="E24" s="108"/>
      <c r="F24" s="127"/>
      <c r="G24" s="128"/>
      <c r="H24" s="401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09"/>
      <c r="P24" s="409"/>
      <c r="Q24" s="409"/>
      <c r="R24" s="409"/>
      <c r="S24" s="409"/>
      <c r="T24" s="409"/>
      <c r="U24" s="409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406" t="s">
        <v>199</v>
      </c>
      <c r="D25" s="108">
        <v>4.8</v>
      </c>
      <c r="E25" s="108"/>
      <c r="F25" s="127"/>
      <c r="G25" s="128"/>
      <c r="H25" s="401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09"/>
      <c r="P25" s="409"/>
      <c r="Q25" s="409"/>
      <c r="R25" s="409"/>
      <c r="S25" s="409"/>
      <c r="T25" s="409"/>
      <c r="U25" s="409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01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09"/>
      <c r="P26" s="409"/>
      <c r="Q26" s="409"/>
      <c r="R26" s="409"/>
      <c r="S26" s="409"/>
      <c r="T26" s="409"/>
      <c r="U26" s="409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01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09"/>
      <c r="P27" s="409"/>
      <c r="Q27" s="409"/>
      <c r="R27" s="409"/>
      <c r="S27" s="409"/>
      <c r="T27" s="409"/>
      <c r="U27" s="409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hidden="1" customHeight="1">
      <c r="A28" s="578" t="s">
        <v>201</v>
      </c>
      <c r="B28" s="579"/>
      <c r="C28" s="410" t="s">
        <v>202</v>
      </c>
      <c r="D28" s="143"/>
      <c r="E28" s="143"/>
      <c r="F28" s="144"/>
      <c r="G28" s="145">
        <f>SUM(G7:G27)</f>
        <v>0</v>
      </c>
      <c r="H28" s="146">
        <f>SUM(H7:H27)</f>
        <v>0</v>
      </c>
      <c r="I28" s="146">
        <f>SUM(I7:I27)</f>
        <v>0</v>
      </c>
      <c r="J28" s="130" t="str">
        <f t="array" ref="J28">IF(ISERROR(G28/I28),"",G28/I28)</f>
        <v/>
      </c>
      <c r="K28" s="146">
        <f>SUM(K7:K27)</f>
        <v>0</v>
      </c>
      <c r="L28" s="147"/>
      <c r="M28" s="146">
        <f t="shared" ref="M28:V28" si="10">SUM(M7:M27)</f>
        <v>0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 t="str">
        <f t="shared" si="9"/>
        <v/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400" t="s">
        <v>206</v>
      </c>
      <c r="C29" s="126" t="s">
        <v>199</v>
      </c>
      <c r="D29" s="108">
        <v>5.03</v>
      </c>
      <c r="E29" s="108"/>
      <c r="F29" s="127"/>
      <c r="G29" s="128"/>
      <c r="H29" s="401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404"/>
      <c r="P29" s="404"/>
      <c r="Q29" s="404"/>
      <c r="R29" s="404"/>
      <c r="S29" s="404"/>
      <c r="T29" s="404"/>
      <c r="U29" s="404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400" t="s">
        <v>425</v>
      </c>
      <c r="C30" s="187" t="s">
        <v>427</v>
      </c>
      <c r="D30" s="108">
        <v>5.03</v>
      </c>
      <c r="E30" s="108"/>
      <c r="F30" s="127"/>
      <c r="G30" s="128"/>
      <c r="H30" s="401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404"/>
      <c r="P30" s="404"/>
      <c r="Q30" s="404"/>
      <c r="R30" s="404"/>
      <c r="S30" s="404"/>
      <c r="T30" s="404"/>
      <c r="U30" s="404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400" t="s">
        <v>206</v>
      </c>
      <c r="C31" s="126" t="s">
        <v>186</v>
      </c>
      <c r="D31" s="108">
        <v>5.03</v>
      </c>
      <c r="E31" s="108"/>
      <c r="F31" s="127"/>
      <c r="G31" s="128"/>
      <c r="H31" s="401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404"/>
      <c r="P31" s="404"/>
      <c r="Q31" s="404"/>
      <c r="R31" s="404"/>
      <c r="S31" s="404"/>
      <c r="T31" s="404"/>
      <c r="U31" s="404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400" t="s">
        <v>206</v>
      </c>
      <c r="C32" s="126" t="s">
        <v>203</v>
      </c>
      <c r="D32" s="108">
        <v>5.03</v>
      </c>
      <c r="E32" s="108"/>
      <c r="F32" s="127"/>
      <c r="G32" s="128"/>
      <c r="H32" s="401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04"/>
      <c r="P32" s="404"/>
      <c r="Q32" s="404"/>
      <c r="R32" s="404"/>
      <c r="S32" s="404"/>
      <c r="T32" s="404"/>
      <c r="U32" s="404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400" t="s">
        <v>206</v>
      </c>
      <c r="C33" s="126" t="s">
        <v>207</v>
      </c>
      <c r="D33" s="108">
        <v>5.03</v>
      </c>
      <c r="E33" s="108"/>
      <c r="F33" s="127"/>
      <c r="G33" s="128"/>
      <c r="H33" s="401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404"/>
      <c r="P33" s="404"/>
      <c r="Q33" s="404"/>
      <c r="R33" s="404"/>
      <c r="S33" s="404"/>
      <c r="T33" s="404"/>
      <c r="U33" s="404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400" t="s">
        <v>414</v>
      </c>
      <c r="C34" s="187" t="s">
        <v>415</v>
      </c>
      <c r="D34" s="108">
        <v>5.03</v>
      </c>
      <c r="E34" s="108"/>
      <c r="F34" s="127"/>
      <c r="G34" s="128"/>
      <c r="H34" s="401">
        <f t="shared" si="11"/>
        <v>0</v>
      </c>
      <c r="I34" s="129"/>
      <c r="J34" s="130"/>
      <c r="K34" s="131"/>
      <c r="L34" s="129">
        <v>52</v>
      </c>
      <c r="M34" s="109"/>
      <c r="N34" s="130"/>
      <c r="O34" s="404"/>
      <c r="P34" s="404"/>
      <c r="Q34" s="404"/>
      <c r="R34" s="404"/>
      <c r="S34" s="404"/>
      <c r="T34" s="404"/>
      <c r="U34" s="404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400" t="s">
        <v>414</v>
      </c>
      <c r="C35" s="187" t="s">
        <v>416</v>
      </c>
      <c r="D35" s="108">
        <v>5.03</v>
      </c>
      <c r="E35" s="108"/>
      <c r="F35" s="127"/>
      <c r="G35" s="128"/>
      <c r="H35" s="401">
        <f t="shared" si="11"/>
        <v>0</v>
      </c>
      <c r="I35" s="129"/>
      <c r="J35" s="130"/>
      <c r="K35" s="131"/>
      <c r="L35" s="129">
        <v>52</v>
      </c>
      <c r="M35" s="109"/>
      <c r="N35" s="130"/>
      <c r="O35" s="404"/>
      <c r="P35" s="404"/>
      <c r="Q35" s="404"/>
      <c r="R35" s="404"/>
      <c r="S35" s="404"/>
      <c r="T35" s="404"/>
      <c r="U35" s="404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400" t="s">
        <v>414</v>
      </c>
      <c r="C36" s="187" t="s">
        <v>61</v>
      </c>
      <c r="D36" s="108">
        <v>5.03</v>
      </c>
      <c r="E36" s="108"/>
      <c r="F36" s="127"/>
      <c r="G36" s="128"/>
      <c r="H36" s="401">
        <f t="shared" si="11"/>
        <v>0</v>
      </c>
      <c r="I36" s="129"/>
      <c r="J36" s="130"/>
      <c r="K36" s="131"/>
      <c r="L36" s="129">
        <v>52</v>
      </c>
      <c r="M36" s="109"/>
      <c r="N36" s="130"/>
      <c r="O36" s="404"/>
      <c r="P36" s="404"/>
      <c r="Q36" s="404"/>
      <c r="R36" s="404"/>
      <c r="S36" s="404"/>
      <c r="T36" s="404"/>
      <c r="U36" s="404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400" t="s">
        <v>208</v>
      </c>
      <c r="C37" s="126" t="s">
        <v>179</v>
      </c>
      <c r="D37" s="108">
        <v>5.08</v>
      </c>
      <c r="E37" s="108"/>
      <c r="F37" s="127"/>
      <c r="G37" s="128"/>
      <c r="H37" s="401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404"/>
      <c r="P37" s="404"/>
      <c r="Q37" s="404"/>
      <c r="R37" s="404"/>
      <c r="S37" s="404"/>
      <c r="T37" s="404"/>
      <c r="U37" s="404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400" t="s">
        <v>208</v>
      </c>
      <c r="C38" s="126" t="s">
        <v>204</v>
      </c>
      <c r="D38" s="108">
        <v>5.08</v>
      </c>
      <c r="E38" s="108"/>
      <c r="F38" s="127"/>
      <c r="G38" s="128"/>
      <c r="H38" s="401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404"/>
      <c r="P38" s="404"/>
      <c r="Q38" s="404"/>
      <c r="R38" s="404"/>
      <c r="S38" s="404"/>
      <c r="T38" s="404"/>
      <c r="U38" s="404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400" t="s">
        <v>208</v>
      </c>
      <c r="C39" s="126" t="s">
        <v>205</v>
      </c>
      <c r="D39" s="108">
        <v>5.08</v>
      </c>
      <c r="E39" s="108"/>
      <c r="F39" s="127"/>
      <c r="G39" s="128"/>
      <c r="H39" s="401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404"/>
      <c r="P39" s="404"/>
      <c r="Q39" s="404"/>
      <c r="R39" s="404"/>
      <c r="S39" s="404"/>
      <c r="T39" s="404"/>
      <c r="U39" s="404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400" t="s">
        <v>208</v>
      </c>
      <c r="C40" s="126" t="s">
        <v>186</v>
      </c>
      <c r="D40" s="108">
        <v>5.08</v>
      </c>
      <c r="E40" s="108"/>
      <c r="F40" s="127"/>
      <c r="G40" s="128"/>
      <c r="H40" s="401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404"/>
      <c r="P40" s="404"/>
      <c r="Q40" s="404"/>
      <c r="R40" s="404"/>
      <c r="S40" s="404"/>
      <c r="T40" s="404"/>
      <c r="U40" s="404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400" t="s">
        <v>208</v>
      </c>
      <c r="C41" s="126" t="s">
        <v>203</v>
      </c>
      <c r="D41" s="108">
        <v>5.08</v>
      </c>
      <c r="E41" s="108"/>
      <c r="F41" s="127"/>
      <c r="G41" s="128"/>
      <c r="H41" s="401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404"/>
      <c r="P41" s="404"/>
      <c r="Q41" s="404"/>
      <c r="R41" s="404"/>
      <c r="S41" s="404"/>
      <c r="T41" s="404"/>
      <c r="U41" s="404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400" t="s">
        <v>208</v>
      </c>
      <c r="C42" s="126" t="s">
        <v>199</v>
      </c>
      <c r="D42" s="108">
        <v>5.08</v>
      </c>
      <c r="E42" s="108"/>
      <c r="F42" s="127"/>
      <c r="G42" s="128"/>
      <c r="H42" s="401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409"/>
      <c r="P42" s="409"/>
      <c r="Q42" s="409"/>
      <c r="R42" s="409"/>
      <c r="S42" s="409"/>
      <c r="T42" s="409"/>
      <c r="U42" s="409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400" t="s">
        <v>208</v>
      </c>
      <c r="C43" s="126" t="s">
        <v>187</v>
      </c>
      <c r="D43" s="108">
        <v>5.08</v>
      </c>
      <c r="E43" s="108"/>
      <c r="F43" s="127"/>
      <c r="G43" s="128"/>
      <c r="H43" s="401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404"/>
      <c r="P43" s="404"/>
      <c r="Q43" s="404"/>
      <c r="R43" s="404"/>
      <c r="S43" s="404"/>
      <c r="T43" s="404"/>
      <c r="U43" s="404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400" t="s">
        <v>208</v>
      </c>
      <c r="C44" s="126" t="s">
        <v>207</v>
      </c>
      <c r="D44" s="108">
        <v>5.08</v>
      </c>
      <c r="E44" s="108"/>
      <c r="F44" s="127"/>
      <c r="G44" s="128"/>
      <c r="H44" s="401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409"/>
      <c r="P44" s="409"/>
      <c r="Q44" s="409"/>
      <c r="R44" s="409"/>
      <c r="S44" s="409"/>
      <c r="T44" s="409"/>
      <c r="U44" s="409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400" t="s">
        <v>209</v>
      </c>
      <c r="C45" s="126" t="s">
        <v>194</v>
      </c>
      <c r="D45" s="108">
        <v>5.03</v>
      </c>
      <c r="E45" s="108"/>
      <c r="F45" s="127"/>
      <c r="G45" s="128"/>
      <c r="H45" s="401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404"/>
      <c r="P45" s="404"/>
      <c r="Q45" s="404"/>
      <c r="R45" s="404"/>
      <c r="S45" s="404"/>
      <c r="T45" s="404"/>
      <c r="U45" s="404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400" t="s">
        <v>209</v>
      </c>
      <c r="C46" s="126" t="s">
        <v>179</v>
      </c>
      <c r="D46" s="108">
        <v>5.03</v>
      </c>
      <c r="E46" s="108"/>
      <c r="F46" s="127"/>
      <c r="G46" s="128"/>
      <c r="H46" s="401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404"/>
      <c r="P46" s="404"/>
      <c r="Q46" s="404"/>
      <c r="R46" s="404"/>
      <c r="S46" s="404"/>
      <c r="T46" s="404"/>
      <c r="U46" s="404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400" t="s">
        <v>209</v>
      </c>
      <c r="C47" s="126" t="s">
        <v>195</v>
      </c>
      <c r="D47" s="108">
        <v>5.03</v>
      </c>
      <c r="E47" s="108"/>
      <c r="F47" s="127"/>
      <c r="G47" s="128"/>
      <c r="H47" s="401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404"/>
      <c r="P47" s="404"/>
      <c r="Q47" s="404"/>
      <c r="R47" s="404"/>
      <c r="S47" s="404"/>
      <c r="T47" s="404"/>
      <c r="U47" s="404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400" t="s">
        <v>209</v>
      </c>
      <c r="C48" s="126" t="s">
        <v>204</v>
      </c>
      <c r="D48" s="108">
        <v>5.03</v>
      </c>
      <c r="E48" s="108"/>
      <c r="F48" s="127"/>
      <c r="G48" s="128"/>
      <c r="H48" s="401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404"/>
      <c r="P48" s="404"/>
      <c r="Q48" s="404"/>
      <c r="R48" s="404"/>
      <c r="S48" s="404"/>
      <c r="T48" s="404"/>
      <c r="U48" s="404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400" t="s">
        <v>382</v>
      </c>
      <c r="C49" s="187" t="s">
        <v>383</v>
      </c>
      <c r="D49" s="108">
        <v>5.03</v>
      </c>
      <c r="E49" s="108"/>
      <c r="F49" s="127"/>
      <c r="G49" s="128"/>
      <c r="H49" s="401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404"/>
      <c r="P49" s="404"/>
      <c r="Q49" s="404"/>
      <c r="R49" s="404"/>
      <c r="S49" s="404"/>
      <c r="T49" s="404"/>
      <c r="U49" s="404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400" t="s">
        <v>382</v>
      </c>
      <c r="C50" s="187" t="s">
        <v>384</v>
      </c>
      <c r="D50" s="108">
        <v>5.03</v>
      </c>
      <c r="E50" s="108"/>
      <c r="F50" s="127"/>
      <c r="G50" s="128"/>
      <c r="H50" s="401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404"/>
      <c r="P50" s="404"/>
      <c r="Q50" s="404"/>
      <c r="R50" s="404"/>
      <c r="S50" s="404"/>
      <c r="T50" s="404"/>
      <c r="U50" s="404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400" t="s">
        <v>382</v>
      </c>
      <c r="C51" s="187" t="s">
        <v>389</v>
      </c>
      <c r="D51" s="108">
        <v>5.03</v>
      </c>
      <c r="E51" s="108"/>
      <c r="F51" s="127"/>
      <c r="G51" s="128"/>
      <c r="H51" s="401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404"/>
      <c r="P51" s="404"/>
      <c r="Q51" s="404"/>
      <c r="R51" s="404"/>
      <c r="S51" s="404"/>
      <c r="T51" s="404"/>
      <c r="U51" s="404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400" t="s">
        <v>382</v>
      </c>
      <c r="C52" s="187" t="s">
        <v>391</v>
      </c>
      <c r="D52" s="108">
        <v>5.03</v>
      </c>
      <c r="E52" s="108"/>
      <c r="F52" s="127"/>
      <c r="G52" s="128"/>
      <c r="H52" s="401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404"/>
      <c r="P52" s="404"/>
      <c r="Q52" s="404"/>
      <c r="R52" s="404"/>
      <c r="S52" s="404"/>
      <c r="T52" s="404"/>
      <c r="U52" s="404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400" t="s">
        <v>418</v>
      </c>
      <c r="C53" s="187" t="s">
        <v>364</v>
      </c>
      <c r="D53" s="108">
        <v>5.03</v>
      </c>
      <c r="E53" s="108"/>
      <c r="F53" s="127"/>
      <c r="G53" s="128"/>
      <c r="H53" s="401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404"/>
      <c r="P53" s="404"/>
      <c r="Q53" s="404"/>
      <c r="R53" s="404"/>
      <c r="S53" s="404"/>
      <c r="T53" s="404"/>
      <c r="U53" s="404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400" t="s">
        <v>418</v>
      </c>
      <c r="C54" s="187" t="s">
        <v>365</v>
      </c>
      <c r="D54" s="108">
        <v>5.03</v>
      </c>
      <c r="E54" s="108"/>
      <c r="F54" s="127"/>
      <c r="G54" s="128"/>
      <c r="H54" s="401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404"/>
      <c r="P54" s="404"/>
      <c r="Q54" s="404"/>
      <c r="R54" s="404"/>
      <c r="S54" s="404"/>
      <c r="T54" s="404"/>
      <c r="U54" s="404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400" t="s">
        <v>418</v>
      </c>
      <c r="C55" s="187" t="s">
        <v>366</v>
      </c>
      <c r="D55" s="108">
        <v>5.03</v>
      </c>
      <c r="E55" s="108"/>
      <c r="F55" s="127"/>
      <c r="G55" s="128"/>
      <c r="H55" s="401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404"/>
      <c r="P55" s="404"/>
      <c r="Q55" s="404"/>
      <c r="R55" s="404"/>
      <c r="S55" s="404"/>
      <c r="T55" s="404"/>
      <c r="U55" s="404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400" t="s">
        <v>418</v>
      </c>
      <c r="C56" s="187" t="s">
        <v>367</v>
      </c>
      <c r="D56" s="108">
        <v>5.03</v>
      </c>
      <c r="E56" s="108"/>
      <c r="F56" s="127"/>
      <c r="G56" s="128"/>
      <c r="H56" s="401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404"/>
      <c r="P56" s="404"/>
      <c r="Q56" s="404"/>
      <c r="R56" s="404"/>
      <c r="S56" s="404"/>
      <c r="T56" s="404"/>
      <c r="U56" s="404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01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409"/>
      <c r="P57" s="409"/>
      <c r="Q57" s="409"/>
      <c r="R57" s="409"/>
      <c r="S57" s="409"/>
      <c r="T57" s="409"/>
      <c r="U57" s="409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01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409"/>
      <c r="P58" s="409"/>
      <c r="Q58" s="409"/>
      <c r="R58" s="409"/>
      <c r="S58" s="409"/>
      <c r="T58" s="409"/>
      <c r="U58" s="409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401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409"/>
      <c r="P59" s="409"/>
      <c r="Q59" s="409"/>
      <c r="R59" s="409"/>
      <c r="S59" s="409"/>
      <c r="T59" s="409"/>
      <c r="U59" s="409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01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409"/>
      <c r="P60" s="409"/>
      <c r="Q60" s="409"/>
      <c r="R60" s="409"/>
      <c r="S60" s="409"/>
      <c r="T60" s="409"/>
      <c r="U60" s="409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01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409"/>
      <c r="P61" s="409"/>
      <c r="Q61" s="409"/>
      <c r="R61" s="409"/>
      <c r="S61" s="409"/>
      <c r="T61" s="409"/>
      <c r="U61" s="409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01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409"/>
      <c r="P62" s="409"/>
      <c r="Q62" s="409"/>
      <c r="R62" s="409"/>
      <c r="S62" s="409"/>
      <c r="T62" s="409"/>
      <c r="U62" s="409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01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409"/>
      <c r="P63" s="409"/>
      <c r="Q63" s="409"/>
      <c r="R63" s="409"/>
      <c r="S63" s="409"/>
      <c r="T63" s="409"/>
      <c r="U63" s="409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01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409"/>
      <c r="P64" s="409"/>
      <c r="Q64" s="409"/>
      <c r="R64" s="409"/>
      <c r="S64" s="409"/>
      <c r="T64" s="409"/>
      <c r="U64" s="409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01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409"/>
      <c r="P65" s="409"/>
      <c r="Q65" s="409"/>
      <c r="R65" s="409"/>
      <c r="S65" s="409"/>
      <c r="T65" s="409"/>
      <c r="U65" s="409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01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409"/>
      <c r="P66" s="409"/>
      <c r="Q66" s="409"/>
      <c r="R66" s="409"/>
      <c r="S66" s="409"/>
      <c r="T66" s="409"/>
      <c r="U66" s="409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401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09"/>
      <c r="P67" s="409"/>
      <c r="Q67" s="409"/>
      <c r="R67" s="409"/>
      <c r="S67" s="409"/>
      <c r="T67" s="409"/>
      <c r="U67" s="409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01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09"/>
      <c r="P68" s="409"/>
      <c r="Q68" s="409"/>
      <c r="R68" s="409"/>
      <c r="S68" s="409"/>
      <c r="T68" s="409"/>
      <c r="U68" s="409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401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409"/>
      <c r="P69" s="409"/>
      <c r="Q69" s="409"/>
      <c r="R69" s="409"/>
      <c r="S69" s="409"/>
      <c r="T69" s="409"/>
      <c r="U69" s="409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401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409"/>
      <c r="P70" s="409"/>
      <c r="Q70" s="409"/>
      <c r="R70" s="409"/>
      <c r="S70" s="409"/>
      <c r="T70" s="409"/>
      <c r="U70" s="409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01">
        <f t="shared" si="11"/>
        <v>0</v>
      </c>
      <c r="I71" s="129"/>
      <c r="J71" s="130"/>
      <c r="K71" s="131"/>
      <c r="L71" s="129"/>
      <c r="M71" s="109"/>
      <c r="N71" s="130"/>
      <c r="O71" s="409"/>
      <c r="P71" s="409"/>
      <c r="Q71" s="409"/>
      <c r="R71" s="409"/>
      <c r="S71" s="409"/>
      <c r="T71" s="409"/>
      <c r="U71" s="409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01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409"/>
      <c r="P72" s="409"/>
      <c r="Q72" s="409"/>
      <c r="R72" s="409"/>
      <c r="S72" s="409"/>
      <c r="T72" s="409"/>
      <c r="U72" s="409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01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409"/>
      <c r="P73" s="409"/>
      <c r="Q73" s="409"/>
      <c r="R73" s="409"/>
      <c r="S73" s="409"/>
      <c r="T73" s="409"/>
      <c r="U73" s="409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01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409"/>
      <c r="P74" s="409"/>
      <c r="Q74" s="409"/>
      <c r="R74" s="409"/>
      <c r="S74" s="409"/>
      <c r="T74" s="409"/>
      <c r="U74" s="409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01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409"/>
      <c r="P75" s="409"/>
      <c r="Q75" s="409"/>
      <c r="R75" s="409"/>
      <c r="S75" s="409"/>
      <c r="T75" s="409"/>
      <c r="U75" s="409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01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409"/>
      <c r="P76" s="409"/>
      <c r="Q76" s="409"/>
      <c r="R76" s="409"/>
      <c r="S76" s="409"/>
      <c r="T76" s="409"/>
      <c r="U76" s="409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01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409"/>
      <c r="P77" s="409"/>
      <c r="Q77" s="409"/>
      <c r="R77" s="409"/>
      <c r="S77" s="409"/>
      <c r="T77" s="409"/>
      <c r="U77" s="409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01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409"/>
      <c r="P78" s="409"/>
      <c r="Q78" s="409"/>
      <c r="R78" s="409"/>
      <c r="S78" s="409"/>
      <c r="T78" s="409"/>
      <c r="U78" s="409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01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409"/>
      <c r="P79" s="409"/>
      <c r="Q79" s="409"/>
      <c r="R79" s="409"/>
      <c r="S79" s="409"/>
      <c r="T79" s="409"/>
      <c r="U79" s="409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01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09"/>
      <c r="P80" s="409"/>
      <c r="Q80" s="409"/>
      <c r="R80" s="409"/>
      <c r="S80" s="409"/>
      <c r="T80" s="409"/>
      <c r="U80" s="409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01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09"/>
      <c r="P81" s="409"/>
      <c r="Q81" s="409"/>
      <c r="R81" s="409"/>
      <c r="S81" s="409"/>
      <c r="T81" s="409"/>
      <c r="U81" s="409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01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09"/>
      <c r="P82" s="409"/>
      <c r="Q82" s="409"/>
      <c r="R82" s="409"/>
      <c r="S82" s="409"/>
      <c r="T82" s="409"/>
      <c r="U82" s="409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01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09"/>
      <c r="P83" s="409"/>
      <c r="Q83" s="409"/>
      <c r="R83" s="409"/>
      <c r="S83" s="409"/>
      <c r="T83" s="409"/>
      <c r="U83" s="409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01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09"/>
      <c r="P84" s="409"/>
      <c r="Q84" s="409"/>
      <c r="R84" s="409"/>
      <c r="S84" s="409"/>
      <c r="T84" s="409"/>
      <c r="U84" s="409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01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09"/>
      <c r="P85" s="409"/>
      <c r="Q85" s="409"/>
      <c r="R85" s="409"/>
      <c r="S85" s="409"/>
      <c r="T85" s="409"/>
      <c r="U85" s="409"/>
      <c r="V85" s="132"/>
      <c r="W85" s="133"/>
      <c r="X85" s="132"/>
      <c r="Y85" s="132"/>
      <c r="Z85" s="132"/>
      <c r="AA85" s="132"/>
    </row>
    <row r="86" spans="1:27" ht="20.100000000000001" hidden="1" customHeight="1">
      <c r="A86" s="589" t="s">
        <v>216</v>
      </c>
      <c r="B86" s="589"/>
      <c r="C86" s="410" t="s">
        <v>202</v>
      </c>
      <c r="D86" s="143"/>
      <c r="E86" s="143"/>
      <c r="F86" s="144"/>
      <c r="G86" s="145">
        <f>SUM(G29:G85)</f>
        <v>0</v>
      </c>
      <c r="H86" s="146">
        <f>SUM(H29:H85)</f>
        <v>0</v>
      </c>
      <c r="I86" s="146">
        <f>SUM(I29:I85)</f>
        <v>0</v>
      </c>
      <c r="J86" s="130" t="str">
        <f t="array" ref="J86">IF(ISERROR(G86/I86),"",G86/I86)</f>
        <v/>
      </c>
      <c r="K86" s="146">
        <f>SUM(K29:K85)</f>
        <v>0</v>
      </c>
      <c r="L86" s="147"/>
      <c r="M86" s="150">
        <f t="shared" ref="M86:V86" si="34">SUM(M29:M85)</f>
        <v>0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 t="str">
        <f t="shared" ref="W86:W93" si="35">IF(ISERROR(V86/G86),"",V86/G86)</f>
        <v/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400" t="s">
        <v>217</v>
      </c>
      <c r="C87" s="126" t="s">
        <v>179</v>
      </c>
      <c r="D87" s="108">
        <v>5.03</v>
      </c>
      <c r="E87" s="108"/>
      <c r="F87" s="127"/>
      <c r="G87" s="128"/>
      <c r="H87" s="401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409"/>
      <c r="P87" s="409"/>
      <c r="Q87" s="409"/>
      <c r="R87" s="409"/>
      <c r="S87" s="409"/>
      <c r="T87" s="409"/>
      <c r="U87" s="409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400" t="s">
        <v>217</v>
      </c>
      <c r="C88" s="126" t="s">
        <v>186</v>
      </c>
      <c r="D88" s="108">
        <v>5.03</v>
      </c>
      <c r="E88" s="108"/>
      <c r="F88" s="127"/>
      <c r="G88" s="128"/>
      <c r="H88" s="401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409"/>
      <c r="P88" s="409"/>
      <c r="Q88" s="409"/>
      <c r="R88" s="409"/>
      <c r="S88" s="409"/>
      <c r="T88" s="409"/>
      <c r="U88" s="409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400" t="s">
        <v>217</v>
      </c>
      <c r="C89" s="126" t="s">
        <v>204</v>
      </c>
      <c r="D89" s="108">
        <v>5.03</v>
      </c>
      <c r="E89" s="108"/>
      <c r="F89" s="127"/>
      <c r="G89" s="128"/>
      <c r="H89" s="401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409"/>
      <c r="P89" s="409"/>
      <c r="Q89" s="409"/>
      <c r="R89" s="409"/>
      <c r="S89" s="409"/>
      <c r="T89" s="409"/>
      <c r="U89" s="409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01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409"/>
      <c r="P90" s="409"/>
      <c r="Q90" s="409"/>
      <c r="R90" s="409"/>
      <c r="S90" s="409"/>
      <c r="T90" s="409"/>
      <c r="U90" s="409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401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409"/>
      <c r="P91" s="409"/>
      <c r="Q91" s="409"/>
      <c r="R91" s="409"/>
      <c r="S91" s="409"/>
      <c r="T91" s="409"/>
      <c r="U91" s="409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401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409"/>
      <c r="P92" s="409"/>
      <c r="Q92" s="409"/>
      <c r="R92" s="409"/>
      <c r="S92" s="409"/>
      <c r="T92" s="409"/>
      <c r="U92" s="409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401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409"/>
      <c r="P93" s="409"/>
      <c r="Q93" s="409"/>
      <c r="R93" s="409"/>
      <c r="S93" s="409"/>
      <c r="T93" s="409"/>
      <c r="U93" s="409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401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409"/>
      <c r="P94" s="409"/>
      <c r="Q94" s="409"/>
      <c r="R94" s="409"/>
      <c r="S94" s="409"/>
      <c r="T94" s="409"/>
      <c r="U94" s="409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01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409"/>
      <c r="P95" s="409"/>
      <c r="Q95" s="409"/>
      <c r="R95" s="409"/>
      <c r="S95" s="409"/>
      <c r="T95" s="409"/>
      <c r="U95" s="409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01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409"/>
      <c r="P96" s="409"/>
      <c r="Q96" s="409"/>
      <c r="R96" s="409"/>
      <c r="S96" s="409"/>
      <c r="T96" s="409"/>
      <c r="U96" s="409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01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409"/>
      <c r="P97" s="409"/>
      <c r="Q97" s="409"/>
      <c r="R97" s="409"/>
      <c r="S97" s="409"/>
      <c r="T97" s="409"/>
      <c r="U97" s="409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01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409"/>
      <c r="P98" s="409"/>
      <c r="Q98" s="409"/>
      <c r="R98" s="409"/>
      <c r="S98" s="409"/>
      <c r="T98" s="409"/>
      <c r="U98" s="409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401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409"/>
      <c r="P99" s="409"/>
      <c r="Q99" s="409"/>
      <c r="R99" s="409"/>
      <c r="S99" s="409"/>
      <c r="T99" s="409"/>
      <c r="U99" s="409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01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409"/>
      <c r="P100" s="409"/>
      <c r="Q100" s="409"/>
      <c r="R100" s="409"/>
      <c r="S100" s="409"/>
      <c r="T100" s="409"/>
      <c r="U100" s="409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01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409"/>
      <c r="P101" s="409"/>
      <c r="Q101" s="409"/>
      <c r="R101" s="409"/>
      <c r="S101" s="409"/>
      <c r="T101" s="409"/>
      <c r="U101" s="409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01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409"/>
      <c r="P102" s="409"/>
      <c r="Q102" s="409"/>
      <c r="R102" s="409"/>
      <c r="S102" s="409"/>
      <c r="T102" s="409"/>
      <c r="U102" s="409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400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01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409"/>
      <c r="P103" s="409"/>
      <c r="Q103" s="409"/>
      <c r="R103" s="409"/>
      <c r="S103" s="409"/>
      <c r="T103" s="409"/>
      <c r="U103" s="409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400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01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409"/>
      <c r="P104" s="409"/>
      <c r="Q104" s="409"/>
      <c r="R104" s="409"/>
      <c r="S104" s="409"/>
      <c r="T104" s="409"/>
      <c r="U104" s="409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400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01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409"/>
      <c r="P105" s="409"/>
      <c r="Q105" s="409"/>
      <c r="R105" s="409"/>
      <c r="S105" s="409"/>
      <c r="T105" s="409"/>
      <c r="U105" s="409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400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01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409"/>
      <c r="P106" s="409"/>
      <c r="Q106" s="409"/>
      <c r="R106" s="409"/>
      <c r="S106" s="409"/>
      <c r="T106" s="409"/>
      <c r="U106" s="409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400" t="s">
        <v>393</v>
      </c>
      <c r="C107" s="187" t="s">
        <v>395</v>
      </c>
      <c r="D107" s="108">
        <v>5</v>
      </c>
      <c r="E107" s="108"/>
      <c r="F107" s="127"/>
      <c r="G107" s="128"/>
      <c r="H107" s="401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409"/>
      <c r="P107" s="409"/>
      <c r="Q107" s="409"/>
      <c r="R107" s="409"/>
      <c r="S107" s="409"/>
      <c r="T107" s="409"/>
      <c r="U107" s="409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400" t="s">
        <v>393</v>
      </c>
      <c r="C108" s="187" t="s">
        <v>402</v>
      </c>
      <c r="D108" s="108">
        <v>5</v>
      </c>
      <c r="E108" s="108"/>
      <c r="F108" s="127"/>
      <c r="G108" s="128"/>
      <c r="H108" s="401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409"/>
      <c r="P108" s="409"/>
      <c r="Q108" s="409"/>
      <c r="R108" s="409"/>
      <c r="S108" s="409"/>
      <c r="T108" s="409"/>
      <c r="U108" s="409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400" t="s">
        <v>404</v>
      </c>
      <c r="C109" s="187" t="s">
        <v>405</v>
      </c>
      <c r="D109" s="108">
        <v>5</v>
      </c>
      <c r="E109" s="108"/>
      <c r="F109" s="127"/>
      <c r="G109" s="128"/>
      <c r="H109" s="401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409"/>
      <c r="P109" s="409"/>
      <c r="Q109" s="409"/>
      <c r="R109" s="409"/>
      <c r="S109" s="409"/>
      <c r="T109" s="409"/>
      <c r="U109" s="409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400" t="s">
        <v>492</v>
      </c>
      <c r="C110" s="187" t="s">
        <v>372</v>
      </c>
      <c r="D110" s="108">
        <v>5</v>
      </c>
      <c r="E110" s="108"/>
      <c r="F110" s="127"/>
      <c r="G110" s="128"/>
      <c r="H110" s="401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409"/>
      <c r="P110" s="409"/>
      <c r="Q110" s="409"/>
      <c r="R110" s="409"/>
      <c r="S110" s="409"/>
      <c r="T110" s="409"/>
      <c r="U110" s="409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400" t="s">
        <v>343</v>
      </c>
      <c r="C111" s="126" t="s">
        <v>345</v>
      </c>
      <c r="D111" s="108">
        <v>5</v>
      </c>
      <c r="E111" s="108"/>
      <c r="F111" s="127"/>
      <c r="G111" s="128"/>
      <c r="H111" s="401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409"/>
      <c r="P111" s="409"/>
      <c r="Q111" s="409"/>
      <c r="R111" s="409"/>
      <c r="S111" s="409"/>
      <c r="T111" s="409"/>
      <c r="U111" s="409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400" t="s">
        <v>343</v>
      </c>
      <c r="C112" s="126" t="s">
        <v>347</v>
      </c>
      <c r="D112" s="108">
        <v>5</v>
      </c>
      <c r="E112" s="108"/>
      <c r="F112" s="127"/>
      <c r="G112" s="128"/>
      <c r="H112" s="401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409"/>
      <c r="P112" s="409"/>
      <c r="Q112" s="409"/>
      <c r="R112" s="409"/>
      <c r="S112" s="409"/>
      <c r="T112" s="409"/>
      <c r="U112" s="409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01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409"/>
      <c r="P113" s="409"/>
      <c r="Q113" s="409"/>
      <c r="R113" s="409"/>
      <c r="S113" s="409"/>
      <c r="T113" s="409"/>
      <c r="U113" s="409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01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409"/>
      <c r="P114" s="409"/>
      <c r="Q114" s="409"/>
      <c r="R114" s="409"/>
      <c r="S114" s="409"/>
      <c r="T114" s="409"/>
      <c r="U114" s="409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401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409"/>
      <c r="P115" s="409"/>
      <c r="Q115" s="409"/>
      <c r="R115" s="409"/>
      <c r="S115" s="409"/>
      <c r="T115" s="409"/>
      <c r="U115" s="409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01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409"/>
      <c r="P116" s="409"/>
      <c r="Q116" s="409"/>
      <c r="R116" s="409"/>
      <c r="S116" s="409"/>
      <c r="T116" s="409"/>
      <c r="U116" s="409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401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409"/>
      <c r="P117" s="409"/>
      <c r="Q117" s="409"/>
      <c r="R117" s="409"/>
      <c r="S117" s="409"/>
      <c r="T117" s="409"/>
      <c r="U117" s="409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401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409"/>
      <c r="P118" s="409"/>
      <c r="Q118" s="409"/>
      <c r="R118" s="409"/>
      <c r="S118" s="409"/>
      <c r="T118" s="409"/>
      <c r="U118" s="409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01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409"/>
      <c r="P119" s="409"/>
      <c r="Q119" s="409"/>
      <c r="R119" s="409"/>
      <c r="S119" s="409"/>
      <c r="T119" s="409"/>
      <c r="U119" s="409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401">
        <f t="shared" si="36"/>
        <v>0</v>
      </c>
      <c r="I120" s="129"/>
      <c r="J120" s="130" t="str">
        <f t="array" ref="J120">IF(ISERROR(G120/I120),"",G120/I120)</f>
        <v/>
      </c>
      <c r="K120" s="401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409"/>
      <c r="P120" s="409"/>
      <c r="Q120" s="409"/>
      <c r="R120" s="409"/>
      <c r="S120" s="409"/>
      <c r="T120" s="409"/>
      <c r="U120" s="409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hidden="1" customHeight="1">
      <c r="A121" s="578" t="s">
        <v>224</v>
      </c>
      <c r="B121" s="579"/>
      <c r="C121" s="410" t="s">
        <v>202</v>
      </c>
      <c r="D121" s="143"/>
      <c r="E121" s="143"/>
      <c r="F121" s="144"/>
      <c r="G121" s="145">
        <f>SUM(G87:G120)</f>
        <v>0</v>
      </c>
      <c r="H121" s="146">
        <f>SUM(H87:H120)</f>
        <v>0</v>
      </c>
      <c r="I121" s="146">
        <f>SUM(I87:I120)</f>
        <v>0</v>
      </c>
      <c r="J121" s="130" t="str">
        <f t="array" ref="J121">IF(ISERROR(G121/I121),"",G121/I121)</f>
        <v/>
      </c>
      <c r="K121" s="146">
        <f>SUM(K87:K120)</f>
        <v>0</v>
      </c>
      <c r="L121" s="147"/>
      <c r="M121" s="150">
        <f t="shared" ref="M121:V121" si="50">SUM(M87:M120)</f>
        <v>0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 t="str">
        <f t="shared" si="49"/>
        <v/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01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409"/>
      <c r="P122" s="409"/>
      <c r="Q122" s="409"/>
      <c r="R122" s="409"/>
      <c r="S122" s="409"/>
      <c r="T122" s="409"/>
      <c r="U122" s="409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01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409"/>
      <c r="P123" s="409"/>
      <c r="Q123" s="409"/>
      <c r="R123" s="409"/>
      <c r="S123" s="409"/>
      <c r="T123" s="409"/>
      <c r="U123" s="409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401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409"/>
      <c r="P124" s="409"/>
      <c r="Q124" s="409"/>
      <c r="R124" s="409"/>
      <c r="S124" s="409"/>
      <c r="T124" s="409"/>
      <c r="U124" s="409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401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409"/>
      <c r="P125" s="409"/>
      <c r="Q125" s="409"/>
      <c r="R125" s="409"/>
      <c r="S125" s="409"/>
      <c r="T125" s="409"/>
      <c r="U125" s="409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408" t="s">
        <v>203</v>
      </c>
      <c r="D126" s="108">
        <v>5.03</v>
      </c>
      <c r="E126" s="108"/>
      <c r="F126" s="127"/>
      <c r="G126" s="128"/>
      <c r="H126" s="401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409"/>
      <c r="P126" s="409"/>
      <c r="Q126" s="409"/>
      <c r="R126" s="409"/>
      <c r="S126" s="409"/>
      <c r="T126" s="409"/>
      <c r="U126" s="409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01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409"/>
      <c r="P127" s="409"/>
      <c r="Q127" s="409"/>
      <c r="R127" s="409"/>
      <c r="S127" s="409"/>
      <c r="T127" s="409"/>
      <c r="U127" s="409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01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409"/>
      <c r="P128" s="409"/>
      <c r="Q128" s="409"/>
      <c r="R128" s="409"/>
      <c r="S128" s="409"/>
      <c r="T128" s="409"/>
      <c r="U128" s="409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408" t="s">
        <v>228</v>
      </c>
      <c r="D129" s="108">
        <v>5.03</v>
      </c>
      <c r="E129" s="108"/>
      <c r="F129" s="127"/>
      <c r="G129" s="128"/>
      <c r="H129" s="401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409"/>
      <c r="P129" s="409"/>
      <c r="Q129" s="409"/>
      <c r="R129" s="409"/>
      <c r="S129" s="409"/>
      <c r="T129" s="409"/>
      <c r="U129" s="409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408" t="s">
        <v>212</v>
      </c>
      <c r="D130" s="108">
        <v>5.03</v>
      </c>
      <c r="E130" s="108"/>
      <c r="F130" s="127"/>
      <c r="G130" s="128"/>
      <c r="H130" s="401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409"/>
      <c r="P130" s="409"/>
      <c r="Q130" s="409"/>
      <c r="R130" s="409"/>
      <c r="S130" s="409"/>
      <c r="T130" s="409"/>
      <c r="U130" s="409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408" t="s">
        <v>203</v>
      </c>
      <c r="D131" s="108">
        <v>5.03</v>
      </c>
      <c r="E131" s="108"/>
      <c r="F131" s="127"/>
      <c r="G131" s="128"/>
      <c r="H131" s="401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409"/>
      <c r="P131" s="409"/>
      <c r="Q131" s="409"/>
      <c r="R131" s="409"/>
      <c r="S131" s="409"/>
      <c r="T131" s="409"/>
      <c r="U131" s="409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408" t="s">
        <v>186</v>
      </c>
      <c r="D132" s="108">
        <v>5.03</v>
      </c>
      <c r="E132" s="108"/>
      <c r="F132" s="127"/>
      <c r="G132" s="128"/>
      <c r="H132" s="401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409"/>
      <c r="P132" s="409"/>
      <c r="Q132" s="409"/>
      <c r="R132" s="409"/>
      <c r="S132" s="409"/>
      <c r="T132" s="409"/>
      <c r="U132" s="409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408" t="s">
        <v>228</v>
      </c>
      <c r="D133" s="108">
        <v>5.03</v>
      </c>
      <c r="E133" s="108"/>
      <c r="F133" s="127"/>
      <c r="G133" s="128"/>
      <c r="H133" s="401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409"/>
      <c r="P133" s="409"/>
      <c r="Q133" s="409"/>
      <c r="R133" s="409"/>
      <c r="S133" s="409"/>
      <c r="T133" s="409"/>
      <c r="U133" s="409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408" t="s">
        <v>199</v>
      </c>
      <c r="D134" s="108">
        <v>5.03</v>
      </c>
      <c r="E134" s="108"/>
      <c r="F134" s="127"/>
      <c r="G134" s="128"/>
      <c r="H134" s="401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409"/>
      <c r="P134" s="409"/>
      <c r="Q134" s="409"/>
      <c r="R134" s="409"/>
      <c r="S134" s="409"/>
      <c r="T134" s="409"/>
      <c r="U134" s="409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01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409"/>
      <c r="P135" s="409"/>
      <c r="Q135" s="409"/>
      <c r="R135" s="409"/>
      <c r="S135" s="409"/>
      <c r="T135" s="409"/>
      <c r="U135" s="409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401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409"/>
      <c r="P136" s="409"/>
      <c r="Q136" s="409"/>
      <c r="R136" s="409"/>
      <c r="S136" s="409"/>
      <c r="T136" s="409"/>
      <c r="U136" s="409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hidden="1" customHeight="1">
      <c r="A137" s="578" t="s">
        <v>231</v>
      </c>
      <c r="B137" s="579"/>
      <c r="C137" s="410" t="s">
        <v>202</v>
      </c>
      <c r="D137" s="143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49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01">
        <f t="shared" ref="H138:H147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409"/>
      <c r="P138" s="409"/>
      <c r="Q138" s="409"/>
      <c r="R138" s="409"/>
      <c r="S138" s="409"/>
      <c r="T138" s="409"/>
      <c r="U138" s="409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01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409"/>
      <c r="P139" s="409"/>
      <c r="Q139" s="409"/>
      <c r="R139" s="409"/>
      <c r="S139" s="409"/>
      <c r="T139" s="409"/>
      <c r="U139" s="409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01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409"/>
      <c r="P140" s="409"/>
      <c r="Q140" s="409"/>
      <c r="R140" s="409"/>
      <c r="S140" s="409"/>
      <c r="T140" s="409"/>
      <c r="U140" s="409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401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409"/>
      <c r="P141" s="409"/>
      <c r="Q141" s="409"/>
      <c r="R141" s="409"/>
      <c r="S141" s="409"/>
      <c r="T141" s="409"/>
      <c r="U141" s="409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01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409"/>
      <c r="P142" s="409"/>
      <c r="Q142" s="409"/>
      <c r="R142" s="409"/>
      <c r="S142" s="409"/>
      <c r="T142" s="409"/>
      <c r="U142" s="409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401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409"/>
      <c r="P143" s="409"/>
      <c r="Q143" s="409"/>
      <c r="R143" s="409"/>
      <c r="S143" s="409"/>
      <c r="T143" s="409"/>
      <c r="U143" s="409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/>
      <c r="G144" s="128"/>
      <c r="H144" s="401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409"/>
      <c r="P144" s="409"/>
      <c r="Q144" s="409"/>
      <c r="R144" s="409"/>
      <c r="S144" s="409"/>
      <c r="T144" s="409"/>
      <c r="U144" s="409"/>
      <c r="V144" s="132"/>
      <c r="W144" s="133"/>
      <c r="X144" s="132"/>
      <c r="Y144" s="132"/>
      <c r="Z144" s="132"/>
      <c r="AA144" s="132"/>
    </row>
    <row r="145" spans="1:27" ht="20.100000000000001" hidden="1" customHeight="1">
      <c r="A145" s="300">
        <v>30400021</v>
      </c>
      <c r="B145" s="134" t="s">
        <v>439</v>
      </c>
      <c r="C145" s="187" t="s">
        <v>53</v>
      </c>
      <c r="D145" s="108">
        <v>5.04</v>
      </c>
      <c r="E145" s="108"/>
      <c r="F145" s="127"/>
      <c r="G145" s="128"/>
      <c r="H145" s="401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409"/>
      <c r="P145" s="409"/>
      <c r="Q145" s="409"/>
      <c r="R145" s="409"/>
      <c r="S145" s="409"/>
      <c r="T145" s="409"/>
      <c r="U145" s="409"/>
      <c r="V145" s="132"/>
      <c r="W145" s="133"/>
      <c r="X145" s="132"/>
      <c r="Y145" s="132"/>
      <c r="Z145" s="132"/>
      <c r="AA145" s="132"/>
    </row>
    <row r="146" spans="1:27" ht="20.10000000000000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/>
      <c r="G146" s="128"/>
      <c r="H146" s="438">
        <f t="shared" si="55"/>
        <v>0</v>
      </c>
      <c r="I146" s="129"/>
      <c r="J146" s="130"/>
      <c r="K146" s="131">
        <f t="array" ref="K146">IF(ISERROR(G146/L146),"",G146/L146)</f>
        <v>0</v>
      </c>
      <c r="L146" s="129">
        <v>13.5</v>
      </c>
      <c r="M146" s="109"/>
      <c r="N146" s="130"/>
      <c r="O146" s="446"/>
      <c r="P146" s="446"/>
      <c r="Q146" s="446"/>
      <c r="R146" s="446"/>
      <c r="S146" s="446"/>
      <c r="T146" s="446"/>
      <c r="U146" s="446"/>
      <c r="V146" s="132"/>
      <c r="W146" s="133"/>
      <c r="X146" s="132"/>
      <c r="Y146" s="132"/>
      <c r="Z146" s="132"/>
      <c r="AA146" s="132"/>
    </row>
    <row r="147" spans="1:27" ht="20.100000000000001" hidden="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28"/>
      <c r="H147" s="401">
        <f t="shared" si="55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ref="M147" si="59">IF(ISERROR(I147-K147),"",I147-K147)</f>
        <v>0</v>
      </c>
      <c r="N147" s="130">
        <f t="shared" ref="N147" si="60">SUM(O147:U147)</f>
        <v>0</v>
      </c>
      <c r="O147" s="409"/>
      <c r="P147" s="409"/>
      <c r="Q147" s="409"/>
      <c r="R147" s="409"/>
      <c r="S147" s="409"/>
      <c r="T147" s="409"/>
      <c r="U147" s="409"/>
      <c r="V147" s="132">
        <f t="shared" ref="V147" si="61">SUM(X147:AA147)</f>
        <v>0</v>
      </c>
      <c r="W147" s="133" t="str">
        <f t="shared" ref="W147:W152" si="62">IF(ISERROR(V147/G147),"",V147/G147)</f>
        <v/>
      </c>
      <c r="X147" s="132"/>
      <c r="Y147" s="132"/>
      <c r="Z147" s="132"/>
      <c r="AA147" s="132"/>
    </row>
    <row r="148" spans="1:27" ht="20.100000000000001" hidden="1" customHeight="1">
      <c r="A148" s="578" t="s">
        <v>234</v>
      </c>
      <c r="B148" s="579"/>
      <c r="C148" s="410" t="s">
        <v>202</v>
      </c>
      <c r="D148" s="143"/>
      <c r="E148" s="143"/>
      <c r="F148" s="144"/>
      <c r="G148" s="145">
        <f>SUM(G138:G147)</f>
        <v>0</v>
      </c>
      <c r="H148" s="146">
        <f>SUM(H138:H147)</f>
        <v>0</v>
      </c>
      <c r="I148" s="146">
        <f>SUM(I138:I147)</f>
        <v>0</v>
      </c>
      <c r="J148" s="130" t="str">
        <f t="array" ref="J148">IF(ISERROR(G148/I148),"",G148/I148)</f>
        <v/>
      </c>
      <c r="K148" s="146">
        <f>SUM(K138:K147)</f>
        <v>0</v>
      </c>
      <c r="L148" s="147"/>
      <c r="M148" s="150">
        <f>SUM(M138:M147)</f>
        <v>0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 t="str">
        <f t="shared" si="62"/>
        <v/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hidden="1" customHeight="1">
      <c r="A149" s="299">
        <v>30700013</v>
      </c>
      <c r="B149" s="298" t="s">
        <v>103</v>
      </c>
      <c r="C149" s="406"/>
      <c r="D149" s="108">
        <v>3.65</v>
      </c>
      <c r="E149" s="108"/>
      <c r="F149" s="153"/>
      <c r="G149" s="128"/>
      <c r="H149" s="401">
        <f t="shared" ref="H149:H162" si="63">D149*G149</f>
        <v>0</v>
      </c>
      <c r="I149" s="129"/>
      <c r="J149" s="130" t="str">
        <f t="array" ref="J149">IF(ISERROR(G149/I149),"",G149/I149)</f>
        <v/>
      </c>
      <c r="K149" s="401">
        <f t="array" ref="K149">IF(ISERROR(G149/L149),"",G149/L149)</f>
        <v>0</v>
      </c>
      <c r="L149" s="129">
        <v>5</v>
      </c>
      <c r="M149" s="109">
        <f t="shared" ref="M149:M152" si="64">IF(ISERROR(I149-K149),"",I149-K149)</f>
        <v>0</v>
      </c>
      <c r="N149" s="130">
        <f t="shared" ref="N149:N152" si="65">SUM(O149:U149)</f>
        <v>0</v>
      </c>
      <c r="O149" s="409"/>
      <c r="P149" s="409"/>
      <c r="Q149" s="409"/>
      <c r="R149" s="409"/>
      <c r="S149" s="409"/>
      <c r="T149" s="409"/>
      <c r="U149" s="409"/>
      <c r="V149" s="132">
        <f t="shared" ref="V149:V152" si="66">SUM(X149:AA149)</f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30700014</v>
      </c>
      <c r="B150" s="141" t="s">
        <v>236</v>
      </c>
      <c r="C150" s="406"/>
      <c r="D150" s="108">
        <v>6.58</v>
      </c>
      <c r="E150" s="108"/>
      <c r="F150" s="127"/>
      <c r="G150" s="128"/>
      <c r="H150" s="401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5</v>
      </c>
      <c r="M150" s="109">
        <f t="shared" si="64"/>
        <v>0</v>
      </c>
      <c r="N150" s="130">
        <f t="shared" si="65"/>
        <v>0</v>
      </c>
      <c r="O150" s="409"/>
      <c r="P150" s="409"/>
      <c r="Q150" s="409"/>
      <c r="R150" s="409"/>
      <c r="S150" s="409"/>
      <c r="T150" s="409"/>
      <c r="U150" s="409"/>
      <c r="V150" s="132">
        <f t="shared" si="66"/>
        <v>0</v>
      </c>
      <c r="W150" s="133" t="str">
        <f t="shared" si="62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30700016</v>
      </c>
      <c r="B151" s="141" t="s">
        <v>237</v>
      </c>
      <c r="C151" s="406"/>
      <c r="D151" s="108">
        <v>7.8</v>
      </c>
      <c r="E151" s="108"/>
      <c r="F151" s="127"/>
      <c r="G151" s="128"/>
      <c r="H151" s="401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4.5999999999999996</v>
      </c>
      <c r="M151" s="109">
        <f t="shared" si="64"/>
        <v>0</v>
      </c>
      <c r="N151" s="130">
        <f t="shared" si="65"/>
        <v>0</v>
      </c>
      <c r="O151" s="409"/>
      <c r="P151" s="409"/>
      <c r="Q151" s="409"/>
      <c r="R151" s="409"/>
      <c r="S151" s="409"/>
      <c r="T151" s="409"/>
      <c r="U151" s="409"/>
      <c r="V151" s="132">
        <f t="shared" si="66"/>
        <v>0</v>
      </c>
      <c r="W151" s="133" t="str">
        <f t="shared" si="62"/>
        <v/>
      </c>
      <c r="X151" s="132"/>
      <c r="Y151" s="132"/>
      <c r="Z151" s="132"/>
      <c r="AA151" s="132"/>
    </row>
    <row r="152" spans="1:27" ht="20.100000000000001" hidden="1" customHeight="1">
      <c r="A152" s="299">
        <v>30700017</v>
      </c>
      <c r="B152" s="141" t="s">
        <v>238</v>
      </c>
      <c r="C152" s="406"/>
      <c r="D152" s="108">
        <v>4.4000000000000004</v>
      </c>
      <c r="E152" s="108"/>
      <c r="F152" s="127"/>
      <c r="G152" s="128"/>
      <c r="H152" s="401">
        <f t="shared" si="63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5.8</v>
      </c>
      <c r="M152" s="109">
        <f t="shared" si="64"/>
        <v>0</v>
      </c>
      <c r="N152" s="130">
        <f t="shared" si="65"/>
        <v>0</v>
      </c>
      <c r="O152" s="409"/>
      <c r="P152" s="409"/>
      <c r="Q152" s="409"/>
      <c r="R152" s="409"/>
      <c r="S152" s="409"/>
      <c r="T152" s="409"/>
      <c r="U152" s="409"/>
      <c r="V152" s="132">
        <f t="shared" si="66"/>
        <v>0</v>
      </c>
      <c r="W152" s="133" t="str">
        <f t="shared" si="62"/>
        <v/>
      </c>
      <c r="X152" s="132"/>
      <c r="Y152" s="132"/>
      <c r="Z152" s="132"/>
      <c r="AA152" s="132"/>
    </row>
    <row r="153" spans="1:27" ht="20.100000000000001" hidden="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28"/>
      <c r="H153" s="401">
        <f t="shared" si="63"/>
        <v>0</v>
      </c>
      <c r="I153" s="129"/>
      <c r="J153" s="130"/>
      <c r="K153" s="131"/>
      <c r="L153" s="129">
        <v>6</v>
      </c>
      <c r="M153" s="109"/>
      <c r="N153" s="130"/>
      <c r="O153" s="409"/>
      <c r="P153" s="409"/>
      <c r="Q153" s="409"/>
      <c r="R153" s="409"/>
      <c r="S153" s="409"/>
      <c r="T153" s="409"/>
      <c r="U153" s="409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5"/>
      <c r="B154" s="406" t="s">
        <v>239</v>
      </c>
      <c r="C154" s="406" t="s">
        <v>179</v>
      </c>
      <c r="D154" s="108">
        <v>6.04</v>
      </c>
      <c r="E154" s="108"/>
      <c r="F154" s="127"/>
      <c r="G154" s="128"/>
      <c r="H154" s="401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5" si="67">IF(ISERROR(I154-K154),"",I154-K154)</f>
        <v>0</v>
      </c>
      <c r="N154" s="130">
        <f t="shared" ref="N154:N155" si="68">SUM(O154:U154)</f>
        <v>0</v>
      </c>
      <c r="O154" s="409"/>
      <c r="P154" s="409"/>
      <c r="Q154" s="409"/>
      <c r="R154" s="409"/>
      <c r="S154" s="409"/>
      <c r="T154" s="409"/>
      <c r="U154" s="409"/>
      <c r="V154" s="132">
        <f t="shared" ref="V154:V155" si="69">SUM(X154:AA154)</f>
        <v>0</v>
      </c>
      <c r="W154" s="133" t="str">
        <f t="shared" ref="W154:W155" si="70">IF(ISERROR(V154/G154),"",V154/G154)</f>
        <v/>
      </c>
      <c r="X154" s="132"/>
      <c r="Y154" s="132"/>
      <c r="Z154" s="132"/>
      <c r="AA154" s="132"/>
    </row>
    <row r="155" spans="1:27" ht="20.100000000000001" hidden="1" customHeight="1">
      <c r="A155" s="305">
        <v>30700019</v>
      </c>
      <c r="B155" s="406" t="s">
        <v>239</v>
      </c>
      <c r="C155" s="406" t="s">
        <v>186</v>
      </c>
      <c r="D155" s="108">
        <v>6.04</v>
      </c>
      <c r="E155" s="108"/>
      <c r="F155" s="127"/>
      <c r="G155" s="128"/>
      <c r="H155" s="401">
        <f t="shared" si="63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7"/>
        <v>0</v>
      </c>
      <c r="N155" s="130">
        <f t="shared" si="68"/>
        <v>0</v>
      </c>
      <c r="O155" s="409"/>
      <c r="P155" s="409"/>
      <c r="Q155" s="409"/>
      <c r="R155" s="409"/>
      <c r="S155" s="409"/>
      <c r="T155" s="409"/>
      <c r="U155" s="409"/>
      <c r="V155" s="132">
        <f t="shared" si="69"/>
        <v>0</v>
      </c>
      <c r="W155" s="133" t="str">
        <f t="shared" si="70"/>
        <v/>
      </c>
      <c r="X155" s="132"/>
      <c r="Y155" s="132"/>
      <c r="Z155" s="132"/>
      <c r="AA155" s="132"/>
    </row>
    <row r="156" spans="1:27" ht="20.100000000000001" hidden="1" customHeight="1">
      <c r="A156" s="305">
        <v>30601015</v>
      </c>
      <c r="B156" s="406" t="s">
        <v>443</v>
      </c>
      <c r="C156" s="406" t="s">
        <v>179</v>
      </c>
      <c r="D156" s="108">
        <v>6</v>
      </c>
      <c r="E156" s="108"/>
      <c r="F156" s="127"/>
      <c r="G156" s="128"/>
      <c r="H156" s="401">
        <f t="shared" si="63"/>
        <v>0</v>
      </c>
      <c r="I156" s="129"/>
      <c r="J156" s="130"/>
      <c r="K156" s="131"/>
      <c r="L156" s="129"/>
      <c r="M156" s="109"/>
      <c r="N156" s="130"/>
      <c r="O156" s="409"/>
      <c r="P156" s="409"/>
      <c r="Q156" s="409"/>
      <c r="R156" s="409"/>
      <c r="S156" s="409"/>
      <c r="T156" s="409"/>
      <c r="U156" s="409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305">
        <v>30101016</v>
      </c>
      <c r="B157" s="406" t="s">
        <v>443</v>
      </c>
      <c r="C157" s="406" t="s">
        <v>60</v>
      </c>
      <c r="D157" s="108">
        <v>6</v>
      </c>
      <c r="E157" s="108"/>
      <c r="F157" s="127"/>
      <c r="G157" s="128"/>
      <c r="H157" s="401">
        <f t="shared" si="63"/>
        <v>0</v>
      </c>
      <c r="I157" s="129"/>
      <c r="J157" s="130"/>
      <c r="K157" s="131"/>
      <c r="L157" s="129">
        <v>6</v>
      </c>
      <c r="M157" s="109"/>
      <c r="N157" s="130"/>
      <c r="O157" s="409"/>
      <c r="P157" s="409"/>
      <c r="Q157" s="409"/>
      <c r="R157" s="409"/>
      <c r="S157" s="409"/>
      <c r="T157" s="409"/>
      <c r="U157" s="409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299">
        <v>30700018</v>
      </c>
      <c r="B158" s="400" t="s">
        <v>240</v>
      </c>
      <c r="C158" s="126"/>
      <c r="D158" s="108">
        <v>7.3</v>
      </c>
      <c r="E158" s="108"/>
      <c r="F158" s="127"/>
      <c r="G158" s="128"/>
      <c r="H158" s="401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1">IF(ISERROR(I158-K158),"",I158-K158)</f>
        <v/>
      </c>
      <c r="N158" s="130">
        <f t="shared" ref="N158:N159" si="72">SUM(O158:U158)</f>
        <v>0</v>
      </c>
      <c r="O158" s="409"/>
      <c r="P158" s="409"/>
      <c r="Q158" s="409"/>
      <c r="R158" s="409"/>
      <c r="S158" s="409"/>
      <c r="T158" s="409"/>
      <c r="U158" s="409"/>
      <c r="V158" s="132">
        <f t="shared" ref="V158:V159" si="73">SUM(X158:AA158)</f>
        <v>0</v>
      </c>
      <c r="W158" s="133" t="str">
        <f t="shared" ref="W158:W159" si="74">IF(ISERROR(V158/G158),"",V158/G158)</f>
        <v/>
      </c>
      <c r="X158" s="132"/>
      <c r="Y158" s="132"/>
      <c r="Z158" s="132"/>
      <c r="AA158" s="132"/>
    </row>
    <row r="159" spans="1:27" ht="20.100000000000001" hidden="1" customHeight="1">
      <c r="A159" s="299">
        <v>30700010</v>
      </c>
      <c r="B159" s="400" t="s">
        <v>241</v>
      </c>
      <c r="C159" s="126"/>
      <c r="D159" s="108">
        <f>78*120/1000</f>
        <v>9.36</v>
      </c>
      <c r="E159" s="108"/>
      <c r="F159" s="127"/>
      <c r="G159" s="128"/>
      <c r="H159" s="401">
        <f t="shared" si="63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2"/>
        <v>0</v>
      </c>
      <c r="O159" s="409"/>
      <c r="P159" s="409"/>
      <c r="Q159" s="409"/>
      <c r="R159" s="409"/>
      <c r="S159" s="409"/>
      <c r="T159" s="409"/>
      <c r="U159" s="409"/>
      <c r="V159" s="132">
        <f t="shared" si="73"/>
        <v>0</v>
      </c>
      <c r="W159" s="133" t="str">
        <f t="shared" si="74"/>
        <v/>
      </c>
      <c r="X159" s="132"/>
      <c r="Y159" s="132"/>
      <c r="Z159" s="132"/>
      <c r="AA159" s="132"/>
    </row>
    <row r="160" spans="1:27" ht="20.100000000000001" hidden="1" customHeight="1">
      <c r="A160" s="299">
        <v>30700015</v>
      </c>
      <c r="B160" s="400" t="s">
        <v>242</v>
      </c>
      <c r="C160" s="126"/>
      <c r="D160" s="108">
        <v>4.5</v>
      </c>
      <c r="E160" s="108"/>
      <c r="F160" s="127"/>
      <c r="G160" s="128"/>
      <c r="H160" s="401">
        <f t="shared" si="63"/>
        <v>0</v>
      </c>
      <c r="I160" s="129"/>
      <c r="J160" s="130"/>
      <c r="K160" s="131"/>
      <c r="L160" s="129"/>
      <c r="M160" s="109"/>
      <c r="N160" s="130"/>
      <c r="O160" s="409"/>
      <c r="P160" s="409"/>
      <c r="Q160" s="409"/>
      <c r="R160" s="409"/>
      <c r="S160" s="409"/>
      <c r="T160" s="409"/>
      <c r="U160" s="409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299">
        <v>30700012</v>
      </c>
      <c r="B161" s="400" t="s">
        <v>243</v>
      </c>
      <c r="C161" s="126"/>
      <c r="D161" s="108">
        <v>4.5</v>
      </c>
      <c r="E161" s="108"/>
      <c r="F161" s="127"/>
      <c r="G161" s="128"/>
      <c r="H161" s="401">
        <f t="shared" si="63"/>
        <v>0</v>
      </c>
      <c r="I161" s="129"/>
      <c r="J161" s="130"/>
      <c r="K161" s="131"/>
      <c r="L161" s="129"/>
      <c r="M161" s="109"/>
      <c r="N161" s="130"/>
      <c r="O161" s="409"/>
      <c r="P161" s="409"/>
      <c r="Q161" s="409"/>
      <c r="R161" s="409"/>
      <c r="S161" s="409"/>
      <c r="T161" s="409"/>
      <c r="U161" s="409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306">
        <v>30101063</v>
      </c>
      <c r="B162" s="254" t="s">
        <v>436</v>
      </c>
      <c r="C162" s="126"/>
      <c r="D162" s="108">
        <v>5.03</v>
      </c>
      <c r="E162" s="108"/>
      <c r="F162" s="127"/>
      <c r="G162" s="128"/>
      <c r="H162" s="401">
        <f t="shared" si="63"/>
        <v>0</v>
      </c>
      <c r="I162" s="129"/>
      <c r="J162" s="130"/>
      <c r="K162" s="131"/>
      <c r="L162" s="129"/>
      <c r="M162" s="109"/>
      <c r="N162" s="130"/>
      <c r="O162" s="409"/>
      <c r="P162" s="409"/>
      <c r="Q162" s="409"/>
      <c r="R162" s="409"/>
      <c r="S162" s="409"/>
      <c r="T162" s="409"/>
      <c r="U162" s="409"/>
      <c r="V162" s="132"/>
      <c r="W162" s="133"/>
      <c r="X162" s="132"/>
      <c r="Y162" s="132"/>
      <c r="Z162" s="132"/>
      <c r="AA162" s="132"/>
    </row>
    <row r="163" spans="1:27" ht="20.100000000000001" hidden="1" customHeight="1">
      <c r="A163" s="578" t="s">
        <v>244</v>
      </c>
      <c r="B163" s="579"/>
      <c r="C163" s="410" t="s">
        <v>202</v>
      </c>
      <c r="D163" s="143"/>
      <c r="E163" s="143"/>
      <c r="F163" s="144"/>
      <c r="G163" s="145">
        <f>SUM(G149:G161)</f>
        <v>0</v>
      </c>
      <c r="H163" s="146">
        <f>SUM(H149:H159)</f>
        <v>0</v>
      </c>
      <c r="I163" s="146">
        <f>SUM(I149:I161)</f>
        <v>0</v>
      </c>
      <c r="J163" s="130" t="str">
        <f t="array" ref="J163">IF(ISERROR(G163/I163),"",G163/I163)</f>
        <v/>
      </c>
      <c r="K163" s="146">
        <f>SUM(K149:K159)</f>
        <v>0</v>
      </c>
      <c r="L163" s="147"/>
      <c r="M163" s="150">
        <f t="shared" ref="M163:V163" si="75">SUM(M149:M159)</f>
        <v>0</v>
      </c>
      <c r="N163" s="146">
        <f t="shared" si="75"/>
        <v>0</v>
      </c>
      <c r="O163" s="148">
        <f t="shared" si="75"/>
        <v>0</v>
      </c>
      <c r="P163" s="148">
        <f t="shared" si="75"/>
        <v>0</v>
      </c>
      <c r="Q163" s="148">
        <f t="shared" si="75"/>
        <v>0</v>
      </c>
      <c r="R163" s="148">
        <f t="shared" si="75"/>
        <v>0</v>
      </c>
      <c r="S163" s="148">
        <f t="shared" si="75"/>
        <v>0</v>
      </c>
      <c r="T163" s="148">
        <f t="shared" si="75"/>
        <v>0</v>
      </c>
      <c r="U163" s="148">
        <f t="shared" si="75"/>
        <v>0</v>
      </c>
      <c r="V163" s="149">
        <f t="shared" si="75"/>
        <v>0</v>
      </c>
      <c r="W163" s="133" t="str">
        <f>IF(ISERROR(V163/G163),"",V163/G163)</f>
        <v/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580" t="s">
        <v>246</v>
      </c>
      <c r="B164" s="581"/>
      <c r="C164" s="581"/>
      <c r="D164" s="581"/>
      <c r="E164" s="581"/>
      <c r="F164" s="582"/>
      <c r="G164" s="154">
        <f>SUM(G28,G86,G121,G137,G148,G163)</f>
        <v>0</v>
      </c>
      <c r="H164" s="154">
        <f>SUM(H28,H86,H121,H137,H148,H163)</f>
        <v>0</v>
      </c>
      <c r="I164" s="154">
        <f>SUM(I28,I86,I121,I137,I148,I163)</f>
        <v>0</v>
      </c>
      <c r="J164" s="155" t="str">
        <f t="array" ref="J164">IF(ISERROR(G164/I164),"",G164/I164)</f>
        <v/>
      </c>
      <c r="K164" s="154">
        <f>SUM(K28,K86,K121,K137,K148,K163)</f>
        <v>0</v>
      </c>
      <c r="L164" s="155" t="str">
        <f>IF(ISERROR(G164/K164),"",G164/K164)</f>
        <v/>
      </c>
      <c r="M164" s="154">
        <f t="shared" ref="M164:AA164" si="76">SUM(M28,M86,M121,M137,M148,M163)</f>
        <v>0</v>
      </c>
      <c r="N164" s="154">
        <f t="shared" si="76"/>
        <v>0</v>
      </c>
      <c r="O164" s="154">
        <f t="shared" si="76"/>
        <v>0</v>
      </c>
      <c r="P164" s="154">
        <f t="shared" si="76"/>
        <v>0</v>
      </c>
      <c r="Q164" s="154">
        <f t="shared" si="76"/>
        <v>0</v>
      </c>
      <c r="R164" s="154">
        <f t="shared" si="76"/>
        <v>0</v>
      </c>
      <c r="S164" s="154">
        <f t="shared" si="76"/>
        <v>0</v>
      </c>
      <c r="T164" s="154">
        <f t="shared" si="76"/>
        <v>0</v>
      </c>
      <c r="U164" s="154">
        <f t="shared" si="76"/>
        <v>0</v>
      </c>
      <c r="V164" s="154">
        <f t="shared" si="76"/>
        <v>0</v>
      </c>
      <c r="W164" s="154">
        <f t="shared" si="76"/>
        <v>0</v>
      </c>
      <c r="X164" s="154">
        <f t="shared" si="76"/>
        <v>0</v>
      </c>
      <c r="Y164" s="154">
        <f t="shared" si="76"/>
        <v>0</v>
      </c>
      <c r="Z164" s="154">
        <f t="shared" si="76"/>
        <v>0</v>
      </c>
      <c r="AA164" s="154">
        <f t="shared" si="76"/>
        <v>0</v>
      </c>
    </row>
    <row r="165" spans="1:27" ht="20.100000000000001" customHeight="1">
      <c r="A165" s="583" t="s">
        <v>476</v>
      </c>
      <c r="B165" s="403" t="s">
        <v>247</v>
      </c>
      <c r="C165" s="586" t="s">
        <v>248</v>
      </c>
      <c r="D165" s="587"/>
      <c r="E165" s="588" t="s">
        <v>249</v>
      </c>
      <c r="F165" s="588"/>
      <c r="G165" s="591" t="s">
        <v>250</v>
      </c>
      <c r="H165" s="591"/>
      <c r="I165" s="588" t="s">
        <v>251</v>
      </c>
      <c r="J165" s="588"/>
      <c r="K165" s="588" t="s">
        <v>252</v>
      </c>
      <c r="L165" s="588"/>
      <c r="M165" s="588" t="s">
        <v>253</v>
      </c>
      <c r="N165" s="588"/>
      <c r="O165" s="588" t="s">
        <v>254</v>
      </c>
      <c r="P165" s="591" t="s">
        <v>255</v>
      </c>
      <c r="Q165" s="591"/>
      <c r="R165" s="591" t="s">
        <v>252</v>
      </c>
      <c r="S165" s="591"/>
      <c r="T165" s="591" t="s">
        <v>256</v>
      </c>
      <c r="U165" s="591"/>
      <c r="V165" s="591" t="s">
        <v>257</v>
      </c>
      <c r="W165" s="591"/>
      <c r="X165" s="591" t="s">
        <v>252</v>
      </c>
      <c r="Y165" s="591"/>
      <c r="Z165" s="591" t="s">
        <v>256</v>
      </c>
      <c r="AA165" s="591"/>
    </row>
    <row r="166" spans="1:27" ht="20.100000000000001" customHeight="1">
      <c r="A166" s="584"/>
      <c r="B166" s="403" t="s">
        <v>258</v>
      </c>
      <c r="C166" s="586">
        <v>1</v>
      </c>
      <c r="D166" s="587"/>
      <c r="E166" s="590">
        <f>C166*11</f>
        <v>11</v>
      </c>
      <c r="F166" s="590"/>
      <c r="G166" s="591">
        <v>1</v>
      </c>
      <c r="H166" s="591"/>
      <c r="I166" s="590">
        <f>G166*11</f>
        <v>11</v>
      </c>
      <c r="J166" s="590"/>
      <c r="K166" s="590">
        <f>E166-I166</f>
        <v>0</v>
      </c>
      <c r="L166" s="590"/>
      <c r="M166" s="592">
        <f>IF(ISERROR(K166/E166),"",K166/E166)</f>
        <v>0</v>
      </c>
      <c r="N166" s="592"/>
      <c r="O166" s="588"/>
      <c r="P166" s="591" t="s">
        <v>201</v>
      </c>
      <c r="Q166" s="591"/>
      <c r="R166" s="593">
        <f>SUM(O28:U28)</f>
        <v>0</v>
      </c>
      <c r="S166" s="593"/>
      <c r="T166" s="594" t="str">
        <f t="array" ref="T166">IF(ISERROR(R166/R173),"",R166/R173)</f>
        <v/>
      </c>
      <c r="U166" s="594"/>
      <c r="V166" s="591" t="s">
        <v>259</v>
      </c>
      <c r="W166" s="591"/>
      <c r="X166" s="595">
        <f>SUM(P27,P85,P120,P136,P147,P161)</f>
        <v>0</v>
      </c>
      <c r="Y166" s="595"/>
      <c r="Z166" s="594" t="str">
        <f t="array" ref="Z166">IF(ISERROR(X166/X173),"",X166/X173)</f>
        <v/>
      </c>
      <c r="AA166" s="594"/>
    </row>
    <row r="167" spans="1:27" ht="20.100000000000001" customHeight="1">
      <c r="A167" s="584"/>
      <c r="B167" s="403" t="s">
        <v>260</v>
      </c>
      <c r="C167" s="586">
        <v>1</v>
      </c>
      <c r="D167" s="587"/>
      <c r="E167" s="590">
        <f>C167*11</f>
        <v>11</v>
      </c>
      <c r="F167" s="590"/>
      <c r="G167" s="591">
        <v>1</v>
      </c>
      <c r="H167" s="591"/>
      <c r="I167" s="590">
        <f>G167*11</f>
        <v>11</v>
      </c>
      <c r="J167" s="590"/>
      <c r="K167" s="590">
        <f>E167-I167</f>
        <v>0</v>
      </c>
      <c r="L167" s="590"/>
      <c r="M167" s="592">
        <f>IF(ISERROR(K167/E167),"",K167/E167)</f>
        <v>0</v>
      </c>
      <c r="N167" s="592"/>
      <c r="O167" s="588"/>
      <c r="P167" s="591" t="s">
        <v>216</v>
      </c>
      <c r="Q167" s="591"/>
      <c r="R167" s="593">
        <f>SUM(O86:U86)</f>
        <v>0</v>
      </c>
      <c r="S167" s="593"/>
      <c r="T167" s="594" t="str">
        <f>IF(ISERROR(R167/R173),"",R167/R173)</f>
        <v/>
      </c>
      <c r="U167" s="594"/>
      <c r="V167" s="591" t="s">
        <v>261</v>
      </c>
      <c r="W167" s="591"/>
      <c r="X167" s="595">
        <f>SUM(P28,P86,P121,P137,P148,P163)</f>
        <v>0</v>
      </c>
      <c r="Y167" s="595"/>
      <c r="Z167" s="594" t="str">
        <f>IF(ISERROR(X167/X173),"",X167/X173)</f>
        <v/>
      </c>
      <c r="AA167" s="594"/>
    </row>
    <row r="168" spans="1:27" ht="20.100000000000001" customHeight="1">
      <c r="A168" s="584"/>
      <c r="B168" s="403" t="s">
        <v>262</v>
      </c>
      <c r="C168" s="586">
        <v>1</v>
      </c>
      <c r="D168" s="587"/>
      <c r="E168" s="590">
        <f>C168*8</f>
        <v>8</v>
      </c>
      <c r="F168" s="590"/>
      <c r="G168" s="591">
        <v>1</v>
      </c>
      <c r="H168" s="591"/>
      <c r="I168" s="590">
        <f>G168*8</f>
        <v>8</v>
      </c>
      <c r="J168" s="590"/>
      <c r="K168" s="590">
        <f>E168-I168</f>
        <v>0</v>
      </c>
      <c r="L168" s="590"/>
      <c r="M168" s="592">
        <f>IF(ISERROR(K168/E168),"",K168/E168)</f>
        <v>0</v>
      </c>
      <c r="N168" s="592"/>
      <c r="O168" s="588"/>
      <c r="P168" s="591" t="s">
        <v>224</v>
      </c>
      <c r="Q168" s="591"/>
      <c r="R168" s="593">
        <f>SUM(O121:U121)</f>
        <v>0</v>
      </c>
      <c r="S168" s="593"/>
      <c r="T168" s="594" t="str">
        <f>IF(ISERROR(R168/R173),"",R168/R173)</f>
        <v/>
      </c>
      <c r="U168" s="594"/>
      <c r="V168" s="591" t="s">
        <v>263</v>
      </c>
      <c r="W168" s="591"/>
      <c r="X168" s="595">
        <f>SUM(P29,P87,P122,P138,P149,P164)</f>
        <v>0</v>
      </c>
      <c r="Y168" s="595"/>
      <c r="Z168" s="594" t="str">
        <f>IF(ISERROR(X168/X173),"",X168/X173)</f>
        <v/>
      </c>
      <c r="AA168" s="594"/>
    </row>
    <row r="169" spans="1:27" ht="20.100000000000001" customHeight="1">
      <c r="A169" s="584"/>
      <c r="B169" s="403" t="s">
        <v>264</v>
      </c>
      <c r="C169" s="586">
        <v>1</v>
      </c>
      <c r="D169" s="587"/>
      <c r="E169" s="590">
        <f>C169*11</f>
        <v>11</v>
      </c>
      <c r="F169" s="590"/>
      <c r="G169" s="591">
        <v>1</v>
      </c>
      <c r="H169" s="591"/>
      <c r="I169" s="590">
        <f>G169*11</f>
        <v>11</v>
      </c>
      <c r="J169" s="590"/>
      <c r="K169" s="590">
        <f>E169-I169</f>
        <v>0</v>
      </c>
      <c r="L169" s="590"/>
      <c r="M169" s="592">
        <f>IF(ISERROR(K169/E169),"",K169/E169)</f>
        <v>0</v>
      </c>
      <c r="N169" s="592"/>
      <c r="O169" s="588"/>
      <c r="P169" s="591" t="s">
        <v>231</v>
      </c>
      <c r="Q169" s="591"/>
      <c r="R169" s="593">
        <f>SUM(O137:U137)</f>
        <v>0</v>
      </c>
      <c r="S169" s="593"/>
      <c r="T169" s="594" t="str">
        <f>IF(ISERROR(R169/R173),"",R169/R173)</f>
        <v/>
      </c>
      <c r="U169" s="594"/>
      <c r="V169" s="591" t="s">
        <v>265</v>
      </c>
      <c r="W169" s="591"/>
      <c r="X169" s="595">
        <f>SUM(P31,P88,P123,P139,P150,P165)</f>
        <v>0</v>
      </c>
      <c r="Y169" s="595"/>
      <c r="Z169" s="594" t="str">
        <f>IF(ISERROR(X169/X173),"",X169/X173)</f>
        <v/>
      </c>
      <c r="AA169" s="594"/>
    </row>
    <row r="170" spans="1:27" ht="20.100000000000001" customHeight="1">
      <c r="A170" s="585"/>
      <c r="B170" s="403" t="s">
        <v>266</v>
      </c>
      <c r="C170" s="596">
        <f>SUM(C166:D169)</f>
        <v>4</v>
      </c>
      <c r="D170" s="597"/>
      <c r="E170" s="590">
        <f>SUM(E166:F169)</f>
        <v>41</v>
      </c>
      <c r="F170" s="590"/>
      <c r="G170" s="591">
        <f>SUM(G166:H169)</f>
        <v>4</v>
      </c>
      <c r="H170" s="591"/>
      <c r="I170" s="590">
        <f>SUM(I166:J169)</f>
        <v>41</v>
      </c>
      <c r="J170" s="590"/>
      <c r="K170" s="590">
        <f>SUM(K166:L169)</f>
        <v>0</v>
      </c>
      <c r="L170" s="590"/>
      <c r="M170" s="592">
        <f>IF(ISERROR(K170/E170),"",K170/E170)</f>
        <v>0</v>
      </c>
      <c r="N170" s="592"/>
      <c r="O170" s="588"/>
      <c r="P170" s="591" t="s">
        <v>234</v>
      </c>
      <c r="Q170" s="591"/>
      <c r="R170" s="593">
        <f>SUM(O148:U148)</f>
        <v>0</v>
      </c>
      <c r="S170" s="593"/>
      <c r="T170" s="594" t="str">
        <f>IF(ISERROR(R170/R173),"",R170/R173)</f>
        <v/>
      </c>
      <c r="U170" s="594"/>
      <c r="V170" s="591" t="s">
        <v>267</v>
      </c>
      <c r="W170" s="591"/>
      <c r="X170" s="595">
        <f>SUM(P32,P89,P124,P140,P151,P166)</f>
        <v>0</v>
      </c>
      <c r="Y170" s="595"/>
      <c r="Z170" s="594" t="str">
        <f>IF(ISERROR(X170/X173),"",X170/X173)</f>
        <v/>
      </c>
      <c r="AA170" s="594"/>
    </row>
    <row r="171" spans="1:27" ht="20.100000000000001" customHeight="1">
      <c r="A171" s="307" t="s">
        <v>477</v>
      </c>
      <c r="B171" s="403">
        <f>G164</f>
        <v>0</v>
      </c>
      <c r="C171" s="598" t="s">
        <v>269</v>
      </c>
      <c r="D171" s="599"/>
      <c r="E171" s="591">
        <f>H164</f>
        <v>0</v>
      </c>
      <c r="F171" s="591"/>
      <c r="G171" s="591" t="s">
        <v>270</v>
      </c>
      <c r="H171" s="591"/>
      <c r="I171" s="600" t="str">
        <f>L164</f>
        <v/>
      </c>
      <c r="J171" s="600"/>
      <c r="K171" s="588" t="s">
        <v>271</v>
      </c>
      <c r="L171" s="588"/>
      <c r="M171" s="600" t="str">
        <f>J164</f>
        <v/>
      </c>
      <c r="N171" s="600"/>
      <c r="O171" s="588"/>
      <c r="P171" s="591" t="s">
        <v>244</v>
      </c>
      <c r="Q171" s="591"/>
      <c r="R171" s="593">
        <f>SUM(O163:U163)</f>
        <v>0</v>
      </c>
      <c r="S171" s="593"/>
      <c r="T171" s="594" t="str">
        <f>IF(ISERROR(R171/R173),"",R171/R173)</f>
        <v/>
      </c>
      <c r="U171" s="594"/>
      <c r="V171" s="591" t="s">
        <v>272</v>
      </c>
      <c r="W171" s="591"/>
      <c r="X171" s="595">
        <f>SUM(P33,P90,P125,P141,P152,P167)</f>
        <v>0</v>
      </c>
      <c r="Y171" s="595"/>
      <c r="Z171" s="594" t="str">
        <f>IF(ISERROR(X171/X173),"",X171/X173)</f>
        <v/>
      </c>
      <c r="AA171" s="594"/>
    </row>
    <row r="172" spans="1:27" ht="20.100000000000001" customHeight="1">
      <c r="A172" s="308" t="s">
        <v>478</v>
      </c>
      <c r="B172" s="403">
        <f>I164+C170</f>
        <v>4</v>
      </c>
      <c r="C172" s="601" t="s">
        <v>251</v>
      </c>
      <c r="D172" s="602"/>
      <c r="E172" s="603">
        <f>K164+I170</f>
        <v>41</v>
      </c>
      <c r="F172" s="603"/>
      <c r="G172" s="591" t="s">
        <v>274</v>
      </c>
      <c r="H172" s="591"/>
      <c r="I172" s="600">
        <f>B172-E172</f>
        <v>-37</v>
      </c>
      <c r="J172" s="600"/>
      <c r="K172" s="588" t="s">
        <v>275</v>
      </c>
      <c r="L172" s="588"/>
      <c r="M172" s="592">
        <f>IF(ISERROR(I172/E172),"",I172/E172)</f>
        <v>-0.90243902439024393</v>
      </c>
      <c r="N172" s="592"/>
      <c r="O172" s="588"/>
      <c r="P172" s="591" t="s">
        <v>245</v>
      </c>
      <c r="Q172" s="591"/>
      <c r="R172" s="593"/>
      <c r="S172" s="593"/>
      <c r="T172" s="594" t="str">
        <f>IF(ISERROR(R172/R173),"",R172/R173)</f>
        <v/>
      </c>
      <c r="U172" s="594"/>
      <c r="V172" s="591" t="s">
        <v>264</v>
      </c>
      <c r="W172" s="591"/>
      <c r="X172" s="595"/>
      <c r="Y172" s="595"/>
      <c r="Z172" s="594" t="str">
        <f>IF(ISERROR(X172/X173),"",X172/X173)</f>
        <v/>
      </c>
      <c r="AA172" s="594"/>
    </row>
    <row r="173" spans="1:27" ht="20.100000000000001" customHeight="1">
      <c r="A173" s="308" t="s">
        <v>479</v>
      </c>
      <c r="B173" s="403">
        <f>N164</f>
        <v>0</v>
      </c>
      <c r="C173" s="601" t="s">
        <v>277</v>
      </c>
      <c r="D173" s="602"/>
      <c r="E173" s="594">
        <f>IF(ISERROR(B173/B172),"",B173/B172)</f>
        <v>0</v>
      </c>
      <c r="F173" s="594"/>
      <c r="G173" s="591" t="s">
        <v>278</v>
      </c>
      <c r="H173" s="591"/>
      <c r="I173" s="588">
        <f>V164</f>
        <v>0</v>
      </c>
      <c r="J173" s="588"/>
      <c r="K173" s="588" t="s">
        <v>279</v>
      </c>
      <c r="L173" s="588"/>
      <c r="M173" s="592" t="str">
        <f t="array" ref="M173">IF(ISERROR(I173/B171),"",I173/B171)</f>
        <v/>
      </c>
      <c r="N173" s="592"/>
      <c r="O173" s="588"/>
      <c r="P173" s="591" t="s">
        <v>266</v>
      </c>
      <c r="Q173" s="591"/>
      <c r="R173" s="593">
        <f>SUM(R166:S172)</f>
        <v>0</v>
      </c>
      <c r="S173" s="593"/>
      <c r="T173" s="594"/>
      <c r="U173" s="594"/>
      <c r="V173" s="591" t="s">
        <v>266</v>
      </c>
      <c r="W173" s="591"/>
      <c r="X173" s="595">
        <f>SUM(X166:Y172)</f>
        <v>0</v>
      </c>
      <c r="Y173" s="595"/>
      <c r="Z173" s="594"/>
      <c r="AA173" s="594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4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604" t="s">
        <v>480</v>
      </c>
      <c r="B175" s="607" t="s">
        <v>280</v>
      </c>
      <c r="C175" s="607" t="s">
        <v>281</v>
      </c>
      <c r="D175" s="607" t="s">
        <v>282</v>
      </c>
      <c r="E175" s="610" t="s">
        <v>283</v>
      </c>
      <c r="F175" s="623" t="s">
        <v>284</v>
      </c>
      <c r="G175" s="588" t="s">
        <v>285</v>
      </c>
      <c r="H175" s="588"/>
      <c r="I175" s="607" t="s">
        <v>286</v>
      </c>
      <c r="J175" s="613" t="s">
        <v>271</v>
      </c>
      <c r="K175" s="616" t="s">
        <v>287</v>
      </c>
      <c r="L175" s="607" t="s">
        <v>270</v>
      </c>
      <c r="M175" s="619" t="s">
        <v>288</v>
      </c>
      <c r="N175" s="621" t="s">
        <v>252</v>
      </c>
      <c r="O175" s="588" t="s">
        <v>289</v>
      </c>
      <c r="P175" s="588"/>
      <c r="Q175" s="588"/>
      <c r="R175" s="588"/>
      <c r="S175" s="588"/>
      <c r="T175" s="588"/>
      <c r="U175" s="588"/>
      <c r="V175" s="588" t="s">
        <v>290</v>
      </c>
      <c r="W175" s="621" t="s">
        <v>291</v>
      </c>
      <c r="X175" s="588" t="s">
        <v>292</v>
      </c>
      <c r="Y175" s="588"/>
      <c r="Z175" s="588"/>
      <c r="AA175" s="588"/>
    </row>
    <row r="176" spans="1:27" ht="21.95" customHeight="1">
      <c r="A176" s="605"/>
      <c r="B176" s="608"/>
      <c r="C176" s="608"/>
      <c r="D176" s="608"/>
      <c r="E176" s="611"/>
      <c r="F176" s="624"/>
      <c r="G176" s="588"/>
      <c r="H176" s="588"/>
      <c r="I176" s="608"/>
      <c r="J176" s="614"/>
      <c r="K176" s="617"/>
      <c r="L176" s="608"/>
      <c r="M176" s="620"/>
      <c r="N176" s="621"/>
      <c r="O176" s="588" t="s">
        <v>259</v>
      </c>
      <c r="P176" s="588" t="s">
        <v>261</v>
      </c>
      <c r="Q176" s="588" t="s">
        <v>263</v>
      </c>
      <c r="R176" s="622" t="s">
        <v>265</v>
      </c>
      <c r="S176" s="591" t="s">
        <v>267</v>
      </c>
      <c r="T176" s="588" t="s">
        <v>272</v>
      </c>
      <c r="U176" s="588" t="s">
        <v>264</v>
      </c>
      <c r="V176" s="588"/>
      <c r="W176" s="621"/>
      <c r="X176" s="588" t="s">
        <v>293</v>
      </c>
      <c r="Y176" s="588" t="s">
        <v>294</v>
      </c>
      <c r="Z176" s="588" t="s">
        <v>295</v>
      </c>
      <c r="AA176" s="588" t="s">
        <v>264</v>
      </c>
    </row>
    <row r="177" spans="1:27" ht="21.95" customHeight="1">
      <c r="A177" s="606"/>
      <c r="B177" s="609"/>
      <c r="C177" s="609"/>
      <c r="D177" s="609"/>
      <c r="E177" s="612"/>
      <c r="F177" s="625"/>
      <c r="G177" s="348" t="s">
        <v>538</v>
      </c>
      <c r="H177" s="406" t="s">
        <v>297</v>
      </c>
      <c r="I177" s="609"/>
      <c r="J177" s="615"/>
      <c r="K177" s="618"/>
      <c r="L177" s="609"/>
      <c r="M177" s="620"/>
      <c r="N177" s="621"/>
      <c r="O177" s="588"/>
      <c r="P177" s="588"/>
      <c r="Q177" s="588"/>
      <c r="R177" s="622"/>
      <c r="S177" s="591"/>
      <c r="T177" s="588"/>
      <c r="U177" s="588"/>
      <c r="V177" s="588"/>
      <c r="W177" s="621"/>
      <c r="X177" s="588"/>
      <c r="Y177" s="588"/>
      <c r="Z177" s="588"/>
      <c r="AA177" s="588"/>
    </row>
    <row r="178" spans="1:27" ht="20.100000000000001" hidden="1" customHeight="1">
      <c r="A178" s="299">
        <v>30100030</v>
      </c>
      <c r="B178" s="400" t="s">
        <v>178</v>
      </c>
      <c r="C178" s="126" t="s">
        <v>179</v>
      </c>
      <c r="D178" s="108">
        <v>5.03</v>
      </c>
      <c r="E178" s="108"/>
      <c r="F178" s="127"/>
      <c r="G178" s="128"/>
      <c r="H178" s="401">
        <f t="shared" ref="H178:H187" si="77">D178*G178</f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16</v>
      </c>
      <c r="M178" s="109">
        <f t="shared" ref="M178:M187" si="78">IF(ISERROR(I178-K178),"",I178-K178)</f>
        <v>0</v>
      </c>
      <c r="N178" s="130">
        <f>SUM(O178:U178)</f>
        <v>0</v>
      </c>
      <c r="O178" s="409"/>
      <c r="P178" s="409"/>
      <c r="Q178" s="409"/>
      <c r="R178" s="409"/>
      <c r="S178" s="409"/>
      <c r="T178" s="409"/>
      <c r="U178" s="409"/>
      <c r="V178" s="132">
        <f t="shared" ref="V178:V183" si="79">SUM(X178:AA178)</f>
        <v>0</v>
      </c>
      <c r="W178" s="133" t="str">
        <f t="shared" ref="W178:W183" si="80">IF(ISERROR(V178/G178),"",V178/G178)</f>
        <v/>
      </c>
      <c r="X178" s="132"/>
      <c r="Y178" s="132"/>
      <c r="Z178" s="132"/>
      <c r="AA178" s="132"/>
    </row>
    <row r="179" spans="1:27" ht="20.100000000000001" hidden="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28"/>
      <c r="H179" s="401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ref="N179:N187" si="81">SUM(O179:U179)</f>
        <v>0</v>
      </c>
      <c r="O179" s="409"/>
      <c r="P179" s="409"/>
      <c r="Q179" s="409"/>
      <c r="R179" s="409"/>
      <c r="S179" s="409"/>
      <c r="T179" s="409"/>
      <c r="U179" s="409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28"/>
      <c r="H180" s="401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409"/>
      <c r="P180" s="409"/>
      <c r="Q180" s="409"/>
      <c r="R180" s="409"/>
      <c r="S180" s="409"/>
      <c r="T180" s="409"/>
      <c r="U180" s="409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/>
      <c r="G181" s="128"/>
      <c r="H181" s="401">
        <f t="shared" si="77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19</v>
      </c>
      <c r="M181" s="109">
        <f t="shared" si="78"/>
        <v>0</v>
      </c>
      <c r="N181" s="130">
        <f t="shared" si="81"/>
        <v>0</v>
      </c>
      <c r="O181" s="409"/>
      <c r="P181" s="409"/>
      <c r="Q181" s="409"/>
      <c r="R181" s="409"/>
      <c r="S181" s="409"/>
      <c r="T181" s="409"/>
      <c r="U181" s="409"/>
      <c r="V181" s="132">
        <f t="shared" si="79"/>
        <v>0</v>
      </c>
      <c r="W181" s="133" t="str">
        <f t="shared" si="80"/>
        <v/>
      </c>
      <c r="X181" s="132"/>
      <c r="Y181" s="132"/>
      <c r="Z181" s="132"/>
      <c r="AA181" s="132"/>
    </row>
    <row r="182" spans="1:27" ht="20.100000000000001" hidden="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/>
      <c r="G182" s="128"/>
      <c r="H182" s="401">
        <f t="shared" si="77"/>
        <v>0</v>
      </c>
      <c r="I182" s="129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20</v>
      </c>
      <c r="M182" s="109">
        <f t="shared" si="78"/>
        <v>0</v>
      </c>
      <c r="N182" s="130">
        <f t="shared" si="81"/>
        <v>0</v>
      </c>
      <c r="O182" s="409"/>
      <c r="P182" s="409"/>
      <c r="Q182" s="409"/>
      <c r="R182" s="409"/>
      <c r="S182" s="409"/>
      <c r="T182" s="409"/>
      <c r="U182" s="409"/>
      <c r="V182" s="132">
        <f t="shared" si="79"/>
        <v>0</v>
      </c>
      <c r="W182" s="133" t="str">
        <f t="shared" si="80"/>
        <v/>
      </c>
      <c r="X182" s="132"/>
      <c r="Y182" s="132"/>
      <c r="Z182" s="132"/>
      <c r="AA182" s="132"/>
    </row>
    <row r="183" spans="1:27" ht="20.100000000000001" hidden="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58"/>
      <c r="G183" s="137"/>
      <c r="H183" s="401">
        <f t="shared" si="77"/>
        <v>0</v>
      </c>
      <c r="I183" s="138"/>
      <c r="J183" s="130" t="str">
        <f t="array" ref="J183">IF(ISERROR(G183/I183),"",G183/I183)</f>
        <v/>
      </c>
      <c r="K183" s="131">
        <f t="array" ref="K183">IF(ISERROR(G183/L183),"",G183/L183)</f>
        <v>0</v>
      </c>
      <c r="L183" s="129">
        <v>19</v>
      </c>
      <c r="M183" s="109">
        <f t="shared" si="78"/>
        <v>0</v>
      </c>
      <c r="N183" s="130">
        <f t="shared" si="81"/>
        <v>0</v>
      </c>
      <c r="O183" s="409"/>
      <c r="P183" s="409"/>
      <c r="Q183" s="409"/>
      <c r="R183" s="409"/>
      <c r="S183" s="409"/>
      <c r="T183" s="409"/>
      <c r="U183" s="409"/>
      <c r="V183" s="132">
        <f t="shared" si="79"/>
        <v>0</v>
      </c>
      <c r="W183" s="133" t="str">
        <f t="shared" si="80"/>
        <v/>
      </c>
      <c r="X183" s="132"/>
      <c r="Y183" s="132"/>
      <c r="Z183" s="132"/>
      <c r="AA183" s="132"/>
    </row>
    <row r="184" spans="1:27" ht="20.100000000000001" hidden="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/>
      <c r="G184" s="128"/>
      <c r="H184" s="401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409"/>
      <c r="P184" s="409"/>
      <c r="Q184" s="409"/>
      <c r="R184" s="409"/>
      <c r="S184" s="409"/>
      <c r="T184" s="409"/>
      <c r="U184" s="409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28"/>
      <c r="H185" s="401">
        <f t="shared" si="77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78"/>
        <v>0</v>
      </c>
      <c r="N185" s="130">
        <f t="shared" si="81"/>
        <v>0</v>
      </c>
      <c r="O185" s="409"/>
      <c r="P185" s="409"/>
      <c r="Q185" s="409"/>
      <c r="R185" s="409"/>
      <c r="S185" s="409"/>
      <c r="T185" s="409"/>
      <c r="U185" s="409"/>
      <c r="V185" s="132"/>
      <c r="W185" s="133"/>
      <c r="X185" s="132"/>
      <c r="Y185" s="132"/>
      <c r="Z185" s="132"/>
      <c r="AA185" s="132"/>
    </row>
    <row r="186" spans="1:27" ht="20.100000000000001" hidden="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/>
      <c r="G186" s="128"/>
      <c r="H186" s="401">
        <f t="shared" si="77"/>
        <v>0</v>
      </c>
      <c r="I186" s="401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409"/>
      <c r="P186" s="409"/>
      <c r="Q186" s="409"/>
      <c r="R186" s="409"/>
      <c r="S186" s="409"/>
      <c r="T186" s="409"/>
      <c r="U186" s="409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/>
      <c r="G187" s="128"/>
      <c r="H187" s="401">
        <f t="shared" si="77"/>
        <v>0</v>
      </c>
      <c r="I187" s="401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 t="shared" si="78"/>
        <v>0</v>
      </c>
      <c r="N187" s="130">
        <f t="shared" si="81"/>
        <v>0</v>
      </c>
      <c r="O187" s="409"/>
      <c r="P187" s="409"/>
      <c r="Q187" s="409"/>
      <c r="R187" s="409"/>
      <c r="S187" s="409"/>
      <c r="T187" s="409"/>
      <c r="U187" s="409"/>
      <c r="V187" s="132">
        <f>SUM(X187:AA187)</f>
        <v>0</v>
      </c>
      <c r="W187" s="133" t="str">
        <f>IF(ISERROR(V187/G187),"",V187/G187)</f>
        <v/>
      </c>
      <c r="X187" s="132"/>
      <c r="Y187" s="132"/>
      <c r="Z187" s="132"/>
      <c r="AA187" s="132"/>
    </row>
    <row r="188" spans="1:27" ht="20.100000000000001" hidden="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28"/>
      <c r="H188" s="401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409"/>
      <c r="P188" s="409"/>
      <c r="Q188" s="409"/>
      <c r="R188" s="409"/>
      <c r="S188" s="409"/>
      <c r="T188" s="409"/>
      <c r="U188" s="409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28"/>
      <c r="H189" s="401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409"/>
      <c r="P189" s="409"/>
      <c r="Q189" s="409"/>
      <c r="R189" s="409"/>
      <c r="S189" s="409"/>
      <c r="T189" s="409"/>
      <c r="U189" s="409"/>
      <c r="V189" s="132"/>
      <c r="W189" s="133"/>
      <c r="X189" s="132"/>
      <c r="Y189" s="132"/>
      <c r="Z189" s="132"/>
      <c r="AA189" s="132"/>
    </row>
    <row r="190" spans="1:27" ht="20.10000000000000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E190" s="108"/>
      <c r="F190" s="127">
        <v>42736</v>
      </c>
      <c r="G190" s="128">
        <f>90*3+59+90</f>
        <v>419</v>
      </c>
      <c r="H190" s="401">
        <f t="shared" ref="H190:H198" si="82">D190*G190</f>
        <v>2120.14</v>
      </c>
      <c r="I190" s="129">
        <f>7*5</f>
        <v>35</v>
      </c>
      <c r="J190" s="130">
        <f t="array" ref="J190">IF(ISERROR(G190/I190),"",G190/I190)</f>
        <v>11.971428571428572</v>
      </c>
      <c r="K190" s="131">
        <f t="array" ref="K190">IF(ISERROR(G190/L190),"",G190/L190)</f>
        <v>22.05263157894737</v>
      </c>
      <c r="L190" s="129">
        <v>19</v>
      </c>
      <c r="M190" s="109">
        <f t="shared" ref="M190:M198" si="83">IF(ISERROR(I190-K190),"",I190-K190)</f>
        <v>12.94736842105263</v>
      </c>
      <c r="N190" s="130">
        <f t="shared" ref="N190:N192" si="84">SUM(O190:U190)</f>
        <v>0</v>
      </c>
      <c r="O190" s="409"/>
      <c r="P190" s="409"/>
      <c r="Q190" s="409"/>
      <c r="R190" s="409"/>
      <c r="S190" s="409"/>
      <c r="T190" s="409"/>
      <c r="U190" s="409"/>
      <c r="V190" s="132">
        <f t="shared" ref="V190:V192" si="85">SUM(X190:AA190)</f>
        <v>0</v>
      </c>
      <c r="W190" s="133">
        <f t="shared" ref="W190:W192" si="86">IF(ISERROR(V190/G190),"",V190/G190)</f>
        <v>0</v>
      </c>
      <c r="X190" s="132"/>
      <c r="Y190" s="132"/>
      <c r="Z190" s="132"/>
      <c r="AA190" s="132"/>
    </row>
    <row r="191" spans="1:27" ht="20.100000000000001" hidden="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27"/>
      <c r="G191" s="128"/>
      <c r="H191" s="401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409"/>
      <c r="P191" s="409"/>
      <c r="Q191" s="409"/>
      <c r="R191" s="409"/>
      <c r="S191" s="409"/>
      <c r="T191" s="409"/>
      <c r="U191" s="409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hidden="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/>
      <c r="G192" s="128"/>
      <c r="H192" s="401">
        <f t="shared" si="82"/>
        <v>0</v>
      </c>
      <c r="I192" s="129"/>
      <c r="J192" s="130" t="str">
        <f t="array" ref="J192">IF(ISERROR(G192/I192),"",G192/I192)</f>
        <v/>
      </c>
      <c r="K192" s="131">
        <f t="array" ref="K192">IF(ISERROR(G192/L192),"",G192/L192)</f>
        <v>0</v>
      </c>
      <c r="L192" s="129">
        <v>23</v>
      </c>
      <c r="M192" s="109">
        <f t="shared" si="83"/>
        <v>0</v>
      </c>
      <c r="N192" s="130">
        <f t="shared" si="84"/>
        <v>0</v>
      </c>
      <c r="O192" s="409"/>
      <c r="P192" s="409"/>
      <c r="Q192" s="409"/>
      <c r="R192" s="409"/>
      <c r="S192" s="409"/>
      <c r="T192" s="409"/>
      <c r="U192" s="409"/>
      <c r="V192" s="132">
        <f t="shared" si="85"/>
        <v>0</v>
      </c>
      <c r="W192" s="133" t="str">
        <f t="shared" si="86"/>
        <v/>
      </c>
      <c r="X192" s="132"/>
      <c r="Y192" s="132"/>
      <c r="Z192" s="132"/>
      <c r="AA192" s="132"/>
    </row>
    <row r="193" spans="1:27" ht="20.100000000000001" hidden="1" customHeight="1">
      <c r="A193" s="300">
        <v>30100003</v>
      </c>
      <c r="B193" s="141" t="s">
        <v>198</v>
      </c>
      <c r="C193" s="406" t="s">
        <v>190</v>
      </c>
      <c r="D193" s="108">
        <v>4.8</v>
      </c>
      <c r="E193" s="108"/>
      <c r="F193" s="127"/>
      <c r="G193" s="128"/>
      <c r="H193" s="401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409"/>
      <c r="P193" s="409"/>
      <c r="Q193" s="409"/>
      <c r="R193" s="409"/>
      <c r="S193" s="409"/>
      <c r="T193" s="409"/>
      <c r="U193" s="409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30100004</v>
      </c>
      <c r="B194" s="141" t="s">
        <v>198</v>
      </c>
      <c r="C194" s="406" t="s">
        <v>187</v>
      </c>
      <c r="D194" s="108">
        <v>4.8</v>
      </c>
      <c r="E194" s="108"/>
      <c r="F194" s="127"/>
      <c r="G194" s="128"/>
      <c r="H194" s="401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409"/>
      <c r="P194" s="409"/>
      <c r="Q194" s="409"/>
      <c r="R194" s="409"/>
      <c r="S194" s="409"/>
      <c r="T194" s="409"/>
      <c r="U194" s="409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30100006</v>
      </c>
      <c r="B195" s="141" t="s">
        <v>198</v>
      </c>
      <c r="C195" s="406" t="s">
        <v>179</v>
      </c>
      <c r="D195" s="108">
        <v>4.8</v>
      </c>
      <c r="E195" s="108"/>
      <c r="F195" s="127"/>
      <c r="G195" s="128"/>
      <c r="H195" s="401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409"/>
      <c r="P195" s="409"/>
      <c r="Q195" s="409"/>
      <c r="R195" s="409"/>
      <c r="S195" s="409"/>
      <c r="T195" s="409"/>
      <c r="U195" s="409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30100005</v>
      </c>
      <c r="B196" s="141" t="s">
        <v>198</v>
      </c>
      <c r="C196" s="406" t="s">
        <v>199</v>
      </c>
      <c r="D196" s="108">
        <v>4.8</v>
      </c>
      <c r="E196" s="108"/>
      <c r="F196" s="127"/>
      <c r="G196" s="128"/>
      <c r="H196" s="401">
        <f t="shared" si="82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3"/>
        <v>0</v>
      </c>
      <c r="N196" s="130"/>
      <c r="O196" s="409"/>
      <c r="P196" s="409"/>
      <c r="Q196" s="409"/>
      <c r="R196" s="409"/>
      <c r="S196" s="409"/>
      <c r="T196" s="409"/>
      <c r="U196" s="409"/>
      <c r="V196" s="132"/>
      <c r="W196" s="133"/>
      <c r="X196" s="132"/>
      <c r="Y196" s="132"/>
      <c r="Z196" s="132"/>
      <c r="AA196" s="132"/>
    </row>
    <row r="197" spans="1:27" ht="20.10000000000000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>
        <v>42736</v>
      </c>
      <c r="G197" s="128">
        <f>100*7</f>
        <v>700</v>
      </c>
      <c r="H197" s="401">
        <f t="shared" si="82"/>
        <v>3493</v>
      </c>
      <c r="I197" s="129">
        <f>8*5</f>
        <v>40</v>
      </c>
      <c r="J197" s="130">
        <f t="array" ref="J197">IF(ISERROR(G197/I197),"",G197/I197)</f>
        <v>17.5</v>
      </c>
      <c r="K197" s="131">
        <f t="array" ref="K197">IF(ISERROR(G197/L197),"",G197/L197)</f>
        <v>29.787234042553191</v>
      </c>
      <c r="L197" s="129">
        <v>23.5</v>
      </c>
      <c r="M197" s="109">
        <f t="shared" si="83"/>
        <v>10.212765957446809</v>
      </c>
      <c r="N197" s="130">
        <f t="shared" ref="N197:N198" si="87">SUM(O197:U197)</f>
        <v>0</v>
      </c>
      <c r="O197" s="409"/>
      <c r="P197" s="409"/>
      <c r="Q197" s="409"/>
      <c r="R197" s="409"/>
      <c r="S197" s="409"/>
      <c r="T197" s="409"/>
      <c r="U197" s="409"/>
      <c r="V197" s="132">
        <f t="shared" ref="V197:V198" si="88">SUM(X197:AA197)</f>
        <v>0</v>
      </c>
      <c r="W197" s="133">
        <f t="shared" ref="W197:W198" si="89">IF(ISERROR(V197/G197),"",V197/G197)</f>
        <v>0</v>
      </c>
      <c r="X197" s="132"/>
      <c r="Y197" s="132"/>
      <c r="Z197" s="132"/>
      <c r="AA197" s="132"/>
    </row>
    <row r="198" spans="1:27" ht="20.100000000000001" hidden="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27"/>
      <c r="G198" s="128"/>
      <c r="H198" s="401">
        <f t="shared" si="82"/>
        <v>0</v>
      </c>
      <c r="I198" s="129"/>
      <c r="J198" s="130" t="str">
        <f t="array" ref="J198">IF(ISERROR(G198/I198),"",G198/I198)</f>
        <v/>
      </c>
      <c r="K198" s="131">
        <f t="array" ref="K198">IF(ISERROR(G198/L198),"",G198/L198)</f>
        <v>0</v>
      </c>
      <c r="L198" s="129">
        <v>23.5</v>
      </c>
      <c r="M198" s="109">
        <f t="shared" si="83"/>
        <v>0</v>
      </c>
      <c r="N198" s="130">
        <f t="shared" si="87"/>
        <v>0</v>
      </c>
      <c r="O198" s="409"/>
      <c r="P198" s="409"/>
      <c r="Q198" s="409"/>
      <c r="R198" s="409"/>
      <c r="S198" s="409"/>
      <c r="T198" s="409"/>
      <c r="U198" s="409"/>
      <c r="V198" s="132">
        <f t="shared" si="88"/>
        <v>0</v>
      </c>
      <c r="W198" s="133" t="str">
        <f t="shared" si="89"/>
        <v/>
      </c>
      <c r="X198" s="132"/>
      <c r="Y198" s="132"/>
      <c r="Z198" s="132"/>
      <c r="AA198" s="132"/>
    </row>
    <row r="199" spans="1:27" ht="20.100000000000001" customHeight="1">
      <c r="A199" s="578" t="s">
        <v>201</v>
      </c>
      <c r="B199" s="579"/>
      <c r="C199" s="410" t="s">
        <v>202</v>
      </c>
      <c r="D199" s="143"/>
      <c r="E199" s="143"/>
      <c r="F199" s="144"/>
      <c r="G199" s="145">
        <f>SUM(G178:G198)</f>
        <v>1119</v>
      </c>
      <c r="H199" s="146">
        <f>SUM(H178:H198)</f>
        <v>5613.1399999999994</v>
      </c>
      <c r="I199" s="146">
        <f>SUM(I178:I198)</f>
        <v>75</v>
      </c>
      <c r="J199" s="130">
        <f t="array" ref="J199">IF(ISERROR(G199/I199),"",G199/I199)</f>
        <v>14.92</v>
      </c>
      <c r="K199" s="146">
        <f>SUM(K178:K198)</f>
        <v>51.839865621500564</v>
      </c>
      <c r="L199" s="147"/>
      <c r="M199" s="150">
        <f t="shared" ref="M199:AA199" si="90">SUM(M178:M198)</f>
        <v>23.160134378499439</v>
      </c>
      <c r="N199" s="146">
        <f t="shared" si="90"/>
        <v>0</v>
      </c>
      <c r="O199" s="148">
        <f t="shared" si="90"/>
        <v>0</v>
      </c>
      <c r="P199" s="148">
        <f t="shared" si="90"/>
        <v>0</v>
      </c>
      <c r="Q199" s="148">
        <f t="shared" si="90"/>
        <v>0</v>
      </c>
      <c r="R199" s="148">
        <f t="shared" si="90"/>
        <v>0</v>
      </c>
      <c r="S199" s="148">
        <f t="shared" si="90"/>
        <v>0</v>
      </c>
      <c r="T199" s="148">
        <f t="shared" si="90"/>
        <v>0</v>
      </c>
      <c r="U199" s="148">
        <f t="shared" si="90"/>
        <v>0</v>
      </c>
      <c r="V199" s="149">
        <f t="shared" si="90"/>
        <v>0</v>
      </c>
      <c r="W199" s="133">
        <f t="shared" si="90"/>
        <v>0</v>
      </c>
      <c r="X199" s="149">
        <f t="shared" si="90"/>
        <v>0</v>
      </c>
      <c r="Y199" s="149">
        <f t="shared" si="90"/>
        <v>0</v>
      </c>
      <c r="Z199" s="149">
        <f t="shared" si="90"/>
        <v>0</v>
      </c>
      <c r="AA199" s="149">
        <f t="shared" si="90"/>
        <v>0</v>
      </c>
    </row>
    <row r="200" spans="1:27" ht="20.100000000000001" hidden="1" customHeight="1">
      <c r="A200" s="300">
        <v>30100012</v>
      </c>
      <c r="B200" s="400" t="s">
        <v>206</v>
      </c>
      <c r="C200" s="126" t="s">
        <v>199</v>
      </c>
      <c r="D200" s="108">
        <v>5.03</v>
      </c>
      <c r="E200" s="108"/>
      <c r="F200" s="127"/>
      <c r="G200" s="128"/>
      <c r="H200" s="401">
        <f t="shared" ref="H200:H256" si="91">D200*G200</f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 t="shared" ref="M200" si="92">IF(ISERROR(I200-K200),"",I200-K200)</f>
        <v>0</v>
      </c>
      <c r="N200" s="130">
        <f t="shared" ref="N200" si="93">SUM(O200:U200)</f>
        <v>0</v>
      </c>
      <c r="O200" s="404"/>
      <c r="P200" s="404"/>
      <c r="Q200" s="404"/>
      <c r="R200" s="404"/>
      <c r="S200" s="404"/>
      <c r="T200" s="404"/>
      <c r="U200" s="404"/>
      <c r="V200" s="132">
        <f t="shared" ref="V200" si="94">SUM(X200:AA200)</f>
        <v>0</v>
      </c>
      <c r="W200" s="133" t="str">
        <f t="shared" ref="W200" si="95">IF(ISERROR(V200/G200),"",V200/G200)</f>
        <v/>
      </c>
      <c r="X200" s="132"/>
      <c r="Y200" s="132"/>
      <c r="Z200" s="132"/>
      <c r="AA200" s="132"/>
    </row>
    <row r="201" spans="1:27" ht="20.100000000000001" hidden="1" customHeight="1">
      <c r="A201" s="300">
        <v>30100011</v>
      </c>
      <c r="B201" s="400" t="s">
        <v>425</v>
      </c>
      <c r="C201" s="187" t="s">
        <v>427</v>
      </c>
      <c r="D201" s="108">
        <v>5.03</v>
      </c>
      <c r="E201" s="108"/>
      <c r="F201" s="127"/>
      <c r="G201" s="128"/>
      <c r="H201" s="401">
        <f t="shared" si="91"/>
        <v>0</v>
      </c>
      <c r="I201" s="129"/>
      <c r="J201" s="130"/>
      <c r="K201" s="131"/>
      <c r="L201" s="129">
        <v>52</v>
      </c>
      <c r="M201" s="109"/>
      <c r="N201" s="130"/>
      <c r="O201" s="404"/>
      <c r="P201" s="404"/>
      <c r="Q201" s="404"/>
      <c r="R201" s="404"/>
      <c r="S201" s="404"/>
      <c r="T201" s="404"/>
      <c r="U201" s="404"/>
      <c r="V201" s="132"/>
      <c r="W201" s="133"/>
      <c r="X201" s="132"/>
      <c r="Y201" s="132"/>
      <c r="Z201" s="132"/>
      <c r="AA201" s="132"/>
    </row>
    <row r="202" spans="1:27" ht="20.100000000000001" hidden="1" customHeight="1">
      <c r="A202" s="300">
        <v>30100010</v>
      </c>
      <c r="B202" s="400" t="s">
        <v>206</v>
      </c>
      <c r="C202" s="126" t="s">
        <v>186</v>
      </c>
      <c r="D202" s="108">
        <v>5.03</v>
      </c>
      <c r="E202" s="108"/>
      <c r="F202" s="127"/>
      <c r="G202" s="128"/>
      <c r="H202" s="401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 t="shared" ref="M202" si="96">IF(ISERROR(I202-K202),"",I202-K202)</f>
        <v>0</v>
      </c>
      <c r="N202" s="130">
        <f t="shared" ref="N202:N204" si="97">SUM(O202:U202)</f>
        <v>0</v>
      </c>
      <c r="O202" s="404"/>
      <c r="P202" s="404"/>
      <c r="Q202" s="404"/>
      <c r="R202" s="404"/>
      <c r="S202" s="404"/>
      <c r="T202" s="404"/>
      <c r="U202" s="404"/>
      <c r="V202" s="132">
        <f t="shared" ref="V202:V204" si="98">SUM(X202:AA202)</f>
        <v>0</v>
      </c>
      <c r="W202" s="133" t="str">
        <f t="shared" ref="W202:W204" si="99">IF(ISERROR(V202/G202),"",V202/G202)</f>
        <v/>
      </c>
      <c r="X202" s="132"/>
      <c r="Y202" s="132"/>
      <c r="Z202" s="132"/>
      <c r="AA202" s="132"/>
    </row>
    <row r="203" spans="1:27" ht="20.100000000000001" hidden="1" customHeight="1">
      <c r="A203" s="300">
        <v>30100014</v>
      </c>
      <c r="B203" s="400" t="s">
        <v>206</v>
      </c>
      <c r="C203" s="126" t="s">
        <v>203</v>
      </c>
      <c r="D203" s="108">
        <v>5.03</v>
      </c>
      <c r="E203" s="108"/>
      <c r="F203" s="127"/>
      <c r="G203" s="128"/>
      <c r="H203" s="401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>IF(ISERROR(I203-K203),"",I203-K203)</f>
        <v>0</v>
      </c>
      <c r="N203" s="130">
        <f t="shared" si="97"/>
        <v>0</v>
      </c>
      <c r="O203" s="404"/>
      <c r="P203" s="404"/>
      <c r="Q203" s="404"/>
      <c r="R203" s="404"/>
      <c r="S203" s="404"/>
      <c r="T203" s="404"/>
      <c r="U203" s="404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30100013</v>
      </c>
      <c r="B204" s="400" t="s">
        <v>206</v>
      </c>
      <c r="C204" s="126" t="s">
        <v>207</v>
      </c>
      <c r="D204" s="108">
        <v>5.03</v>
      </c>
      <c r="E204" s="108"/>
      <c r="F204" s="127"/>
      <c r="G204" s="128"/>
      <c r="H204" s="401">
        <f t="shared" si="91"/>
        <v>0</v>
      </c>
      <c r="I204" s="129"/>
      <c r="J204" s="130" t="str">
        <f t="array" ref="J204">IF(ISERROR(G204/I204),"",G204/I204)</f>
        <v/>
      </c>
      <c r="K204" s="131">
        <f t="array" ref="K204">IF(ISERROR(G204/L204),"",G204/L204)</f>
        <v>0</v>
      </c>
      <c r="L204" s="129">
        <v>52</v>
      </c>
      <c r="M204" s="109">
        <f t="shared" ref="M204" si="100">IF(ISERROR(I204-K204),"",I204-K204)</f>
        <v>0</v>
      </c>
      <c r="N204" s="130">
        <f t="shared" si="97"/>
        <v>0</v>
      </c>
      <c r="O204" s="404"/>
      <c r="P204" s="404"/>
      <c r="Q204" s="404"/>
      <c r="R204" s="404"/>
      <c r="S204" s="404"/>
      <c r="T204" s="404"/>
      <c r="U204" s="404"/>
      <c r="V204" s="132">
        <f t="shared" si="98"/>
        <v>0</v>
      </c>
      <c r="W204" s="133" t="str">
        <f t="shared" si="99"/>
        <v/>
      </c>
      <c r="X204" s="132"/>
      <c r="Y204" s="132"/>
      <c r="Z204" s="132"/>
      <c r="AA204" s="132"/>
    </row>
    <row r="205" spans="1:27" ht="20.100000000000001" hidden="1" customHeight="1">
      <c r="A205" s="300">
        <v>30100016</v>
      </c>
      <c r="B205" s="400" t="s">
        <v>414</v>
      </c>
      <c r="C205" s="187" t="s">
        <v>415</v>
      </c>
      <c r="D205" s="108">
        <v>5.03</v>
      </c>
      <c r="E205" s="108"/>
      <c r="F205" s="127"/>
      <c r="G205" s="128"/>
      <c r="H205" s="401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404"/>
      <c r="P205" s="404"/>
      <c r="Q205" s="404"/>
      <c r="R205" s="404"/>
      <c r="S205" s="404"/>
      <c r="T205" s="404"/>
      <c r="U205" s="404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30100017</v>
      </c>
      <c r="B206" s="400" t="s">
        <v>414</v>
      </c>
      <c r="C206" s="187" t="s">
        <v>416</v>
      </c>
      <c r="D206" s="108">
        <v>5.03</v>
      </c>
      <c r="E206" s="108"/>
      <c r="F206" s="127"/>
      <c r="G206" s="128"/>
      <c r="H206" s="401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404"/>
      <c r="P206" s="404"/>
      <c r="Q206" s="404"/>
      <c r="R206" s="404"/>
      <c r="S206" s="404"/>
      <c r="T206" s="404"/>
      <c r="U206" s="404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30100015</v>
      </c>
      <c r="B207" s="400" t="s">
        <v>414</v>
      </c>
      <c r="C207" s="187" t="s">
        <v>61</v>
      </c>
      <c r="D207" s="108">
        <v>5.03</v>
      </c>
      <c r="E207" s="108"/>
      <c r="F207" s="127"/>
      <c r="G207" s="128"/>
      <c r="H207" s="401">
        <f t="shared" si="91"/>
        <v>0</v>
      </c>
      <c r="I207" s="129"/>
      <c r="J207" s="130"/>
      <c r="K207" s="131"/>
      <c r="L207" s="129">
        <v>52</v>
      </c>
      <c r="M207" s="109"/>
      <c r="N207" s="130"/>
      <c r="O207" s="404"/>
      <c r="P207" s="404"/>
      <c r="Q207" s="404"/>
      <c r="R207" s="404"/>
      <c r="S207" s="404"/>
      <c r="T207" s="404"/>
      <c r="U207" s="404"/>
      <c r="V207" s="132"/>
      <c r="W207" s="133"/>
      <c r="X207" s="132"/>
      <c r="Y207" s="132"/>
      <c r="Z207" s="132"/>
      <c r="AA207" s="132"/>
    </row>
    <row r="208" spans="1:27" ht="20.100000000000001" customHeight="1">
      <c r="A208" s="300">
        <v>30100027</v>
      </c>
      <c r="B208" s="400" t="s">
        <v>208</v>
      </c>
      <c r="C208" s="126" t="s">
        <v>179</v>
      </c>
      <c r="D208" s="108">
        <v>5.08</v>
      </c>
      <c r="E208" s="108"/>
      <c r="F208" s="127">
        <v>42736</v>
      </c>
      <c r="G208" s="128">
        <f>108*2+86</f>
        <v>302</v>
      </c>
      <c r="H208" s="401">
        <f t="shared" si="91"/>
        <v>1534.16</v>
      </c>
      <c r="I208" s="129">
        <f>8.5*3</f>
        <v>25.5</v>
      </c>
      <c r="J208" s="130">
        <f t="array" ref="J208">IF(ISERROR(G208/I208),"",G208/I208)</f>
        <v>11.843137254901961</v>
      </c>
      <c r="K208" s="131">
        <f t="array" ref="K208">IF(ISERROR(G208/L208),"",G208/L208)</f>
        <v>14.380952380952381</v>
      </c>
      <c r="L208" s="129">
        <v>21</v>
      </c>
      <c r="M208" s="109">
        <f t="shared" ref="M208:M237" si="101">IF(ISERROR(I208-K208),"",I208-K208)</f>
        <v>11.119047619047619</v>
      </c>
      <c r="N208" s="130">
        <f t="shared" ref="N208:N237" si="102">SUM(O208:U208)</f>
        <v>0</v>
      </c>
      <c r="O208" s="404"/>
      <c r="P208" s="404"/>
      <c r="Q208" s="404"/>
      <c r="R208" s="404"/>
      <c r="S208" s="404"/>
      <c r="T208" s="404"/>
      <c r="U208" s="404"/>
      <c r="V208" s="132">
        <f t="shared" ref="V208:V219" si="103">SUM(X208:AA208)</f>
        <v>0</v>
      </c>
      <c r="W208" s="133">
        <f t="shared" ref="W208:W219" si="104">IF(ISERROR(V208/G208),"",V208/G208)</f>
        <v>0</v>
      </c>
      <c r="X208" s="132"/>
      <c r="Y208" s="132"/>
      <c r="Z208" s="132"/>
      <c r="AA208" s="132"/>
    </row>
    <row r="209" spans="1:27" ht="20.100000000000001" hidden="1" customHeight="1">
      <c r="A209" s="300">
        <v>30100023</v>
      </c>
      <c r="B209" s="400" t="s">
        <v>208</v>
      </c>
      <c r="C209" s="126" t="s">
        <v>204</v>
      </c>
      <c r="D209" s="108">
        <v>5.08</v>
      </c>
      <c r="E209" s="108"/>
      <c r="F209" s="127"/>
      <c r="G209" s="128"/>
      <c r="H209" s="401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404"/>
      <c r="P209" s="404"/>
      <c r="Q209" s="404"/>
      <c r="R209" s="404"/>
      <c r="S209" s="404"/>
      <c r="T209" s="404"/>
      <c r="U209" s="404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30100024</v>
      </c>
      <c r="B210" s="400" t="s">
        <v>208</v>
      </c>
      <c r="C210" s="126" t="s">
        <v>205</v>
      </c>
      <c r="D210" s="108">
        <v>5.08</v>
      </c>
      <c r="E210" s="108"/>
      <c r="F210" s="127"/>
      <c r="G210" s="128"/>
      <c r="H210" s="401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404"/>
      <c r="P210" s="404"/>
      <c r="Q210" s="404"/>
      <c r="R210" s="404"/>
      <c r="S210" s="404"/>
      <c r="T210" s="404"/>
      <c r="U210" s="404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30100022</v>
      </c>
      <c r="B211" s="400" t="s">
        <v>208</v>
      </c>
      <c r="C211" s="126" t="s">
        <v>186</v>
      </c>
      <c r="D211" s="108">
        <v>5.08</v>
      </c>
      <c r="E211" s="108"/>
      <c r="F211" s="127"/>
      <c r="G211" s="128"/>
      <c r="H211" s="401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404"/>
      <c r="P211" s="404"/>
      <c r="Q211" s="404"/>
      <c r="R211" s="404"/>
      <c r="S211" s="404"/>
      <c r="T211" s="404"/>
      <c r="U211" s="404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30100029</v>
      </c>
      <c r="B212" s="400" t="s">
        <v>208</v>
      </c>
      <c r="C212" s="126" t="s">
        <v>203</v>
      </c>
      <c r="D212" s="108">
        <v>5.08</v>
      </c>
      <c r="E212" s="108"/>
      <c r="F212" s="127"/>
      <c r="G212" s="128"/>
      <c r="H212" s="401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404"/>
      <c r="P212" s="404"/>
      <c r="Q212" s="404"/>
      <c r="R212" s="404"/>
      <c r="S212" s="404"/>
      <c r="T212" s="404"/>
      <c r="U212" s="404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30100026</v>
      </c>
      <c r="B213" s="400" t="s">
        <v>208</v>
      </c>
      <c r="C213" s="126" t="s">
        <v>199</v>
      </c>
      <c r="D213" s="108">
        <v>5.08</v>
      </c>
      <c r="E213" s="108"/>
      <c r="F213" s="127"/>
      <c r="G213" s="128"/>
      <c r="H213" s="401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1"/>
        <v>0</v>
      </c>
      <c r="N213" s="130">
        <f t="shared" si="102"/>
        <v>0</v>
      </c>
      <c r="O213" s="409"/>
      <c r="P213" s="409"/>
      <c r="Q213" s="409"/>
      <c r="R213" s="409"/>
      <c r="S213" s="409"/>
      <c r="T213" s="409"/>
      <c r="U213" s="409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30100025</v>
      </c>
      <c r="B214" s="400" t="s">
        <v>208</v>
      </c>
      <c r="C214" s="126" t="s">
        <v>187</v>
      </c>
      <c r="D214" s="108">
        <v>5.08</v>
      </c>
      <c r="E214" s="108"/>
      <c r="F214" s="127"/>
      <c r="G214" s="128"/>
      <c r="H214" s="401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404"/>
      <c r="P214" s="404"/>
      <c r="Q214" s="404"/>
      <c r="R214" s="404"/>
      <c r="S214" s="404"/>
      <c r="T214" s="404"/>
      <c r="U214" s="404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hidden="1" customHeight="1">
      <c r="A215" s="300">
        <v>30100028</v>
      </c>
      <c r="B215" s="400" t="s">
        <v>208</v>
      </c>
      <c r="C215" s="126" t="s">
        <v>207</v>
      </c>
      <c r="D215" s="108">
        <v>5.08</v>
      </c>
      <c r="E215" s="108"/>
      <c r="F215" s="127"/>
      <c r="G215" s="128"/>
      <c r="H215" s="401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21</v>
      </c>
      <c r="M215" s="109">
        <f t="shared" si="101"/>
        <v>0</v>
      </c>
      <c r="N215" s="130">
        <f t="shared" si="102"/>
        <v>0</v>
      </c>
      <c r="O215" s="409"/>
      <c r="P215" s="409"/>
      <c r="Q215" s="409"/>
      <c r="R215" s="409"/>
      <c r="S215" s="409"/>
      <c r="T215" s="409"/>
      <c r="U215" s="409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30100032</v>
      </c>
      <c r="B216" s="400" t="s">
        <v>209</v>
      </c>
      <c r="C216" s="126" t="s">
        <v>194</v>
      </c>
      <c r="D216" s="108">
        <v>5.03</v>
      </c>
      <c r="E216" s="108"/>
      <c r="F216" s="127"/>
      <c r="G216" s="128"/>
      <c r="H216" s="401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404"/>
      <c r="P216" s="404"/>
      <c r="Q216" s="404"/>
      <c r="R216" s="404"/>
      <c r="S216" s="404"/>
      <c r="T216" s="404"/>
      <c r="U216" s="404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hidden="1" customHeight="1">
      <c r="A217" s="300">
        <v>30100033</v>
      </c>
      <c r="B217" s="400" t="s">
        <v>209</v>
      </c>
      <c r="C217" s="126" t="s">
        <v>179</v>
      </c>
      <c r="D217" s="108">
        <v>5.03</v>
      </c>
      <c r="E217" s="108"/>
      <c r="F217" s="127"/>
      <c r="G217" s="128"/>
      <c r="H217" s="401">
        <f t="shared" si="91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1"/>
        <v>0</v>
      </c>
      <c r="N217" s="130">
        <f t="shared" si="102"/>
        <v>0</v>
      </c>
      <c r="O217" s="404"/>
      <c r="P217" s="404"/>
      <c r="Q217" s="404"/>
      <c r="R217" s="404"/>
      <c r="S217" s="404"/>
      <c r="T217" s="404"/>
      <c r="U217" s="404"/>
      <c r="V217" s="132">
        <f t="shared" si="103"/>
        <v>0</v>
      </c>
      <c r="W217" s="133" t="str">
        <f t="shared" si="104"/>
        <v/>
      </c>
      <c r="X217" s="132"/>
      <c r="Y217" s="132"/>
      <c r="Z217" s="132"/>
      <c r="AA217" s="132"/>
    </row>
    <row r="218" spans="1:27" ht="20.100000000000001" hidden="1" customHeight="1">
      <c r="A218" s="300">
        <v>30100062</v>
      </c>
      <c r="B218" s="400" t="s">
        <v>209</v>
      </c>
      <c r="C218" s="126" t="s">
        <v>195</v>
      </c>
      <c r="D218" s="108">
        <v>5.03</v>
      </c>
      <c r="E218" s="108"/>
      <c r="F218" s="127"/>
      <c r="G218" s="128"/>
      <c r="H218" s="401">
        <f t="shared" si="91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1"/>
        <v>0</v>
      </c>
      <c r="N218" s="130">
        <f t="shared" si="102"/>
        <v>0</v>
      </c>
      <c r="O218" s="404"/>
      <c r="P218" s="404"/>
      <c r="Q218" s="404"/>
      <c r="R218" s="404"/>
      <c r="S218" s="404"/>
      <c r="T218" s="404"/>
      <c r="U218" s="404"/>
      <c r="V218" s="132">
        <f t="shared" si="103"/>
        <v>0</v>
      </c>
      <c r="W218" s="133" t="str">
        <f t="shared" si="104"/>
        <v/>
      </c>
      <c r="X218" s="132"/>
      <c r="Y218" s="132"/>
      <c r="Z218" s="132"/>
      <c r="AA218" s="132"/>
    </row>
    <row r="219" spans="1:27" ht="20.100000000000001" customHeight="1">
      <c r="A219" s="300">
        <v>30100031</v>
      </c>
      <c r="B219" s="400" t="s">
        <v>209</v>
      </c>
      <c r="C219" s="126" t="s">
        <v>204</v>
      </c>
      <c r="D219" s="108">
        <v>5.03</v>
      </c>
      <c r="E219" s="108"/>
      <c r="F219" s="127">
        <v>42736</v>
      </c>
      <c r="G219" s="128">
        <f>108*9+63</f>
        <v>1035</v>
      </c>
      <c r="H219" s="401">
        <f t="shared" si="91"/>
        <v>5206.05</v>
      </c>
      <c r="I219" s="129">
        <v>20</v>
      </c>
      <c r="J219" s="130">
        <f t="array" ref="J219">IF(ISERROR(G219/I219),"",G219/I219)</f>
        <v>51.75</v>
      </c>
      <c r="K219" s="131">
        <f t="array" ref="K219">IF(ISERROR(G219/L219),"",G219/L219)</f>
        <v>18.482142857142858</v>
      </c>
      <c r="L219" s="129">
        <v>56</v>
      </c>
      <c r="M219" s="109">
        <f t="shared" si="101"/>
        <v>1.5178571428571423</v>
      </c>
      <c r="N219" s="130">
        <f t="shared" si="102"/>
        <v>0</v>
      </c>
      <c r="O219" s="404"/>
      <c r="P219" s="404"/>
      <c r="Q219" s="404"/>
      <c r="R219" s="404"/>
      <c r="S219" s="404"/>
      <c r="T219" s="404"/>
      <c r="U219" s="404"/>
      <c r="V219" s="132">
        <f t="shared" si="103"/>
        <v>0</v>
      </c>
      <c r="W219" s="133">
        <f t="shared" si="104"/>
        <v>0</v>
      </c>
      <c r="X219" s="132"/>
      <c r="Y219" s="132"/>
      <c r="Z219" s="132"/>
      <c r="AA219" s="132"/>
    </row>
    <row r="220" spans="1:27" ht="20.100000000000001" hidden="1" customHeight="1">
      <c r="A220" s="300">
        <v>30100019</v>
      </c>
      <c r="B220" s="400" t="s">
        <v>382</v>
      </c>
      <c r="C220" s="187" t="s">
        <v>383</v>
      </c>
      <c r="D220" s="108">
        <v>5.03</v>
      </c>
      <c r="E220" s="108"/>
      <c r="F220" s="127"/>
      <c r="G220" s="128"/>
      <c r="H220" s="401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404"/>
      <c r="P220" s="404"/>
      <c r="Q220" s="404"/>
      <c r="R220" s="404"/>
      <c r="S220" s="404"/>
      <c r="T220" s="404"/>
      <c r="U220" s="404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30100020</v>
      </c>
      <c r="B221" s="400" t="s">
        <v>382</v>
      </c>
      <c r="C221" s="187" t="s">
        <v>384</v>
      </c>
      <c r="D221" s="108">
        <v>5.03</v>
      </c>
      <c r="E221" s="108"/>
      <c r="F221" s="127"/>
      <c r="G221" s="128"/>
      <c r="H221" s="401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404"/>
      <c r="P221" s="404"/>
      <c r="Q221" s="404"/>
      <c r="R221" s="404"/>
      <c r="S221" s="404"/>
      <c r="T221" s="404"/>
      <c r="U221" s="404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30100021</v>
      </c>
      <c r="B222" s="400" t="s">
        <v>382</v>
      </c>
      <c r="C222" s="187" t="s">
        <v>389</v>
      </c>
      <c r="D222" s="108">
        <v>5.03</v>
      </c>
      <c r="E222" s="108"/>
      <c r="F222" s="127"/>
      <c r="G222" s="128"/>
      <c r="H222" s="401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404"/>
      <c r="P222" s="404"/>
      <c r="Q222" s="404"/>
      <c r="R222" s="404"/>
      <c r="S222" s="404"/>
      <c r="T222" s="404"/>
      <c r="U222" s="404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0">
        <v>30100018</v>
      </c>
      <c r="B223" s="400" t="s">
        <v>382</v>
      </c>
      <c r="C223" s="187" t="s">
        <v>391</v>
      </c>
      <c r="D223" s="108">
        <v>5.03</v>
      </c>
      <c r="E223" s="108"/>
      <c r="F223" s="127"/>
      <c r="G223" s="128"/>
      <c r="H223" s="401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54</v>
      </c>
      <c r="M223" s="109">
        <f t="shared" si="101"/>
        <v>0</v>
      </c>
      <c r="N223" s="130">
        <f t="shared" si="102"/>
        <v>0</v>
      </c>
      <c r="O223" s="404"/>
      <c r="P223" s="404"/>
      <c r="Q223" s="404"/>
      <c r="R223" s="404"/>
      <c r="S223" s="404"/>
      <c r="T223" s="404"/>
      <c r="U223" s="404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30700007</v>
      </c>
      <c r="B224" s="400" t="s">
        <v>418</v>
      </c>
      <c r="C224" s="187" t="s">
        <v>364</v>
      </c>
      <c r="D224" s="108">
        <v>5.03</v>
      </c>
      <c r="E224" s="108"/>
      <c r="F224" s="127"/>
      <c r="G224" s="128"/>
      <c r="H224" s="401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404"/>
      <c r="P224" s="404"/>
      <c r="Q224" s="404"/>
      <c r="R224" s="404"/>
      <c r="S224" s="404"/>
      <c r="T224" s="404"/>
      <c r="U224" s="404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30700006</v>
      </c>
      <c r="B225" s="400" t="s">
        <v>418</v>
      </c>
      <c r="C225" s="187" t="s">
        <v>365</v>
      </c>
      <c r="D225" s="108">
        <v>5.03</v>
      </c>
      <c r="E225" s="108"/>
      <c r="F225" s="127"/>
      <c r="G225" s="128"/>
      <c r="H225" s="401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404"/>
      <c r="P225" s="404"/>
      <c r="Q225" s="404"/>
      <c r="R225" s="404"/>
      <c r="S225" s="404"/>
      <c r="T225" s="404"/>
      <c r="U225" s="404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30700008</v>
      </c>
      <c r="B226" s="400" t="s">
        <v>418</v>
      </c>
      <c r="C226" s="187" t="s">
        <v>366</v>
      </c>
      <c r="D226" s="108">
        <v>5.03</v>
      </c>
      <c r="E226" s="108"/>
      <c r="F226" s="127"/>
      <c r="G226" s="128"/>
      <c r="H226" s="401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404"/>
      <c r="P226" s="404"/>
      <c r="Q226" s="404"/>
      <c r="R226" s="404"/>
      <c r="S226" s="404"/>
      <c r="T226" s="404"/>
      <c r="U226" s="404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3">
        <v>30700009</v>
      </c>
      <c r="B227" s="400" t="s">
        <v>418</v>
      </c>
      <c r="C227" s="187" t="s">
        <v>367</v>
      </c>
      <c r="D227" s="108">
        <v>5.03</v>
      </c>
      <c r="E227" s="108"/>
      <c r="F227" s="127"/>
      <c r="G227" s="128"/>
      <c r="H227" s="401">
        <f t="shared" si="91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101"/>
        <v>0</v>
      </c>
      <c r="N227" s="130">
        <f t="shared" si="102"/>
        <v>0</v>
      </c>
      <c r="O227" s="404"/>
      <c r="P227" s="404"/>
      <c r="Q227" s="404"/>
      <c r="R227" s="404"/>
      <c r="S227" s="404"/>
      <c r="T227" s="404"/>
      <c r="U227" s="404"/>
      <c r="V227" s="132"/>
      <c r="W227" s="133"/>
      <c r="X227" s="132"/>
      <c r="Y227" s="132"/>
      <c r="Z227" s="132"/>
      <c r="AA227" s="132"/>
    </row>
    <row r="228" spans="1:27" ht="20.100000000000001" hidden="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/>
      <c r="G228" s="128"/>
      <c r="H228" s="401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409"/>
      <c r="P228" s="409"/>
      <c r="Q228" s="409"/>
      <c r="R228" s="409"/>
      <c r="S228" s="409"/>
      <c r="T228" s="409"/>
      <c r="U228" s="409"/>
      <c r="V228" s="132">
        <f t="shared" ref="V228:V237" si="105">SUM(X228:AA228)</f>
        <v>0</v>
      </c>
      <c r="W228" s="133" t="str">
        <f t="shared" ref="W228:W237" si="106">IF(ISERROR(V228/G228),"",V228/G228)</f>
        <v/>
      </c>
      <c r="X228" s="132"/>
      <c r="Y228" s="132"/>
      <c r="Z228" s="132"/>
      <c r="AA228" s="132"/>
    </row>
    <row r="229" spans="1:27" ht="20.100000000000001" hidden="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/>
      <c r="G229" s="128"/>
      <c r="H229" s="401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409"/>
      <c r="P229" s="409"/>
      <c r="Q229" s="409"/>
      <c r="R229" s="409"/>
      <c r="S229" s="409"/>
      <c r="T229" s="409"/>
      <c r="U229" s="409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/>
      <c r="G230" s="128"/>
      <c r="H230" s="401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40</v>
      </c>
      <c r="M230" s="109">
        <f t="shared" si="101"/>
        <v>0</v>
      </c>
      <c r="N230" s="130">
        <f t="shared" si="102"/>
        <v>0</v>
      </c>
      <c r="O230" s="409"/>
      <c r="P230" s="409"/>
      <c r="Q230" s="409"/>
      <c r="R230" s="409"/>
      <c r="S230" s="409"/>
      <c r="T230" s="409"/>
      <c r="U230" s="409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28"/>
      <c r="H231" s="401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409"/>
      <c r="P231" s="409"/>
      <c r="Q231" s="409"/>
      <c r="R231" s="409"/>
      <c r="S231" s="409"/>
      <c r="T231" s="409"/>
      <c r="U231" s="409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28"/>
      <c r="H232" s="401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409"/>
      <c r="P232" s="409"/>
      <c r="Q232" s="409"/>
      <c r="R232" s="409"/>
      <c r="S232" s="409"/>
      <c r="T232" s="409"/>
      <c r="U232" s="409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28"/>
      <c r="H233" s="401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409"/>
      <c r="P233" s="409"/>
      <c r="Q233" s="409"/>
      <c r="R233" s="409"/>
      <c r="S233" s="409"/>
      <c r="T233" s="409"/>
      <c r="U233" s="409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28"/>
      <c r="H234" s="401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409"/>
      <c r="P234" s="409"/>
      <c r="Q234" s="409"/>
      <c r="R234" s="409"/>
      <c r="S234" s="409"/>
      <c r="T234" s="409"/>
      <c r="U234" s="409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/>
      <c r="G235" s="128"/>
      <c r="H235" s="401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409"/>
      <c r="P235" s="409"/>
      <c r="Q235" s="409"/>
      <c r="R235" s="409"/>
      <c r="S235" s="409"/>
      <c r="T235" s="409"/>
      <c r="U235" s="409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/>
      <c r="G236" s="128"/>
      <c r="H236" s="401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409"/>
      <c r="P236" s="409"/>
      <c r="Q236" s="409"/>
      <c r="R236" s="409"/>
      <c r="S236" s="409"/>
      <c r="T236" s="409"/>
      <c r="U236" s="409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/>
      <c r="G237" s="128"/>
      <c r="H237" s="401">
        <f t="shared" si="91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50</v>
      </c>
      <c r="M237" s="109">
        <f t="shared" si="101"/>
        <v>0</v>
      </c>
      <c r="N237" s="130">
        <f t="shared" si="102"/>
        <v>0</v>
      </c>
      <c r="O237" s="409"/>
      <c r="P237" s="409"/>
      <c r="Q237" s="409"/>
      <c r="R237" s="409"/>
      <c r="S237" s="409"/>
      <c r="T237" s="409"/>
      <c r="U237" s="409"/>
      <c r="V237" s="132">
        <f t="shared" si="105"/>
        <v>0</v>
      </c>
      <c r="W237" s="133" t="str">
        <f t="shared" si="106"/>
        <v/>
      </c>
      <c r="X237" s="132"/>
      <c r="Y237" s="132"/>
      <c r="Z237" s="132"/>
      <c r="AA237" s="132"/>
    </row>
    <row r="238" spans="1:27" ht="20.100000000000001" hidden="1" customHeight="1">
      <c r="A238" s="300">
        <v>30100043</v>
      </c>
      <c r="B238" s="134" t="s">
        <v>429</v>
      </c>
      <c r="C238" s="187" t="s">
        <v>427</v>
      </c>
      <c r="D238" s="108">
        <v>5.03</v>
      </c>
      <c r="E238" s="108"/>
      <c r="F238" s="127"/>
      <c r="G238" s="128"/>
      <c r="H238" s="401">
        <f t="shared" si="91"/>
        <v>0</v>
      </c>
      <c r="I238" s="129"/>
      <c r="J238" s="130"/>
      <c r="K238" s="131"/>
      <c r="L238" s="129">
        <v>50</v>
      </c>
      <c r="M238" s="109"/>
      <c r="N238" s="130"/>
      <c r="O238" s="409"/>
      <c r="P238" s="409"/>
      <c r="Q238" s="409"/>
      <c r="R238" s="409"/>
      <c r="S238" s="409"/>
      <c r="T238" s="409"/>
      <c r="U238" s="409"/>
      <c r="V238" s="132"/>
      <c r="W238" s="133"/>
      <c r="X238" s="132"/>
      <c r="Y238" s="132"/>
      <c r="Z238" s="132"/>
      <c r="AA238" s="132"/>
    </row>
    <row r="239" spans="1:27" ht="20.10000000000000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>
        <v>42736</v>
      </c>
      <c r="G239" s="128">
        <f>108*4+64</f>
        <v>496</v>
      </c>
      <c r="H239" s="401">
        <f t="shared" si="91"/>
        <v>2480</v>
      </c>
      <c r="I239" s="129">
        <f>8.5*2</f>
        <v>17</v>
      </c>
      <c r="J239" s="130">
        <f t="array" ref="J239">IF(ISERROR(G239/I239),"",G239/I239)</f>
        <v>29.176470588235293</v>
      </c>
      <c r="K239" s="131">
        <f t="array" ref="K239">IF(ISERROR(G239/L239),"",G239/L239)</f>
        <v>9.92</v>
      </c>
      <c r="L239" s="129">
        <v>50</v>
      </c>
      <c r="M239" s="109">
        <f t="shared" ref="M239:M250" si="107">IF(ISERROR(I239-K239),"",I239-K239)</f>
        <v>7.08</v>
      </c>
      <c r="N239" s="130"/>
      <c r="O239" s="409"/>
      <c r="P239" s="409"/>
      <c r="Q239" s="409"/>
      <c r="R239" s="409"/>
      <c r="S239" s="409"/>
      <c r="T239" s="409"/>
      <c r="U239" s="409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/>
      <c r="G240" s="128"/>
      <c r="H240" s="401">
        <f t="shared" si="91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7"/>
        <v>0</v>
      </c>
      <c r="N240" s="130">
        <f t="shared" ref="N240:N241" si="108">SUM(O240:U240)</f>
        <v>0</v>
      </c>
      <c r="O240" s="409"/>
      <c r="P240" s="409"/>
      <c r="Q240" s="409"/>
      <c r="R240" s="409"/>
      <c r="S240" s="409"/>
      <c r="T240" s="409"/>
      <c r="U240" s="409"/>
      <c r="V240" s="132">
        <f t="shared" ref="V240:V241" si="109">SUM(X240:AA240)</f>
        <v>0</v>
      </c>
      <c r="W240" s="133" t="str">
        <f t="shared" ref="W240:W241" si="110">IF(ISERROR(V240/G240),"",V240/G240)</f>
        <v/>
      </c>
      <c r="X240" s="132"/>
      <c r="Y240" s="132"/>
      <c r="Z240" s="132"/>
      <c r="AA240" s="132"/>
    </row>
    <row r="241" spans="1:27" ht="20.100000000000001" hidden="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/>
      <c r="G241" s="128"/>
      <c r="H241" s="401">
        <f t="shared" si="91"/>
        <v>0</v>
      </c>
      <c r="I241" s="129"/>
      <c r="J241" s="130" t="str">
        <f t="array" ref="J241">IF(ISERROR(G241/I241),"",G241/I241)</f>
        <v/>
      </c>
      <c r="K241" s="131">
        <f t="array" ref="K241">IF(ISERROR(G241/L241),"",G241/L241)</f>
        <v>0</v>
      </c>
      <c r="L241" s="129">
        <v>21.5</v>
      </c>
      <c r="M241" s="109">
        <f t="shared" si="107"/>
        <v>0</v>
      </c>
      <c r="N241" s="130">
        <f t="shared" si="108"/>
        <v>0</v>
      </c>
      <c r="O241" s="409"/>
      <c r="P241" s="409"/>
      <c r="Q241" s="409"/>
      <c r="R241" s="409"/>
      <c r="S241" s="409"/>
      <c r="T241" s="409"/>
      <c r="U241" s="409"/>
      <c r="V241" s="132">
        <f t="shared" si="109"/>
        <v>0</v>
      </c>
      <c r="W241" s="133" t="str">
        <f t="shared" si="110"/>
        <v/>
      </c>
      <c r="X241" s="132"/>
      <c r="Y241" s="132"/>
      <c r="Z241" s="132"/>
      <c r="AA241" s="132"/>
    </row>
    <row r="242" spans="1:27" ht="20.100000000000001" hidden="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28"/>
      <c r="H242" s="401">
        <f t="shared" si="91"/>
        <v>0</v>
      </c>
      <c r="I242" s="129"/>
      <c r="J242" s="130"/>
      <c r="K242" s="131"/>
      <c r="L242" s="129"/>
      <c r="M242" s="109">
        <f t="shared" si="107"/>
        <v>0</v>
      </c>
      <c r="N242" s="130"/>
      <c r="O242" s="409"/>
      <c r="P242" s="409"/>
      <c r="Q242" s="409"/>
      <c r="R242" s="409"/>
      <c r="S242" s="409"/>
      <c r="T242" s="409"/>
      <c r="U242" s="409"/>
      <c r="V242" s="132"/>
      <c r="W242" s="133"/>
      <c r="X242" s="132"/>
      <c r="Y242" s="132"/>
      <c r="Z242" s="132"/>
      <c r="AA242" s="132"/>
    </row>
    <row r="243" spans="1:27" ht="20.100000000000001" hidden="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28"/>
      <c r="H243" s="401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ref="N243:N246" si="111">SUM(O243:U243)</f>
        <v>0</v>
      </c>
      <c r="O243" s="409"/>
      <c r="P243" s="409"/>
      <c r="Q243" s="409"/>
      <c r="R243" s="409"/>
      <c r="S243" s="409"/>
      <c r="T243" s="409"/>
      <c r="U243" s="409"/>
      <c r="V243" s="132">
        <f t="shared" ref="V243:V246" si="112">SUM(X243:AA243)</f>
        <v>0</v>
      </c>
      <c r="W243" s="133" t="str">
        <f t="shared" ref="W243:W246" si="113">IF(ISERROR(V243/G243),"",V243/G243)</f>
        <v/>
      </c>
      <c r="X243" s="132"/>
      <c r="Y243" s="132"/>
      <c r="Z243" s="132"/>
      <c r="AA243" s="132"/>
    </row>
    <row r="244" spans="1:27" ht="20.100000000000001" hidden="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28"/>
      <c r="H244" s="401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409"/>
      <c r="P244" s="409"/>
      <c r="Q244" s="409"/>
      <c r="R244" s="409"/>
      <c r="S244" s="409"/>
      <c r="T244" s="409"/>
      <c r="U244" s="409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28"/>
      <c r="H245" s="401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409"/>
      <c r="P245" s="409"/>
      <c r="Q245" s="409"/>
      <c r="R245" s="409"/>
      <c r="S245" s="409"/>
      <c r="T245" s="409"/>
      <c r="U245" s="409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28"/>
      <c r="H246" s="401">
        <f t="shared" si="91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7"/>
        <v/>
      </c>
      <c r="N246" s="130">
        <f t="shared" si="111"/>
        <v>0</v>
      </c>
      <c r="O246" s="409"/>
      <c r="P246" s="409"/>
      <c r="Q246" s="409"/>
      <c r="R246" s="409"/>
      <c r="S246" s="409"/>
      <c r="T246" s="409"/>
      <c r="U246" s="409"/>
      <c r="V246" s="132">
        <f t="shared" si="112"/>
        <v>0</v>
      </c>
      <c r="W246" s="133" t="str">
        <f t="shared" si="113"/>
        <v/>
      </c>
      <c r="X246" s="132"/>
      <c r="Y246" s="132"/>
      <c r="Z246" s="132"/>
      <c r="AA246" s="132"/>
    </row>
    <row r="247" spans="1:27" ht="20.100000000000001" hidden="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28"/>
      <c r="H247" s="401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409"/>
      <c r="P247" s="409"/>
      <c r="Q247" s="409"/>
      <c r="R247" s="409"/>
      <c r="S247" s="409"/>
      <c r="T247" s="409"/>
      <c r="U247" s="409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28"/>
      <c r="H248" s="401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409"/>
      <c r="P248" s="409"/>
      <c r="Q248" s="409"/>
      <c r="R248" s="409"/>
      <c r="S248" s="409"/>
      <c r="T248" s="409"/>
      <c r="U248" s="409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28"/>
      <c r="H249" s="401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409"/>
      <c r="P249" s="409"/>
      <c r="Q249" s="409"/>
      <c r="R249" s="409"/>
      <c r="S249" s="409"/>
      <c r="T249" s="409"/>
      <c r="U249" s="409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28"/>
      <c r="H250" s="401">
        <f t="shared" si="91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7"/>
        <v>0</v>
      </c>
      <c r="N250" s="130"/>
      <c r="O250" s="409"/>
      <c r="P250" s="409"/>
      <c r="Q250" s="409"/>
      <c r="R250" s="409"/>
      <c r="S250" s="409"/>
      <c r="T250" s="409"/>
      <c r="U250" s="409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28"/>
      <c r="H251" s="401">
        <f t="shared" si="91"/>
        <v>0</v>
      </c>
      <c r="I251" s="129"/>
      <c r="J251" s="130"/>
      <c r="K251" s="131"/>
      <c r="L251" s="129">
        <v>4</v>
      </c>
      <c r="M251" s="109"/>
      <c r="N251" s="130"/>
      <c r="O251" s="409"/>
      <c r="P251" s="409"/>
      <c r="Q251" s="409"/>
      <c r="R251" s="409"/>
      <c r="S251" s="409"/>
      <c r="T251" s="409"/>
      <c r="U251" s="409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28"/>
      <c r="H252" s="401">
        <f t="shared" si="91"/>
        <v>0</v>
      </c>
      <c r="I252" s="129"/>
      <c r="J252" s="130"/>
      <c r="K252" s="131"/>
      <c r="L252" s="129">
        <v>4</v>
      </c>
      <c r="M252" s="109"/>
      <c r="N252" s="130"/>
      <c r="O252" s="409"/>
      <c r="P252" s="409"/>
      <c r="Q252" s="409"/>
      <c r="R252" s="409"/>
      <c r="S252" s="409"/>
      <c r="T252" s="409"/>
      <c r="U252" s="409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28"/>
      <c r="H253" s="401">
        <f t="shared" si="91"/>
        <v>0</v>
      </c>
      <c r="I253" s="129"/>
      <c r="J253" s="130"/>
      <c r="K253" s="131"/>
      <c r="L253" s="129">
        <v>4</v>
      </c>
      <c r="M253" s="109"/>
      <c r="N253" s="130"/>
      <c r="O253" s="409"/>
      <c r="P253" s="409"/>
      <c r="Q253" s="409"/>
      <c r="R253" s="409"/>
      <c r="S253" s="409"/>
      <c r="T253" s="409"/>
      <c r="U253" s="409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28"/>
      <c r="H254" s="401">
        <f t="shared" si="91"/>
        <v>0</v>
      </c>
      <c r="I254" s="129"/>
      <c r="J254" s="130"/>
      <c r="K254" s="131"/>
      <c r="L254" s="129">
        <v>4</v>
      </c>
      <c r="M254" s="109"/>
      <c r="N254" s="130"/>
      <c r="O254" s="409"/>
      <c r="P254" s="409"/>
      <c r="Q254" s="409"/>
      <c r="R254" s="409"/>
      <c r="S254" s="409"/>
      <c r="T254" s="409"/>
      <c r="U254" s="409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28"/>
      <c r="H255" s="401">
        <f t="shared" si="91"/>
        <v>0</v>
      </c>
      <c r="I255" s="129"/>
      <c r="J255" s="130"/>
      <c r="K255" s="131"/>
      <c r="L255" s="129">
        <v>4</v>
      </c>
      <c r="M255" s="109"/>
      <c r="N255" s="130"/>
      <c r="O255" s="409"/>
      <c r="P255" s="409"/>
      <c r="Q255" s="409"/>
      <c r="R255" s="409"/>
      <c r="S255" s="409"/>
      <c r="T255" s="409"/>
      <c r="U255" s="409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28"/>
      <c r="H256" s="401">
        <f t="shared" si="91"/>
        <v>0</v>
      </c>
      <c r="I256" s="129"/>
      <c r="J256" s="130"/>
      <c r="K256" s="131"/>
      <c r="L256" s="129">
        <v>4</v>
      </c>
      <c r="M256" s="109"/>
      <c r="N256" s="130"/>
      <c r="O256" s="409"/>
      <c r="P256" s="409"/>
      <c r="Q256" s="409"/>
      <c r="R256" s="409"/>
      <c r="S256" s="409"/>
      <c r="T256" s="409"/>
      <c r="U256" s="409"/>
      <c r="V256" s="132"/>
      <c r="W256" s="133"/>
      <c r="X256" s="132"/>
      <c r="Y256" s="132"/>
      <c r="Z256" s="132"/>
      <c r="AA256" s="132"/>
    </row>
    <row r="257" spans="1:27" ht="20.100000000000001" customHeight="1">
      <c r="A257" s="589" t="s">
        <v>216</v>
      </c>
      <c r="B257" s="589"/>
      <c r="C257" s="410" t="s">
        <v>202</v>
      </c>
      <c r="D257" s="143"/>
      <c r="E257" s="143"/>
      <c r="F257" s="144"/>
      <c r="G257" s="145">
        <f>SUM(G200:G256)</f>
        <v>1833</v>
      </c>
      <c r="H257" s="146">
        <f>SUM(H200:H256)</f>
        <v>9220.2099999999991</v>
      </c>
      <c r="I257" s="146">
        <f>SUM(I200:I256)</f>
        <v>62.5</v>
      </c>
      <c r="J257" s="130">
        <f t="array" ref="J257">IF(ISERROR(G257/I257),"",G257/I257)</f>
        <v>29.327999999999999</v>
      </c>
      <c r="K257" s="146">
        <f>SUM(K200:K256)</f>
        <v>42.783095238095243</v>
      </c>
      <c r="L257" s="147"/>
      <c r="M257" s="150">
        <f t="shared" ref="M257:V257" si="114">SUM(M200:M256)</f>
        <v>19.716904761904761</v>
      </c>
      <c r="N257" s="146">
        <f t="shared" si="114"/>
        <v>0</v>
      </c>
      <c r="O257" s="148">
        <f t="shared" si="114"/>
        <v>0</v>
      </c>
      <c r="P257" s="148">
        <f t="shared" si="114"/>
        <v>0</v>
      </c>
      <c r="Q257" s="148">
        <f t="shared" si="114"/>
        <v>0</v>
      </c>
      <c r="R257" s="148">
        <f t="shared" si="114"/>
        <v>0</v>
      </c>
      <c r="S257" s="148">
        <f t="shared" si="114"/>
        <v>0</v>
      </c>
      <c r="T257" s="148">
        <f t="shared" si="114"/>
        <v>0</v>
      </c>
      <c r="U257" s="148">
        <f t="shared" si="114"/>
        <v>0</v>
      </c>
      <c r="V257" s="149">
        <f t="shared" si="114"/>
        <v>0</v>
      </c>
      <c r="W257" s="133">
        <f t="shared" ref="W257:W264" si="115">IF(ISERROR(V257/G257),"",V257/G257)</f>
        <v>0</v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hidden="1" customHeight="1">
      <c r="A258" s="299">
        <v>30400012</v>
      </c>
      <c r="B258" s="400" t="s">
        <v>217</v>
      </c>
      <c r="C258" s="126" t="s">
        <v>179</v>
      </c>
      <c r="D258" s="108">
        <v>5.03</v>
      </c>
      <c r="E258" s="108"/>
      <c r="F258" s="127"/>
      <c r="G258" s="128"/>
      <c r="H258" s="401">
        <f t="shared" ref="H258:H291" si="116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7">IF(ISERROR(I258-K258),"",I258-K258)</f>
        <v>0</v>
      </c>
      <c r="N258" s="130">
        <f t="shared" ref="N258:N265" si="118">SUM(O258:U258)</f>
        <v>0</v>
      </c>
      <c r="O258" s="409"/>
      <c r="P258" s="409"/>
      <c r="Q258" s="409"/>
      <c r="R258" s="409"/>
      <c r="S258" s="409"/>
      <c r="T258" s="409"/>
      <c r="U258" s="409"/>
      <c r="V258" s="132">
        <f t="shared" ref="V258:V264" si="119">SUM(X258:AA258)</f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30400010</v>
      </c>
      <c r="B259" s="400" t="s">
        <v>217</v>
      </c>
      <c r="C259" s="126" t="s">
        <v>186</v>
      </c>
      <c r="D259" s="108">
        <v>5.03</v>
      </c>
      <c r="E259" s="108"/>
      <c r="F259" s="127"/>
      <c r="G259" s="128"/>
      <c r="H259" s="401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409"/>
      <c r="P259" s="409"/>
      <c r="Q259" s="409"/>
      <c r="R259" s="409"/>
      <c r="S259" s="409"/>
      <c r="T259" s="409"/>
      <c r="U259" s="409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30400011</v>
      </c>
      <c r="B260" s="400" t="s">
        <v>217</v>
      </c>
      <c r="C260" s="126" t="s">
        <v>204</v>
      </c>
      <c r="D260" s="108">
        <v>5.03</v>
      </c>
      <c r="E260" s="108"/>
      <c r="F260" s="127"/>
      <c r="G260" s="128"/>
      <c r="H260" s="401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8.8000000000000007</v>
      </c>
      <c r="M260" s="109">
        <f t="shared" si="117"/>
        <v>0</v>
      </c>
      <c r="N260" s="130">
        <f t="shared" si="118"/>
        <v>0</v>
      </c>
      <c r="O260" s="409"/>
      <c r="P260" s="409"/>
      <c r="Q260" s="409"/>
      <c r="R260" s="409"/>
      <c r="S260" s="409"/>
      <c r="T260" s="409"/>
      <c r="U260" s="409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28"/>
      <c r="H261" s="401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409"/>
      <c r="P261" s="409"/>
      <c r="Q261" s="409"/>
      <c r="R261" s="409"/>
      <c r="S261" s="409"/>
      <c r="T261" s="409"/>
      <c r="U261" s="409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>
        <v>42736</v>
      </c>
      <c r="G262" s="128">
        <v>78</v>
      </c>
      <c r="H262" s="401">
        <f t="shared" si="116"/>
        <v>392.34000000000003</v>
      </c>
      <c r="I262" s="129">
        <v>8.5</v>
      </c>
      <c r="J262" s="130">
        <f t="array" ref="J262">IF(ISERROR(G262/I262),"",G262/I262)</f>
        <v>9.1764705882352935</v>
      </c>
      <c r="K262" s="131">
        <f t="array" ref="K262">IF(ISERROR(G262/L262),"",G262/L262)</f>
        <v>8.387096774193548</v>
      </c>
      <c r="L262" s="129">
        <v>9.3000000000000007</v>
      </c>
      <c r="M262" s="109">
        <f t="shared" si="117"/>
        <v>0.11290322580645196</v>
      </c>
      <c r="N262" s="130">
        <f t="shared" si="118"/>
        <v>0</v>
      </c>
      <c r="O262" s="409"/>
      <c r="P262" s="409"/>
      <c r="Q262" s="409"/>
      <c r="R262" s="409"/>
      <c r="S262" s="409"/>
      <c r="T262" s="409"/>
      <c r="U262" s="409"/>
      <c r="V262" s="132">
        <f t="shared" si="119"/>
        <v>0</v>
      </c>
      <c r="W262" s="133">
        <f t="shared" si="115"/>
        <v>0</v>
      </c>
      <c r="X262" s="132"/>
      <c r="Y262" s="132"/>
      <c r="Z262" s="132"/>
      <c r="AA262" s="132"/>
    </row>
    <row r="263" spans="1:27" ht="20.100000000000001" hidden="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/>
      <c r="G263" s="128"/>
      <c r="H263" s="401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7"/>
        <v>0</v>
      </c>
      <c r="N263" s="130">
        <f t="shared" si="118"/>
        <v>0</v>
      </c>
      <c r="O263" s="409"/>
      <c r="P263" s="409"/>
      <c r="Q263" s="409"/>
      <c r="R263" s="409"/>
      <c r="S263" s="409"/>
      <c r="T263" s="409"/>
      <c r="U263" s="409"/>
      <c r="V263" s="132">
        <f t="shared" si="119"/>
        <v>0</v>
      </c>
      <c r="W263" s="133" t="str">
        <f t="shared" si="115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/>
      <c r="G264" s="128"/>
      <c r="H264" s="401">
        <f t="shared" si="116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409"/>
      <c r="P264" s="409"/>
      <c r="Q264" s="409"/>
      <c r="R264" s="409"/>
      <c r="S264" s="409"/>
      <c r="T264" s="409"/>
      <c r="U264" s="409"/>
      <c r="V264" s="132">
        <f t="shared" si="119"/>
        <v>0</v>
      </c>
      <c r="W264" s="133" t="str">
        <f t="shared" si="115"/>
        <v/>
      </c>
      <c r="X264" s="132"/>
      <c r="Y264" s="132"/>
      <c r="Z264" s="132"/>
      <c r="AA264" s="132"/>
    </row>
    <row r="265" spans="1:27" ht="20.100000000000001" hidden="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/>
      <c r="G265" s="128"/>
      <c r="H265" s="401">
        <f t="shared" si="116"/>
        <v>0</v>
      </c>
      <c r="I265" s="129"/>
      <c r="J265" s="130"/>
      <c r="K265" s="131">
        <f t="array" ref="K265">IF(ISERROR(G265/L265),"",G265/L265)</f>
        <v>0</v>
      </c>
      <c r="L265" s="129">
        <v>9.3000000000000007</v>
      </c>
      <c r="M265" s="109">
        <f t="shared" si="117"/>
        <v>0</v>
      </c>
      <c r="N265" s="130">
        <f t="shared" si="118"/>
        <v>0</v>
      </c>
      <c r="O265" s="409"/>
      <c r="P265" s="409"/>
      <c r="Q265" s="409"/>
      <c r="R265" s="409"/>
      <c r="S265" s="409"/>
      <c r="T265" s="409"/>
      <c r="U265" s="409"/>
      <c r="V265" s="132"/>
      <c r="W265" s="133"/>
      <c r="X265" s="132"/>
      <c r="Y265" s="132"/>
      <c r="Z265" s="132"/>
      <c r="AA265" s="132"/>
    </row>
    <row r="266" spans="1:27" ht="20.100000000000001" hidden="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28"/>
      <c r="H266" s="401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09"/>
      <c r="P266" s="409"/>
      <c r="Q266" s="409"/>
      <c r="R266" s="409"/>
      <c r="S266" s="409"/>
      <c r="T266" s="409"/>
      <c r="U266" s="409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28"/>
      <c r="H267" s="401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409"/>
      <c r="P267" s="409"/>
      <c r="Q267" s="409"/>
      <c r="R267" s="409"/>
      <c r="S267" s="409"/>
      <c r="T267" s="409"/>
      <c r="U267" s="409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28"/>
      <c r="H268" s="401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409"/>
      <c r="P268" s="409"/>
      <c r="Q268" s="409"/>
      <c r="R268" s="409"/>
      <c r="S268" s="409"/>
      <c r="T268" s="409"/>
      <c r="U268" s="409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28"/>
      <c r="H269" s="401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409"/>
      <c r="P269" s="409"/>
      <c r="Q269" s="409"/>
      <c r="R269" s="409"/>
      <c r="S269" s="409"/>
      <c r="T269" s="409"/>
      <c r="U269" s="409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28"/>
      <c r="H270" s="401">
        <f t="shared" si="116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6" si="120">IF(ISERROR(I270-K270),"",I270-K270)</f>
        <v>0</v>
      </c>
      <c r="N270" s="130">
        <f t="shared" ref="N270:N285" si="121">SUM(O270:U270)</f>
        <v>0</v>
      </c>
      <c r="O270" s="409"/>
      <c r="P270" s="409"/>
      <c r="Q270" s="409"/>
      <c r="R270" s="409"/>
      <c r="S270" s="409"/>
      <c r="T270" s="409"/>
      <c r="U270" s="409"/>
      <c r="V270" s="132">
        <f t="shared" ref="V270:V273" si="122">SUM(X270:AA270)</f>
        <v>0</v>
      </c>
      <c r="W270" s="133" t="str">
        <f t="shared" ref="W270:W277" si="123">IF(ISERROR(V270/G270),"",V270/G270)</f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28"/>
      <c r="H271" s="401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409"/>
      <c r="P271" s="409"/>
      <c r="Q271" s="409"/>
      <c r="R271" s="409"/>
      <c r="S271" s="409"/>
      <c r="T271" s="409"/>
      <c r="U271" s="409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28"/>
      <c r="H272" s="401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409"/>
      <c r="P272" s="409"/>
      <c r="Q272" s="409"/>
      <c r="R272" s="409"/>
      <c r="S272" s="409"/>
      <c r="T272" s="409"/>
      <c r="U272" s="409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28"/>
      <c r="H273" s="401">
        <f t="shared" si="116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20"/>
        <v/>
      </c>
      <c r="N273" s="130">
        <f t="shared" si="121"/>
        <v>0</v>
      </c>
      <c r="O273" s="409"/>
      <c r="P273" s="409"/>
      <c r="Q273" s="409"/>
      <c r="R273" s="409"/>
      <c r="S273" s="409"/>
      <c r="T273" s="409"/>
      <c r="U273" s="409"/>
      <c r="V273" s="132">
        <f t="shared" si="122"/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30600005</v>
      </c>
      <c r="B274" s="400" t="s">
        <v>222</v>
      </c>
      <c r="C274" s="126" t="s">
        <v>181</v>
      </c>
      <c r="D274" s="108">
        <v>9.36</v>
      </c>
      <c r="E274" s="108"/>
      <c r="F274" s="127"/>
      <c r="G274" s="128"/>
      <c r="H274" s="401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409"/>
      <c r="P274" s="409"/>
      <c r="Q274" s="409"/>
      <c r="R274" s="409"/>
      <c r="S274" s="409"/>
      <c r="T274" s="409"/>
      <c r="U274" s="409"/>
      <c r="V274" s="132">
        <f t="shared" ref="V274:V277" si="124">SUM(X274:AA274)</f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30600008</v>
      </c>
      <c r="B275" s="400" t="s">
        <v>222</v>
      </c>
      <c r="C275" s="126" t="s">
        <v>179</v>
      </c>
      <c r="D275" s="108">
        <v>9.36</v>
      </c>
      <c r="E275" s="108"/>
      <c r="F275" s="127"/>
      <c r="G275" s="128"/>
      <c r="H275" s="401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409"/>
      <c r="P275" s="409"/>
      <c r="Q275" s="409"/>
      <c r="R275" s="409"/>
      <c r="S275" s="409"/>
      <c r="T275" s="409"/>
      <c r="U275" s="409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30600007</v>
      </c>
      <c r="B276" s="400" t="s">
        <v>222</v>
      </c>
      <c r="C276" s="126" t="s">
        <v>221</v>
      </c>
      <c r="D276" s="108">
        <v>9.36</v>
      </c>
      <c r="E276" s="108"/>
      <c r="F276" s="127"/>
      <c r="G276" s="128"/>
      <c r="H276" s="401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409"/>
      <c r="P276" s="409"/>
      <c r="Q276" s="409"/>
      <c r="R276" s="409"/>
      <c r="S276" s="409"/>
      <c r="T276" s="409"/>
      <c r="U276" s="409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304">
        <v>30600006</v>
      </c>
      <c r="B277" s="400" t="s">
        <v>222</v>
      </c>
      <c r="C277" s="126" t="s">
        <v>186</v>
      </c>
      <c r="D277" s="108">
        <v>9.36</v>
      </c>
      <c r="E277" s="108"/>
      <c r="F277" s="127"/>
      <c r="G277" s="128"/>
      <c r="H277" s="401">
        <f t="shared" si="116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20"/>
        <v>0</v>
      </c>
      <c r="N277" s="130">
        <f t="shared" si="121"/>
        <v>0</v>
      </c>
      <c r="O277" s="409"/>
      <c r="P277" s="409"/>
      <c r="Q277" s="409"/>
      <c r="R277" s="409"/>
      <c r="S277" s="409"/>
      <c r="T277" s="409"/>
      <c r="U277" s="409"/>
      <c r="V277" s="132">
        <f t="shared" si="124"/>
        <v>0</v>
      </c>
      <c r="W277" s="133" t="str">
        <f t="shared" si="123"/>
        <v/>
      </c>
      <c r="X277" s="132"/>
      <c r="Y277" s="132"/>
      <c r="Z277" s="132"/>
      <c r="AA277" s="132"/>
    </row>
    <row r="278" spans="1:27" ht="20.100000000000001" hidden="1" customHeight="1">
      <c r="A278" s="299">
        <v>30400026</v>
      </c>
      <c r="B278" s="400" t="s">
        <v>393</v>
      </c>
      <c r="C278" s="187" t="s">
        <v>395</v>
      </c>
      <c r="D278" s="108">
        <v>5</v>
      </c>
      <c r="E278" s="108"/>
      <c r="F278" s="127"/>
      <c r="G278" s="128"/>
      <c r="H278" s="401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409"/>
      <c r="P278" s="409"/>
      <c r="Q278" s="409"/>
      <c r="R278" s="409"/>
      <c r="S278" s="409"/>
      <c r="T278" s="409"/>
      <c r="U278" s="409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30400028</v>
      </c>
      <c r="B279" s="400" t="s">
        <v>393</v>
      </c>
      <c r="C279" s="187" t="s">
        <v>402</v>
      </c>
      <c r="D279" s="108">
        <v>5</v>
      </c>
      <c r="E279" s="108"/>
      <c r="F279" s="127"/>
      <c r="G279" s="128"/>
      <c r="H279" s="401">
        <f t="shared" si="116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409"/>
      <c r="P279" s="409"/>
      <c r="Q279" s="409"/>
      <c r="R279" s="409"/>
      <c r="S279" s="409"/>
      <c r="T279" s="409"/>
      <c r="U279" s="409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>
        <v>30400027</v>
      </c>
      <c r="B280" s="400" t="s">
        <v>404</v>
      </c>
      <c r="C280" s="187" t="s">
        <v>405</v>
      </c>
      <c r="D280" s="108">
        <v>5</v>
      </c>
      <c r="E280" s="108"/>
      <c r="F280" s="127"/>
      <c r="G280" s="128"/>
      <c r="H280" s="401">
        <f t="shared" si="116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409"/>
      <c r="P280" s="409"/>
      <c r="Q280" s="409"/>
      <c r="R280" s="409"/>
      <c r="S280" s="409"/>
      <c r="T280" s="409"/>
      <c r="U280" s="409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/>
      <c r="B281" s="400" t="s">
        <v>342</v>
      </c>
      <c r="C281" s="187" t="s">
        <v>372</v>
      </c>
      <c r="D281" s="108">
        <v>5</v>
      </c>
      <c r="E281" s="108"/>
      <c r="F281" s="127"/>
      <c r="G281" s="128"/>
      <c r="H281" s="401">
        <f t="shared" si="116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409"/>
      <c r="P281" s="409"/>
      <c r="Q281" s="409"/>
      <c r="R281" s="409"/>
      <c r="S281" s="409"/>
      <c r="T281" s="409"/>
      <c r="U281" s="409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30600009</v>
      </c>
      <c r="B282" s="400" t="s">
        <v>343</v>
      </c>
      <c r="C282" s="126" t="s">
        <v>345</v>
      </c>
      <c r="D282" s="108">
        <v>5</v>
      </c>
      <c r="E282" s="108"/>
      <c r="F282" s="127"/>
      <c r="G282" s="128"/>
      <c r="H282" s="401">
        <f t="shared" si="116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409"/>
      <c r="P282" s="409"/>
      <c r="Q282" s="409"/>
      <c r="R282" s="409"/>
      <c r="S282" s="409"/>
      <c r="T282" s="409"/>
      <c r="U282" s="409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30600010</v>
      </c>
      <c r="B283" s="400" t="s">
        <v>343</v>
      </c>
      <c r="C283" s="126" t="s">
        <v>347</v>
      </c>
      <c r="D283" s="108">
        <v>5</v>
      </c>
      <c r="E283" s="108"/>
      <c r="F283" s="127"/>
      <c r="G283" s="128"/>
      <c r="H283" s="401">
        <f t="shared" si="116"/>
        <v>0</v>
      </c>
      <c r="I283" s="129"/>
      <c r="J283" s="130"/>
      <c r="K283" s="131">
        <f t="array" ref="K283">IF(ISERROR(G283/L283),"",G283/L283)</f>
        <v>0</v>
      </c>
      <c r="L283" s="129">
        <v>5</v>
      </c>
      <c r="M283" s="109">
        <f t="shared" si="120"/>
        <v>0</v>
      </c>
      <c r="N283" s="130">
        <f t="shared" si="121"/>
        <v>0</v>
      </c>
      <c r="O283" s="409"/>
      <c r="P283" s="409"/>
      <c r="Q283" s="409"/>
      <c r="R283" s="409"/>
      <c r="S283" s="409"/>
      <c r="T283" s="409"/>
      <c r="U283" s="409"/>
      <c r="V283" s="132"/>
      <c r="W283" s="133"/>
      <c r="X283" s="132"/>
      <c r="Y283" s="132"/>
      <c r="Z283" s="132"/>
      <c r="AA283" s="132"/>
    </row>
    <row r="284" spans="1:27" ht="20.100000000000001" hidden="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/>
      <c r="G284" s="128"/>
      <c r="H284" s="401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409"/>
      <c r="P284" s="409"/>
      <c r="Q284" s="409"/>
      <c r="R284" s="409"/>
      <c r="S284" s="409"/>
      <c r="T284" s="409"/>
      <c r="U284" s="409"/>
      <c r="V284" s="132">
        <f t="shared" ref="V284:V285" si="125">SUM(X284:AA284)</f>
        <v>0</v>
      </c>
      <c r="W284" s="133" t="str">
        <f t="shared" ref="W284:W285" si="126">IF(ISERROR(V284/G284),"",V284/G284)</f>
        <v/>
      </c>
      <c r="X284" s="132"/>
      <c r="Y284" s="132"/>
      <c r="Z284" s="132"/>
      <c r="AA284" s="132"/>
    </row>
    <row r="285" spans="1:27" ht="20.100000000000001" hidden="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28"/>
      <c r="H285" s="401">
        <f t="shared" si="116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20"/>
        <v>0</v>
      </c>
      <c r="N285" s="130">
        <f t="shared" si="121"/>
        <v>0</v>
      </c>
      <c r="O285" s="409"/>
      <c r="P285" s="409"/>
      <c r="Q285" s="409"/>
      <c r="R285" s="409"/>
      <c r="S285" s="409"/>
      <c r="T285" s="409"/>
      <c r="U285" s="409"/>
      <c r="V285" s="132">
        <f t="shared" si="125"/>
        <v>0</v>
      </c>
      <c r="W285" s="133" t="str">
        <f t="shared" si="126"/>
        <v/>
      </c>
      <c r="X285" s="132"/>
      <c r="Y285" s="132"/>
      <c r="Z285" s="132"/>
      <c r="AA285" s="132"/>
    </row>
    <row r="286" spans="1:27" ht="20.100000000000001" customHeight="1">
      <c r="A286" s="299">
        <v>30400004</v>
      </c>
      <c r="B286" s="151" t="s">
        <v>419</v>
      </c>
      <c r="C286" s="187" t="s">
        <v>73</v>
      </c>
      <c r="D286" s="108">
        <v>5.03</v>
      </c>
      <c r="E286" s="108"/>
      <c r="F286" s="127">
        <v>42736</v>
      </c>
      <c r="G286" s="128">
        <f>90+90</f>
        <v>180</v>
      </c>
      <c r="H286" s="401">
        <f t="shared" si="116"/>
        <v>905.40000000000009</v>
      </c>
      <c r="I286" s="129">
        <f>6*8</f>
        <v>48</v>
      </c>
      <c r="J286" s="130">
        <f t="array" ref="J286">IF(ISERROR(G286/I286),"",G286/I286)</f>
        <v>3.75</v>
      </c>
      <c r="K286" s="131">
        <f t="array" ref="K286">IF(ISERROR(G286/L286),"",G286/L286)</f>
        <v>7.5</v>
      </c>
      <c r="L286" s="129">
        <v>24</v>
      </c>
      <c r="M286" s="109">
        <f t="shared" si="120"/>
        <v>40.5</v>
      </c>
      <c r="N286" s="130"/>
      <c r="O286" s="409"/>
      <c r="P286" s="409"/>
      <c r="Q286" s="409"/>
      <c r="R286" s="409"/>
      <c r="S286" s="409"/>
      <c r="T286" s="409"/>
      <c r="U286" s="409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/>
      <c r="G287" s="128"/>
      <c r="H287" s="401">
        <f t="shared" si="116"/>
        <v>0</v>
      </c>
      <c r="I287" s="129"/>
      <c r="J287" s="130"/>
      <c r="K287" s="131"/>
      <c r="L287" s="129">
        <v>24</v>
      </c>
      <c r="M287" s="109"/>
      <c r="N287" s="130"/>
      <c r="O287" s="409"/>
      <c r="P287" s="409"/>
      <c r="Q287" s="409"/>
      <c r="R287" s="409"/>
      <c r="S287" s="409"/>
      <c r="T287" s="409"/>
      <c r="U287" s="409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/>
      <c r="G288" s="128"/>
      <c r="H288" s="401">
        <f t="shared" si="116"/>
        <v>0</v>
      </c>
      <c r="I288" s="129"/>
      <c r="J288" s="130"/>
      <c r="K288" s="131"/>
      <c r="L288" s="129">
        <v>24</v>
      </c>
      <c r="M288" s="109"/>
      <c r="N288" s="130"/>
      <c r="O288" s="409"/>
      <c r="P288" s="409"/>
      <c r="Q288" s="409"/>
      <c r="R288" s="409"/>
      <c r="S288" s="409"/>
      <c r="T288" s="409"/>
      <c r="U288" s="409"/>
      <c r="V288" s="132"/>
      <c r="W288" s="133"/>
      <c r="X288" s="132"/>
      <c r="Y288" s="132"/>
      <c r="Z288" s="132"/>
      <c r="AA288" s="132"/>
    </row>
    <row r="289" spans="1:27" ht="20.100000000000001" hidden="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/>
      <c r="G289" s="128"/>
      <c r="H289" s="401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ref="M289:M291" si="127">IF(ISERROR(I289-K289),"",I289-K289)</f>
        <v>0</v>
      </c>
      <c r="N289" s="130">
        <f t="shared" ref="N289:N291" si="128">SUM(O289:U289)</f>
        <v>0</v>
      </c>
      <c r="O289" s="409"/>
      <c r="P289" s="409"/>
      <c r="Q289" s="409"/>
      <c r="R289" s="409"/>
      <c r="S289" s="409"/>
      <c r="T289" s="409"/>
      <c r="U289" s="409"/>
      <c r="V289" s="132">
        <f t="shared" ref="V289:V291" si="129">SUM(X289:AA289)</f>
        <v>0</v>
      </c>
      <c r="W289" s="133" t="str">
        <f t="shared" ref="W289:W313" si="130">IF(ISERROR(V289/G289),"",V289/G289)</f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28"/>
      <c r="H290" s="401">
        <f t="shared" si="116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409"/>
      <c r="P290" s="409"/>
      <c r="Q290" s="409"/>
      <c r="R290" s="409"/>
      <c r="S290" s="409"/>
      <c r="T290" s="409"/>
      <c r="U290" s="409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hidden="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/>
      <c r="G291" s="128"/>
      <c r="H291" s="401">
        <f t="shared" si="116"/>
        <v>0</v>
      </c>
      <c r="I291" s="129"/>
      <c r="J291" s="130" t="str">
        <f t="array" ref="J291">IF(ISERROR(G291/I291),"",G291/I291)</f>
        <v/>
      </c>
      <c r="K291" s="401">
        <f t="array" ref="K291">IF(ISERROR(G291/L291),"",G291/L291)</f>
        <v>0</v>
      </c>
      <c r="L291" s="129">
        <v>9</v>
      </c>
      <c r="M291" s="109">
        <f t="shared" si="127"/>
        <v>0</v>
      </c>
      <c r="N291" s="130">
        <f t="shared" si="128"/>
        <v>0</v>
      </c>
      <c r="O291" s="409"/>
      <c r="P291" s="409"/>
      <c r="Q291" s="409"/>
      <c r="R291" s="409"/>
      <c r="S291" s="409"/>
      <c r="T291" s="409"/>
      <c r="U291" s="409"/>
      <c r="V291" s="132">
        <f t="shared" si="129"/>
        <v>0</v>
      </c>
      <c r="W291" s="133" t="str">
        <f t="shared" si="130"/>
        <v/>
      </c>
      <c r="X291" s="132"/>
      <c r="Y291" s="132"/>
      <c r="Z291" s="132"/>
      <c r="AA291" s="132"/>
    </row>
    <row r="292" spans="1:27" ht="20.100000000000001" customHeight="1">
      <c r="A292" s="578" t="s">
        <v>224</v>
      </c>
      <c r="B292" s="579"/>
      <c r="C292" s="410" t="s">
        <v>202</v>
      </c>
      <c r="D292" s="143"/>
      <c r="E292" s="143"/>
      <c r="F292" s="144"/>
      <c r="G292" s="145">
        <f>SUM(G258:G291)</f>
        <v>258</v>
      </c>
      <c r="H292" s="146">
        <f>SUM(H258:H291)</f>
        <v>1297.7400000000002</v>
      </c>
      <c r="I292" s="146">
        <f>SUM(I258:I291)</f>
        <v>56.5</v>
      </c>
      <c r="J292" s="130">
        <f t="array" ref="J292">IF(ISERROR(G292/I292),"",G292/I292)</f>
        <v>4.5663716814159292</v>
      </c>
      <c r="K292" s="146">
        <f>SUM(K258:K291)</f>
        <v>15.887096774193548</v>
      </c>
      <c r="L292" s="147"/>
      <c r="M292" s="150">
        <f t="shared" ref="M292:V292" si="131">SUM(M258:M291)</f>
        <v>40.612903225806448</v>
      </c>
      <c r="N292" s="146">
        <f t="shared" si="131"/>
        <v>0</v>
      </c>
      <c r="O292" s="148">
        <f t="shared" si="131"/>
        <v>0</v>
      </c>
      <c r="P292" s="148">
        <f t="shared" si="131"/>
        <v>0</v>
      </c>
      <c r="Q292" s="148">
        <f t="shared" si="131"/>
        <v>0</v>
      </c>
      <c r="R292" s="148">
        <f t="shared" si="131"/>
        <v>0</v>
      </c>
      <c r="S292" s="148">
        <f t="shared" si="131"/>
        <v>0</v>
      </c>
      <c r="T292" s="148">
        <f t="shared" si="131"/>
        <v>0</v>
      </c>
      <c r="U292" s="148">
        <f t="shared" si="131"/>
        <v>0</v>
      </c>
      <c r="V292" s="149">
        <f t="shared" si="131"/>
        <v>0</v>
      </c>
      <c r="W292" s="133">
        <f t="shared" si="130"/>
        <v>0</v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hidden="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/>
      <c r="G293" s="128"/>
      <c r="H293" s="401">
        <f t="shared" ref="H293:H307" si="132">D293*G293</f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ref="M293:M307" si="133">IF(ISERROR(I293-K293),"",I293-K293)</f>
        <v>0</v>
      </c>
      <c r="N293" s="130">
        <f t="shared" ref="N293:N307" si="134">SUM(O293:U293)</f>
        <v>0</v>
      </c>
      <c r="O293" s="409"/>
      <c r="P293" s="409"/>
      <c r="Q293" s="409"/>
      <c r="R293" s="409"/>
      <c r="S293" s="409"/>
      <c r="T293" s="409"/>
      <c r="U293" s="409"/>
      <c r="V293" s="132">
        <f t="shared" ref="V293:V307" si="135">SUM(X293:AA293)</f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hidden="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/>
      <c r="G294" s="128"/>
      <c r="H294" s="401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25</v>
      </c>
      <c r="M294" s="109">
        <f t="shared" si="133"/>
        <v>0</v>
      </c>
      <c r="N294" s="130">
        <f t="shared" si="134"/>
        <v>0</v>
      </c>
      <c r="O294" s="409"/>
      <c r="P294" s="409"/>
      <c r="Q294" s="409"/>
      <c r="R294" s="409"/>
      <c r="S294" s="409"/>
      <c r="T294" s="409"/>
      <c r="U294" s="409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hidden="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/>
      <c r="G295" s="128"/>
      <c r="H295" s="401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20</v>
      </c>
      <c r="M295" s="109">
        <f t="shared" si="133"/>
        <v>0</v>
      </c>
      <c r="N295" s="130">
        <f t="shared" si="134"/>
        <v>0</v>
      </c>
      <c r="O295" s="409"/>
      <c r="P295" s="409"/>
      <c r="Q295" s="409"/>
      <c r="R295" s="409"/>
      <c r="S295" s="409"/>
      <c r="T295" s="409"/>
      <c r="U295" s="409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28"/>
      <c r="H296" s="401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409"/>
      <c r="P296" s="409"/>
      <c r="Q296" s="409"/>
      <c r="R296" s="409"/>
      <c r="S296" s="409"/>
      <c r="T296" s="409"/>
      <c r="U296" s="409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30100054</v>
      </c>
      <c r="B297" s="140" t="s">
        <v>227</v>
      </c>
      <c r="C297" s="408" t="s">
        <v>203</v>
      </c>
      <c r="D297" s="108">
        <v>5.03</v>
      </c>
      <c r="E297" s="108"/>
      <c r="F297" s="127"/>
      <c r="G297" s="128"/>
      <c r="H297" s="401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409"/>
      <c r="P297" s="409"/>
      <c r="Q297" s="409"/>
      <c r="R297" s="409"/>
      <c r="S297" s="409"/>
      <c r="T297" s="409"/>
      <c r="U297" s="409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/>
      <c r="G298" s="128"/>
      <c r="H298" s="401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409"/>
      <c r="P298" s="409"/>
      <c r="Q298" s="409"/>
      <c r="R298" s="409"/>
      <c r="S298" s="409"/>
      <c r="T298" s="409"/>
      <c r="U298" s="409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28"/>
      <c r="H299" s="401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409"/>
      <c r="P299" s="409"/>
      <c r="Q299" s="409"/>
      <c r="R299" s="409"/>
      <c r="S299" s="409"/>
      <c r="T299" s="409"/>
      <c r="U299" s="409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/>
      <c r="B300" s="140" t="s">
        <v>227</v>
      </c>
      <c r="C300" s="408" t="s">
        <v>228</v>
      </c>
      <c r="D300" s="108">
        <v>5.03</v>
      </c>
      <c r="E300" s="108"/>
      <c r="F300" s="127"/>
      <c r="G300" s="128"/>
      <c r="H300" s="401">
        <f t="shared" si="132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3"/>
        <v>0</v>
      </c>
      <c r="N300" s="130">
        <f t="shared" si="134"/>
        <v>0</v>
      </c>
      <c r="O300" s="409"/>
      <c r="P300" s="409"/>
      <c r="Q300" s="409"/>
      <c r="R300" s="409"/>
      <c r="S300" s="409"/>
      <c r="T300" s="409"/>
      <c r="U300" s="409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30101067</v>
      </c>
      <c r="B301" s="140" t="s">
        <v>229</v>
      </c>
      <c r="C301" s="408" t="s">
        <v>212</v>
      </c>
      <c r="D301" s="108">
        <v>5.03</v>
      </c>
      <c r="E301" s="108"/>
      <c r="F301" s="127"/>
      <c r="G301" s="128"/>
      <c r="H301" s="401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409"/>
      <c r="P301" s="409"/>
      <c r="Q301" s="409"/>
      <c r="R301" s="409"/>
      <c r="S301" s="409"/>
      <c r="T301" s="409"/>
      <c r="U301" s="409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30101068</v>
      </c>
      <c r="B302" s="140" t="s">
        <v>229</v>
      </c>
      <c r="C302" s="408" t="s">
        <v>203</v>
      </c>
      <c r="D302" s="108">
        <v>5.03</v>
      </c>
      <c r="E302" s="108"/>
      <c r="F302" s="127"/>
      <c r="G302" s="128"/>
      <c r="H302" s="401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409"/>
      <c r="P302" s="409"/>
      <c r="Q302" s="409"/>
      <c r="R302" s="409"/>
      <c r="S302" s="409"/>
      <c r="T302" s="409"/>
      <c r="U302" s="409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30101069</v>
      </c>
      <c r="B303" s="140" t="s">
        <v>229</v>
      </c>
      <c r="C303" s="408" t="s">
        <v>186</v>
      </c>
      <c r="D303" s="108">
        <v>5.03</v>
      </c>
      <c r="E303" s="108"/>
      <c r="F303" s="127"/>
      <c r="G303" s="128"/>
      <c r="H303" s="401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409"/>
      <c r="P303" s="409"/>
      <c r="Q303" s="409"/>
      <c r="R303" s="409"/>
      <c r="S303" s="409"/>
      <c r="T303" s="409"/>
      <c r="U303" s="409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30101070</v>
      </c>
      <c r="B304" s="140" t="s">
        <v>229</v>
      </c>
      <c r="C304" s="408" t="s">
        <v>228</v>
      </c>
      <c r="D304" s="108">
        <v>5.03</v>
      </c>
      <c r="E304" s="108"/>
      <c r="F304" s="127"/>
      <c r="G304" s="128"/>
      <c r="H304" s="401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409"/>
      <c r="P304" s="409"/>
      <c r="Q304" s="409"/>
      <c r="R304" s="409"/>
      <c r="S304" s="409"/>
      <c r="T304" s="409"/>
      <c r="U304" s="409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299">
        <v>30101071</v>
      </c>
      <c r="B305" s="140" t="s">
        <v>229</v>
      </c>
      <c r="C305" s="408" t="s">
        <v>199</v>
      </c>
      <c r="D305" s="108">
        <v>5.03</v>
      </c>
      <c r="E305" s="108"/>
      <c r="F305" s="127"/>
      <c r="G305" s="128"/>
      <c r="H305" s="401">
        <f t="shared" si="132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3"/>
        <v/>
      </c>
      <c r="N305" s="130">
        <f t="shared" si="134"/>
        <v>0</v>
      </c>
      <c r="O305" s="409"/>
      <c r="P305" s="409"/>
      <c r="Q305" s="409"/>
      <c r="R305" s="409"/>
      <c r="S305" s="409"/>
      <c r="T305" s="409"/>
      <c r="U305" s="409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>
        <v>42736</v>
      </c>
      <c r="G306" s="128">
        <f>90*4</f>
        <v>360</v>
      </c>
      <c r="H306" s="401">
        <f t="shared" si="132"/>
        <v>1821.6</v>
      </c>
      <c r="I306" s="129">
        <v>15</v>
      </c>
      <c r="J306" s="130">
        <f t="array" ref="J306">IF(ISERROR(G306/I306),"",G306/I306)</f>
        <v>24</v>
      </c>
      <c r="K306" s="131">
        <f t="array" ref="K306">IF(ISERROR(G306/L306),"",G306/L306)</f>
        <v>14.4</v>
      </c>
      <c r="L306" s="129">
        <v>25</v>
      </c>
      <c r="M306" s="109">
        <f t="shared" si="133"/>
        <v>0.59999999999999964</v>
      </c>
      <c r="N306" s="130">
        <f t="shared" si="134"/>
        <v>0</v>
      </c>
      <c r="O306" s="409"/>
      <c r="P306" s="409"/>
      <c r="Q306" s="409"/>
      <c r="R306" s="409"/>
      <c r="S306" s="409"/>
      <c r="T306" s="409"/>
      <c r="U306" s="409"/>
      <c r="V306" s="132">
        <f t="shared" si="135"/>
        <v>0</v>
      </c>
      <c r="W306" s="133">
        <f t="shared" si="130"/>
        <v>0</v>
      </c>
      <c r="X306" s="132"/>
      <c r="Y306" s="132"/>
      <c r="Z306" s="132"/>
      <c r="AA306" s="132"/>
    </row>
    <row r="307" spans="1:27" ht="20.100000000000001" hidden="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/>
      <c r="G307" s="128"/>
      <c r="H307" s="401">
        <f t="shared" si="132"/>
        <v>0</v>
      </c>
      <c r="I307" s="129"/>
      <c r="J307" s="130" t="str">
        <f t="array" ref="J307">IF(ISERROR(G307/I307),"",G307/I307)</f>
        <v/>
      </c>
      <c r="K307" s="131">
        <f t="array" ref="K307">IF(ISERROR(G307/L307),"",G307/L307)</f>
        <v>0</v>
      </c>
      <c r="L307" s="129">
        <v>25</v>
      </c>
      <c r="M307" s="109">
        <f t="shared" si="133"/>
        <v>0</v>
      </c>
      <c r="N307" s="130">
        <f t="shared" si="134"/>
        <v>0</v>
      </c>
      <c r="O307" s="409"/>
      <c r="P307" s="409"/>
      <c r="Q307" s="409"/>
      <c r="R307" s="409"/>
      <c r="S307" s="409"/>
      <c r="T307" s="409"/>
      <c r="U307" s="409"/>
      <c r="V307" s="132">
        <f t="shared" si="135"/>
        <v>0</v>
      </c>
      <c r="W307" s="133" t="str">
        <f t="shared" si="130"/>
        <v/>
      </c>
      <c r="X307" s="132"/>
      <c r="Y307" s="132"/>
      <c r="Z307" s="132"/>
      <c r="AA307" s="132"/>
    </row>
    <row r="308" spans="1:27" ht="20.100000000000001" customHeight="1">
      <c r="A308" s="578" t="s">
        <v>231</v>
      </c>
      <c r="B308" s="579"/>
      <c r="C308" s="410" t="s">
        <v>202</v>
      </c>
      <c r="D308" s="143"/>
      <c r="E308" s="143"/>
      <c r="F308" s="144"/>
      <c r="G308" s="145">
        <f>SUM(G293:G307)</f>
        <v>360</v>
      </c>
      <c r="H308" s="146">
        <f>SUM(H293:H307)</f>
        <v>1821.6</v>
      </c>
      <c r="I308" s="146">
        <f>SUM(I293:I307)</f>
        <v>15</v>
      </c>
      <c r="J308" s="130">
        <f t="array" ref="J308">IF(ISERROR(G308/I308),"",G308/I308)</f>
        <v>24</v>
      </c>
      <c r="K308" s="146">
        <f>SUM(K293:K307)</f>
        <v>14.4</v>
      </c>
      <c r="L308" s="146"/>
      <c r="M308" s="150">
        <f>SUM(M293:M307)</f>
        <v>0.59999999999999964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>
        <f t="shared" si="130"/>
        <v>0</v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hidden="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28"/>
      <c r="H309" s="401">
        <f t="shared" ref="H309:H318" si="136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3" si="137">IF(ISERROR(I309-K309),"",I309-K309)</f>
        <v>0</v>
      </c>
      <c r="N309" s="130">
        <f t="shared" ref="N309:N313" si="138">SUM(O309:U309)</f>
        <v>0</v>
      </c>
      <c r="O309" s="409"/>
      <c r="P309" s="409"/>
      <c r="Q309" s="409"/>
      <c r="R309" s="409"/>
      <c r="S309" s="409"/>
      <c r="T309" s="409"/>
      <c r="U309" s="409"/>
      <c r="V309" s="132">
        <f t="shared" ref="V309:V313" si="139">SUM(X309:AA309)</f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28"/>
      <c r="H310" s="401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409"/>
      <c r="P310" s="409"/>
      <c r="Q310" s="409"/>
      <c r="R310" s="409"/>
      <c r="S310" s="409"/>
      <c r="T310" s="409"/>
      <c r="U310" s="409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28"/>
      <c r="H311" s="401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409"/>
      <c r="P311" s="409"/>
      <c r="Q311" s="409"/>
      <c r="R311" s="409"/>
      <c r="S311" s="409"/>
      <c r="T311" s="409"/>
      <c r="U311" s="409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28"/>
      <c r="H312" s="401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409"/>
      <c r="P312" s="409"/>
      <c r="Q312" s="409"/>
      <c r="R312" s="409"/>
      <c r="S312" s="409"/>
      <c r="T312" s="409"/>
      <c r="U312" s="409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28"/>
      <c r="H313" s="401">
        <f t="shared" si="136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37"/>
        <v>0</v>
      </c>
      <c r="N313" s="130">
        <f t="shared" si="138"/>
        <v>0</v>
      </c>
      <c r="O313" s="409"/>
      <c r="P313" s="409"/>
      <c r="Q313" s="409"/>
      <c r="R313" s="409"/>
      <c r="S313" s="409"/>
      <c r="T313" s="409"/>
      <c r="U313" s="409"/>
      <c r="V313" s="132">
        <f t="shared" si="139"/>
        <v>0</v>
      </c>
      <c r="W313" s="133" t="str">
        <f t="shared" si="130"/>
        <v/>
      </c>
      <c r="X313" s="132"/>
      <c r="Y313" s="132"/>
      <c r="Z313" s="132"/>
      <c r="AA313" s="132"/>
    </row>
    <row r="314" spans="1:27" ht="20.100000000000001" hidden="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/>
      <c r="G314" s="128"/>
      <c r="H314" s="401">
        <f t="shared" si="136"/>
        <v>0</v>
      </c>
      <c r="I314" s="129"/>
      <c r="J314" s="130"/>
      <c r="K314" s="131"/>
      <c r="L314" s="129">
        <v>13.5</v>
      </c>
      <c r="M314" s="109"/>
      <c r="N314" s="130"/>
      <c r="O314" s="409"/>
      <c r="P314" s="409"/>
      <c r="Q314" s="409"/>
      <c r="R314" s="409"/>
      <c r="S314" s="409"/>
      <c r="T314" s="409"/>
      <c r="U314" s="409"/>
      <c r="V314" s="132"/>
      <c r="W314" s="133"/>
      <c r="X314" s="132"/>
      <c r="Y314" s="132"/>
      <c r="Z314" s="132"/>
      <c r="AA314" s="132"/>
    </row>
    <row r="315" spans="1:27" ht="20.100000000000001" hidden="1" customHeight="1">
      <c r="A315" s="300">
        <v>30400020</v>
      </c>
      <c r="B315" s="134" t="s">
        <v>439</v>
      </c>
      <c r="C315" s="187" t="s">
        <v>74</v>
      </c>
      <c r="D315" s="108">
        <v>5.03</v>
      </c>
      <c r="E315" s="108"/>
      <c r="F315" s="127"/>
      <c r="G315" s="128"/>
      <c r="H315" s="401">
        <f t="shared" si="136"/>
        <v>0</v>
      </c>
      <c r="I315" s="129"/>
      <c r="J315" s="130"/>
      <c r="K315" s="131"/>
      <c r="L315" s="129">
        <v>13.5</v>
      </c>
      <c r="M315" s="109"/>
      <c r="N315" s="130"/>
      <c r="O315" s="409"/>
      <c r="P315" s="409"/>
      <c r="Q315" s="409"/>
      <c r="R315" s="409"/>
      <c r="S315" s="409"/>
      <c r="T315" s="409"/>
      <c r="U315" s="409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30400021</v>
      </c>
      <c r="B316" s="134" t="s">
        <v>439</v>
      </c>
      <c r="C316" s="187" t="s">
        <v>53</v>
      </c>
      <c r="D316" s="108">
        <v>5.03</v>
      </c>
      <c r="E316" s="108"/>
      <c r="F316" s="127"/>
      <c r="G316" s="128"/>
      <c r="H316" s="401">
        <f t="shared" si="136"/>
        <v>0</v>
      </c>
      <c r="I316" s="129"/>
      <c r="J316" s="130"/>
      <c r="K316" s="131"/>
      <c r="L316" s="129">
        <v>13.5</v>
      </c>
      <c r="M316" s="109"/>
      <c r="N316" s="130"/>
      <c r="O316" s="409"/>
      <c r="P316" s="409"/>
      <c r="Q316" s="409"/>
      <c r="R316" s="409"/>
      <c r="S316" s="409"/>
      <c r="T316" s="409"/>
      <c r="U316" s="409"/>
      <c r="V316" s="132"/>
      <c r="W316" s="133"/>
      <c r="X316" s="132"/>
      <c r="Y316" s="132"/>
      <c r="Z316" s="132"/>
      <c r="AA316" s="132"/>
    </row>
    <row r="317" spans="1:27" ht="20.10000000000000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/>
      <c r="G317" s="128"/>
      <c r="H317" s="438">
        <f t="shared" si="136"/>
        <v>0</v>
      </c>
      <c r="I317" s="129"/>
      <c r="J317" s="130"/>
      <c r="K317" s="131"/>
      <c r="L317" s="129"/>
      <c r="M317" s="109"/>
      <c r="N317" s="130"/>
      <c r="O317" s="446"/>
      <c r="P317" s="446"/>
      <c r="Q317" s="446"/>
      <c r="R317" s="446"/>
      <c r="S317" s="446"/>
      <c r="T317" s="446"/>
      <c r="U317" s="446"/>
      <c r="V317" s="132"/>
      <c r="W317" s="133"/>
      <c r="X317" s="132"/>
      <c r="Y317" s="132"/>
      <c r="Z317" s="132"/>
      <c r="AA317" s="132"/>
    </row>
    <row r="318" spans="1:27" ht="20.100000000000001" hidden="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28"/>
      <c r="H318" s="401">
        <f t="shared" si="136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ref="M318" si="140">IF(ISERROR(I318-K318),"",I318-K318)</f>
        <v>0</v>
      </c>
      <c r="N318" s="130">
        <f t="shared" ref="N318" si="141">SUM(O318:U318)</f>
        <v>0</v>
      </c>
      <c r="O318" s="409"/>
      <c r="P318" s="409"/>
      <c r="Q318" s="409"/>
      <c r="R318" s="409"/>
      <c r="S318" s="409"/>
      <c r="T318" s="409"/>
      <c r="U318" s="409"/>
      <c r="V318" s="132">
        <f t="shared" ref="V318" si="142">SUM(X318:AA318)</f>
        <v>0</v>
      </c>
      <c r="W318" s="133" t="str">
        <f t="shared" ref="W318:W323" si="143">IF(ISERROR(V318/G318),"",V318/G318)</f>
        <v/>
      </c>
      <c r="X318" s="132"/>
      <c r="Y318" s="132"/>
      <c r="Z318" s="132"/>
      <c r="AA318" s="132"/>
    </row>
    <row r="319" spans="1:27" ht="20.100000000000001" hidden="1" customHeight="1">
      <c r="A319" s="578" t="s">
        <v>234</v>
      </c>
      <c r="B319" s="579"/>
      <c r="C319" s="410" t="s">
        <v>202</v>
      </c>
      <c r="D319" s="143"/>
      <c r="E319" s="143"/>
      <c r="F319" s="144"/>
      <c r="G319" s="145">
        <f>SUM(G309:G318)</f>
        <v>0</v>
      </c>
      <c r="H319" s="146">
        <f>SUM(H309:H318)</f>
        <v>0</v>
      </c>
      <c r="I319" s="146">
        <f>SUM(I309:I318)</f>
        <v>0</v>
      </c>
      <c r="J319" s="130" t="str">
        <f t="array" ref="J319">IF(ISERROR(G319/I319),"",G319/I319)</f>
        <v/>
      </c>
      <c r="K319" s="146">
        <f>SUM(K309:K318)</f>
        <v>0</v>
      </c>
      <c r="L319" s="147"/>
      <c r="M319" s="150">
        <f>SUM(M309:M318)</f>
        <v>0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 t="str">
        <f t="shared" si="143"/>
        <v/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hidden="1" customHeight="1">
      <c r="A320" s="299">
        <v>30700013</v>
      </c>
      <c r="B320" s="141" t="s">
        <v>235</v>
      </c>
      <c r="C320" s="406"/>
      <c r="D320" s="108">
        <v>3.65</v>
      </c>
      <c r="E320" s="108"/>
      <c r="F320" s="153"/>
      <c r="G320" s="128"/>
      <c r="H320" s="401">
        <f t="shared" ref="H320:H333" si="144">D320*G320</f>
        <v>0</v>
      </c>
      <c r="I320" s="129"/>
      <c r="J320" s="130" t="str">
        <f t="array" ref="J320">IF(ISERROR(G320/I320),"",G320/I320)</f>
        <v/>
      </c>
      <c r="K320" s="401">
        <f t="array" ref="K320">IF(ISERROR(G320/L320),"",G320/L320)</f>
        <v>0</v>
      </c>
      <c r="L320" s="129">
        <v>5</v>
      </c>
      <c r="M320" s="109">
        <f t="shared" ref="M320:M323" si="145">IF(ISERROR(I320-K320),"",I320-K320)</f>
        <v>0</v>
      </c>
      <c r="N320" s="130">
        <f t="shared" ref="N320:N323" si="146">SUM(O320:U320)</f>
        <v>0</v>
      </c>
      <c r="O320" s="409"/>
      <c r="P320" s="409"/>
      <c r="Q320" s="409"/>
      <c r="R320" s="409"/>
      <c r="S320" s="409"/>
      <c r="T320" s="409"/>
      <c r="U320" s="409"/>
      <c r="V320" s="132">
        <f t="shared" ref="V320:V323" si="147">SUM(X320:AA320)</f>
        <v>0</v>
      </c>
      <c r="W320" s="133" t="str">
        <f t="shared" si="143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30700014</v>
      </c>
      <c r="B321" s="141" t="s">
        <v>236</v>
      </c>
      <c r="C321" s="406"/>
      <c r="D321" s="108">
        <v>6.58</v>
      </c>
      <c r="E321" s="108"/>
      <c r="F321" s="127"/>
      <c r="G321" s="128"/>
      <c r="H321" s="401">
        <f t="shared" si="144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</v>
      </c>
      <c r="M321" s="109">
        <f t="shared" si="145"/>
        <v>0</v>
      </c>
      <c r="N321" s="130">
        <f t="shared" si="146"/>
        <v>0</v>
      </c>
      <c r="O321" s="409"/>
      <c r="P321" s="409"/>
      <c r="Q321" s="409"/>
      <c r="R321" s="409"/>
      <c r="S321" s="409"/>
      <c r="T321" s="409"/>
      <c r="U321" s="409"/>
      <c r="V321" s="132">
        <f t="shared" si="147"/>
        <v>0</v>
      </c>
      <c r="W321" s="133" t="str">
        <f t="shared" si="143"/>
        <v/>
      </c>
      <c r="X321" s="132"/>
      <c r="Y321" s="132"/>
      <c r="Z321" s="132"/>
      <c r="AA321" s="132"/>
    </row>
    <row r="322" spans="1:27" ht="20.100000000000001" hidden="1" customHeight="1">
      <c r="A322" s="299">
        <v>30700016</v>
      </c>
      <c r="B322" s="141" t="s">
        <v>237</v>
      </c>
      <c r="C322" s="406"/>
      <c r="D322" s="108">
        <v>7.8</v>
      </c>
      <c r="E322" s="108"/>
      <c r="F322" s="127"/>
      <c r="G322" s="128"/>
      <c r="H322" s="401">
        <f t="shared" si="144"/>
        <v>0</v>
      </c>
      <c r="I322" s="129"/>
      <c r="J322" s="130" t="str">
        <f t="array" ref="J322">IF(ISERROR(G322/I322),"",G322/I322)</f>
        <v/>
      </c>
      <c r="K322" s="131">
        <f t="array" ref="K322">IF(ISERROR(G322/L322),"",G322/L322)</f>
        <v>0</v>
      </c>
      <c r="L322" s="129">
        <v>4.5999999999999996</v>
      </c>
      <c r="M322" s="109">
        <f t="shared" si="145"/>
        <v>0</v>
      </c>
      <c r="N322" s="130">
        <f t="shared" si="146"/>
        <v>0</v>
      </c>
      <c r="O322" s="409"/>
      <c r="P322" s="409"/>
      <c r="Q322" s="409"/>
      <c r="R322" s="409"/>
      <c r="S322" s="409"/>
      <c r="T322" s="409"/>
      <c r="U322" s="409"/>
      <c r="V322" s="132">
        <f t="shared" si="147"/>
        <v>0</v>
      </c>
      <c r="W322" s="133" t="str">
        <f t="shared" si="143"/>
        <v/>
      </c>
      <c r="X322" s="132"/>
      <c r="Y322" s="132"/>
      <c r="Z322" s="132"/>
      <c r="AA322" s="132"/>
    </row>
    <row r="323" spans="1:27" ht="20.100000000000001" hidden="1" customHeight="1">
      <c r="A323" s="299">
        <v>30700017</v>
      </c>
      <c r="B323" s="141" t="s">
        <v>238</v>
      </c>
      <c r="C323" s="406"/>
      <c r="D323" s="108">
        <v>4.4000000000000004</v>
      </c>
      <c r="E323" s="108"/>
      <c r="F323" s="127"/>
      <c r="G323" s="128"/>
      <c r="H323" s="401">
        <f t="shared" si="144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5.8</v>
      </c>
      <c r="M323" s="109">
        <f t="shared" si="145"/>
        <v>0</v>
      </c>
      <c r="N323" s="130">
        <f t="shared" si="146"/>
        <v>0</v>
      </c>
      <c r="O323" s="409"/>
      <c r="P323" s="409"/>
      <c r="Q323" s="409"/>
      <c r="R323" s="409"/>
      <c r="S323" s="409"/>
      <c r="T323" s="409"/>
      <c r="U323" s="409"/>
      <c r="V323" s="132">
        <f t="shared" si="147"/>
        <v>0</v>
      </c>
      <c r="W323" s="133" t="str">
        <f t="shared" si="143"/>
        <v/>
      </c>
      <c r="X323" s="132"/>
      <c r="Y323" s="132"/>
      <c r="Z323" s="132"/>
      <c r="AA323" s="132"/>
    </row>
    <row r="324" spans="1:27" ht="20.100000000000001" hidden="1" customHeight="1">
      <c r="A324" s="299">
        <v>30700001</v>
      </c>
      <c r="B324" s="127" t="s">
        <v>359</v>
      </c>
      <c r="C324" s="406"/>
      <c r="D324" s="108"/>
      <c r="E324" s="108"/>
      <c r="F324" s="127"/>
      <c r="G324" s="128"/>
      <c r="H324" s="401">
        <f t="shared" si="144"/>
        <v>0</v>
      </c>
      <c r="I324" s="129"/>
      <c r="J324" s="130"/>
      <c r="K324" s="131"/>
      <c r="L324" s="129">
        <v>6</v>
      </c>
      <c r="M324" s="109"/>
      <c r="N324" s="130"/>
      <c r="O324" s="409"/>
      <c r="P324" s="409"/>
      <c r="Q324" s="409"/>
      <c r="R324" s="409"/>
      <c r="S324" s="409"/>
      <c r="T324" s="409"/>
      <c r="U324" s="409"/>
      <c r="V324" s="132"/>
      <c r="W324" s="133"/>
      <c r="X324" s="132"/>
      <c r="Y324" s="132"/>
      <c r="Z324" s="132"/>
      <c r="AA324" s="132"/>
    </row>
    <row r="325" spans="1:27" ht="20.100000000000001" hidden="1" customHeight="1">
      <c r="A325" s="305"/>
      <c r="B325" s="406" t="s">
        <v>239</v>
      </c>
      <c r="C325" s="406" t="s">
        <v>179</v>
      </c>
      <c r="D325" s="108">
        <v>6.04</v>
      </c>
      <c r="E325" s="108"/>
      <c r="F325" s="127"/>
      <c r="G325" s="128"/>
      <c r="H325" s="401">
        <f t="shared" si="144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6" si="148">IF(ISERROR(I325-K325),"",I325-K325)</f>
        <v>0</v>
      </c>
      <c r="N325" s="130">
        <f t="shared" ref="N325:N326" si="149">SUM(O325:U325)</f>
        <v>0</v>
      </c>
      <c r="O325" s="409"/>
      <c r="P325" s="409"/>
      <c r="Q325" s="409"/>
      <c r="R325" s="409"/>
      <c r="S325" s="409"/>
      <c r="T325" s="409"/>
      <c r="U325" s="409"/>
      <c r="V325" s="132">
        <f t="shared" ref="V325:V326" si="150">SUM(X325:AA325)</f>
        <v>0</v>
      </c>
      <c r="W325" s="133" t="str">
        <f t="shared" ref="W325:W326" si="151">IF(ISERROR(V325/G325),"",V325/G325)</f>
        <v/>
      </c>
      <c r="X325" s="132"/>
      <c r="Y325" s="132"/>
      <c r="Z325" s="132"/>
      <c r="AA325" s="132"/>
    </row>
    <row r="326" spans="1:27" ht="20.100000000000001" hidden="1" customHeight="1">
      <c r="A326" s="305">
        <v>30700019</v>
      </c>
      <c r="B326" s="406" t="s">
        <v>239</v>
      </c>
      <c r="C326" s="406" t="s">
        <v>186</v>
      </c>
      <c r="D326" s="108">
        <v>6.04</v>
      </c>
      <c r="E326" s="108"/>
      <c r="F326" s="127"/>
      <c r="G326" s="128"/>
      <c r="H326" s="401">
        <f t="shared" si="144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48"/>
        <v>0</v>
      </c>
      <c r="N326" s="130">
        <f t="shared" si="149"/>
        <v>0</v>
      </c>
      <c r="O326" s="409"/>
      <c r="P326" s="409"/>
      <c r="Q326" s="409"/>
      <c r="R326" s="409"/>
      <c r="S326" s="409"/>
      <c r="T326" s="409"/>
      <c r="U326" s="409"/>
      <c r="V326" s="132">
        <f t="shared" si="150"/>
        <v>0</v>
      </c>
      <c r="W326" s="133" t="str">
        <f t="shared" si="151"/>
        <v/>
      </c>
      <c r="X326" s="132"/>
      <c r="Y326" s="132"/>
      <c r="Z326" s="132"/>
      <c r="AA326" s="132"/>
    </row>
    <row r="327" spans="1:27" ht="20.100000000000001" hidden="1" customHeight="1">
      <c r="A327" s="305">
        <v>30601015</v>
      </c>
      <c r="B327" s="406" t="s">
        <v>443</v>
      </c>
      <c r="C327" s="406" t="s">
        <v>179</v>
      </c>
      <c r="D327" s="108">
        <v>6</v>
      </c>
      <c r="E327" s="108"/>
      <c r="F327" s="127"/>
      <c r="G327" s="128"/>
      <c r="H327" s="401">
        <f t="shared" si="144"/>
        <v>0</v>
      </c>
      <c r="I327" s="129"/>
      <c r="J327" s="130"/>
      <c r="K327" s="131"/>
      <c r="L327" s="129"/>
      <c r="M327" s="109"/>
      <c r="N327" s="130"/>
      <c r="O327" s="409"/>
      <c r="P327" s="409"/>
      <c r="Q327" s="409"/>
      <c r="R327" s="409"/>
      <c r="S327" s="409"/>
      <c r="T327" s="409"/>
      <c r="U327" s="409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305">
        <v>30101016</v>
      </c>
      <c r="B328" s="406" t="s">
        <v>443</v>
      </c>
      <c r="C328" s="406" t="s">
        <v>60</v>
      </c>
      <c r="D328" s="108">
        <v>6</v>
      </c>
      <c r="E328" s="108"/>
      <c r="F328" s="127"/>
      <c r="G328" s="128"/>
      <c r="H328" s="401">
        <f t="shared" si="144"/>
        <v>0</v>
      </c>
      <c r="I328" s="129"/>
      <c r="J328" s="130"/>
      <c r="K328" s="131">
        <f t="array" ref="K328">IF(ISERROR(G328/L328),"",G328/L328)</f>
        <v>0</v>
      </c>
      <c r="L328" s="129">
        <v>6</v>
      </c>
      <c r="M328" s="109"/>
      <c r="N328" s="130"/>
      <c r="O328" s="409"/>
      <c r="P328" s="409"/>
      <c r="Q328" s="409"/>
      <c r="R328" s="409"/>
      <c r="S328" s="409"/>
      <c r="T328" s="409"/>
      <c r="U328" s="409"/>
      <c r="V328" s="132"/>
      <c r="W328" s="133"/>
      <c r="X328" s="132"/>
      <c r="Y328" s="132"/>
      <c r="Z328" s="132"/>
      <c r="AA328" s="132"/>
    </row>
    <row r="329" spans="1:27" ht="20.100000000000001" hidden="1" customHeight="1">
      <c r="A329" s="299">
        <v>30700018</v>
      </c>
      <c r="B329" s="400" t="s">
        <v>240</v>
      </c>
      <c r="C329" s="126"/>
      <c r="D329" s="108">
        <v>7.3</v>
      </c>
      <c r="E329" s="108"/>
      <c r="F329" s="127"/>
      <c r="G329" s="128"/>
      <c r="H329" s="401">
        <f t="shared" si="144"/>
        <v>0</v>
      </c>
      <c r="I329" s="129"/>
      <c r="J329" s="130"/>
      <c r="K329" s="131"/>
      <c r="L329" s="129"/>
      <c r="M329" s="109"/>
      <c r="N329" s="130"/>
      <c r="O329" s="409"/>
      <c r="P329" s="409"/>
      <c r="Q329" s="409"/>
      <c r="R329" s="409"/>
      <c r="S329" s="409"/>
      <c r="T329" s="409"/>
      <c r="U329" s="409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30700010</v>
      </c>
      <c r="B330" s="400" t="s">
        <v>241</v>
      </c>
      <c r="C330" s="126"/>
      <c r="D330" s="108">
        <f>78*120/1000</f>
        <v>9.36</v>
      </c>
      <c r="E330" s="108"/>
      <c r="F330" s="127"/>
      <c r="G330" s="128"/>
      <c r="H330" s="401">
        <f t="shared" si="144"/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2">SUM(O330:U330)</f>
        <v>0</v>
      </c>
      <c r="O330" s="409"/>
      <c r="P330" s="409"/>
      <c r="Q330" s="409"/>
      <c r="R330" s="409"/>
      <c r="S330" s="409"/>
      <c r="T330" s="409"/>
      <c r="U330" s="409"/>
      <c r="V330" s="132">
        <f t="shared" ref="V330" si="153">SUM(X330:AA330)</f>
        <v>0</v>
      </c>
      <c r="W330" s="133" t="str">
        <f t="shared" ref="W330" si="154">IF(ISERROR(V330/G330),"",V330/G330)</f>
        <v/>
      </c>
      <c r="X330" s="132"/>
      <c r="Y330" s="132"/>
      <c r="Z330" s="132"/>
      <c r="AA330" s="132"/>
    </row>
    <row r="331" spans="1:27" ht="20.100000000000001" hidden="1" customHeight="1">
      <c r="A331" s="299">
        <v>30700015</v>
      </c>
      <c r="B331" s="400" t="s">
        <v>242</v>
      </c>
      <c r="C331" s="126"/>
      <c r="D331" s="108">
        <v>4.5</v>
      </c>
      <c r="E331" s="108"/>
      <c r="F331" s="127"/>
      <c r="G331" s="128"/>
      <c r="H331" s="401">
        <f t="shared" si="144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409"/>
      <c r="P331" s="409"/>
      <c r="Q331" s="409"/>
      <c r="R331" s="409"/>
      <c r="S331" s="409"/>
      <c r="T331" s="409"/>
      <c r="U331" s="409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299">
        <v>30700012</v>
      </c>
      <c r="B332" s="400" t="s">
        <v>243</v>
      </c>
      <c r="C332" s="126"/>
      <c r="D332" s="108">
        <v>4.5</v>
      </c>
      <c r="E332" s="108"/>
      <c r="F332" s="127"/>
      <c r="G332" s="128"/>
      <c r="H332" s="401">
        <f t="shared" si="144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409"/>
      <c r="P332" s="409"/>
      <c r="Q332" s="409"/>
      <c r="R332" s="409"/>
      <c r="S332" s="409"/>
      <c r="T332" s="409"/>
      <c r="U332" s="409"/>
      <c r="V332" s="132"/>
      <c r="W332" s="133"/>
      <c r="X332" s="132"/>
      <c r="Y332" s="132"/>
      <c r="Z332" s="132"/>
      <c r="AA332" s="132"/>
    </row>
    <row r="333" spans="1:27" ht="20.100000000000001" hidden="1" customHeight="1">
      <c r="A333" s="299"/>
      <c r="B333" s="199" t="s">
        <v>438</v>
      </c>
      <c r="C333" s="126"/>
      <c r="D333" s="108">
        <v>4.5</v>
      </c>
      <c r="E333" s="108"/>
      <c r="F333" s="127"/>
      <c r="G333" s="128"/>
      <c r="H333" s="401">
        <f t="shared" si="144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409"/>
      <c r="P333" s="409"/>
      <c r="Q333" s="409"/>
      <c r="R333" s="409"/>
      <c r="S333" s="409"/>
      <c r="T333" s="409"/>
      <c r="U333" s="409"/>
      <c r="V333" s="132"/>
      <c r="W333" s="133"/>
      <c r="X333" s="132"/>
      <c r="Y333" s="132"/>
      <c r="Z333" s="132"/>
      <c r="AA333" s="132"/>
    </row>
    <row r="334" spans="1:27" ht="20.100000000000001" hidden="1" customHeight="1">
      <c r="A334" s="578" t="s">
        <v>244</v>
      </c>
      <c r="B334" s="579"/>
      <c r="C334" s="410" t="s">
        <v>202</v>
      </c>
      <c r="D334" s="143"/>
      <c r="E334" s="143"/>
      <c r="F334" s="144"/>
      <c r="G334" s="145">
        <f>SUM(G320:G333)</f>
        <v>0</v>
      </c>
      <c r="H334" s="146">
        <f>SUM(H320:H330)</f>
        <v>0</v>
      </c>
      <c r="I334" s="146">
        <f>SUM(I320:I333)</f>
        <v>0</v>
      </c>
      <c r="J334" s="130"/>
      <c r="K334" s="146">
        <f>SUM(K320:K330)</f>
        <v>0</v>
      </c>
      <c r="L334" s="147"/>
      <c r="M334" s="150">
        <f t="shared" ref="M334:AA334" si="155">SUM(M320:M330)</f>
        <v>0</v>
      </c>
      <c r="N334" s="146">
        <f t="shared" si="155"/>
        <v>0</v>
      </c>
      <c r="O334" s="148">
        <f t="shared" si="155"/>
        <v>0</v>
      </c>
      <c r="P334" s="148">
        <f t="shared" si="155"/>
        <v>0</v>
      </c>
      <c r="Q334" s="148">
        <f t="shared" si="155"/>
        <v>0</v>
      </c>
      <c r="R334" s="148">
        <f t="shared" si="155"/>
        <v>0</v>
      </c>
      <c r="S334" s="148">
        <f t="shared" si="155"/>
        <v>0</v>
      </c>
      <c r="T334" s="148">
        <f t="shared" si="155"/>
        <v>0</v>
      </c>
      <c r="U334" s="148">
        <f t="shared" si="155"/>
        <v>0</v>
      </c>
      <c r="V334" s="149">
        <f t="shared" si="155"/>
        <v>0</v>
      </c>
      <c r="W334" s="133">
        <f t="shared" si="155"/>
        <v>0</v>
      </c>
      <c r="X334" s="149">
        <f t="shared" si="155"/>
        <v>0</v>
      </c>
      <c r="Y334" s="149">
        <f t="shared" si="155"/>
        <v>0</v>
      </c>
      <c r="Z334" s="149">
        <f t="shared" si="155"/>
        <v>0</v>
      </c>
      <c r="AA334" s="149">
        <f t="shared" si="155"/>
        <v>0</v>
      </c>
    </row>
    <row r="335" spans="1:27" ht="20.100000000000001" customHeight="1">
      <c r="A335" s="580" t="s">
        <v>246</v>
      </c>
      <c r="B335" s="581"/>
      <c r="C335" s="581"/>
      <c r="D335" s="581"/>
      <c r="E335" s="581"/>
      <c r="F335" s="582"/>
      <c r="G335" s="154">
        <f>SUM(G199,G257,G292,G308,G319,G334)</f>
        <v>3570</v>
      </c>
      <c r="H335" s="154">
        <f>SUM(H199,H257,H292,H308,H319,H334)</f>
        <v>17952.689999999999</v>
      </c>
      <c r="I335" s="154">
        <f>SUM(I199,I257,I292,I308,I319,I334)</f>
        <v>209</v>
      </c>
      <c r="J335" s="155">
        <f t="array" ref="J335">IF(ISERROR(G335/I335),"",G335/I335)</f>
        <v>17.081339712918659</v>
      </c>
      <c r="K335" s="154">
        <f>SUM(K199,K257,K292,K308,K319,K334)</f>
        <v>124.91005763378936</v>
      </c>
      <c r="L335" s="155">
        <f>IF(ISERROR(G335/K335),"",G335/K335)</f>
        <v>28.580564829026873</v>
      </c>
      <c r="M335" s="154">
        <f t="shared" ref="M335:AA335" si="156">SUM(M199,M257,M292,M308,M319,M334)</f>
        <v>84.089942366210636</v>
      </c>
      <c r="N335" s="154">
        <f t="shared" si="156"/>
        <v>0</v>
      </c>
      <c r="O335" s="154">
        <f t="shared" si="156"/>
        <v>0</v>
      </c>
      <c r="P335" s="154">
        <f t="shared" si="156"/>
        <v>0</v>
      </c>
      <c r="Q335" s="154">
        <f t="shared" si="156"/>
        <v>0</v>
      </c>
      <c r="R335" s="154">
        <f t="shared" si="156"/>
        <v>0</v>
      </c>
      <c r="S335" s="154">
        <f t="shared" si="156"/>
        <v>0</v>
      </c>
      <c r="T335" s="154">
        <f t="shared" si="156"/>
        <v>0</v>
      </c>
      <c r="U335" s="154">
        <f t="shared" si="156"/>
        <v>0</v>
      </c>
      <c r="V335" s="154">
        <f t="shared" si="156"/>
        <v>0</v>
      </c>
      <c r="W335" s="154">
        <f t="shared" si="156"/>
        <v>0</v>
      </c>
      <c r="X335" s="154">
        <f t="shared" si="156"/>
        <v>0</v>
      </c>
      <c r="Y335" s="154">
        <f t="shared" si="156"/>
        <v>0</v>
      </c>
      <c r="Z335" s="154">
        <f t="shared" si="156"/>
        <v>0</v>
      </c>
      <c r="AA335" s="154">
        <f t="shared" si="156"/>
        <v>0</v>
      </c>
    </row>
    <row r="336" spans="1:27" ht="20.100000000000001" customHeight="1">
      <c r="A336" s="583" t="s">
        <v>476</v>
      </c>
      <c r="B336" s="403" t="s">
        <v>247</v>
      </c>
      <c r="C336" s="586" t="s">
        <v>248</v>
      </c>
      <c r="D336" s="587"/>
      <c r="E336" s="588" t="s">
        <v>249</v>
      </c>
      <c r="F336" s="588"/>
      <c r="G336" s="591" t="s">
        <v>250</v>
      </c>
      <c r="H336" s="591"/>
      <c r="I336" s="588" t="s">
        <v>251</v>
      </c>
      <c r="J336" s="588"/>
      <c r="K336" s="588" t="s">
        <v>252</v>
      </c>
      <c r="L336" s="588"/>
      <c r="M336" s="588" t="s">
        <v>253</v>
      </c>
      <c r="N336" s="588"/>
      <c r="O336" s="588" t="s">
        <v>254</v>
      </c>
      <c r="P336" s="591" t="s">
        <v>255</v>
      </c>
      <c r="Q336" s="591"/>
      <c r="R336" s="591" t="s">
        <v>252</v>
      </c>
      <c r="S336" s="591"/>
      <c r="T336" s="591" t="s">
        <v>256</v>
      </c>
      <c r="U336" s="591"/>
      <c r="V336" s="591" t="s">
        <v>257</v>
      </c>
      <c r="W336" s="591"/>
      <c r="X336" s="591" t="s">
        <v>252</v>
      </c>
      <c r="Y336" s="591"/>
      <c r="Z336" s="591" t="s">
        <v>256</v>
      </c>
      <c r="AA336" s="591"/>
    </row>
    <row r="337" spans="1:27" ht="20.100000000000001" customHeight="1">
      <c r="A337" s="584"/>
      <c r="B337" s="403" t="s">
        <v>258</v>
      </c>
      <c r="C337" s="626">
        <v>1</v>
      </c>
      <c r="D337" s="627"/>
      <c r="E337" s="590">
        <f>C337*11</f>
        <v>11</v>
      </c>
      <c r="F337" s="590"/>
      <c r="G337" s="591">
        <v>1</v>
      </c>
      <c r="H337" s="591"/>
      <c r="I337" s="590">
        <f>G337*11</f>
        <v>11</v>
      </c>
      <c r="J337" s="590"/>
      <c r="K337" s="590">
        <f>E337-I337</f>
        <v>0</v>
      </c>
      <c r="L337" s="590"/>
      <c r="M337" s="592">
        <f>IF(ISERROR(K337/E337),"",K337/E337)</f>
        <v>0</v>
      </c>
      <c r="N337" s="592"/>
      <c r="O337" s="588"/>
      <c r="P337" s="591" t="s">
        <v>201</v>
      </c>
      <c r="Q337" s="591"/>
      <c r="R337" s="593">
        <f>SUM(O199:U199)</f>
        <v>0</v>
      </c>
      <c r="S337" s="593"/>
      <c r="T337" s="594" t="str">
        <f t="array" ref="T337">IF(ISERROR(R337/R344),"",R337/R344)</f>
        <v/>
      </c>
      <c r="U337" s="594"/>
      <c r="V337" s="591" t="s">
        <v>259</v>
      </c>
      <c r="W337" s="591"/>
      <c r="X337" s="628">
        <f>SUM(P198,P256,P291,P307,P318,P333)</f>
        <v>0</v>
      </c>
      <c r="Y337" s="629"/>
      <c r="Z337" s="594" t="str">
        <f t="array" ref="Z337">IF(ISERROR(X337/X344),"",X337/X344)</f>
        <v/>
      </c>
      <c r="AA337" s="594"/>
    </row>
    <row r="338" spans="1:27" ht="20.100000000000001" customHeight="1">
      <c r="A338" s="584"/>
      <c r="B338" s="403" t="s">
        <v>260</v>
      </c>
      <c r="C338" s="586">
        <v>0</v>
      </c>
      <c r="D338" s="587"/>
      <c r="E338" s="590">
        <f>C338*11</f>
        <v>0</v>
      </c>
      <c r="F338" s="590"/>
      <c r="G338" s="591">
        <v>0</v>
      </c>
      <c r="H338" s="591"/>
      <c r="I338" s="590">
        <f>G338*11</f>
        <v>0</v>
      </c>
      <c r="J338" s="590"/>
      <c r="K338" s="590">
        <f>E338-I338</f>
        <v>0</v>
      </c>
      <c r="L338" s="590"/>
      <c r="M338" s="592" t="str">
        <f>IF(ISERROR(K338/E338),"",K338/E338)</f>
        <v/>
      </c>
      <c r="N338" s="592"/>
      <c r="O338" s="588"/>
      <c r="P338" s="591" t="s">
        <v>216</v>
      </c>
      <c r="Q338" s="591"/>
      <c r="R338" s="593">
        <f>SUM(O257:U257)</f>
        <v>0</v>
      </c>
      <c r="S338" s="593"/>
      <c r="T338" s="594" t="str">
        <f>IF(ISERROR(R338/R344),"",R338/R344)</f>
        <v/>
      </c>
      <c r="U338" s="594"/>
      <c r="V338" s="591" t="s">
        <v>261</v>
      </c>
      <c r="W338" s="591"/>
      <c r="X338" s="628">
        <f>SUM(P199,P257,P292,P308,P319,P334)</f>
        <v>0</v>
      </c>
      <c r="Y338" s="629"/>
      <c r="Z338" s="594" t="str">
        <f>IF(ISERROR(X338/X344),"",X338/X344)</f>
        <v/>
      </c>
      <c r="AA338" s="594"/>
    </row>
    <row r="339" spans="1:27" ht="20.100000000000001" customHeight="1">
      <c r="A339" s="584"/>
      <c r="B339" s="403" t="s">
        <v>262</v>
      </c>
      <c r="C339" s="586">
        <v>0</v>
      </c>
      <c r="D339" s="587"/>
      <c r="E339" s="590">
        <f>C339*8</f>
        <v>0</v>
      </c>
      <c r="F339" s="590"/>
      <c r="G339" s="591">
        <v>1</v>
      </c>
      <c r="H339" s="591"/>
      <c r="I339" s="590">
        <f>G339*8</f>
        <v>8</v>
      </c>
      <c r="J339" s="590"/>
      <c r="K339" s="590">
        <f>E339-I339</f>
        <v>-8</v>
      </c>
      <c r="L339" s="590"/>
      <c r="M339" s="592" t="str">
        <f>IF(ISERROR(K339/E339),"",K339/E339)</f>
        <v/>
      </c>
      <c r="N339" s="592"/>
      <c r="O339" s="588"/>
      <c r="P339" s="591" t="s">
        <v>224</v>
      </c>
      <c r="Q339" s="591"/>
      <c r="R339" s="593">
        <f>SUM(O292:U292)</f>
        <v>0</v>
      </c>
      <c r="S339" s="593"/>
      <c r="T339" s="594" t="str">
        <f>IF(ISERROR(R339/R344),"",R339/R344)</f>
        <v/>
      </c>
      <c r="U339" s="594"/>
      <c r="V339" s="591" t="s">
        <v>263</v>
      </c>
      <c r="W339" s="591"/>
      <c r="X339" s="628">
        <f>SUM(P200,P258,P293,P309,P320,P335)</f>
        <v>0</v>
      </c>
      <c r="Y339" s="629"/>
      <c r="Z339" s="594" t="str">
        <f>IF(ISERROR(X339/X344),"",X339/X344)</f>
        <v/>
      </c>
      <c r="AA339" s="594"/>
    </row>
    <row r="340" spans="1:27" ht="20.100000000000001" customHeight="1">
      <c r="A340" s="584"/>
      <c r="B340" s="403" t="s">
        <v>264</v>
      </c>
      <c r="C340" s="586">
        <v>1</v>
      </c>
      <c r="D340" s="587"/>
      <c r="E340" s="590">
        <f>C340*11</f>
        <v>11</v>
      </c>
      <c r="F340" s="590"/>
      <c r="G340" s="591">
        <v>1</v>
      </c>
      <c r="H340" s="591"/>
      <c r="I340" s="590">
        <f>G340*11</f>
        <v>11</v>
      </c>
      <c r="J340" s="590"/>
      <c r="K340" s="590">
        <f>E340-I340</f>
        <v>0</v>
      </c>
      <c r="L340" s="590"/>
      <c r="M340" s="592">
        <f>IF(ISERROR(K340/E340),"",K340/E340)</f>
        <v>0</v>
      </c>
      <c r="N340" s="592"/>
      <c r="O340" s="588"/>
      <c r="P340" s="591" t="s">
        <v>231</v>
      </c>
      <c r="Q340" s="591"/>
      <c r="R340" s="593">
        <f>SUM(O308:U308)</f>
        <v>0</v>
      </c>
      <c r="S340" s="593"/>
      <c r="T340" s="594" t="str">
        <f>IF(ISERROR(R340/R344),"",R340/R344)</f>
        <v/>
      </c>
      <c r="U340" s="594"/>
      <c r="V340" s="591" t="s">
        <v>265</v>
      </c>
      <c r="W340" s="591"/>
      <c r="X340" s="628">
        <f>SUM(P202,P259,P294,P310,P321,P336)</f>
        <v>0</v>
      </c>
      <c r="Y340" s="629"/>
      <c r="Z340" s="594" t="str">
        <f>IF(ISERROR(X340/X344),"",X340/X344)</f>
        <v/>
      </c>
      <c r="AA340" s="594"/>
    </row>
    <row r="341" spans="1:27" ht="20.100000000000001" customHeight="1">
      <c r="A341" s="585"/>
      <c r="B341" s="403" t="s">
        <v>266</v>
      </c>
      <c r="C341" s="596">
        <f>SUM(C337:D340)</f>
        <v>2</v>
      </c>
      <c r="D341" s="597"/>
      <c r="E341" s="590">
        <f>SUM(E337:F340)</f>
        <v>22</v>
      </c>
      <c r="F341" s="590"/>
      <c r="G341" s="591">
        <f>SUM(G337:H340)</f>
        <v>3</v>
      </c>
      <c r="H341" s="591"/>
      <c r="I341" s="590">
        <f>SUM(I337:J340)</f>
        <v>30</v>
      </c>
      <c r="J341" s="590"/>
      <c r="K341" s="590">
        <f>SUM(K337:L340)</f>
        <v>-8</v>
      </c>
      <c r="L341" s="590"/>
      <c r="M341" s="592">
        <f>IF(ISERROR(K341/E341),"",K341/E341)</f>
        <v>-0.36363636363636365</v>
      </c>
      <c r="N341" s="592"/>
      <c r="O341" s="588"/>
      <c r="P341" s="591" t="s">
        <v>234</v>
      </c>
      <c r="Q341" s="591"/>
      <c r="R341" s="593">
        <f>SUM(O319:U319)</f>
        <v>0</v>
      </c>
      <c r="S341" s="593"/>
      <c r="T341" s="594" t="str">
        <f>IF(ISERROR(R341/R344),"",R341/R344)</f>
        <v/>
      </c>
      <c r="U341" s="594"/>
      <c r="V341" s="591" t="s">
        <v>267</v>
      </c>
      <c r="W341" s="591"/>
      <c r="X341" s="628">
        <f>SUM(P203,P260,P295,P311,P322,P337)</f>
        <v>0</v>
      </c>
      <c r="Y341" s="629"/>
      <c r="Z341" s="594" t="str">
        <f>IF(ISERROR(X341/X344),"",X341/X344)</f>
        <v/>
      </c>
      <c r="AA341" s="594"/>
    </row>
    <row r="342" spans="1:27" ht="20.100000000000001" customHeight="1">
      <c r="A342" s="309" t="s">
        <v>477</v>
      </c>
      <c r="B342" s="403">
        <f>G335</f>
        <v>3570</v>
      </c>
      <c r="C342" s="598" t="s">
        <v>269</v>
      </c>
      <c r="D342" s="599"/>
      <c r="E342" s="591">
        <f>H335</f>
        <v>17952.689999999999</v>
      </c>
      <c r="F342" s="591"/>
      <c r="G342" s="591" t="s">
        <v>270</v>
      </c>
      <c r="H342" s="591"/>
      <c r="I342" s="600">
        <f>L335</f>
        <v>28.580564829026873</v>
      </c>
      <c r="J342" s="600"/>
      <c r="K342" s="588" t="s">
        <v>271</v>
      </c>
      <c r="L342" s="588"/>
      <c r="M342" s="600">
        <f>J335</f>
        <v>17.081339712918659</v>
      </c>
      <c r="N342" s="600"/>
      <c r="O342" s="588"/>
      <c r="P342" s="591" t="s">
        <v>244</v>
      </c>
      <c r="Q342" s="591"/>
      <c r="R342" s="593">
        <f>SUM(O334:U334)</f>
        <v>0</v>
      </c>
      <c r="S342" s="593"/>
      <c r="T342" s="594" t="str">
        <f>IF(ISERROR(R342/R344),"",R342/R344)</f>
        <v/>
      </c>
      <c r="U342" s="594"/>
      <c r="V342" s="591" t="s">
        <v>272</v>
      </c>
      <c r="W342" s="591"/>
      <c r="X342" s="628">
        <f>SUM(P204,P261,P296,P312,P323,P338)</f>
        <v>0</v>
      </c>
      <c r="Y342" s="629"/>
      <c r="Z342" s="594" t="str">
        <f>IF(ISERROR(X342/X344),"",X342/X344)</f>
        <v/>
      </c>
      <c r="AA342" s="594"/>
    </row>
    <row r="343" spans="1:27" ht="20.100000000000001" customHeight="1">
      <c r="A343" s="310" t="s">
        <v>478</v>
      </c>
      <c r="B343" s="403">
        <f>I335+C341</f>
        <v>211</v>
      </c>
      <c r="C343" s="601" t="s">
        <v>251</v>
      </c>
      <c r="D343" s="602"/>
      <c r="E343" s="603">
        <f>K335+I341</f>
        <v>154.91005763378936</v>
      </c>
      <c r="F343" s="603"/>
      <c r="G343" s="591" t="s">
        <v>274</v>
      </c>
      <c r="H343" s="591"/>
      <c r="I343" s="600">
        <f>B343-E343</f>
        <v>56.089942366210636</v>
      </c>
      <c r="J343" s="600"/>
      <c r="K343" s="588" t="s">
        <v>275</v>
      </c>
      <c r="L343" s="588"/>
      <c r="M343" s="592">
        <f>IF(ISERROR(I343/E343),"",I343/E343)</f>
        <v>0.36208070168567391</v>
      </c>
      <c r="N343" s="592"/>
      <c r="O343" s="588"/>
      <c r="P343" s="591" t="s">
        <v>245</v>
      </c>
      <c r="Q343" s="591"/>
      <c r="R343" s="593"/>
      <c r="S343" s="593"/>
      <c r="T343" s="594" t="str">
        <f>IF(ISERROR(R343/R344),"",R343/R344)</f>
        <v/>
      </c>
      <c r="U343" s="594"/>
      <c r="V343" s="591" t="s">
        <v>264</v>
      </c>
      <c r="W343" s="591"/>
      <c r="X343" s="628">
        <f>SUM(P205,P262,P297,P313,P324,P339)</f>
        <v>0</v>
      </c>
      <c r="Y343" s="629"/>
      <c r="Z343" s="594" t="str">
        <f>IF(ISERROR(X343/X344),"",X343/X344)</f>
        <v/>
      </c>
      <c r="AA343" s="594"/>
    </row>
    <row r="344" spans="1:27" ht="20.100000000000001" customHeight="1">
      <c r="A344" s="310" t="s">
        <v>479</v>
      </c>
      <c r="B344" s="403">
        <f>N335</f>
        <v>0</v>
      </c>
      <c r="C344" s="601" t="s">
        <v>277</v>
      </c>
      <c r="D344" s="602"/>
      <c r="E344" s="594">
        <f>IF(ISERROR(B344/B343),"",B344/B343)</f>
        <v>0</v>
      </c>
      <c r="F344" s="594"/>
      <c r="G344" s="591" t="s">
        <v>278</v>
      </c>
      <c r="H344" s="591"/>
      <c r="I344" s="588">
        <f>V335</f>
        <v>0</v>
      </c>
      <c r="J344" s="588"/>
      <c r="K344" s="588" t="s">
        <v>279</v>
      </c>
      <c r="L344" s="588"/>
      <c r="M344" s="592">
        <f t="array" ref="M344">IF(ISERROR(I344/B342),"",I344/B342)</f>
        <v>0</v>
      </c>
      <c r="N344" s="592"/>
      <c r="O344" s="588"/>
      <c r="P344" s="591" t="s">
        <v>266</v>
      </c>
      <c r="Q344" s="591"/>
      <c r="R344" s="593">
        <f>SUM(R337:S343)</f>
        <v>0</v>
      </c>
      <c r="S344" s="593"/>
      <c r="T344" s="594"/>
      <c r="U344" s="594"/>
      <c r="V344" s="591" t="s">
        <v>266</v>
      </c>
      <c r="W344" s="591"/>
      <c r="X344" s="595">
        <f>SUM(X337:Y343)</f>
        <v>0</v>
      </c>
      <c r="Y344" s="595"/>
      <c r="Z344" s="594"/>
      <c r="AA344" s="594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4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604" t="s">
        <v>480</v>
      </c>
      <c r="B346" s="607" t="s">
        <v>280</v>
      </c>
      <c r="C346" s="607" t="s">
        <v>281</v>
      </c>
      <c r="D346" s="607" t="s">
        <v>282</v>
      </c>
      <c r="E346" s="610" t="s">
        <v>283</v>
      </c>
      <c r="F346" s="623" t="s">
        <v>284</v>
      </c>
      <c r="G346" s="588" t="s">
        <v>285</v>
      </c>
      <c r="H346" s="588"/>
      <c r="I346" s="607" t="s">
        <v>286</v>
      </c>
      <c r="J346" s="613" t="s">
        <v>271</v>
      </c>
      <c r="K346" s="616" t="s">
        <v>287</v>
      </c>
      <c r="L346" s="607" t="s">
        <v>270</v>
      </c>
      <c r="M346" s="619" t="s">
        <v>288</v>
      </c>
      <c r="N346" s="621" t="s">
        <v>252</v>
      </c>
      <c r="O346" s="588" t="s">
        <v>289</v>
      </c>
      <c r="P346" s="588"/>
      <c r="Q346" s="588"/>
      <c r="R346" s="588"/>
      <c r="S346" s="588"/>
      <c r="T346" s="588"/>
      <c r="U346" s="588"/>
      <c r="V346" s="588" t="s">
        <v>290</v>
      </c>
      <c r="W346" s="621" t="s">
        <v>291</v>
      </c>
      <c r="X346" s="588" t="s">
        <v>292</v>
      </c>
      <c r="Y346" s="588"/>
      <c r="Z346" s="588"/>
      <c r="AA346" s="588"/>
    </row>
    <row r="347" spans="1:27" ht="21.95" customHeight="1">
      <c r="A347" s="605"/>
      <c r="B347" s="608"/>
      <c r="C347" s="608"/>
      <c r="D347" s="608"/>
      <c r="E347" s="611"/>
      <c r="F347" s="624"/>
      <c r="G347" s="588"/>
      <c r="H347" s="588"/>
      <c r="I347" s="608"/>
      <c r="J347" s="614"/>
      <c r="K347" s="617"/>
      <c r="L347" s="608"/>
      <c r="M347" s="620"/>
      <c r="N347" s="621"/>
      <c r="O347" s="588" t="s">
        <v>259</v>
      </c>
      <c r="P347" s="588" t="s">
        <v>261</v>
      </c>
      <c r="Q347" s="588" t="s">
        <v>263</v>
      </c>
      <c r="R347" s="622" t="s">
        <v>265</v>
      </c>
      <c r="S347" s="591" t="s">
        <v>267</v>
      </c>
      <c r="T347" s="588" t="s">
        <v>272</v>
      </c>
      <c r="U347" s="588" t="s">
        <v>264</v>
      </c>
      <c r="V347" s="588"/>
      <c r="W347" s="621"/>
      <c r="X347" s="588" t="s">
        <v>293</v>
      </c>
      <c r="Y347" s="588" t="s">
        <v>294</v>
      </c>
      <c r="Z347" s="588" t="s">
        <v>295</v>
      </c>
      <c r="AA347" s="588" t="s">
        <v>264</v>
      </c>
    </row>
    <row r="348" spans="1:27" ht="21.95" customHeight="1">
      <c r="A348" s="606"/>
      <c r="B348" s="609"/>
      <c r="C348" s="609"/>
      <c r="D348" s="609"/>
      <c r="E348" s="612"/>
      <c r="F348" s="625"/>
      <c r="G348" s="348" t="s">
        <v>296</v>
      </c>
      <c r="H348" s="406" t="s">
        <v>297</v>
      </c>
      <c r="I348" s="609"/>
      <c r="J348" s="615"/>
      <c r="K348" s="618"/>
      <c r="L348" s="609"/>
      <c r="M348" s="620"/>
      <c r="N348" s="621"/>
      <c r="O348" s="588"/>
      <c r="P348" s="588"/>
      <c r="Q348" s="588"/>
      <c r="R348" s="622"/>
      <c r="S348" s="591"/>
      <c r="T348" s="588"/>
      <c r="U348" s="588"/>
      <c r="V348" s="588"/>
      <c r="W348" s="621"/>
      <c r="X348" s="588"/>
      <c r="Y348" s="588"/>
      <c r="Z348" s="588"/>
      <c r="AA348" s="588"/>
    </row>
    <row r="349" spans="1:27" ht="20.100000000000001" hidden="1" customHeight="1">
      <c r="A349" s="299">
        <v>30100030</v>
      </c>
      <c r="B349" s="400" t="s">
        <v>178</v>
      </c>
      <c r="C349" s="126" t="s">
        <v>179</v>
      </c>
      <c r="D349" s="108">
        <v>5.03</v>
      </c>
      <c r="E349" s="108"/>
      <c r="F349" s="127"/>
      <c r="G349" s="128"/>
      <c r="H349" s="401">
        <f t="shared" ref="H349:H369" si="157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58" si="158">IF(ISERROR(I349-K349),"",I349-K349)</f>
        <v>0</v>
      </c>
      <c r="N349" s="130">
        <f t="shared" ref="N349:N354" si="159">SUM(O349:U349)</f>
        <v>0</v>
      </c>
      <c r="O349" s="409"/>
      <c r="P349" s="409"/>
      <c r="Q349" s="409"/>
      <c r="R349" s="409"/>
      <c r="S349" s="409"/>
      <c r="T349" s="409"/>
      <c r="U349" s="409"/>
      <c r="V349" s="132">
        <f t="shared" ref="V349:V354" si="160">SUM(X349:AA349)</f>
        <v>0</v>
      </c>
      <c r="W349" s="133" t="str">
        <f t="shared" ref="W349:W354" si="161">IF(ISERROR(V349/G349),"",V349/G349)</f>
        <v/>
      </c>
      <c r="X349" s="132"/>
      <c r="Y349" s="132"/>
      <c r="Z349" s="132"/>
      <c r="AA349" s="132"/>
    </row>
    <row r="350" spans="1:27" ht="20.100000000000001" hidden="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28"/>
      <c r="H350" s="401">
        <f t="shared" si="157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8"/>
        <v>0</v>
      </c>
      <c r="N350" s="130">
        <f t="shared" si="159"/>
        <v>0</v>
      </c>
      <c r="O350" s="409"/>
      <c r="P350" s="409"/>
      <c r="Q350" s="409"/>
      <c r="R350" s="409"/>
      <c r="S350" s="409"/>
      <c r="T350" s="409"/>
      <c r="U350" s="409"/>
      <c r="V350" s="132">
        <f t="shared" si="160"/>
        <v>0</v>
      </c>
      <c r="W350" s="133" t="str">
        <f t="shared" si="161"/>
        <v/>
      </c>
      <c r="X350" s="132"/>
      <c r="Y350" s="132"/>
      <c r="Z350" s="132"/>
      <c r="AA350" s="132"/>
    </row>
    <row r="351" spans="1:27" ht="20.100000000000001" hidden="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28"/>
      <c r="H351" s="401">
        <f t="shared" si="157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58"/>
        <v>0</v>
      </c>
      <c r="N351" s="130">
        <f t="shared" si="159"/>
        <v>0</v>
      </c>
      <c r="O351" s="409"/>
      <c r="P351" s="409"/>
      <c r="Q351" s="409"/>
      <c r="R351" s="409"/>
      <c r="S351" s="409"/>
      <c r="T351" s="409"/>
      <c r="U351" s="409"/>
      <c r="V351" s="132">
        <f t="shared" si="160"/>
        <v>0</v>
      </c>
      <c r="W351" s="133" t="str">
        <f t="shared" si="161"/>
        <v/>
      </c>
      <c r="X351" s="132"/>
      <c r="Y351" s="132"/>
      <c r="Z351" s="132"/>
      <c r="AA351" s="132"/>
    </row>
    <row r="352" spans="1:27" ht="20.100000000000001" hidden="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28"/>
      <c r="H352" s="401">
        <f t="shared" si="157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8"/>
        <v>0</v>
      </c>
      <c r="N352" s="130">
        <f t="shared" si="159"/>
        <v>0</v>
      </c>
      <c r="O352" s="409"/>
      <c r="P352" s="409"/>
      <c r="Q352" s="409"/>
      <c r="R352" s="409"/>
      <c r="S352" s="409"/>
      <c r="T352" s="409"/>
      <c r="U352" s="409"/>
      <c r="V352" s="132">
        <f t="shared" si="160"/>
        <v>0</v>
      </c>
      <c r="W352" s="133" t="str">
        <f t="shared" si="161"/>
        <v/>
      </c>
      <c r="X352" s="132"/>
      <c r="Y352" s="132"/>
      <c r="Z352" s="132"/>
      <c r="AA352" s="132"/>
    </row>
    <row r="353" spans="1:27" ht="20.100000000000001" hidden="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28"/>
      <c r="H353" s="401">
        <f t="shared" si="157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58"/>
        <v>0</v>
      </c>
      <c r="N353" s="130">
        <f t="shared" si="159"/>
        <v>0</v>
      </c>
      <c r="O353" s="409"/>
      <c r="P353" s="409"/>
      <c r="Q353" s="409"/>
      <c r="R353" s="409"/>
      <c r="S353" s="409"/>
      <c r="T353" s="409"/>
      <c r="U353" s="409"/>
      <c r="V353" s="132">
        <f t="shared" si="160"/>
        <v>0</v>
      </c>
      <c r="W353" s="133" t="str">
        <f t="shared" si="161"/>
        <v/>
      </c>
      <c r="X353" s="132"/>
      <c r="Y353" s="132"/>
      <c r="Z353" s="132"/>
      <c r="AA353" s="132"/>
    </row>
    <row r="354" spans="1:27" ht="20.100000000000001" hidden="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137"/>
      <c r="H354" s="401">
        <f t="shared" si="157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58"/>
        <v>0</v>
      </c>
      <c r="N354" s="130">
        <f t="shared" si="159"/>
        <v>0</v>
      </c>
      <c r="O354" s="409"/>
      <c r="P354" s="409"/>
      <c r="Q354" s="409"/>
      <c r="R354" s="409"/>
      <c r="S354" s="409"/>
      <c r="T354" s="409"/>
      <c r="U354" s="409"/>
      <c r="V354" s="132">
        <f t="shared" si="160"/>
        <v>0</v>
      </c>
      <c r="W354" s="133" t="str">
        <f t="shared" si="161"/>
        <v/>
      </c>
      <c r="X354" s="132"/>
      <c r="Y354" s="132"/>
      <c r="Z354" s="132"/>
      <c r="AA354" s="132"/>
    </row>
    <row r="355" spans="1:27" ht="20.100000000000001" hidden="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28"/>
      <c r="H355" s="401">
        <f t="shared" si="157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58"/>
        <v>0</v>
      </c>
      <c r="N355" s="130"/>
      <c r="O355" s="409"/>
      <c r="P355" s="409"/>
      <c r="Q355" s="409"/>
      <c r="R355" s="409"/>
      <c r="S355" s="409"/>
      <c r="T355" s="409"/>
      <c r="U355" s="409"/>
      <c r="V355" s="132"/>
      <c r="W355" s="133"/>
      <c r="X355" s="132"/>
      <c r="Y355" s="132"/>
      <c r="Z355" s="132"/>
      <c r="AA355" s="132"/>
    </row>
    <row r="356" spans="1:27" ht="20.100000000000001" hidden="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28"/>
      <c r="H356" s="401">
        <f t="shared" si="157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58"/>
        <v>0</v>
      </c>
      <c r="N356" s="130"/>
      <c r="O356" s="409"/>
      <c r="P356" s="409"/>
      <c r="Q356" s="409"/>
      <c r="R356" s="409"/>
      <c r="S356" s="409"/>
      <c r="T356" s="409"/>
      <c r="U356" s="409"/>
      <c r="V356" s="132"/>
      <c r="W356" s="133"/>
      <c r="X356" s="132"/>
      <c r="Y356" s="132"/>
      <c r="Z356" s="132"/>
      <c r="AA356" s="132"/>
    </row>
    <row r="357" spans="1:27" ht="20.100000000000001" hidden="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28"/>
      <c r="H357" s="401">
        <f t="shared" si="157"/>
        <v>0</v>
      </c>
      <c r="I357" s="401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58"/>
        <v>0</v>
      </c>
      <c r="N357" s="130">
        <f>SUM(O357:U357)</f>
        <v>0</v>
      </c>
      <c r="O357" s="409"/>
      <c r="P357" s="409"/>
      <c r="Q357" s="409"/>
      <c r="R357" s="409"/>
      <c r="S357" s="409"/>
      <c r="T357" s="409"/>
      <c r="U357" s="409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hidden="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28"/>
      <c r="H358" s="401">
        <f t="shared" si="157"/>
        <v>0</v>
      </c>
      <c r="I358" s="401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58"/>
        <v>0</v>
      </c>
      <c r="N358" s="130">
        <f>SUM(O358:U358)</f>
        <v>0</v>
      </c>
      <c r="O358" s="409"/>
      <c r="P358" s="409"/>
      <c r="Q358" s="409"/>
      <c r="R358" s="409"/>
      <c r="S358" s="409"/>
      <c r="T358" s="409"/>
      <c r="U358" s="409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hidden="1" customHeight="1">
      <c r="A359" s="302">
        <v>30100063</v>
      </c>
      <c r="B359" s="134" t="s">
        <v>191</v>
      </c>
      <c r="C359" s="126" t="s">
        <v>192</v>
      </c>
      <c r="D359" s="108">
        <v>5.03</v>
      </c>
      <c r="E359" s="108"/>
      <c r="F359" s="126"/>
      <c r="G359" s="128"/>
      <c r="H359" s="401">
        <f t="shared" si="157"/>
        <v>0</v>
      </c>
      <c r="I359" s="401"/>
      <c r="J359" s="130"/>
      <c r="K359" s="131"/>
      <c r="L359" s="129"/>
      <c r="M359" s="109"/>
      <c r="N359" s="130"/>
      <c r="O359" s="409"/>
      <c r="P359" s="409"/>
      <c r="Q359" s="409"/>
      <c r="R359" s="409"/>
      <c r="S359" s="409"/>
      <c r="T359" s="409"/>
      <c r="U359" s="409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30100061</v>
      </c>
      <c r="B360" s="134" t="s">
        <v>191</v>
      </c>
      <c r="C360" s="126" t="s">
        <v>193</v>
      </c>
      <c r="D360" s="108">
        <v>5.03</v>
      </c>
      <c r="E360" s="108"/>
      <c r="F360" s="126"/>
      <c r="G360" s="128"/>
      <c r="H360" s="401">
        <f t="shared" si="157"/>
        <v>0</v>
      </c>
      <c r="I360" s="401"/>
      <c r="J360" s="130"/>
      <c r="K360" s="131"/>
      <c r="L360" s="129"/>
      <c r="M360" s="109"/>
      <c r="N360" s="130"/>
      <c r="O360" s="409"/>
      <c r="P360" s="409"/>
      <c r="Q360" s="409"/>
      <c r="R360" s="409"/>
      <c r="S360" s="409"/>
      <c r="T360" s="409"/>
      <c r="U360" s="409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28"/>
      <c r="H361" s="401">
        <f t="shared" si="157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ref="M361:M369" si="162">IF(ISERROR(I361-K361),"",I361-K361)</f>
        <v>0</v>
      </c>
      <c r="N361" s="130">
        <f t="shared" ref="N361:N363" si="163">SUM(O361:U361)</f>
        <v>0</v>
      </c>
      <c r="O361" s="409"/>
      <c r="P361" s="409"/>
      <c r="Q361" s="409"/>
      <c r="R361" s="409"/>
      <c r="S361" s="409"/>
      <c r="T361" s="409"/>
      <c r="U361" s="409"/>
      <c r="V361" s="132">
        <f t="shared" ref="V361:V363" si="164">SUM(X361:AA361)</f>
        <v>0</v>
      </c>
      <c r="W361" s="133" t="str">
        <f t="shared" ref="W361:W363" si="165">IF(ISERROR(V361/G361),"",V361/G361)</f>
        <v/>
      </c>
      <c r="X361" s="132"/>
      <c r="Y361" s="132"/>
      <c r="Z361" s="132"/>
      <c r="AA361" s="132"/>
    </row>
    <row r="362" spans="1:27" ht="20.100000000000001" hidden="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28"/>
      <c r="H362" s="401">
        <f t="shared" si="157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2"/>
        <v>0</v>
      </c>
      <c r="N362" s="130">
        <f t="shared" si="163"/>
        <v>0</v>
      </c>
      <c r="O362" s="409"/>
      <c r="P362" s="409"/>
      <c r="Q362" s="409"/>
      <c r="R362" s="409"/>
      <c r="S362" s="409"/>
      <c r="T362" s="409"/>
      <c r="U362" s="409"/>
      <c r="V362" s="132">
        <f t="shared" si="164"/>
        <v>0</v>
      </c>
      <c r="W362" s="133" t="str">
        <f t="shared" si="165"/>
        <v/>
      </c>
      <c r="X362" s="132"/>
      <c r="Y362" s="132"/>
      <c r="Z362" s="132"/>
      <c r="AA362" s="132"/>
    </row>
    <row r="363" spans="1:27" ht="20.100000000000001" hidden="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28"/>
      <c r="H363" s="401">
        <f t="shared" si="157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2"/>
        <v>0</v>
      </c>
      <c r="N363" s="130">
        <f t="shared" si="163"/>
        <v>0</v>
      </c>
      <c r="O363" s="409"/>
      <c r="P363" s="409"/>
      <c r="Q363" s="409"/>
      <c r="R363" s="409"/>
      <c r="S363" s="409"/>
      <c r="T363" s="409"/>
      <c r="U363" s="409"/>
      <c r="V363" s="132">
        <f t="shared" si="164"/>
        <v>0</v>
      </c>
      <c r="W363" s="133" t="str">
        <f t="shared" si="165"/>
        <v/>
      </c>
      <c r="X363" s="132"/>
      <c r="Y363" s="132"/>
      <c r="Z363" s="132"/>
      <c r="AA363" s="132"/>
    </row>
    <row r="364" spans="1:27" ht="20.100000000000001" hidden="1" customHeight="1">
      <c r="A364" s="300">
        <v>30100003</v>
      </c>
      <c r="B364" s="141" t="s">
        <v>198</v>
      </c>
      <c r="C364" s="406" t="s">
        <v>190</v>
      </c>
      <c r="D364" s="108">
        <v>4.8</v>
      </c>
      <c r="E364" s="108"/>
      <c r="F364" s="127"/>
      <c r="G364" s="128"/>
      <c r="H364" s="401">
        <f t="shared" si="157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2"/>
        <v>0</v>
      </c>
      <c r="N364" s="130"/>
      <c r="O364" s="409"/>
      <c r="P364" s="409"/>
      <c r="Q364" s="409"/>
      <c r="R364" s="409"/>
      <c r="S364" s="409"/>
      <c r="T364" s="409"/>
      <c r="U364" s="409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30100004</v>
      </c>
      <c r="B365" s="141" t="s">
        <v>198</v>
      </c>
      <c r="C365" s="406" t="s">
        <v>187</v>
      </c>
      <c r="D365" s="108">
        <v>4.8</v>
      </c>
      <c r="E365" s="108"/>
      <c r="F365" s="127"/>
      <c r="G365" s="128"/>
      <c r="H365" s="401">
        <f t="shared" si="157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2"/>
        <v>0</v>
      </c>
      <c r="N365" s="130"/>
      <c r="O365" s="409"/>
      <c r="P365" s="409"/>
      <c r="Q365" s="409"/>
      <c r="R365" s="409"/>
      <c r="S365" s="409"/>
      <c r="T365" s="409"/>
      <c r="U365" s="409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30100006</v>
      </c>
      <c r="B366" s="141" t="s">
        <v>198</v>
      </c>
      <c r="C366" s="406" t="s">
        <v>179</v>
      </c>
      <c r="D366" s="108">
        <v>4.8</v>
      </c>
      <c r="E366" s="108"/>
      <c r="F366" s="127"/>
      <c r="G366" s="128"/>
      <c r="H366" s="401">
        <f t="shared" si="157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2"/>
        <v>0</v>
      </c>
      <c r="N366" s="130"/>
      <c r="O366" s="409"/>
      <c r="P366" s="409"/>
      <c r="Q366" s="409"/>
      <c r="R366" s="409"/>
      <c r="S366" s="409"/>
      <c r="T366" s="409"/>
      <c r="U366" s="409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0">
        <v>30100005</v>
      </c>
      <c r="B367" s="141" t="s">
        <v>198</v>
      </c>
      <c r="C367" s="406" t="s">
        <v>199</v>
      </c>
      <c r="D367" s="108">
        <v>4.8</v>
      </c>
      <c r="E367" s="108"/>
      <c r="F367" s="127"/>
      <c r="G367" s="128"/>
      <c r="H367" s="401">
        <f t="shared" si="157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2"/>
        <v>0</v>
      </c>
      <c r="N367" s="130"/>
      <c r="O367" s="409"/>
      <c r="P367" s="409"/>
      <c r="Q367" s="409"/>
      <c r="R367" s="409"/>
      <c r="S367" s="409"/>
      <c r="T367" s="409"/>
      <c r="U367" s="409"/>
      <c r="V367" s="132"/>
      <c r="W367" s="133"/>
      <c r="X367" s="132"/>
      <c r="Y367" s="132"/>
      <c r="Z367" s="132"/>
      <c r="AA367" s="132"/>
    </row>
    <row r="368" spans="1:27" ht="20.100000000000001" hidden="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28"/>
      <c r="H368" s="401">
        <f t="shared" si="157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2"/>
        <v>0</v>
      </c>
      <c r="N368" s="130">
        <f t="shared" ref="N368:N369" si="166">SUM(O368:U368)</f>
        <v>0</v>
      </c>
      <c r="O368" s="409"/>
      <c r="P368" s="409"/>
      <c r="Q368" s="409"/>
      <c r="R368" s="409"/>
      <c r="S368" s="409"/>
      <c r="T368" s="409"/>
      <c r="U368" s="409"/>
      <c r="V368" s="132">
        <f t="shared" ref="V368:V369" si="167">SUM(X368:AA368)</f>
        <v>0</v>
      </c>
      <c r="W368" s="133" t="str">
        <f t="shared" ref="W368:W369" si="168">IF(ISERROR(V368/G368),"",V368/G368)</f>
        <v/>
      </c>
      <c r="X368" s="132"/>
      <c r="Y368" s="132"/>
      <c r="Z368" s="132"/>
      <c r="AA368" s="132"/>
    </row>
    <row r="369" spans="1:27" ht="20.100000000000001" hidden="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28"/>
      <c r="H369" s="401">
        <f t="shared" si="157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2"/>
        <v>0</v>
      </c>
      <c r="N369" s="130">
        <f t="shared" si="166"/>
        <v>0</v>
      </c>
      <c r="O369" s="409"/>
      <c r="P369" s="409"/>
      <c r="Q369" s="409"/>
      <c r="R369" s="409"/>
      <c r="S369" s="409"/>
      <c r="T369" s="409"/>
      <c r="U369" s="409"/>
      <c r="V369" s="132">
        <f t="shared" si="167"/>
        <v>0</v>
      </c>
      <c r="W369" s="133" t="str">
        <f t="shared" si="168"/>
        <v/>
      </c>
      <c r="X369" s="132"/>
      <c r="Y369" s="132"/>
      <c r="Z369" s="132"/>
      <c r="AA369" s="132"/>
    </row>
    <row r="370" spans="1:27" ht="20.100000000000001" hidden="1" customHeight="1">
      <c r="A370" s="578" t="s">
        <v>201</v>
      </c>
      <c r="B370" s="579"/>
      <c r="C370" s="410" t="s">
        <v>202</v>
      </c>
      <c r="D370" s="143"/>
      <c r="E370" s="143"/>
      <c r="F370" s="144"/>
      <c r="G370" s="145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69">SUM(M349:M369)</f>
        <v>0</v>
      </c>
      <c r="N370" s="146">
        <f t="shared" si="169"/>
        <v>0</v>
      </c>
      <c r="O370" s="148">
        <f t="shared" si="169"/>
        <v>0</v>
      </c>
      <c r="P370" s="148">
        <f t="shared" si="169"/>
        <v>0</v>
      </c>
      <c r="Q370" s="148">
        <f t="shared" si="169"/>
        <v>0</v>
      </c>
      <c r="R370" s="148">
        <f t="shared" si="169"/>
        <v>0</v>
      </c>
      <c r="S370" s="148">
        <f t="shared" si="169"/>
        <v>0</v>
      </c>
      <c r="T370" s="148">
        <f t="shared" si="169"/>
        <v>0</v>
      </c>
      <c r="U370" s="148">
        <f t="shared" si="169"/>
        <v>0</v>
      </c>
      <c r="V370" s="149">
        <f t="shared" si="169"/>
        <v>0</v>
      </c>
      <c r="W370" s="133">
        <f t="shared" si="169"/>
        <v>0</v>
      </c>
      <c r="X370" s="149">
        <f t="shared" si="169"/>
        <v>0</v>
      </c>
      <c r="Y370" s="149">
        <f t="shared" si="169"/>
        <v>0</v>
      </c>
      <c r="Z370" s="149">
        <f t="shared" si="169"/>
        <v>0</v>
      </c>
      <c r="AA370" s="149">
        <f t="shared" si="169"/>
        <v>0</v>
      </c>
    </row>
    <row r="371" spans="1:27" ht="20.100000000000001" hidden="1" customHeight="1">
      <c r="A371" s="300">
        <v>30100012</v>
      </c>
      <c r="B371" s="400" t="s">
        <v>206</v>
      </c>
      <c r="C371" s="126" t="s">
        <v>199</v>
      </c>
      <c r="D371" s="108">
        <v>5.03</v>
      </c>
      <c r="E371" s="108"/>
      <c r="F371" s="127"/>
      <c r="G371" s="128"/>
      <c r="H371" s="401">
        <f t="shared" ref="H371:H427" si="170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" si="171">IF(ISERROR(I371-K371),"",I371-K371)</f>
        <v>0</v>
      </c>
      <c r="N371" s="130">
        <f t="shared" ref="N371" si="172">SUM(O371:U371)</f>
        <v>0</v>
      </c>
      <c r="O371" s="404"/>
      <c r="P371" s="404"/>
      <c r="Q371" s="404"/>
      <c r="R371" s="404"/>
      <c r="S371" s="404"/>
      <c r="T371" s="404"/>
      <c r="U371" s="404"/>
      <c r="V371" s="132">
        <f t="shared" ref="V371" si="173">SUM(X371:AA371)</f>
        <v>0</v>
      </c>
      <c r="W371" s="133" t="str">
        <f t="shared" ref="W371" si="174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30100011</v>
      </c>
      <c r="B372" s="400" t="s">
        <v>425</v>
      </c>
      <c r="C372" s="187" t="s">
        <v>427</v>
      </c>
      <c r="D372" s="108">
        <v>5.03</v>
      </c>
      <c r="E372" s="108"/>
      <c r="F372" s="127"/>
      <c r="G372" s="128"/>
      <c r="H372" s="401">
        <f t="shared" si="170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404"/>
      <c r="P372" s="404"/>
      <c r="Q372" s="404"/>
      <c r="R372" s="404"/>
      <c r="S372" s="404"/>
      <c r="T372" s="404"/>
      <c r="U372" s="404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0">
        <v>30100010</v>
      </c>
      <c r="B373" s="400" t="s">
        <v>206</v>
      </c>
      <c r="C373" s="126" t="s">
        <v>186</v>
      </c>
      <c r="D373" s="108">
        <v>5.03</v>
      </c>
      <c r="E373" s="108"/>
      <c r="F373" s="127"/>
      <c r="G373" s="128"/>
      <c r="H373" s="401">
        <f t="shared" si="170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ref="M373:M408" si="175">IF(ISERROR(I373-K373),"",I373-K373)</f>
        <v>0</v>
      </c>
      <c r="N373" s="130">
        <f t="shared" ref="N373:N375" si="176">SUM(O373:U373)</f>
        <v>0</v>
      </c>
      <c r="O373" s="404"/>
      <c r="P373" s="404"/>
      <c r="Q373" s="404"/>
      <c r="R373" s="404"/>
      <c r="S373" s="404"/>
      <c r="T373" s="404"/>
      <c r="U373" s="404"/>
      <c r="V373" s="132">
        <f t="shared" ref="V373:V375" si="177">SUM(X373:AA373)</f>
        <v>0</v>
      </c>
      <c r="W373" s="133" t="str">
        <f t="shared" ref="W373:W375" si="178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0">
        <v>30100014</v>
      </c>
      <c r="B374" s="400" t="s">
        <v>206</v>
      </c>
      <c r="C374" s="126" t="s">
        <v>203</v>
      </c>
      <c r="D374" s="108">
        <v>5.03</v>
      </c>
      <c r="E374" s="108"/>
      <c r="F374" s="127"/>
      <c r="G374" s="128"/>
      <c r="H374" s="401">
        <f t="shared" si="170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5"/>
        <v>0</v>
      </c>
      <c r="N374" s="130">
        <f t="shared" si="176"/>
        <v>0</v>
      </c>
      <c r="O374" s="404"/>
      <c r="P374" s="404"/>
      <c r="Q374" s="404"/>
      <c r="R374" s="404"/>
      <c r="S374" s="404"/>
      <c r="T374" s="404"/>
      <c r="U374" s="404"/>
      <c r="V374" s="132">
        <f t="shared" si="177"/>
        <v>0</v>
      </c>
      <c r="W374" s="133" t="str">
        <f t="shared" si="178"/>
        <v/>
      </c>
      <c r="X374" s="132"/>
      <c r="Y374" s="132"/>
      <c r="Z374" s="132"/>
      <c r="AA374" s="132"/>
    </row>
    <row r="375" spans="1:27" ht="20.100000000000001" hidden="1" customHeight="1">
      <c r="A375" s="300">
        <v>30100013</v>
      </c>
      <c r="B375" s="400" t="s">
        <v>206</v>
      </c>
      <c r="C375" s="126" t="s">
        <v>207</v>
      </c>
      <c r="D375" s="108">
        <v>5.03</v>
      </c>
      <c r="E375" s="108"/>
      <c r="F375" s="127"/>
      <c r="G375" s="128"/>
      <c r="H375" s="401">
        <f t="shared" si="170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5"/>
        <v>0</v>
      </c>
      <c r="N375" s="130">
        <f t="shared" si="176"/>
        <v>0</v>
      </c>
      <c r="O375" s="404"/>
      <c r="P375" s="404"/>
      <c r="Q375" s="404"/>
      <c r="R375" s="404"/>
      <c r="S375" s="404"/>
      <c r="T375" s="404"/>
      <c r="U375" s="404"/>
      <c r="V375" s="132">
        <f t="shared" si="177"/>
        <v>0</v>
      </c>
      <c r="W375" s="133" t="str">
        <f t="shared" si="178"/>
        <v/>
      </c>
      <c r="X375" s="132"/>
      <c r="Y375" s="132"/>
      <c r="Z375" s="132"/>
      <c r="AA375" s="132"/>
    </row>
    <row r="376" spans="1:27" ht="20.100000000000001" hidden="1" customHeight="1">
      <c r="A376" s="300">
        <v>30100016</v>
      </c>
      <c r="B376" s="400" t="s">
        <v>414</v>
      </c>
      <c r="C376" s="187" t="s">
        <v>415</v>
      </c>
      <c r="D376" s="108"/>
      <c r="E376" s="108"/>
      <c r="F376" s="127"/>
      <c r="G376" s="128"/>
      <c r="H376" s="401">
        <f t="shared" si="170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5"/>
        <v>0</v>
      </c>
      <c r="N376" s="130"/>
      <c r="O376" s="404"/>
      <c r="P376" s="404"/>
      <c r="Q376" s="404"/>
      <c r="R376" s="404"/>
      <c r="S376" s="404"/>
      <c r="T376" s="404"/>
      <c r="U376" s="404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30100017</v>
      </c>
      <c r="B377" s="400" t="s">
        <v>414</v>
      </c>
      <c r="C377" s="187" t="s">
        <v>416</v>
      </c>
      <c r="D377" s="108"/>
      <c r="E377" s="108"/>
      <c r="F377" s="127"/>
      <c r="G377" s="128"/>
      <c r="H377" s="401">
        <f t="shared" si="170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5"/>
        <v>0</v>
      </c>
      <c r="N377" s="130"/>
      <c r="O377" s="404"/>
      <c r="P377" s="404"/>
      <c r="Q377" s="404"/>
      <c r="R377" s="404"/>
      <c r="S377" s="404"/>
      <c r="T377" s="404"/>
      <c r="U377" s="404"/>
      <c r="V377" s="132"/>
      <c r="W377" s="133"/>
      <c r="X377" s="132"/>
      <c r="Y377" s="132"/>
      <c r="Z377" s="132"/>
      <c r="AA377" s="132"/>
    </row>
    <row r="378" spans="1:27" ht="20.100000000000001" hidden="1" customHeight="1">
      <c r="A378" s="300">
        <v>30100015</v>
      </c>
      <c r="B378" s="400" t="s">
        <v>414</v>
      </c>
      <c r="C378" s="187" t="s">
        <v>61</v>
      </c>
      <c r="D378" s="108"/>
      <c r="E378" s="108"/>
      <c r="F378" s="127"/>
      <c r="G378" s="128"/>
      <c r="H378" s="401">
        <f t="shared" si="170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5"/>
        <v>0</v>
      </c>
      <c r="N378" s="130"/>
      <c r="O378" s="404"/>
      <c r="P378" s="404"/>
      <c r="Q378" s="404"/>
      <c r="R378" s="404"/>
      <c r="S378" s="404"/>
      <c r="T378" s="404"/>
      <c r="U378" s="404"/>
      <c r="V378" s="132"/>
      <c r="W378" s="133"/>
      <c r="X378" s="132"/>
      <c r="Y378" s="132"/>
      <c r="Z378" s="132"/>
      <c r="AA378" s="132"/>
    </row>
    <row r="379" spans="1:27" ht="20.100000000000001" hidden="1" customHeight="1">
      <c r="A379" s="300">
        <v>30100027</v>
      </c>
      <c r="B379" s="400" t="s">
        <v>208</v>
      </c>
      <c r="C379" s="126" t="s">
        <v>179</v>
      </c>
      <c r="D379" s="108">
        <v>5.08</v>
      </c>
      <c r="E379" s="108"/>
      <c r="F379" s="127"/>
      <c r="G379" s="128"/>
      <c r="H379" s="401">
        <f t="shared" si="170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5"/>
        <v>0</v>
      </c>
      <c r="N379" s="130">
        <f t="shared" ref="N379:N394" si="179">SUM(O379:U379)</f>
        <v>0</v>
      </c>
      <c r="O379" s="404"/>
      <c r="P379" s="404"/>
      <c r="Q379" s="404"/>
      <c r="R379" s="404"/>
      <c r="S379" s="404"/>
      <c r="T379" s="404"/>
      <c r="U379" s="404"/>
      <c r="V379" s="132">
        <f t="shared" ref="V379:V390" si="180">SUM(X379:AA379)</f>
        <v>0</v>
      </c>
      <c r="W379" s="133" t="str">
        <f t="shared" ref="W379:W390" si="181">IF(ISERROR(V379/G379),"",V379/G379)</f>
        <v/>
      </c>
      <c r="X379" s="132"/>
      <c r="Y379" s="132"/>
      <c r="Z379" s="132"/>
      <c r="AA379" s="132"/>
    </row>
    <row r="380" spans="1:27" ht="20.100000000000001" hidden="1" customHeight="1">
      <c r="A380" s="300">
        <v>30100023</v>
      </c>
      <c r="B380" s="400" t="s">
        <v>208</v>
      </c>
      <c r="C380" s="126" t="s">
        <v>204</v>
      </c>
      <c r="D380" s="108">
        <v>5.08</v>
      </c>
      <c r="E380" s="108"/>
      <c r="F380" s="127"/>
      <c r="G380" s="128"/>
      <c r="H380" s="401">
        <f t="shared" si="170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5"/>
        <v>0</v>
      </c>
      <c r="N380" s="130">
        <f t="shared" si="179"/>
        <v>0</v>
      </c>
      <c r="O380" s="404"/>
      <c r="P380" s="404"/>
      <c r="Q380" s="404"/>
      <c r="R380" s="404"/>
      <c r="S380" s="404"/>
      <c r="T380" s="404"/>
      <c r="U380" s="404"/>
      <c r="V380" s="132">
        <f t="shared" si="180"/>
        <v>0</v>
      </c>
      <c r="W380" s="133" t="str">
        <f t="shared" si="181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30100024</v>
      </c>
      <c r="B381" s="400" t="s">
        <v>208</v>
      </c>
      <c r="C381" s="126" t="s">
        <v>205</v>
      </c>
      <c r="D381" s="108">
        <v>5.08</v>
      </c>
      <c r="E381" s="108"/>
      <c r="F381" s="127"/>
      <c r="G381" s="128"/>
      <c r="H381" s="401">
        <f t="shared" si="170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5"/>
        <v>0</v>
      </c>
      <c r="N381" s="130">
        <f t="shared" si="179"/>
        <v>0</v>
      </c>
      <c r="O381" s="404"/>
      <c r="P381" s="404"/>
      <c r="Q381" s="404"/>
      <c r="R381" s="404"/>
      <c r="S381" s="404"/>
      <c r="T381" s="404"/>
      <c r="U381" s="404"/>
      <c r="V381" s="132">
        <f t="shared" si="180"/>
        <v>0</v>
      </c>
      <c r="W381" s="133" t="str">
        <f t="shared" si="181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30100022</v>
      </c>
      <c r="B382" s="400" t="s">
        <v>208</v>
      </c>
      <c r="C382" s="126" t="s">
        <v>186</v>
      </c>
      <c r="D382" s="108">
        <v>5.08</v>
      </c>
      <c r="E382" s="108"/>
      <c r="F382" s="127"/>
      <c r="G382" s="128"/>
      <c r="H382" s="401">
        <f t="shared" si="170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5"/>
        <v>0</v>
      </c>
      <c r="N382" s="130">
        <f t="shared" si="179"/>
        <v>0</v>
      </c>
      <c r="O382" s="404"/>
      <c r="P382" s="404"/>
      <c r="Q382" s="404"/>
      <c r="R382" s="404"/>
      <c r="S382" s="404"/>
      <c r="T382" s="404"/>
      <c r="U382" s="404"/>
      <c r="V382" s="132">
        <f t="shared" si="180"/>
        <v>0</v>
      </c>
      <c r="W382" s="133" t="str">
        <f t="shared" si="181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30100029</v>
      </c>
      <c r="B383" s="400" t="s">
        <v>208</v>
      </c>
      <c r="C383" s="126" t="s">
        <v>203</v>
      </c>
      <c r="D383" s="108">
        <v>5.08</v>
      </c>
      <c r="E383" s="108"/>
      <c r="F383" s="127"/>
      <c r="G383" s="128"/>
      <c r="H383" s="401">
        <f t="shared" si="170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5"/>
        <v>0</v>
      </c>
      <c r="N383" s="130">
        <f t="shared" si="179"/>
        <v>0</v>
      </c>
      <c r="O383" s="404"/>
      <c r="P383" s="404"/>
      <c r="Q383" s="404"/>
      <c r="R383" s="404"/>
      <c r="S383" s="404"/>
      <c r="T383" s="404"/>
      <c r="U383" s="404"/>
      <c r="V383" s="132">
        <f t="shared" si="180"/>
        <v>0</v>
      </c>
      <c r="W383" s="133" t="str">
        <f t="shared" si="181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30100026</v>
      </c>
      <c r="B384" s="400" t="s">
        <v>208</v>
      </c>
      <c r="C384" s="126" t="s">
        <v>199</v>
      </c>
      <c r="D384" s="108">
        <v>5.08</v>
      </c>
      <c r="E384" s="108"/>
      <c r="F384" s="127"/>
      <c r="G384" s="128"/>
      <c r="H384" s="401">
        <f t="shared" si="170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5"/>
        <v>0</v>
      </c>
      <c r="N384" s="130">
        <f t="shared" si="179"/>
        <v>0</v>
      </c>
      <c r="O384" s="409"/>
      <c r="P384" s="409"/>
      <c r="Q384" s="409"/>
      <c r="R384" s="409"/>
      <c r="S384" s="409"/>
      <c r="T384" s="409"/>
      <c r="U384" s="409"/>
      <c r="V384" s="132">
        <f t="shared" si="180"/>
        <v>0</v>
      </c>
      <c r="W384" s="133" t="str">
        <f t="shared" si="181"/>
        <v/>
      </c>
      <c r="X384" s="132"/>
      <c r="Y384" s="132"/>
      <c r="Z384" s="132"/>
      <c r="AA384" s="132"/>
    </row>
    <row r="385" spans="1:27" ht="20.100000000000001" hidden="1" customHeight="1">
      <c r="A385" s="300">
        <v>30100025</v>
      </c>
      <c r="B385" s="400" t="s">
        <v>208</v>
      </c>
      <c r="C385" s="126" t="s">
        <v>187</v>
      </c>
      <c r="D385" s="108">
        <v>5.08</v>
      </c>
      <c r="E385" s="108"/>
      <c r="F385" s="127"/>
      <c r="G385" s="128"/>
      <c r="H385" s="401">
        <f t="shared" si="170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5"/>
        <v>0</v>
      </c>
      <c r="N385" s="130">
        <f t="shared" si="179"/>
        <v>0</v>
      </c>
      <c r="O385" s="404"/>
      <c r="P385" s="404"/>
      <c r="Q385" s="404"/>
      <c r="R385" s="404"/>
      <c r="S385" s="404"/>
      <c r="T385" s="404"/>
      <c r="U385" s="404"/>
      <c r="V385" s="132">
        <f t="shared" si="180"/>
        <v>0</v>
      </c>
      <c r="W385" s="133" t="str">
        <f t="shared" si="181"/>
        <v/>
      </c>
      <c r="X385" s="132"/>
      <c r="Y385" s="132"/>
      <c r="Z385" s="132"/>
      <c r="AA385" s="132"/>
    </row>
    <row r="386" spans="1:27" ht="20.100000000000001" hidden="1" customHeight="1">
      <c r="A386" s="300">
        <v>30100028</v>
      </c>
      <c r="B386" s="400" t="s">
        <v>208</v>
      </c>
      <c r="C386" s="126" t="s">
        <v>207</v>
      </c>
      <c r="D386" s="108">
        <v>5.08</v>
      </c>
      <c r="E386" s="108"/>
      <c r="F386" s="127"/>
      <c r="G386" s="128"/>
      <c r="H386" s="401">
        <f t="shared" si="170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5"/>
        <v>0</v>
      </c>
      <c r="N386" s="130">
        <f t="shared" si="179"/>
        <v>0</v>
      </c>
      <c r="O386" s="409"/>
      <c r="P386" s="409"/>
      <c r="Q386" s="409"/>
      <c r="R386" s="409"/>
      <c r="S386" s="409"/>
      <c r="T386" s="409"/>
      <c r="U386" s="409"/>
      <c r="V386" s="132">
        <f t="shared" si="180"/>
        <v>0</v>
      </c>
      <c r="W386" s="133" t="str">
        <f t="shared" si="181"/>
        <v/>
      </c>
      <c r="X386" s="132"/>
      <c r="Y386" s="132"/>
      <c r="Z386" s="132"/>
      <c r="AA386" s="132"/>
    </row>
    <row r="387" spans="1:27" ht="20.100000000000001" hidden="1" customHeight="1">
      <c r="A387" s="300">
        <v>30100032</v>
      </c>
      <c r="B387" s="400" t="s">
        <v>209</v>
      </c>
      <c r="C387" s="126" t="s">
        <v>194</v>
      </c>
      <c r="D387" s="108">
        <v>5.03</v>
      </c>
      <c r="E387" s="108"/>
      <c r="F387" s="127"/>
      <c r="G387" s="128"/>
      <c r="H387" s="401">
        <f t="shared" si="170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5"/>
        <v>0</v>
      </c>
      <c r="N387" s="130">
        <f t="shared" si="179"/>
        <v>0</v>
      </c>
      <c r="O387" s="404"/>
      <c r="P387" s="404"/>
      <c r="Q387" s="404"/>
      <c r="R387" s="404"/>
      <c r="S387" s="404"/>
      <c r="T387" s="404"/>
      <c r="U387" s="404"/>
      <c r="V387" s="132">
        <f t="shared" si="180"/>
        <v>0</v>
      </c>
      <c r="W387" s="133" t="str">
        <f t="shared" si="181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30100033</v>
      </c>
      <c r="B388" s="400" t="s">
        <v>209</v>
      </c>
      <c r="C388" s="126" t="s">
        <v>179</v>
      </c>
      <c r="D388" s="108">
        <v>5.03</v>
      </c>
      <c r="E388" s="108"/>
      <c r="F388" s="127"/>
      <c r="G388" s="128"/>
      <c r="H388" s="401">
        <f t="shared" si="170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5"/>
        <v>0</v>
      </c>
      <c r="N388" s="130">
        <f t="shared" si="179"/>
        <v>0</v>
      </c>
      <c r="O388" s="404"/>
      <c r="P388" s="404"/>
      <c r="Q388" s="404"/>
      <c r="R388" s="404"/>
      <c r="S388" s="404"/>
      <c r="T388" s="404"/>
      <c r="U388" s="404"/>
      <c r="V388" s="132">
        <f t="shared" si="180"/>
        <v>0</v>
      </c>
      <c r="W388" s="133" t="str">
        <f t="shared" si="181"/>
        <v/>
      </c>
      <c r="X388" s="132"/>
      <c r="Y388" s="132"/>
      <c r="Z388" s="132"/>
      <c r="AA388" s="132"/>
    </row>
    <row r="389" spans="1:27" ht="20.100000000000001" hidden="1" customHeight="1">
      <c r="A389" s="300">
        <v>30100062</v>
      </c>
      <c r="B389" s="400" t="s">
        <v>209</v>
      </c>
      <c r="C389" s="126" t="s">
        <v>195</v>
      </c>
      <c r="D389" s="108">
        <v>5.03</v>
      </c>
      <c r="E389" s="108"/>
      <c r="F389" s="127"/>
      <c r="G389" s="128"/>
      <c r="H389" s="401">
        <f t="shared" si="170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5"/>
        <v>0</v>
      </c>
      <c r="N389" s="130">
        <f t="shared" si="179"/>
        <v>0</v>
      </c>
      <c r="O389" s="404"/>
      <c r="P389" s="404"/>
      <c r="Q389" s="404"/>
      <c r="R389" s="404"/>
      <c r="S389" s="404"/>
      <c r="T389" s="404"/>
      <c r="U389" s="404"/>
      <c r="V389" s="132">
        <f t="shared" si="180"/>
        <v>0</v>
      </c>
      <c r="W389" s="133" t="str">
        <f t="shared" si="181"/>
        <v/>
      </c>
      <c r="X389" s="132"/>
      <c r="Y389" s="132"/>
      <c r="Z389" s="132"/>
      <c r="AA389" s="132"/>
    </row>
    <row r="390" spans="1:27" ht="20.100000000000001" hidden="1" customHeight="1">
      <c r="A390" s="300">
        <v>30100031</v>
      </c>
      <c r="B390" s="400" t="s">
        <v>209</v>
      </c>
      <c r="C390" s="126" t="s">
        <v>204</v>
      </c>
      <c r="D390" s="108">
        <v>5.03</v>
      </c>
      <c r="E390" s="108"/>
      <c r="F390" s="127"/>
      <c r="G390" s="128"/>
      <c r="H390" s="401">
        <f t="shared" si="170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5"/>
        <v>0</v>
      </c>
      <c r="N390" s="130">
        <f t="shared" si="179"/>
        <v>0</v>
      </c>
      <c r="O390" s="404"/>
      <c r="P390" s="404"/>
      <c r="Q390" s="404"/>
      <c r="R390" s="404"/>
      <c r="S390" s="404"/>
      <c r="T390" s="404"/>
      <c r="U390" s="404"/>
      <c r="V390" s="132">
        <f t="shared" si="180"/>
        <v>0</v>
      </c>
      <c r="W390" s="133" t="str">
        <f t="shared" si="181"/>
        <v/>
      </c>
      <c r="X390" s="132"/>
      <c r="Y390" s="132"/>
      <c r="Z390" s="132"/>
      <c r="AA390" s="132"/>
    </row>
    <row r="391" spans="1:27" ht="20.100000000000001" hidden="1" customHeight="1">
      <c r="A391" s="300">
        <v>30100019</v>
      </c>
      <c r="B391" s="400" t="s">
        <v>382</v>
      </c>
      <c r="C391" s="187" t="s">
        <v>383</v>
      </c>
      <c r="D391" s="108">
        <v>5.03</v>
      </c>
      <c r="E391" s="108"/>
      <c r="F391" s="127"/>
      <c r="G391" s="128"/>
      <c r="H391" s="401">
        <f t="shared" si="170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5"/>
        <v>0</v>
      </c>
      <c r="N391" s="130">
        <f t="shared" si="179"/>
        <v>0</v>
      </c>
      <c r="O391" s="404"/>
      <c r="P391" s="404"/>
      <c r="Q391" s="404"/>
      <c r="R391" s="404"/>
      <c r="S391" s="404"/>
      <c r="T391" s="404"/>
      <c r="U391" s="404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30100020</v>
      </c>
      <c r="B392" s="400" t="s">
        <v>382</v>
      </c>
      <c r="C392" s="187" t="s">
        <v>384</v>
      </c>
      <c r="D392" s="108">
        <v>5.03</v>
      </c>
      <c r="E392" s="108"/>
      <c r="F392" s="127"/>
      <c r="G392" s="128"/>
      <c r="H392" s="401">
        <f t="shared" si="170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5"/>
        <v>0</v>
      </c>
      <c r="N392" s="130">
        <f t="shared" si="179"/>
        <v>0</v>
      </c>
      <c r="O392" s="404"/>
      <c r="P392" s="404"/>
      <c r="Q392" s="404"/>
      <c r="R392" s="404"/>
      <c r="S392" s="404"/>
      <c r="T392" s="404"/>
      <c r="U392" s="404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0">
        <v>30100021</v>
      </c>
      <c r="B393" s="400" t="s">
        <v>382</v>
      </c>
      <c r="C393" s="187" t="s">
        <v>389</v>
      </c>
      <c r="D393" s="108">
        <v>5.03</v>
      </c>
      <c r="E393" s="108"/>
      <c r="F393" s="127"/>
      <c r="G393" s="128"/>
      <c r="H393" s="401">
        <f t="shared" si="170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5"/>
        <v>0</v>
      </c>
      <c r="N393" s="130">
        <f t="shared" si="179"/>
        <v>0</v>
      </c>
      <c r="O393" s="404"/>
      <c r="P393" s="404"/>
      <c r="Q393" s="404"/>
      <c r="R393" s="404"/>
      <c r="S393" s="404"/>
      <c r="T393" s="404"/>
      <c r="U393" s="404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0">
        <v>30100018</v>
      </c>
      <c r="B394" s="400" t="s">
        <v>382</v>
      </c>
      <c r="C394" s="187" t="s">
        <v>391</v>
      </c>
      <c r="D394" s="108">
        <v>5.03</v>
      </c>
      <c r="E394" s="108"/>
      <c r="F394" s="127"/>
      <c r="G394" s="128"/>
      <c r="H394" s="401">
        <f t="shared" si="170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5"/>
        <v>0</v>
      </c>
      <c r="N394" s="130">
        <f t="shared" si="179"/>
        <v>0</v>
      </c>
      <c r="O394" s="404"/>
      <c r="P394" s="404"/>
      <c r="Q394" s="404"/>
      <c r="R394" s="404"/>
      <c r="S394" s="404"/>
      <c r="T394" s="404"/>
      <c r="U394" s="404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30700007</v>
      </c>
      <c r="B395" s="400" t="s">
        <v>418</v>
      </c>
      <c r="C395" s="187" t="s">
        <v>364</v>
      </c>
      <c r="D395" s="108">
        <v>5.03</v>
      </c>
      <c r="E395" s="108"/>
      <c r="F395" s="127"/>
      <c r="G395" s="128"/>
      <c r="H395" s="401">
        <f t="shared" si="170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5"/>
        <v>0</v>
      </c>
      <c r="N395" s="130"/>
      <c r="O395" s="404"/>
      <c r="P395" s="404"/>
      <c r="Q395" s="404"/>
      <c r="R395" s="404"/>
      <c r="S395" s="404"/>
      <c r="T395" s="404"/>
      <c r="U395" s="404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30700006</v>
      </c>
      <c r="B396" s="400" t="s">
        <v>418</v>
      </c>
      <c r="C396" s="187" t="s">
        <v>365</v>
      </c>
      <c r="D396" s="108">
        <v>5.03</v>
      </c>
      <c r="E396" s="108"/>
      <c r="F396" s="127"/>
      <c r="G396" s="128"/>
      <c r="H396" s="401">
        <f t="shared" si="170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5"/>
        <v>0</v>
      </c>
      <c r="N396" s="130"/>
      <c r="O396" s="404"/>
      <c r="P396" s="404"/>
      <c r="Q396" s="404"/>
      <c r="R396" s="404"/>
      <c r="S396" s="404"/>
      <c r="T396" s="404"/>
      <c r="U396" s="404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3">
        <v>30700008</v>
      </c>
      <c r="B397" s="400" t="s">
        <v>418</v>
      </c>
      <c r="C397" s="187" t="s">
        <v>366</v>
      </c>
      <c r="D397" s="108">
        <v>5.03</v>
      </c>
      <c r="E397" s="108"/>
      <c r="F397" s="127"/>
      <c r="G397" s="128"/>
      <c r="H397" s="401">
        <f t="shared" si="170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5"/>
        <v>0</v>
      </c>
      <c r="N397" s="130"/>
      <c r="O397" s="404"/>
      <c r="P397" s="404"/>
      <c r="Q397" s="404"/>
      <c r="R397" s="404"/>
      <c r="S397" s="404"/>
      <c r="T397" s="404"/>
      <c r="U397" s="404"/>
      <c r="V397" s="132"/>
      <c r="W397" s="133"/>
      <c r="X397" s="132"/>
      <c r="Y397" s="132"/>
      <c r="Z397" s="132"/>
      <c r="AA397" s="132"/>
    </row>
    <row r="398" spans="1:27" ht="20.100000000000001" hidden="1" customHeight="1">
      <c r="A398" s="303">
        <v>30700009</v>
      </c>
      <c r="B398" s="400" t="s">
        <v>418</v>
      </c>
      <c r="C398" s="187" t="s">
        <v>367</v>
      </c>
      <c r="D398" s="108">
        <v>5.03</v>
      </c>
      <c r="E398" s="108"/>
      <c r="F398" s="127"/>
      <c r="G398" s="128"/>
      <c r="H398" s="401">
        <f t="shared" si="170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5"/>
        <v>0</v>
      </c>
      <c r="N398" s="130"/>
      <c r="O398" s="404"/>
      <c r="P398" s="404"/>
      <c r="Q398" s="404"/>
      <c r="R398" s="404"/>
      <c r="S398" s="404"/>
      <c r="T398" s="404"/>
      <c r="U398" s="404"/>
      <c r="V398" s="132"/>
      <c r="W398" s="133"/>
      <c r="X398" s="132"/>
      <c r="Y398" s="132"/>
      <c r="Z398" s="132"/>
      <c r="AA398" s="132"/>
    </row>
    <row r="399" spans="1:27" ht="20.100000000000001" hidden="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28"/>
      <c r="H399" s="401">
        <f t="shared" si="170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5"/>
        <v>0</v>
      </c>
      <c r="N399" s="130">
        <f t="shared" ref="N399:N408" si="182">SUM(O399:U399)</f>
        <v>0</v>
      </c>
      <c r="O399" s="409"/>
      <c r="P399" s="409"/>
      <c r="Q399" s="409"/>
      <c r="R399" s="409"/>
      <c r="S399" s="409"/>
      <c r="T399" s="409"/>
      <c r="U399" s="409"/>
      <c r="V399" s="132">
        <f t="shared" ref="V399:V408" si="183">SUM(X399:AA399)</f>
        <v>0</v>
      </c>
      <c r="W399" s="133" t="str">
        <f t="shared" ref="W399:W408" si="184">IF(ISERROR(V399/G399),"",V399/G399)</f>
        <v/>
      </c>
      <c r="X399" s="132"/>
      <c r="Y399" s="132"/>
      <c r="Z399" s="132"/>
      <c r="AA399" s="132"/>
    </row>
    <row r="400" spans="1:27" ht="20.100000000000001" hidden="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28"/>
      <c r="H400" s="401">
        <f t="shared" si="170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75"/>
        <v>0</v>
      </c>
      <c r="N400" s="130">
        <f t="shared" si="182"/>
        <v>0</v>
      </c>
      <c r="O400" s="409"/>
      <c r="P400" s="409"/>
      <c r="Q400" s="409"/>
      <c r="R400" s="409"/>
      <c r="S400" s="409"/>
      <c r="T400" s="409"/>
      <c r="U400" s="409"/>
      <c r="V400" s="132">
        <f t="shared" si="183"/>
        <v>0</v>
      </c>
      <c r="W400" s="133" t="str">
        <f t="shared" si="184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28"/>
      <c r="H401" s="401">
        <f t="shared" si="170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75"/>
        <v>0</v>
      </c>
      <c r="N401" s="130">
        <f t="shared" si="182"/>
        <v>0</v>
      </c>
      <c r="O401" s="409"/>
      <c r="P401" s="409"/>
      <c r="Q401" s="409"/>
      <c r="R401" s="409"/>
      <c r="S401" s="409"/>
      <c r="T401" s="409"/>
      <c r="U401" s="409"/>
      <c r="V401" s="132">
        <f t="shared" si="183"/>
        <v>0</v>
      </c>
      <c r="W401" s="133" t="str">
        <f t="shared" si="184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28"/>
      <c r="H402" s="401">
        <f t="shared" si="170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5"/>
        <v>0</v>
      </c>
      <c r="N402" s="130">
        <f t="shared" si="182"/>
        <v>0</v>
      </c>
      <c r="O402" s="409"/>
      <c r="P402" s="409"/>
      <c r="Q402" s="409"/>
      <c r="R402" s="409"/>
      <c r="S402" s="409"/>
      <c r="T402" s="409"/>
      <c r="U402" s="409"/>
      <c r="V402" s="132">
        <f t="shared" si="183"/>
        <v>0</v>
      </c>
      <c r="W402" s="133" t="str">
        <f t="shared" si="184"/>
        <v/>
      </c>
      <c r="X402" s="132"/>
      <c r="Y402" s="132"/>
      <c r="Z402" s="132"/>
      <c r="AA402" s="132"/>
    </row>
    <row r="403" spans="1:27" ht="20.100000000000001" hidden="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28"/>
      <c r="H403" s="401">
        <f t="shared" si="170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5"/>
        <v>0</v>
      </c>
      <c r="N403" s="130">
        <f t="shared" si="182"/>
        <v>0</v>
      </c>
      <c r="O403" s="409"/>
      <c r="P403" s="409"/>
      <c r="Q403" s="409"/>
      <c r="R403" s="409"/>
      <c r="S403" s="409"/>
      <c r="T403" s="409"/>
      <c r="U403" s="409"/>
      <c r="V403" s="132">
        <f t="shared" si="183"/>
        <v>0</v>
      </c>
      <c r="W403" s="133" t="str">
        <f t="shared" si="184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28"/>
      <c r="H404" s="401">
        <f t="shared" si="170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5"/>
        <v>0</v>
      </c>
      <c r="N404" s="130">
        <f t="shared" si="182"/>
        <v>0</v>
      </c>
      <c r="O404" s="409"/>
      <c r="P404" s="409"/>
      <c r="Q404" s="409"/>
      <c r="R404" s="409"/>
      <c r="S404" s="409"/>
      <c r="T404" s="409"/>
      <c r="U404" s="409"/>
      <c r="V404" s="132">
        <f t="shared" si="183"/>
        <v>0</v>
      </c>
      <c r="W404" s="133" t="str">
        <f t="shared" si="184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28"/>
      <c r="H405" s="401">
        <f t="shared" si="170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5"/>
        <v>0</v>
      </c>
      <c r="N405" s="130">
        <f t="shared" si="182"/>
        <v>0</v>
      </c>
      <c r="O405" s="409"/>
      <c r="P405" s="409"/>
      <c r="Q405" s="409"/>
      <c r="R405" s="409"/>
      <c r="S405" s="409"/>
      <c r="T405" s="409"/>
      <c r="U405" s="409"/>
      <c r="V405" s="132">
        <f t="shared" si="183"/>
        <v>0</v>
      </c>
      <c r="W405" s="133" t="str">
        <f t="shared" si="184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28"/>
      <c r="H406" s="401">
        <f t="shared" si="170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5"/>
        <v>0</v>
      </c>
      <c r="N406" s="130">
        <f t="shared" si="182"/>
        <v>0</v>
      </c>
      <c r="O406" s="409"/>
      <c r="P406" s="409"/>
      <c r="Q406" s="409"/>
      <c r="R406" s="409"/>
      <c r="S406" s="409"/>
      <c r="T406" s="409"/>
      <c r="U406" s="409"/>
      <c r="V406" s="132">
        <f t="shared" si="183"/>
        <v>0</v>
      </c>
      <c r="W406" s="133" t="str">
        <f t="shared" si="184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28"/>
      <c r="H407" s="401">
        <f t="shared" si="170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75"/>
        <v>0</v>
      </c>
      <c r="N407" s="130">
        <f t="shared" si="182"/>
        <v>0</v>
      </c>
      <c r="O407" s="409"/>
      <c r="P407" s="409"/>
      <c r="Q407" s="409"/>
      <c r="R407" s="409"/>
      <c r="S407" s="409"/>
      <c r="T407" s="409"/>
      <c r="U407" s="409"/>
      <c r="V407" s="132">
        <f t="shared" si="183"/>
        <v>0</v>
      </c>
      <c r="W407" s="133" t="str">
        <f t="shared" si="184"/>
        <v/>
      </c>
      <c r="X407" s="132"/>
      <c r="Y407" s="132"/>
      <c r="Z407" s="132"/>
      <c r="AA407" s="132"/>
    </row>
    <row r="408" spans="1:27" ht="20.100000000000001" hidden="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28"/>
      <c r="H408" s="401">
        <f t="shared" si="170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75"/>
        <v>0</v>
      </c>
      <c r="N408" s="130">
        <f t="shared" si="182"/>
        <v>0</v>
      </c>
      <c r="O408" s="409"/>
      <c r="P408" s="409"/>
      <c r="Q408" s="409"/>
      <c r="R408" s="409"/>
      <c r="S408" s="409"/>
      <c r="T408" s="409"/>
      <c r="U408" s="409"/>
      <c r="V408" s="132">
        <f t="shared" si="183"/>
        <v>0</v>
      </c>
      <c r="W408" s="133" t="str">
        <f t="shared" si="184"/>
        <v/>
      </c>
      <c r="X408" s="132"/>
      <c r="Y408" s="132"/>
      <c r="Z408" s="132"/>
      <c r="AA408" s="132"/>
    </row>
    <row r="409" spans="1:27" ht="20.100000000000001" hidden="1" customHeight="1">
      <c r="A409" s="300">
        <v>30100043</v>
      </c>
      <c r="B409" s="134" t="s">
        <v>429</v>
      </c>
      <c r="C409" s="187" t="s">
        <v>427</v>
      </c>
      <c r="D409" s="108">
        <v>50.3</v>
      </c>
      <c r="E409" s="108"/>
      <c r="F409" s="127"/>
      <c r="G409" s="128"/>
      <c r="H409" s="401">
        <f t="shared" si="170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409"/>
      <c r="P409" s="409"/>
      <c r="Q409" s="409"/>
      <c r="R409" s="409"/>
      <c r="S409" s="409"/>
      <c r="T409" s="409"/>
      <c r="U409" s="409"/>
      <c r="V409" s="132"/>
      <c r="W409" s="133"/>
      <c r="X409" s="132"/>
      <c r="Y409" s="132"/>
      <c r="Z409" s="132"/>
      <c r="AA409" s="132"/>
    </row>
    <row r="410" spans="1:27" ht="20.100000000000001" hidden="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28"/>
      <c r="H410" s="401">
        <f t="shared" si="170"/>
        <v>0</v>
      </c>
      <c r="I410" s="129"/>
      <c r="J410" s="130"/>
      <c r="K410" s="131"/>
      <c r="L410" s="129">
        <v>50</v>
      </c>
      <c r="M410" s="109"/>
      <c r="N410" s="130"/>
      <c r="O410" s="409"/>
      <c r="P410" s="409"/>
      <c r="Q410" s="409"/>
      <c r="R410" s="409"/>
      <c r="S410" s="409"/>
      <c r="T410" s="409"/>
      <c r="U410" s="409"/>
      <c r="V410" s="132"/>
      <c r="W410" s="133"/>
      <c r="X410" s="132"/>
      <c r="Y410" s="132"/>
      <c r="Z410" s="132"/>
      <c r="AA410" s="132"/>
    </row>
    <row r="411" spans="1:27" ht="20.100000000000001" hidden="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28"/>
      <c r="H411" s="401">
        <f t="shared" si="170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5">IF(ISERROR(I411-K411),"",I411-K411)</f>
        <v>0</v>
      </c>
      <c r="N411" s="130">
        <f t="shared" ref="N411:N412" si="186">SUM(O411:U411)</f>
        <v>0</v>
      </c>
      <c r="O411" s="409"/>
      <c r="P411" s="409"/>
      <c r="Q411" s="409"/>
      <c r="R411" s="409"/>
      <c r="S411" s="409"/>
      <c r="T411" s="409"/>
      <c r="U411" s="409"/>
      <c r="V411" s="132">
        <f t="shared" ref="V411:V412" si="187">SUM(X411:AA411)</f>
        <v>0</v>
      </c>
      <c r="W411" s="133" t="str">
        <f t="shared" ref="W411:W412" si="188">IF(ISERROR(V411/G411),"",V411/G411)</f>
        <v/>
      </c>
      <c r="X411" s="132"/>
      <c r="Y411" s="132"/>
      <c r="Z411" s="132"/>
      <c r="AA411" s="132"/>
    </row>
    <row r="412" spans="1:27" ht="20.100000000000001" hidden="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28"/>
      <c r="H412" s="401">
        <f t="shared" si="170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5"/>
        <v>0</v>
      </c>
      <c r="N412" s="130">
        <f t="shared" si="186"/>
        <v>0</v>
      </c>
      <c r="O412" s="409"/>
      <c r="P412" s="409"/>
      <c r="Q412" s="409"/>
      <c r="R412" s="409"/>
      <c r="S412" s="409"/>
      <c r="T412" s="409"/>
      <c r="U412" s="409"/>
      <c r="V412" s="132">
        <f t="shared" si="187"/>
        <v>0</v>
      </c>
      <c r="W412" s="133" t="str">
        <f t="shared" si="188"/>
        <v/>
      </c>
      <c r="X412" s="132"/>
      <c r="Y412" s="132"/>
      <c r="Z412" s="132"/>
      <c r="AA412" s="132"/>
    </row>
    <row r="413" spans="1:27" ht="20.100000000000001" hidden="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28"/>
      <c r="H413" s="401">
        <f t="shared" si="170"/>
        <v>0</v>
      </c>
      <c r="I413" s="129"/>
      <c r="J413" s="130"/>
      <c r="K413" s="131"/>
      <c r="L413" s="129"/>
      <c r="M413" s="109"/>
      <c r="N413" s="130"/>
      <c r="O413" s="409"/>
      <c r="P413" s="409"/>
      <c r="Q413" s="409"/>
      <c r="R413" s="409"/>
      <c r="S413" s="409"/>
      <c r="T413" s="409"/>
      <c r="U413" s="409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28"/>
      <c r="H414" s="401">
        <f t="shared" si="170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89">IF(ISERROR(I414-K414),"",I414-K414)</f>
        <v/>
      </c>
      <c r="N414" s="130">
        <f t="shared" ref="N414:N417" si="190">SUM(O414:U414)</f>
        <v>0</v>
      </c>
      <c r="O414" s="409"/>
      <c r="P414" s="409"/>
      <c r="Q414" s="409"/>
      <c r="R414" s="409"/>
      <c r="S414" s="409"/>
      <c r="T414" s="409"/>
      <c r="U414" s="409"/>
      <c r="V414" s="132">
        <f t="shared" ref="V414:V417" si="191">SUM(X414:AA414)</f>
        <v>0</v>
      </c>
      <c r="W414" s="133" t="str">
        <f t="shared" ref="W414:W417" si="192">IF(ISERROR(V414/G414),"",V414/G414)</f>
        <v/>
      </c>
      <c r="X414" s="132"/>
      <c r="Y414" s="132"/>
      <c r="Z414" s="132"/>
      <c r="AA414" s="132"/>
    </row>
    <row r="415" spans="1:27" ht="20.100000000000001" hidden="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28"/>
      <c r="H415" s="401">
        <f t="shared" si="170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89"/>
        <v/>
      </c>
      <c r="N415" s="130">
        <f t="shared" si="190"/>
        <v>0</v>
      </c>
      <c r="O415" s="409"/>
      <c r="P415" s="409"/>
      <c r="Q415" s="409"/>
      <c r="R415" s="409"/>
      <c r="S415" s="409"/>
      <c r="T415" s="409"/>
      <c r="U415" s="409"/>
      <c r="V415" s="132">
        <f t="shared" si="191"/>
        <v>0</v>
      </c>
      <c r="W415" s="133" t="str">
        <f t="shared" si="192"/>
        <v/>
      </c>
      <c r="X415" s="132"/>
      <c r="Y415" s="132"/>
      <c r="Z415" s="132"/>
      <c r="AA415" s="132"/>
    </row>
    <row r="416" spans="1:27" ht="20.100000000000001" hidden="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28"/>
      <c r="H416" s="401">
        <f t="shared" si="170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89"/>
        <v/>
      </c>
      <c r="N416" s="130">
        <f t="shared" si="190"/>
        <v>0</v>
      </c>
      <c r="O416" s="409"/>
      <c r="P416" s="409"/>
      <c r="Q416" s="409"/>
      <c r="R416" s="409"/>
      <c r="S416" s="409"/>
      <c r="T416" s="409"/>
      <c r="U416" s="409"/>
      <c r="V416" s="132">
        <f t="shared" si="191"/>
        <v>0</v>
      </c>
      <c r="W416" s="133" t="str">
        <f t="shared" si="192"/>
        <v/>
      </c>
      <c r="X416" s="132"/>
      <c r="Y416" s="132"/>
      <c r="Z416" s="132"/>
      <c r="AA416" s="132"/>
    </row>
    <row r="417" spans="1:27" ht="20.100000000000001" hidden="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28"/>
      <c r="H417" s="401">
        <f t="shared" si="170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89"/>
        <v/>
      </c>
      <c r="N417" s="130">
        <f t="shared" si="190"/>
        <v>0</v>
      </c>
      <c r="O417" s="409"/>
      <c r="P417" s="409"/>
      <c r="Q417" s="409"/>
      <c r="R417" s="409"/>
      <c r="S417" s="409"/>
      <c r="T417" s="409"/>
      <c r="U417" s="409"/>
      <c r="V417" s="132">
        <f t="shared" si="191"/>
        <v>0</v>
      </c>
      <c r="W417" s="133" t="str">
        <f t="shared" si="192"/>
        <v/>
      </c>
      <c r="X417" s="132"/>
      <c r="Y417" s="132"/>
      <c r="Z417" s="132"/>
      <c r="AA417" s="132"/>
    </row>
    <row r="418" spans="1:27" ht="20.100000000000001" hidden="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28"/>
      <c r="H418" s="401">
        <f t="shared" si="170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89"/>
        <v>0</v>
      </c>
      <c r="N418" s="130"/>
      <c r="O418" s="409"/>
      <c r="P418" s="409"/>
      <c r="Q418" s="409"/>
      <c r="R418" s="409"/>
      <c r="S418" s="409"/>
      <c r="T418" s="409"/>
      <c r="U418" s="409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28"/>
      <c r="H419" s="401">
        <f t="shared" si="170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89"/>
        <v>0</v>
      </c>
      <c r="N419" s="130"/>
      <c r="O419" s="409"/>
      <c r="P419" s="409"/>
      <c r="Q419" s="409"/>
      <c r="R419" s="409"/>
      <c r="S419" s="409"/>
      <c r="T419" s="409"/>
      <c r="U419" s="409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28"/>
      <c r="H420" s="401">
        <f t="shared" si="170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89"/>
        <v>0</v>
      </c>
      <c r="N420" s="130"/>
      <c r="O420" s="409"/>
      <c r="P420" s="409"/>
      <c r="Q420" s="409"/>
      <c r="R420" s="409"/>
      <c r="S420" s="409"/>
      <c r="T420" s="409"/>
      <c r="U420" s="409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28"/>
      <c r="H421" s="401">
        <f t="shared" si="170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89"/>
        <v>0</v>
      </c>
      <c r="N421" s="130"/>
      <c r="O421" s="409"/>
      <c r="P421" s="409"/>
      <c r="Q421" s="409"/>
      <c r="R421" s="409"/>
      <c r="S421" s="409"/>
      <c r="T421" s="409"/>
      <c r="U421" s="409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28"/>
      <c r="H422" s="401">
        <f t="shared" si="170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89"/>
        <v>0</v>
      </c>
      <c r="N422" s="130"/>
      <c r="O422" s="409"/>
      <c r="P422" s="409"/>
      <c r="Q422" s="409"/>
      <c r="R422" s="409"/>
      <c r="S422" s="409"/>
      <c r="T422" s="409"/>
      <c r="U422" s="409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28"/>
      <c r="H423" s="401">
        <f t="shared" si="170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89"/>
        <v>0</v>
      </c>
      <c r="N423" s="130"/>
      <c r="O423" s="409"/>
      <c r="P423" s="409"/>
      <c r="Q423" s="409"/>
      <c r="R423" s="409"/>
      <c r="S423" s="409"/>
      <c r="T423" s="409"/>
      <c r="U423" s="409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28"/>
      <c r="H424" s="401">
        <f t="shared" si="170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89"/>
        <v>0</v>
      </c>
      <c r="N424" s="130"/>
      <c r="O424" s="409"/>
      <c r="P424" s="409"/>
      <c r="Q424" s="409"/>
      <c r="R424" s="409"/>
      <c r="S424" s="409"/>
      <c r="T424" s="409"/>
      <c r="U424" s="409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28"/>
      <c r="H425" s="401">
        <f t="shared" si="170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89"/>
        <v>0</v>
      </c>
      <c r="N425" s="130"/>
      <c r="O425" s="409"/>
      <c r="P425" s="409"/>
      <c r="Q425" s="409"/>
      <c r="R425" s="409"/>
      <c r="S425" s="409"/>
      <c r="T425" s="409"/>
      <c r="U425" s="409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28"/>
      <c r="H426" s="401">
        <f t="shared" si="170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89"/>
        <v>0</v>
      </c>
      <c r="N426" s="130"/>
      <c r="O426" s="409"/>
      <c r="P426" s="409"/>
      <c r="Q426" s="409"/>
      <c r="R426" s="409"/>
      <c r="S426" s="409"/>
      <c r="T426" s="409"/>
      <c r="U426" s="409"/>
      <c r="V426" s="132"/>
      <c r="W426" s="133"/>
      <c r="X426" s="132"/>
      <c r="Y426" s="132"/>
      <c r="Z426" s="132"/>
      <c r="AA426" s="132"/>
    </row>
    <row r="427" spans="1:27" ht="20.100000000000001" hidden="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28"/>
      <c r="H427" s="401">
        <f t="shared" si="170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89"/>
        <v>0</v>
      </c>
      <c r="N427" s="130"/>
      <c r="O427" s="409"/>
      <c r="P427" s="409"/>
      <c r="Q427" s="409"/>
      <c r="R427" s="409"/>
      <c r="S427" s="409"/>
      <c r="T427" s="409"/>
      <c r="U427" s="409"/>
      <c r="V427" s="132"/>
      <c r="W427" s="133"/>
      <c r="X427" s="132"/>
      <c r="Y427" s="132"/>
      <c r="Z427" s="132"/>
      <c r="AA427" s="132"/>
    </row>
    <row r="428" spans="1:27" ht="20.100000000000001" hidden="1" customHeight="1">
      <c r="A428" s="589" t="s">
        <v>216</v>
      </c>
      <c r="B428" s="589"/>
      <c r="C428" s="410" t="s">
        <v>202</v>
      </c>
      <c r="D428" s="143"/>
      <c r="E428" s="143"/>
      <c r="F428" s="144"/>
      <c r="G428" s="145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3">SUM(M371:M427)</f>
        <v>0</v>
      </c>
      <c r="N428" s="146">
        <f t="shared" si="193"/>
        <v>0</v>
      </c>
      <c r="O428" s="148">
        <f t="shared" si="193"/>
        <v>0</v>
      </c>
      <c r="P428" s="148">
        <f t="shared" si="193"/>
        <v>0</v>
      </c>
      <c r="Q428" s="148">
        <f t="shared" si="193"/>
        <v>0</v>
      </c>
      <c r="R428" s="148">
        <f t="shared" si="193"/>
        <v>0</v>
      </c>
      <c r="S428" s="148">
        <f t="shared" si="193"/>
        <v>0</v>
      </c>
      <c r="T428" s="148">
        <f t="shared" si="193"/>
        <v>0</v>
      </c>
      <c r="U428" s="148">
        <f t="shared" si="193"/>
        <v>0</v>
      </c>
      <c r="V428" s="149">
        <f t="shared" si="193"/>
        <v>0</v>
      </c>
      <c r="W428" s="133" t="str">
        <f t="shared" ref="W428:W435" si="194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hidden="1" customHeight="1">
      <c r="A429" s="299">
        <v>30400012</v>
      </c>
      <c r="B429" s="400" t="s">
        <v>217</v>
      </c>
      <c r="C429" s="126" t="s">
        <v>179</v>
      </c>
      <c r="D429" s="108">
        <v>5.03</v>
      </c>
      <c r="E429" s="108"/>
      <c r="F429" s="127"/>
      <c r="G429" s="128"/>
      <c r="H429" s="401">
        <f t="shared" ref="H429:H462" si="195">D429*G429</f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ref="M429:M436" si="196">IF(ISERROR(I429-K429),"",I429-K429)</f>
        <v>0</v>
      </c>
      <c r="N429" s="130">
        <f t="shared" ref="N429:N436" si="197">SUM(O429:U429)</f>
        <v>0</v>
      </c>
      <c r="O429" s="409"/>
      <c r="P429" s="409"/>
      <c r="Q429" s="409"/>
      <c r="R429" s="409"/>
      <c r="S429" s="409"/>
      <c r="T429" s="409"/>
      <c r="U429" s="409"/>
      <c r="V429" s="132">
        <f t="shared" ref="V429:V435" si="198">SUM(X429:AA429)</f>
        <v>0</v>
      </c>
      <c r="W429" s="133" t="str">
        <f t="shared" si="194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30400010</v>
      </c>
      <c r="B430" s="400" t="s">
        <v>217</v>
      </c>
      <c r="C430" s="126" t="s">
        <v>186</v>
      </c>
      <c r="D430" s="108">
        <v>5.03</v>
      </c>
      <c r="E430" s="108"/>
      <c r="F430" s="127"/>
      <c r="G430" s="128"/>
      <c r="H430" s="401">
        <f t="shared" si="195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8.8000000000000007</v>
      </c>
      <c r="M430" s="109">
        <f t="shared" si="196"/>
        <v>0</v>
      </c>
      <c r="N430" s="130">
        <f t="shared" si="197"/>
        <v>0</v>
      </c>
      <c r="O430" s="409"/>
      <c r="P430" s="409"/>
      <c r="Q430" s="409"/>
      <c r="R430" s="409"/>
      <c r="S430" s="409"/>
      <c r="T430" s="409"/>
      <c r="U430" s="409"/>
      <c r="V430" s="132">
        <f t="shared" si="198"/>
        <v>0</v>
      </c>
      <c r="W430" s="133" t="str">
        <f t="shared" si="194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30400011</v>
      </c>
      <c r="B431" s="400" t="s">
        <v>217</v>
      </c>
      <c r="C431" s="126" t="s">
        <v>204</v>
      </c>
      <c r="D431" s="108">
        <v>5.03</v>
      </c>
      <c r="E431" s="108"/>
      <c r="F431" s="127"/>
      <c r="G431" s="128"/>
      <c r="H431" s="401">
        <f t="shared" si="195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8.8000000000000007</v>
      </c>
      <c r="M431" s="109">
        <f t="shared" si="196"/>
        <v>0</v>
      </c>
      <c r="N431" s="130">
        <f t="shared" si="197"/>
        <v>0</v>
      </c>
      <c r="O431" s="409"/>
      <c r="P431" s="409"/>
      <c r="Q431" s="409"/>
      <c r="R431" s="409"/>
      <c r="S431" s="409"/>
      <c r="T431" s="409"/>
      <c r="U431" s="409"/>
      <c r="V431" s="132">
        <f t="shared" si="198"/>
        <v>0</v>
      </c>
      <c r="W431" s="133" t="str">
        <f t="shared" si="194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28"/>
      <c r="H432" s="401">
        <f t="shared" si="195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6"/>
        <v>0</v>
      </c>
      <c r="N432" s="130">
        <f t="shared" si="197"/>
        <v>0</v>
      </c>
      <c r="O432" s="409"/>
      <c r="P432" s="409"/>
      <c r="Q432" s="409"/>
      <c r="R432" s="409"/>
      <c r="S432" s="409"/>
      <c r="T432" s="409"/>
      <c r="U432" s="409"/>
      <c r="V432" s="132">
        <f t="shared" si="198"/>
        <v>0</v>
      </c>
      <c r="W432" s="133" t="str">
        <f t="shared" si="194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/>
      <c r="G433" s="128"/>
      <c r="H433" s="401">
        <f t="shared" si="195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6"/>
        <v>0</v>
      </c>
      <c r="N433" s="130">
        <f t="shared" si="197"/>
        <v>0</v>
      </c>
      <c r="O433" s="409"/>
      <c r="P433" s="409"/>
      <c r="Q433" s="409"/>
      <c r="R433" s="409"/>
      <c r="S433" s="409"/>
      <c r="T433" s="409"/>
      <c r="U433" s="409"/>
      <c r="V433" s="132">
        <f t="shared" si="198"/>
        <v>0</v>
      </c>
      <c r="W433" s="133" t="str">
        <f t="shared" si="194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/>
      <c r="G434" s="128"/>
      <c r="H434" s="401">
        <f t="shared" si="195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9.3000000000000007</v>
      </c>
      <c r="M434" s="109">
        <f t="shared" si="196"/>
        <v>0</v>
      </c>
      <c r="N434" s="130">
        <f t="shared" si="197"/>
        <v>0</v>
      </c>
      <c r="O434" s="409"/>
      <c r="P434" s="409"/>
      <c r="Q434" s="409"/>
      <c r="R434" s="409"/>
      <c r="S434" s="409"/>
      <c r="T434" s="409"/>
      <c r="U434" s="409"/>
      <c r="V434" s="132">
        <f t="shared" si="198"/>
        <v>0</v>
      </c>
      <c r="W434" s="133" t="str">
        <f t="shared" si="194"/>
        <v/>
      </c>
      <c r="X434" s="132"/>
      <c r="Y434" s="132"/>
      <c r="Z434" s="132"/>
      <c r="AA434" s="132"/>
    </row>
    <row r="435" spans="1:27" ht="20.100000000000001" hidden="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/>
      <c r="G435" s="128"/>
      <c r="H435" s="401">
        <f t="shared" si="195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9.3000000000000007</v>
      </c>
      <c r="M435" s="109">
        <f t="shared" si="196"/>
        <v>0</v>
      </c>
      <c r="N435" s="130">
        <f t="shared" si="197"/>
        <v>0</v>
      </c>
      <c r="O435" s="409"/>
      <c r="P435" s="409"/>
      <c r="Q435" s="409"/>
      <c r="R435" s="409"/>
      <c r="S435" s="409"/>
      <c r="T435" s="409"/>
      <c r="U435" s="409"/>
      <c r="V435" s="132">
        <f t="shared" si="198"/>
        <v>0</v>
      </c>
      <c r="W435" s="133" t="str">
        <f t="shared" si="194"/>
        <v/>
      </c>
      <c r="X435" s="132"/>
      <c r="Y435" s="132"/>
      <c r="Z435" s="132"/>
      <c r="AA435" s="132"/>
    </row>
    <row r="436" spans="1:27" ht="20.100000000000001" hidden="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/>
      <c r="G436" s="128"/>
      <c r="H436" s="401">
        <f t="shared" si="195"/>
        <v>0</v>
      </c>
      <c r="I436" s="129"/>
      <c r="J436" s="130"/>
      <c r="K436" s="131">
        <f t="array" ref="K436">IF(ISERROR(G436/L436),"",G436/L436)</f>
        <v>0</v>
      </c>
      <c r="L436" s="129">
        <v>9.3000000000000007</v>
      </c>
      <c r="M436" s="109">
        <f t="shared" si="196"/>
        <v>0</v>
      </c>
      <c r="N436" s="130">
        <f t="shared" si="197"/>
        <v>0</v>
      </c>
      <c r="O436" s="409"/>
      <c r="P436" s="409"/>
      <c r="Q436" s="409"/>
      <c r="R436" s="409"/>
      <c r="S436" s="409"/>
      <c r="T436" s="409"/>
      <c r="U436" s="409"/>
      <c r="V436" s="132"/>
      <c r="W436" s="133"/>
      <c r="X436" s="132"/>
      <c r="Y436" s="132"/>
      <c r="Z436" s="132"/>
      <c r="AA436" s="132"/>
    </row>
    <row r="437" spans="1:27" ht="20.100000000000001" hidden="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28"/>
      <c r="H437" s="401">
        <f t="shared" si="195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409"/>
      <c r="P437" s="409"/>
      <c r="Q437" s="409"/>
      <c r="R437" s="409"/>
      <c r="S437" s="409"/>
      <c r="T437" s="409"/>
      <c r="U437" s="409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28"/>
      <c r="H438" s="401">
        <f t="shared" si="195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409"/>
      <c r="P438" s="409"/>
      <c r="Q438" s="409"/>
      <c r="R438" s="409"/>
      <c r="S438" s="409"/>
      <c r="T438" s="409"/>
      <c r="U438" s="409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28"/>
      <c r="H439" s="401">
        <f t="shared" si="195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409"/>
      <c r="P439" s="409"/>
      <c r="Q439" s="409"/>
      <c r="R439" s="409"/>
      <c r="S439" s="409"/>
      <c r="T439" s="409"/>
      <c r="U439" s="409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28"/>
      <c r="H440" s="401">
        <f t="shared" si="195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409"/>
      <c r="P440" s="409"/>
      <c r="Q440" s="409"/>
      <c r="R440" s="409"/>
      <c r="S440" s="409"/>
      <c r="T440" s="409"/>
      <c r="U440" s="409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hidden="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28"/>
      <c r="H441" s="401">
        <f t="shared" si="195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2" si="199">IF(ISERROR(I441-K441),"",I441-K441)</f>
        <v>0</v>
      </c>
      <c r="N441" s="130">
        <f t="shared" ref="N441:N456" si="200">SUM(O441:U441)</f>
        <v>0</v>
      </c>
      <c r="O441" s="409"/>
      <c r="P441" s="409"/>
      <c r="Q441" s="409"/>
      <c r="R441" s="409"/>
      <c r="S441" s="409"/>
      <c r="T441" s="409"/>
      <c r="U441" s="409"/>
      <c r="V441" s="132">
        <f t="shared" ref="V441:V444" si="201">SUM(X441:AA441)</f>
        <v>0</v>
      </c>
      <c r="W441" s="133" t="str">
        <f t="shared" ref="W441:W448" si="202">IF(ISERROR(V441/G441),"",V441/G441)</f>
        <v/>
      </c>
      <c r="X441" s="132"/>
      <c r="Y441" s="132"/>
      <c r="Z441" s="132"/>
      <c r="AA441" s="132"/>
    </row>
    <row r="442" spans="1:27" ht="20.100000000000001" hidden="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28"/>
      <c r="H442" s="401">
        <f t="shared" si="195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199"/>
        <v/>
      </c>
      <c r="N442" s="130">
        <f t="shared" si="200"/>
        <v>0</v>
      </c>
      <c r="O442" s="409"/>
      <c r="P442" s="409"/>
      <c r="Q442" s="409"/>
      <c r="R442" s="409"/>
      <c r="S442" s="409"/>
      <c r="T442" s="409"/>
      <c r="U442" s="409"/>
      <c r="V442" s="132">
        <f t="shared" si="201"/>
        <v>0</v>
      </c>
      <c r="W442" s="133" t="str">
        <f t="shared" si="202"/>
        <v/>
      </c>
      <c r="X442" s="132"/>
      <c r="Y442" s="132"/>
      <c r="Z442" s="132"/>
      <c r="AA442" s="132"/>
    </row>
    <row r="443" spans="1:27" ht="20.100000000000001" hidden="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28"/>
      <c r="H443" s="401">
        <f t="shared" si="195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199"/>
        <v/>
      </c>
      <c r="N443" s="130">
        <f t="shared" si="200"/>
        <v>0</v>
      </c>
      <c r="O443" s="409"/>
      <c r="P443" s="409"/>
      <c r="Q443" s="409"/>
      <c r="R443" s="409"/>
      <c r="S443" s="409"/>
      <c r="T443" s="409"/>
      <c r="U443" s="409"/>
      <c r="V443" s="132">
        <f t="shared" si="201"/>
        <v>0</v>
      </c>
      <c r="W443" s="133" t="str">
        <f t="shared" si="202"/>
        <v/>
      </c>
      <c r="X443" s="132"/>
      <c r="Y443" s="132"/>
      <c r="Z443" s="132"/>
      <c r="AA443" s="132"/>
    </row>
    <row r="444" spans="1:27" ht="20.100000000000001" hidden="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28"/>
      <c r="H444" s="401">
        <f t="shared" si="195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199"/>
        <v/>
      </c>
      <c r="N444" s="130">
        <f t="shared" si="200"/>
        <v>0</v>
      </c>
      <c r="O444" s="409"/>
      <c r="P444" s="409"/>
      <c r="Q444" s="409"/>
      <c r="R444" s="409"/>
      <c r="S444" s="409"/>
      <c r="T444" s="409"/>
      <c r="U444" s="409"/>
      <c r="V444" s="132">
        <f t="shared" si="201"/>
        <v>0</v>
      </c>
      <c r="W444" s="133" t="str">
        <f t="shared" si="202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30600005</v>
      </c>
      <c r="B445" s="400" t="s">
        <v>222</v>
      </c>
      <c r="C445" s="126" t="s">
        <v>181</v>
      </c>
      <c r="D445" s="108">
        <v>9.36</v>
      </c>
      <c r="E445" s="108"/>
      <c r="F445" s="127"/>
      <c r="G445" s="128"/>
      <c r="H445" s="401">
        <f t="shared" si="195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199"/>
        <v>0</v>
      </c>
      <c r="N445" s="130">
        <f t="shared" si="200"/>
        <v>0</v>
      </c>
      <c r="O445" s="409"/>
      <c r="P445" s="409"/>
      <c r="Q445" s="409"/>
      <c r="R445" s="409"/>
      <c r="S445" s="409"/>
      <c r="T445" s="409"/>
      <c r="U445" s="409"/>
      <c r="V445" s="132">
        <f t="shared" ref="V445:V448" si="203">SUM(X445:AA445)</f>
        <v>0</v>
      </c>
      <c r="W445" s="133" t="str">
        <f t="shared" si="202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30600008</v>
      </c>
      <c r="B446" s="400" t="s">
        <v>222</v>
      </c>
      <c r="C446" s="126" t="s">
        <v>179</v>
      </c>
      <c r="D446" s="108">
        <v>9.36</v>
      </c>
      <c r="E446" s="108"/>
      <c r="F446" s="127"/>
      <c r="G446" s="128"/>
      <c r="H446" s="401">
        <f t="shared" si="195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199"/>
        <v>0</v>
      </c>
      <c r="N446" s="130">
        <f t="shared" si="200"/>
        <v>0</v>
      </c>
      <c r="O446" s="409"/>
      <c r="P446" s="409"/>
      <c r="Q446" s="409"/>
      <c r="R446" s="409"/>
      <c r="S446" s="409"/>
      <c r="T446" s="409"/>
      <c r="U446" s="409"/>
      <c r="V446" s="132">
        <f t="shared" si="203"/>
        <v>0</v>
      </c>
      <c r="W446" s="133" t="str">
        <f t="shared" si="202"/>
        <v/>
      </c>
      <c r="X446" s="132"/>
      <c r="Y446" s="132"/>
      <c r="Z446" s="132"/>
      <c r="AA446" s="132"/>
    </row>
    <row r="447" spans="1:27" ht="20.100000000000001" hidden="1" customHeight="1">
      <c r="A447" s="304">
        <v>30600007</v>
      </c>
      <c r="B447" s="400" t="s">
        <v>222</v>
      </c>
      <c r="C447" s="126" t="s">
        <v>221</v>
      </c>
      <c r="D447" s="108">
        <v>9.36</v>
      </c>
      <c r="E447" s="108"/>
      <c r="F447" s="127"/>
      <c r="G447" s="128"/>
      <c r="H447" s="401">
        <f t="shared" si="195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199"/>
        <v>0</v>
      </c>
      <c r="N447" s="130">
        <f t="shared" si="200"/>
        <v>0</v>
      </c>
      <c r="O447" s="409"/>
      <c r="P447" s="409"/>
      <c r="Q447" s="409"/>
      <c r="R447" s="409"/>
      <c r="S447" s="409"/>
      <c r="T447" s="409"/>
      <c r="U447" s="409"/>
      <c r="V447" s="132">
        <f t="shared" si="203"/>
        <v>0</v>
      </c>
      <c r="W447" s="133" t="str">
        <f t="shared" si="202"/>
        <v/>
      </c>
      <c r="X447" s="132"/>
      <c r="Y447" s="132"/>
      <c r="Z447" s="132"/>
      <c r="AA447" s="132"/>
    </row>
    <row r="448" spans="1:27" ht="20.100000000000001" hidden="1" customHeight="1">
      <c r="A448" s="304">
        <v>30600006</v>
      </c>
      <c r="B448" s="400" t="s">
        <v>222</v>
      </c>
      <c r="C448" s="126" t="s">
        <v>186</v>
      </c>
      <c r="D448" s="108">
        <v>9.36</v>
      </c>
      <c r="E448" s="108"/>
      <c r="F448" s="127"/>
      <c r="G448" s="128"/>
      <c r="H448" s="401">
        <f t="shared" si="195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199"/>
        <v>0</v>
      </c>
      <c r="N448" s="130">
        <f t="shared" si="200"/>
        <v>0</v>
      </c>
      <c r="O448" s="409"/>
      <c r="P448" s="409"/>
      <c r="Q448" s="409"/>
      <c r="R448" s="409"/>
      <c r="S448" s="409"/>
      <c r="T448" s="409"/>
      <c r="U448" s="409"/>
      <c r="V448" s="132">
        <f t="shared" si="203"/>
        <v>0</v>
      </c>
      <c r="W448" s="133" t="str">
        <f t="shared" si="202"/>
        <v/>
      </c>
      <c r="X448" s="132"/>
      <c r="Y448" s="132"/>
      <c r="Z448" s="132"/>
      <c r="AA448" s="132"/>
    </row>
    <row r="449" spans="1:27" ht="20.100000000000001" hidden="1" customHeight="1">
      <c r="A449" s="299">
        <v>30400026</v>
      </c>
      <c r="B449" s="400" t="s">
        <v>393</v>
      </c>
      <c r="C449" s="187" t="s">
        <v>395</v>
      </c>
      <c r="D449" s="108">
        <v>5</v>
      </c>
      <c r="E449" s="108"/>
      <c r="F449" s="127"/>
      <c r="G449" s="128"/>
      <c r="H449" s="401">
        <f t="shared" si="195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199"/>
        <v>0</v>
      </c>
      <c r="N449" s="130">
        <f t="shared" si="200"/>
        <v>0</v>
      </c>
      <c r="O449" s="409"/>
      <c r="P449" s="409"/>
      <c r="Q449" s="409"/>
      <c r="R449" s="409"/>
      <c r="S449" s="409"/>
      <c r="T449" s="409"/>
      <c r="U449" s="409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>
        <v>30400028</v>
      </c>
      <c r="B450" s="400" t="s">
        <v>393</v>
      </c>
      <c r="C450" s="187" t="s">
        <v>402</v>
      </c>
      <c r="D450" s="108">
        <v>5</v>
      </c>
      <c r="E450" s="108"/>
      <c r="F450" s="127"/>
      <c r="G450" s="128"/>
      <c r="H450" s="401">
        <f t="shared" si="195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199"/>
        <v>0</v>
      </c>
      <c r="N450" s="130">
        <f t="shared" si="200"/>
        <v>0</v>
      </c>
      <c r="O450" s="409"/>
      <c r="P450" s="409"/>
      <c r="Q450" s="409"/>
      <c r="R450" s="409"/>
      <c r="S450" s="409"/>
      <c r="T450" s="409"/>
      <c r="U450" s="409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30400027</v>
      </c>
      <c r="B451" s="400" t="s">
        <v>404</v>
      </c>
      <c r="C451" s="187" t="s">
        <v>405</v>
      </c>
      <c r="D451" s="108">
        <v>5</v>
      </c>
      <c r="E451" s="108"/>
      <c r="F451" s="127"/>
      <c r="G451" s="128"/>
      <c r="H451" s="401">
        <f t="shared" si="195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199"/>
        <v>0</v>
      </c>
      <c r="N451" s="130">
        <f t="shared" si="200"/>
        <v>0</v>
      </c>
      <c r="O451" s="409"/>
      <c r="P451" s="409"/>
      <c r="Q451" s="409"/>
      <c r="R451" s="409"/>
      <c r="S451" s="409"/>
      <c r="T451" s="409"/>
      <c r="U451" s="409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/>
      <c r="B452" s="400" t="s">
        <v>342</v>
      </c>
      <c r="C452" s="187" t="s">
        <v>372</v>
      </c>
      <c r="D452" s="108">
        <v>5</v>
      </c>
      <c r="E452" s="108"/>
      <c r="F452" s="127"/>
      <c r="G452" s="128"/>
      <c r="H452" s="401">
        <f t="shared" si="195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199"/>
        <v>0</v>
      </c>
      <c r="N452" s="130">
        <f t="shared" si="200"/>
        <v>0</v>
      </c>
      <c r="O452" s="409"/>
      <c r="P452" s="409"/>
      <c r="Q452" s="409"/>
      <c r="R452" s="409"/>
      <c r="S452" s="409"/>
      <c r="T452" s="409"/>
      <c r="U452" s="409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30600009</v>
      </c>
      <c r="B453" s="400" t="s">
        <v>343</v>
      </c>
      <c r="C453" s="126" t="s">
        <v>345</v>
      </c>
      <c r="D453" s="108">
        <v>5</v>
      </c>
      <c r="E453" s="108"/>
      <c r="F453" s="127"/>
      <c r="G453" s="128"/>
      <c r="H453" s="401">
        <f t="shared" si="195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199"/>
        <v>0</v>
      </c>
      <c r="N453" s="130">
        <f t="shared" si="200"/>
        <v>0</v>
      </c>
      <c r="O453" s="409"/>
      <c r="P453" s="409"/>
      <c r="Q453" s="409"/>
      <c r="R453" s="409"/>
      <c r="S453" s="409"/>
      <c r="T453" s="409"/>
      <c r="U453" s="409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299">
        <v>30600010</v>
      </c>
      <c r="B454" s="400" t="s">
        <v>343</v>
      </c>
      <c r="C454" s="126" t="s">
        <v>347</v>
      </c>
      <c r="D454" s="108">
        <v>5</v>
      </c>
      <c r="E454" s="108"/>
      <c r="F454" s="127"/>
      <c r="G454" s="128"/>
      <c r="H454" s="401">
        <f t="shared" si="195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199"/>
        <v>0</v>
      </c>
      <c r="N454" s="130">
        <f t="shared" si="200"/>
        <v>0</v>
      </c>
      <c r="O454" s="409"/>
      <c r="P454" s="409"/>
      <c r="Q454" s="409"/>
      <c r="R454" s="409"/>
      <c r="S454" s="409"/>
      <c r="T454" s="409"/>
      <c r="U454" s="409"/>
      <c r="V454" s="132"/>
      <c r="W454" s="133"/>
      <c r="X454" s="132"/>
      <c r="Y454" s="132"/>
      <c r="Z454" s="132"/>
      <c r="AA454" s="132"/>
    </row>
    <row r="455" spans="1:27" ht="20.100000000000001" hidden="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/>
      <c r="G455" s="128"/>
      <c r="H455" s="401">
        <f t="shared" si="195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15.5</v>
      </c>
      <c r="M455" s="109">
        <f t="shared" si="199"/>
        <v>0</v>
      </c>
      <c r="N455" s="130">
        <f t="shared" si="200"/>
        <v>0</v>
      </c>
      <c r="O455" s="409"/>
      <c r="P455" s="409"/>
      <c r="Q455" s="409"/>
      <c r="R455" s="409"/>
      <c r="S455" s="409"/>
      <c r="T455" s="409"/>
      <c r="U455" s="409"/>
      <c r="V455" s="132">
        <f t="shared" ref="V455:V456" si="204">SUM(X455:AA455)</f>
        <v>0</v>
      </c>
      <c r="W455" s="133" t="str">
        <f t="shared" ref="W455:W456" si="205">IF(ISERROR(V455/G455),"",V455/G455)</f>
        <v/>
      </c>
      <c r="X455" s="132"/>
      <c r="Y455" s="132"/>
      <c r="Z455" s="132"/>
      <c r="AA455" s="132"/>
    </row>
    <row r="456" spans="1:27" ht="20.100000000000001" hidden="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/>
      <c r="G456" s="128"/>
      <c r="H456" s="401">
        <f t="shared" si="195"/>
        <v>0</v>
      </c>
      <c r="I456" s="129"/>
      <c r="J456" s="130" t="str">
        <f t="array" ref="J456">IF(ISERROR(G456/I456),"",G456/I456)</f>
        <v/>
      </c>
      <c r="K456" s="131">
        <f t="array" ref="K456">IF(ISERROR(G456/L456),"",G456/L456)</f>
        <v>0</v>
      </c>
      <c r="L456" s="129">
        <v>15.5</v>
      </c>
      <c r="M456" s="109">
        <f t="shared" si="199"/>
        <v>0</v>
      </c>
      <c r="N456" s="130">
        <f t="shared" si="200"/>
        <v>0</v>
      </c>
      <c r="O456" s="409"/>
      <c r="P456" s="409"/>
      <c r="Q456" s="409"/>
      <c r="R456" s="409"/>
      <c r="S456" s="409"/>
      <c r="T456" s="409"/>
      <c r="U456" s="409"/>
      <c r="V456" s="132">
        <f t="shared" si="204"/>
        <v>0</v>
      </c>
      <c r="W456" s="133" t="str">
        <f t="shared" si="205"/>
        <v/>
      </c>
      <c r="X456" s="132"/>
      <c r="Y456" s="132"/>
      <c r="Z456" s="132"/>
      <c r="AA456" s="132"/>
    </row>
    <row r="457" spans="1:27" ht="20.100000000000001" hidden="1" customHeight="1">
      <c r="A457" s="299">
        <v>30400004</v>
      </c>
      <c r="B457" s="151" t="s">
        <v>419</v>
      </c>
      <c r="C457" s="187" t="s">
        <v>73</v>
      </c>
      <c r="D457" s="108"/>
      <c r="E457" s="108"/>
      <c r="F457" s="127"/>
      <c r="G457" s="128"/>
      <c r="H457" s="401">
        <f t="shared" si="195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199"/>
        <v>0</v>
      </c>
      <c r="N457" s="130"/>
      <c r="O457" s="409"/>
      <c r="P457" s="409"/>
      <c r="Q457" s="409"/>
      <c r="R457" s="409"/>
      <c r="S457" s="409"/>
      <c r="T457" s="409"/>
      <c r="U457" s="409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28"/>
      <c r="H458" s="401">
        <f t="shared" si="195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199"/>
        <v>0</v>
      </c>
      <c r="N458" s="130"/>
      <c r="O458" s="409"/>
      <c r="P458" s="409"/>
      <c r="Q458" s="409"/>
      <c r="R458" s="409"/>
      <c r="S458" s="409"/>
      <c r="T458" s="409"/>
      <c r="U458" s="409"/>
      <c r="V458" s="132"/>
      <c r="W458" s="133"/>
      <c r="X458" s="132"/>
      <c r="Y458" s="132"/>
      <c r="Z458" s="132"/>
      <c r="AA458" s="132"/>
    </row>
    <row r="459" spans="1:27" ht="20.100000000000001" hidden="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28"/>
      <c r="H459" s="401">
        <f t="shared" si="195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199"/>
        <v>0</v>
      </c>
      <c r="N459" s="130"/>
      <c r="O459" s="409"/>
      <c r="P459" s="409"/>
      <c r="Q459" s="409"/>
      <c r="R459" s="409"/>
      <c r="S459" s="409"/>
      <c r="T459" s="409"/>
      <c r="U459" s="409"/>
      <c r="V459" s="132"/>
      <c r="W459" s="133"/>
      <c r="X459" s="132"/>
      <c r="Y459" s="132"/>
      <c r="Z459" s="132"/>
      <c r="AA459" s="132"/>
    </row>
    <row r="460" spans="1:27" ht="20.100000000000001" hidden="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28"/>
      <c r="H460" s="401">
        <f t="shared" si="195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199"/>
        <v>0</v>
      </c>
      <c r="N460" s="130">
        <f t="shared" ref="N460:N462" si="206">SUM(O460:U460)</f>
        <v>0</v>
      </c>
      <c r="O460" s="409"/>
      <c r="P460" s="409"/>
      <c r="Q460" s="409"/>
      <c r="R460" s="409"/>
      <c r="S460" s="409"/>
      <c r="T460" s="409"/>
      <c r="U460" s="409"/>
      <c r="V460" s="132">
        <f t="shared" ref="V460:V462" si="207">SUM(X460:AA460)</f>
        <v>0</v>
      </c>
      <c r="W460" s="133" t="str">
        <f t="shared" ref="W460:W484" si="208">IF(ISERROR(V460/G460),"",V460/G460)</f>
        <v/>
      </c>
      <c r="X460" s="132"/>
      <c r="Y460" s="132"/>
      <c r="Z460" s="132"/>
      <c r="AA460" s="132"/>
    </row>
    <row r="461" spans="1:27" ht="20.100000000000001" hidden="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28"/>
      <c r="H461" s="401">
        <f t="shared" si="195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si="199"/>
        <v>0</v>
      </c>
      <c r="N461" s="130">
        <f t="shared" si="206"/>
        <v>0</v>
      </c>
      <c r="O461" s="409"/>
      <c r="P461" s="409"/>
      <c r="Q461" s="409"/>
      <c r="R461" s="409"/>
      <c r="S461" s="409"/>
      <c r="T461" s="409"/>
      <c r="U461" s="409"/>
      <c r="V461" s="132">
        <f t="shared" si="207"/>
        <v>0</v>
      </c>
      <c r="W461" s="133" t="str">
        <f t="shared" si="208"/>
        <v/>
      </c>
      <c r="X461" s="132"/>
      <c r="Y461" s="132"/>
      <c r="Z461" s="132"/>
      <c r="AA461" s="132"/>
    </row>
    <row r="462" spans="1:27" ht="20.100000000000001" hidden="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28"/>
      <c r="H462" s="401">
        <f t="shared" si="195"/>
        <v>0</v>
      </c>
      <c r="I462" s="129"/>
      <c r="J462" s="130" t="str">
        <f t="array" ref="J462">IF(ISERROR(G462/I462),"",G462/I462)</f>
        <v/>
      </c>
      <c r="K462" s="401">
        <f t="array" ref="K462">IF(ISERROR(G462/L462),"",G462/L462)</f>
        <v>0</v>
      </c>
      <c r="L462" s="129">
        <v>9</v>
      </c>
      <c r="M462" s="109">
        <f t="shared" si="199"/>
        <v>0</v>
      </c>
      <c r="N462" s="130">
        <f t="shared" si="206"/>
        <v>0</v>
      </c>
      <c r="O462" s="409"/>
      <c r="P462" s="409"/>
      <c r="Q462" s="409"/>
      <c r="R462" s="409"/>
      <c r="S462" s="409"/>
      <c r="T462" s="409"/>
      <c r="U462" s="409"/>
      <c r="V462" s="132">
        <f t="shared" si="207"/>
        <v>0</v>
      </c>
      <c r="W462" s="133" t="str">
        <f t="shared" si="208"/>
        <v/>
      </c>
      <c r="X462" s="132"/>
      <c r="Y462" s="132"/>
      <c r="Z462" s="132"/>
      <c r="AA462" s="132"/>
    </row>
    <row r="463" spans="1:27" ht="20.100000000000001" hidden="1" customHeight="1">
      <c r="A463" s="578" t="s">
        <v>224</v>
      </c>
      <c r="B463" s="579"/>
      <c r="C463" s="410" t="s">
        <v>202</v>
      </c>
      <c r="D463" s="143"/>
      <c r="E463" s="143"/>
      <c r="F463" s="144"/>
      <c r="G463" s="145">
        <f>SUM(G429:G462)</f>
        <v>0</v>
      </c>
      <c r="H463" s="146">
        <f>SUM(H429:H462)</f>
        <v>0</v>
      </c>
      <c r="I463" s="146">
        <f>SUM(I429:I462)</f>
        <v>0</v>
      </c>
      <c r="J463" s="130" t="str">
        <f t="array" ref="J463">IF(ISERROR(G463/I463),"",G463/I463)</f>
        <v/>
      </c>
      <c r="K463" s="146">
        <f>SUM(K429:K462)</f>
        <v>0</v>
      </c>
      <c r="L463" s="147"/>
      <c r="M463" s="150">
        <f t="shared" ref="M463:V463" si="209">SUM(M429:M462)</f>
        <v>0</v>
      </c>
      <c r="N463" s="146">
        <f t="shared" si="209"/>
        <v>0</v>
      </c>
      <c r="O463" s="148">
        <f t="shared" si="209"/>
        <v>0</v>
      </c>
      <c r="P463" s="148">
        <f t="shared" si="209"/>
        <v>0</v>
      </c>
      <c r="Q463" s="148">
        <f t="shared" si="209"/>
        <v>0</v>
      </c>
      <c r="R463" s="148">
        <f t="shared" si="209"/>
        <v>0</v>
      </c>
      <c r="S463" s="148">
        <f t="shared" si="209"/>
        <v>0</v>
      </c>
      <c r="T463" s="148">
        <f t="shared" si="209"/>
        <v>0</v>
      </c>
      <c r="U463" s="148">
        <f t="shared" si="209"/>
        <v>0</v>
      </c>
      <c r="V463" s="149">
        <f t="shared" si="209"/>
        <v>0</v>
      </c>
      <c r="W463" s="133" t="str">
        <f t="shared" si="208"/>
        <v/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hidden="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28"/>
      <c r="H464" s="401">
        <f t="shared" ref="H464:H478" si="210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8" si="211">IF(ISERROR(I464-K464),"",I464-K464)</f>
        <v>0</v>
      </c>
      <c r="N464" s="130">
        <f t="shared" ref="N464:N478" si="212">SUM(O464:U464)</f>
        <v>0</v>
      </c>
      <c r="O464" s="409"/>
      <c r="P464" s="409"/>
      <c r="Q464" s="409"/>
      <c r="R464" s="409"/>
      <c r="S464" s="409"/>
      <c r="T464" s="409"/>
      <c r="U464" s="409"/>
      <c r="V464" s="132">
        <f t="shared" ref="V464:V478" si="213">SUM(X464:AA464)</f>
        <v>0</v>
      </c>
      <c r="W464" s="133" t="str">
        <f t="shared" si="208"/>
        <v/>
      </c>
      <c r="X464" s="132"/>
      <c r="Y464" s="132"/>
      <c r="Z464" s="132"/>
      <c r="AA464" s="132"/>
    </row>
    <row r="465" spans="1:27" ht="20.100000000000001" hidden="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28"/>
      <c r="H465" s="401">
        <f t="shared" si="210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1"/>
        <v>0</v>
      </c>
      <c r="N465" s="130">
        <f t="shared" si="212"/>
        <v>0</v>
      </c>
      <c r="O465" s="409"/>
      <c r="P465" s="409"/>
      <c r="Q465" s="409"/>
      <c r="R465" s="409"/>
      <c r="S465" s="409"/>
      <c r="T465" s="409"/>
      <c r="U465" s="409"/>
      <c r="V465" s="132">
        <f t="shared" si="213"/>
        <v>0</v>
      </c>
      <c r="W465" s="133" t="str">
        <f t="shared" si="208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28"/>
      <c r="H466" s="401">
        <f t="shared" si="210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1"/>
        <v>0</v>
      </c>
      <c r="N466" s="130">
        <f t="shared" si="212"/>
        <v>0</v>
      </c>
      <c r="O466" s="409"/>
      <c r="P466" s="409"/>
      <c r="Q466" s="409"/>
      <c r="R466" s="409"/>
      <c r="S466" s="409"/>
      <c r="T466" s="409"/>
      <c r="U466" s="409"/>
      <c r="V466" s="132">
        <f t="shared" si="213"/>
        <v>0</v>
      </c>
      <c r="W466" s="133" t="str">
        <f t="shared" si="208"/>
        <v/>
      </c>
      <c r="X466" s="132"/>
      <c r="Y466" s="132"/>
      <c r="Z466" s="132"/>
      <c r="AA466" s="132"/>
    </row>
    <row r="467" spans="1:27" ht="20.100000000000001" hidden="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28"/>
      <c r="H467" s="401">
        <f t="shared" si="210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1"/>
        <v>0</v>
      </c>
      <c r="N467" s="130">
        <f t="shared" si="212"/>
        <v>0</v>
      </c>
      <c r="O467" s="409"/>
      <c r="P467" s="409"/>
      <c r="Q467" s="409"/>
      <c r="R467" s="409"/>
      <c r="S467" s="409"/>
      <c r="T467" s="409"/>
      <c r="U467" s="409"/>
      <c r="V467" s="132">
        <f t="shared" si="213"/>
        <v>0</v>
      </c>
      <c r="W467" s="133" t="str">
        <f t="shared" si="208"/>
        <v/>
      </c>
      <c r="X467" s="132"/>
      <c r="Y467" s="132"/>
      <c r="Z467" s="132"/>
      <c r="AA467" s="132"/>
    </row>
    <row r="468" spans="1:27" ht="20.100000000000001" hidden="1" customHeight="1">
      <c r="A468" s="299">
        <v>30100054</v>
      </c>
      <c r="B468" s="140" t="s">
        <v>227</v>
      </c>
      <c r="C468" s="408" t="s">
        <v>203</v>
      </c>
      <c r="D468" s="108">
        <v>5.03</v>
      </c>
      <c r="E468" s="108"/>
      <c r="F468" s="127"/>
      <c r="G468" s="128"/>
      <c r="H468" s="401">
        <f t="shared" si="210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1"/>
        <v>0</v>
      </c>
      <c r="N468" s="130">
        <f t="shared" si="212"/>
        <v>0</v>
      </c>
      <c r="O468" s="409"/>
      <c r="P468" s="409"/>
      <c r="Q468" s="409"/>
      <c r="R468" s="409"/>
      <c r="S468" s="409"/>
      <c r="T468" s="409"/>
      <c r="U468" s="409"/>
      <c r="V468" s="132">
        <f t="shared" si="213"/>
        <v>0</v>
      </c>
      <c r="W468" s="133" t="str">
        <f t="shared" si="208"/>
        <v/>
      </c>
      <c r="X468" s="132"/>
      <c r="Y468" s="132"/>
      <c r="Z468" s="132"/>
      <c r="AA468" s="132"/>
    </row>
    <row r="469" spans="1:27" ht="20.100000000000001" hidden="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28"/>
      <c r="H469" s="401">
        <f t="shared" si="210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1"/>
        <v>0</v>
      </c>
      <c r="N469" s="130">
        <f t="shared" si="212"/>
        <v>0</v>
      </c>
      <c r="O469" s="409"/>
      <c r="P469" s="409"/>
      <c r="Q469" s="409"/>
      <c r="R469" s="409"/>
      <c r="S469" s="409"/>
      <c r="T469" s="409"/>
      <c r="U469" s="409"/>
      <c r="V469" s="132">
        <f t="shared" si="213"/>
        <v>0</v>
      </c>
      <c r="W469" s="133" t="str">
        <f t="shared" si="208"/>
        <v/>
      </c>
      <c r="X469" s="132"/>
      <c r="Y469" s="132"/>
      <c r="Z469" s="132"/>
      <c r="AA469" s="132"/>
    </row>
    <row r="470" spans="1:27" ht="20.100000000000001" hidden="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28"/>
      <c r="H470" s="401">
        <f t="shared" si="210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1"/>
        <v>0</v>
      </c>
      <c r="N470" s="130">
        <f t="shared" si="212"/>
        <v>0</v>
      </c>
      <c r="O470" s="409"/>
      <c r="P470" s="409"/>
      <c r="Q470" s="409"/>
      <c r="R470" s="409"/>
      <c r="S470" s="409"/>
      <c r="T470" s="409"/>
      <c r="U470" s="409"/>
      <c r="V470" s="132">
        <f t="shared" si="213"/>
        <v>0</v>
      </c>
      <c r="W470" s="133" t="str">
        <f t="shared" si="208"/>
        <v/>
      </c>
      <c r="X470" s="132"/>
      <c r="Y470" s="132"/>
      <c r="Z470" s="132"/>
      <c r="AA470" s="132"/>
    </row>
    <row r="471" spans="1:27" ht="20.100000000000001" hidden="1" customHeight="1">
      <c r="A471" s="299"/>
      <c r="B471" s="140" t="s">
        <v>227</v>
      </c>
      <c r="C471" s="408" t="s">
        <v>228</v>
      </c>
      <c r="D471" s="108">
        <v>5.03</v>
      </c>
      <c r="E471" s="108"/>
      <c r="F471" s="127"/>
      <c r="G471" s="128"/>
      <c r="H471" s="401">
        <f t="shared" si="210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1"/>
        <v>0</v>
      </c>
      <c r="N471" s="130">
        <f t="shared" si="212"/>
        <v>0</v>
      </c>
      <c r="O471" s="409"/>
      <c r="P471" s="409"/>
      <c r="Q471" s="409"/>
      <c r="R471" s="409"/>
      <c r="S471" s="409"/>
      <c r="T471" s="409"/>
      <c r="U471" s="409"/>
      <c r="V471" s="132">
        <f t="shared" si="213"/>
        <v>0</v>
      </c>
      <c r="W471" s="133" t="str">
        <f t="shared" si="208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30101067</v>
      </c>
      <c r="B472" s="140" t="s">
        <v>229</v>
      </c>
      <c r="C472" s="408" t="s">
        <v>212</v>
      </c>
      <c r="D472" s="108">
        <v>5.03</v>
      </c>
      <c r="E472" s="108"/>
      <c r="F472" s="127"/>
      <c r="G472" s="128"/>
      <c r="H472" s="401">
        <f t="shared" si="210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1"/>
        <v/>
      </c>
      <c r="N472" s="130">
        <f t="shared" si="212"/>
        <v>0</v>
      </c>
      <c r="O472" s="409"/>
      <c r="P472" s="409"/>
      <c r="Q472" s="409"/>
      <c r="R472" s="409"/>
      <c r="S472" s="409"/>
      <c r="T472" s="409"/>
      <c r="U472" s="409"/>
      <c r="V472" s="132">
        <f t="shared" si="213"/>
        <v>0</v>
      </c>
      <c r="W472" s="133" t="str">
        <f t="shared" si="208"/>
        <v/>
      </c>
      <c r="X472" s="132"/>
      <c r="Y472" s="132"/>
      <c r="Z472" s="132"/>
      <c r="AA472" s="132"/>
    </row>
    <row r="473" spans="1:27" ht="20.100000000000001" hidden="1" customHeight="1">
      <c r="A473" s="299">
        <v>30101068</v>
      </c>
      <c r="B473" s="140" t="s">
        <v>229</v>
      </c>
      <c r="C473" s="408" t="s">
        <v>203</v>
      </c>
      <c r="D473" s="108">
        <v>5.03</v>
      </c>
      <c r="E473" s="108"/>
      <c r="F473" s="127"/>
      <c r="G473" s="128"/>
      <c r="H473" s="401">
        <f t="shared" si="210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1"/>
        <v/>
      </c>
      <c r="N473" s="130">
        <f t="shared" si="212"/>
        <v>0</v>
      </c>
      <c r="O473" s="409"/>
      <c r="P473" s="409"/>
      <c r="Q473" s="409"/>
      <c r="R473" s="409"/>
      <c r="S473" s="409"/>
      <c r="T473" s="409"/>
      <c r="U473" s="409"/>
      <c r="V473" s="132">
        <f t="shared" si="213"/>
        <v>0</v>
      </c>
      <c r="W473" s="133" t="str">
        <f t="shared" si="208"/>
        <v/>
      </c>
      <c r="X473" s="132"/>
      <c r="Y473" s="132"/>
      <c r="Z473" s="132"/>
      <c r="AA473" s="132"/>
    </row>
    <row r="474" spans="1:27" ht="20.100000000000001" hidden="1" customHeight="1">
      <c r="A474" s="299">
        <v>30101069</v>
      </c>
      <c r="B474" s="140" t="s">
        <v>229</v>
      </c>
      <c r="C474" s="408" t="s">
        <v>186</v>
      </c>
      <c r="D474" s="108">
        <v>5.03</v>
      </c>
      <c r="E474" s="108"/>
      <c r="F474" s="127"/>
      <c r="G474" s="128"/>
      <c r="H474" s="401">
        <f t="shared" si="210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1"/>
        <v/>
      </c>
      <c r="N474" s="130">
        <f t="shared" si="212"/>
        <v>0</v>
      </c>
      <c r="O474" s="409"/>
      <c r="P474" s="409"/>
      <c r="Q474" s="409"/>
      <c r="R474" s="409"/>
      <c r="S474" s="409"/>
      <c r="T474" s="409"/>
      <c r="U474" s="409"/>
      <c r="V474" s="132">
        <f t="shared" si="213"/>
        <v>0</v>
      </c>
      <c r="W474" s="133" t="str">
        <f t="shared" si="208"/>
        <v/>
      </c>
      <c r="X474" s="132"/>
      <c r="Y474" s="132"/>
      <c r="Z474" s="132"/>
      <c r="AA474" s="132"/>
    </row>
    <row r="475" spans="1:27" ht="20.100000000000001" hidden="1" customHeight="1">
      <c r="A475" s="299">
        <v>30101070</v>
      </c>
      <c r="B475" s="140" t="s">
        <v>229</v>
      </c>
      <c r="C475" s="408" t="s">
        <v>228</v>
      </c>
      <c r="D475" s="108">
        <v>5.03</v>
      </c>
      <c r="E475" s="108"/>
      <c r="F475" s="127"/>
      <c r="G475" s="128"/>
      <c r="H475" s="401">
        <f t="shared" si="210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1"/>
        <v/>
      </c>
      <c r="N475" s="130">
        <f t="shared" si="212"/>
        <v>0</v>
      </c>
      <c r="O475" s="409"/>
      <c r="P475" s="409"/>
      <c r="Q475" s="409"/>
      <c r="R475" s="409"/>
      <c r="S475" s="409"/>
      <c r="T475" s="409"/>
      <c r="U475" s="409"/>
      <c r="V475" s="132">
        <f t="shared" si="213"/>
        <v>0</v>
      </c>
      <c r="W475" s="133" t="str">
        <f t="shared" si="208"/>
        <v/>
      </c>
      <c r="X475" s="132"/>
      <c r="Y475" s="132"/>
      <c r="Z475" s="132"/>
      <c r="AA475" s="132"/>
    </row>
    <row r="476" spans="1:27" ht="20.100000000000001" hidden="1" customHeight="1">
      <c r="A476" s="299">
        <v>30101071</v>
      </c>
      <c r="B476" s="140" t="s">
        <v>229</v>
      </c>
      <c r="C476" s="408" t="s">
        <v>199</v>
      </c>
      <c r="D476" s="108">
        <v>5.03</v>
      </c>
      <c r="E476" s="108"/>
      <c r="F476" s="127"/>
      <c r="G476" s="128"/>
      <c r="H476" s="401">
        <f t="shared" si="210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1"/>
        <v/>
      </c>
      <c r="N476" s="130">
        <f t="shared" si="212"/>
        <v>0</v>
      </c>
      <c r="O476" s="409"/>
      <c r="P476" s="409"/>
      <c r="Q476" s="409"/>
      <c r="R476" s="409"/>
      <c r="S476" s="409"/>
      <c r="T476" s="409"/>
      <c r="U476" s="409"/>
      <c r="V476" s="132">
        <f t="shared" si="213"/>
        <v>0</v>
      </c>
      <c r="W476" s="133" t="str">
        <f t="shared" si="208"/>
        <v/>
      </c>
      <c r="X476" s="132"/>
      <c r="Y476" s="132"/>
      <c r="Z476" s="132"/>
      <c r="AA476" s="132"/>
    </row>
    <row r="477" spans="1:27" ht="20.100000000000001" hidden="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28"/>
      <c r="H477" s="401">
        <f t="shared" si="210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si="211"/>
        <v>0</v>
      </c>
      <c r="N477" s="130">
        <f t="shared" si="212"/>
        <v>0</v>
      </c>
      <c r="O477" s="409"/>
      <c r="P477" s="409"/>
      <c r="Q477" s="409"/>
      <c r="R477" s="409"/>
      <c r="S477" s="409"/>
      <c r="T477" s="409"/>
      <c r="U477" s="409"/>
      <c r="V477" s="132">
        <f t="shared" si="213"/>
        <v>0</v>
      </c>
      <c r="W477" s="133" t="str">
        <f t="shared" si="208"/>
        <v/>
      </c>
      <c r="X477" s="132"/>
      <c r="Y477" s="132"/>
      <c r="Z477" s="132"/>
      <c r="AA477" s="132"/>
    </row>
    <row r="478" spans="1:27" ht="20.100000000000001" hidden="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28"/>
      <c r="H478" s="401">
        <f t="shared" si="210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1"/>
        <v>0</v>
      </c>
      <c r="N478" s="130">
        <f t="shared" si="212"/>
        <v>0</v>
      </c>
      <c r="O478" s="409"/>
      <c r="P478" s="409"/>
      <c r="Q478" s="409"/>
      <c r="R478" s="409"/>
      <c r="S478" s="409"/>
      <c r="T478" s="409"/>
      <c r="U478" s="409"/>
      <c r="V478" s="132">
        <f t="shared" si="213"/>
        <v>0</v>
      </c>
      <c r="W478" s="133" t="str">
        <f t="shared" si="208"/>
        <v/>
      </c>
      <c r="X478" s="132"/>
      <c r="Y478" s="132"/>
      <c r="Z478" s="132"/>
      <c r="AA478" s="132"/>
    </row>
    <row r="479" spans="1:27" ht="20.100000000000001" hidden="1" customHeight="1">
      <c r="A479" s="578" t="s">
        <v>231</v>
      </c>
      <c r="B479" s="579"/>
      <c r="C479" s="410" t="s">
        <v>202</v>
      </c>
      <c r="D479" s="143"/>
      <c r="E479" s="143"/>
      <c r="F479" s="144"/>
      <c r="G479" s="145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08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hidden="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28"/>
      <c r="H480" s="401">
        <f t="shared" ref="H480:H489" si="214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4" si="215">IF(ISERROR(I480-K480),"",I480-K480)</f>
        <v>0</v>
      </c>
      <c r="N480" s="130">
        <f t="shared" ref="N480:N484" si="216">SUM(O480:U480)</f>
        <v>0</v>
      </c>
      <c r="O480" s="409"/>
      <c r="P480" s="409"/>
      <c r="Q480" s="409"/>
      <c r="R480" s="409"/>
      <c r="S480" s="409"/>
      <c r="T480" s="409"/>
      <c r="U480" s="409"/>
      <c r="V480" s="132">
        <f t="shared" ref="V480:V484" si="217">SUM(X480:AA480)</f>
        <v>0</v>
      </c>
      <c r="W480" s="133" t="str">
        <f t="shared" si="208"/>
        <v/>
      </c>
      <c r="X480" s="132"/>
      <c r="Y480" s="132"/>
      <c r="Z480" s="132"/>
      <c r="AA480" s="132"/>
    </row>
    <row r="481" spans="1:27" ht="20.100000000000001" hidden="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28"/>
      <c r="H481" s="401">
        <f t="shared" si="214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5"/>
        <v>0</v>
      </c>
      <c r="N481" s="130">
        <f t="shared" si="216"/>
        <v>0</v>
      </c>
      <c r="O481" s="409"/>
      <c r="P481" s="409"/>
      <c r="Q481" s="409"/>
      <c r="R481" s="409"/>
      <c r="S481" s="409"/>
      <c r="T481" s="409"/>
      <c r="U481" s="409"/>
      <c r="V481" s="132">
        <f t="shared" si="217"/>
        <v>0</v>
      </c>
      <c r="W481" s="133" t="str">
        <f t="shared" si="208"/>
        <v/>
      </c>
      <c r="X481" s="132"/>
      <c r="Y481" s="132"/>
      <c r="Z481" s="132"/>
      <c r="AA481" s="132"/>
    </row>
    <row r="482" spans="1:27" ht="20.100000000000001" hidden="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28"/>
      <c r="H482" s="401">
        <f t="shared" si="214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5"/>
        <v>0</v>
      </c>
      <c r="N482" s="130">
        <f t="shared" si="216"/>
        <v>0</v>
      </c>
      <c r="O482" s="409"/>
      <c r="P482" s="409"/>
      <c r="Q482" s="409"/>
      <c r="R482" s="409"/>
      <c r="S482" s="409"/>
      <c r="T482" s="409"/>
      <c r="U482" s="409"/>
      <c r="V482" s="132">
        <f t="shared" si="217"/>
        <v>0</v>
      </c>
      <c r="W482" s="133" t="str">
        <f t="shared" si="208"/>
        <v/>
      </c>
      <c r="X482" s="132"/>
      <c r="Y482" s="132"/>
      <c r="Z482" s="132"/>
      <c r="AA482" s="132"/>
    </row>
    <row r="483" spans="1:27" ht="20.100000000000001" hidden="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28"/>
      <c r="H483" s="401">
        <f t="shared" si="214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15"/>
        <v>0</v>
      </c>
      <c r="N483" s="130">
        <f t="shared" si="216"/>
        <v>0</v>
      </c>
      <c r="O483" s="409"/>
      <c r="P483" s="409"/>
      <c r="Q483" s="409"/>
      <c r="R483" s="409"/>
      <c r="S483" s="409"/>
      <c r="T483" s="409"/>
      <c r="U483" s="409"/>
      <c r="V483" s="132">
        <f t="shared" si="217"/>
        <v>0</v>
      </c>
      <c r="W483" s="133" t="str">
        <f t="shared" si="208"/>
        <v/>
      </c>
      <c r="X483" s="132"/>
      <c r="Y483" s="132"/>
      <c r="Z483" s="132"/>
      <c r="AA483" s="132"/>
    </row>
    <row r="484" spans="1:27" ht="20.100000000000001" hidden="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28"/>
      <c r="H484" s="401">
        <f t="shared" si="214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15"/>
        <v>0</v>
      </c>
      <c r="N484" s="130">
        <f t="shared" si="216"/>
        <v>0</v>
      </c>
      <c r="O484" s="409"/>
      <c r="P484" s="409"/>
      <c r="Q484" s="409"/>
      <c r="R484" s="409"/>
      <c r="S484" s="409"/>
      <c r="T484" s="409"/>
      <c r="U484" s="409"/>
      <c r="V484" s="132">
        <f t="shared" si="217"/>
        <v>0</v>
      </c>
      <c r="W484" s="133" t="str">
        <f t="shared" si="208"/>
        <v/>
      </c>
      <c r="X484" s="132"/>
      <c r="Y484" s="132"/>
      <c r="Z484" s="132"/>
      <c r="AA484" s="132"/>
    </row>
    <row r="485" spans="1:27" ht="20.100000000000001" hidden="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28"/>
      <c r="H485" s="401">
        <f t="shared" si="214"/>
        <v>0</v>
      </c>
      <c r="I485" s="129"/>
      <c r="J485" s="130"/>
      <c r="K485" s="131"/>
      <c r="L485" s="129">
        <v>13.5</v>
      </c>
      <c r="M485" s="109"/>
      <c r="N485" s="130"/>
      <c r="O485" s="409"/>
      <c r="P485" s="409"/>
      <c r="Q485" s="409"/>
      <c r="R485" s="409"/>
      <c r="S485" s="409"/>
      <c r="T485" s="409"/>
      <c r="U485" s="409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30400020</v>
      </c>
      <c r="B486" s="134" t="s">
        <v>439</v>
      </c>
      <c r="C486" s="187" t="s">
        <v>74</v>
      </c>
      <c r="D486" s="108">
        <v>5.04</v>
      </c>
      <c r="E486" s="108"/>
      <c r="F486" s="127"/>
      <c r="G486" s="128"/>
      <c r="H486" s="401">
        <f t="shared" si="214"/>
        <v>0</v>
      </c>
      <c r="I486" s="129"/>
      <c r="J486" s="130"/>
      <c r="K486" s="131"/>
      <c r="L486" s="129">
        <v>13.5</v>
      </c>
      <c r="M486" s="109"/>
      <c r="N486" s="130"/>
      <c r="O486" s="409"/>
      <c r="P486" s="409"/>
      <c r="Q486" s="409"/>
      <c r="R486" s="409"/>
      <c r="S486" s="409"/>
      <c r="T486" s="409"/>
      <c r="U486" s="409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0">
        <v>30400021</v>
      </c>
      <c r="B487" s="134" t="s">
        <v>439</v>
      </c>
      <c r="C487" s="187" t="s">
        <v>53</v>
      </c>
      <c r="D487" s="108">
        <v>5.04</v>
      </c>
      <c r="E487" s="108"/>
      <c r="F487" s="127"/>
      <c r="G487" s="128"/>
      <c r="H487" s="401">
        <f t="shared" si="214"/>
        <v>0</v>
      </c>
      <c r="I487" s="129"/>
      <c r="J487" s="130"/>
      <c r="K487" s="131"/>
      <c r="L487" s="129">
        <v>13.5</v>
      </c>
      <c r="M487" s="109"/>
      <c r="N487" s="130"/>
      <c r="O487" s="409"/>
      <c r="P487" s="409"/>
      <c r="Q487" s="409"/>
      <c r="R487" s="409"/>
      <c r="S487" s="409"/>
      <c r="T487" s="409"/>
      <c r="U487" s="409"/>
      <c r="V487" s="132"/>
      <c r="W487" s="133"/>
      <c r="X487" s="132"/>
      <c r="Y487" s="132"/>
      <c r="Z487" s="132"/>
      <c r="AA487" s="132"/>
    </row>
    <row r="488" spans="1:27" ht="20.10000000000000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28"/>
      <c r="H488" s="438">
        <f t="shared" si="214"/>
        <v>0</v>
      </c>
      <c r="I488" s="129"/>
      <c r="J488" s="130"/>
      <c r="K488" s="131"/>
      <c r="L488" s="129">
        <v>13.5</v>
      </c>
      <c r="M488" s="109"/>
      <c r="N488" s="130"/>
      <c r="O488" s="446"/>
      <c r="P488" s="446"/>
      <c r="Q488" s="446"/>
      <c r="R488" s="446"/>
      <c r="S488" s="446"/>
      <c r="T488" s="446"/>
      <c r="U488" s="446"/>
      <c r="V488" s="132"/>
      <c r="W488" s="133"/>
      <c r="X488" s="132"/>
      <c r="Y488" s="132"/>
      <c r="Z488" s="132"/>
      <c r="AA488" s="132"/>
    </row>
    <row r="489" spans="1:27" ht="20.100000000000001" hidden="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28"/>
      <c r="H489" s="401">
        <f t="shared" si="214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ref="M489" si="218">IF(ISERROR(I489-K489),"",I489-K489)</f>
        <v>0</v>
      </c>
      <c r="N489" s="130">
        <f t="shared" ref="N489" si="219">SUM(O489:U489)</f>
        <v>0</v>
      </c>
      <c r="O489" s="409"/>
      <c r="P489" s="409"/>
      <c r="Q489" s="409"/>
      <c r="R489" s="409"/>
      <c r="S489" s="409"/>
      <c r="T489" s="409"/>
      <c r="U489" s="409"/>
      <c r="V489" s="132">
        <f t="shared" ref="V489" si="220">SUM(X489:AA489)</f>
        <v>0</v>
      </c>
      <c r="W489" s="133" t="str">
        <f t="shared" ref="W489:W494" si="221">IF(ISERROR(V489/G489),"",V489/G489)</f>
        <v/>
      </c>
      <c r="X489" s="132"/>
      <c r="Y489" s="132"/>
      <c r="Z489" s="132"/>
      <c r="AA489" s="132"/>
    </row>
    <row r="490" spans="1:27" ht="20.100000000000001" hidden="1" customHeight="1">
      <c r="A490" s="578" t="s">
        <v>234</v>
      </c>
      <c r="B490" s="579"/>
      <c r="C490" s="410" t="s">
        <v>202</v>
      </c>
      <c r="D490" s="143"/>
      <c r="E490" s="143"/>
      <c r="F490" s="144"/>
      <c r="G490" s="145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1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hidden="1" customHeight="1">
      <c r="A491" s="299">
        <v>30700013</v>
      </c>
      <c r="B491" s="141" t="s">
        <v>235</v>
      </c>
      <c r="C491" s="406"/>
      <c r="D491" s="108">
        <v>3.65</v>
      </c>
      <c r="E491" s="108"/>
      <c r="F491" s="153"/>
      <c r="G491" s="128"/>
      <c r="H491" s="401">
        <f t="shared" ref="H491:H505" si="222">D491*G491</f>
        <v>0</v>
      </c>
      <c r="I491" s="129"/>
      <c r="J491" s="130" t="str">
        <f t="array" ref="J491">IF(ISERROR(G491/I491),"",G491/I491)</f>
        <v/>
      </c>
      <c r="K491" s="401">
        <f t="array" ref="K491">IF(ISERROR(G491/L491),"",G491/L491)</f>
        <v>0</v>
      </c>
      <c r="L491" s="129">
        <v>5</v>
      </c>
      <c r="M491" s="109">
        <f t="shared" ref="M491:M494" si="223">IF(ISERROR(I491-K491),"",I491-K491)</f>
        <v>0</v>
      </c>
      <c r="N491" s="130">
        <f t="shared" ref="N491:N494" si="224">SUM(O491:U491)</f>
        <v>0</v>
      </c>
      <c r="O491" s="409"/>
      <c r="P491" s="409"/>
      <c r="Q491" s="409"/>
      <c r="R491" s="409"/>
      <c r="S491" s="409"/>
      <c r="T491" s="409"/>
      <c r="U491" s="409"/>
      <c r="V491" s="132">
        <f t="shared" ref="V491:V494" si="225">SUM(X491:AA491)</f>
        <v>0</v>
      </c>
      <c r="W491" s="133" t="str">
        <f t="shared" si="221"/>
        <v/>
      </c>
      <c r="X491" s="132"/>
      <c r="Y491" s="132"/>
      <c r="Z491" s="132"/>
      <c r="AA491" s="132"/>
    </row>
    <row r="492" spans="1:27" ht="20.100000000000001" hidden="1" customHeight="1">
      <c r="A492" s="299">
        <v>30700014</v>
      </c>
      <c r="B492" s="141" t="s">
        <v>236</v>
      </c>
      <c r="C492" s="406"/>
      <c r="D492" s="108">
        <v>6.58</v>
      </c>
      <c r="E492" s="108"/>
      <c r="F492" s="127"/>
      <c r="G492" s="128"/>
      <c r="H492" s="401">
        <f t="shared" si="222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3"/>
        <v>0</v>
      </c>
      <c r="N492" s="130">
        <f t="shared" si="224"/>
        <v>0</v>
      </c>
      <c r="O492" s="409"/>
      <c r="P492" s="409"/>
      <c r="Q492" s="409"/>
      <c r="R492" s="409"/>
      <c r="S492" s="409"/>
      <c r="T492" s="409"/>
      <c r="U492" s="409"/>
      <c r="V492" s="132">
        <f t="shared" si="225"/>
        <v>0</v>
      </c>
      <c r="W492" s="133" t="str">
        <f t="shared" si="221"/>
        <v/>
      </c>
      <c r="X492" s="132"/>
      <c r="Y492" s="132"/>
      <c r="Z492" s="132"/>
      <c r="AA492" s="132"/>
    </row>
    <row r="493" spans="1:27" ht="20.100000000000001" hidden="1" customHeight="1">
      <c r="A493" s="299">
        <v>30700016</v>
      </c>
      <c r="B493" s="141" t="s">
        <v>237</v>
      </c>
      <c r="C493" s="406"/>
      <c r="D493" s="108">
        <v>7.8</v>
      </c>
      <c r="E493" s="108"/>
      <c r="F493" s="127"/>
      <c r="G493" s="128"/>
      <c r="H493" s="401">
        <f t="shared" si="222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3"/>
        <v>0</v>
      </c>
      <c r="N493" s="130">
        <f t="shared" si="224"/>
        <v>0</v>
      </c>
      <c r="O493" s="409"/>
      <c r="P493" s="409"/>
      <c r="Q493" s="409"/>
      <c r="R493" s="409"/>
      <c r="S493" s="409"/>
      <c r="T493" s="409"/>
      <c r="U493" s="409"/>
      <c r="V493" s="132">
        <f t="shared" si="225"/>
        <v>0</v>
      </c>
      <c r="W493" s="133" t="str">
        <f t="shared" si="221"/>
        <v/>
      </c>
      <c r="X493" s="132"/>
      <c r="Y493" s="132"/>
      <c r="Z493" s="132"/>
      <c r="AA493" s="132"/>
    </row>
    <row r="494" spans="1:27" ht="20.100000000000001" hidden="1" customHeight="1">
      <c r="A494" s="299">
        <v>30700017</v>
      </c>
      <c r="B494" s="141" t="s">
        <v>238</v>
      </c>
      <c r="C494" s="406"/>
      <c r="D494" s="108">
        <v>4.4000000000000004</v>
      </c>
      <c r="E494" s="108"/>
      <c r="F494" s="127"/>
      <c r="G494" s="128"/>
      <c r="H494" s="401">
        <f t="shared" si="222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3"/>
        <v>0</v>
      </c>
      <c r="N494" s="130">
        <f t="shared" si="224"/>
        <v>0</v>
      </c>
      <c r="O494" s="409"/>
      <c r="P494" s="409"/>
      <c r="Q494" s="409"/>
      <c r="R494" s="409"/>
      <c r="S494" s="409"/>
      <c r="T494" s="409"/>
      <c r="U494" s="409"/>
      <c r="V494" s="132">
        <f t="shared" si="225"/>
        <v>0</v>
      </c>
      <c r="W494" s="133" t="str">
        <f t="shared" si="221"/>
        <v/>
      </c>
      <c r="X494" s="132"/>
      <c r="Y494" s="132"/>
      <c r="Z494" s="132"/>
      <c r="AA494" s="132"/>
    </row>
    <row r="495" spans="1:27" ht="20.100000000000001" hidden="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28"/>
      <c r="H495" s="401">
        <f t="shared" si="222"/>
        <v>0</v>
      </c>
      <c r="I495" s="129"/>
      <c r="J495" s="130"/>
      <c r="K495" s="131"/>
      <c r="L495" s="129"/>
      <c r="M495" s="109"/>
      <c r="N495" s="130"/>
      <c r="O495" s="409"/>
      <c r="P495" s="409"/>
      <c r="Q495" s="409"/>
      <c r="R495" s="409"/>
      <c r="S495" s="409"/>
      <c r="T495" s="409"/>
      <c r="U495" s="409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299">
        <v>30700001</v>
      </c>
      <c r="B496" s="127" t="s">
        <v>359</v>
      </c>
      <c r="C496" s="406"/>
      <c r="D496" s="108"/>
      <c r="E496" s="108"/>
      <c r="F496" s="127"/>
      <c r="G496" s="128"/>
      <c r="H496" s="401">
        <f t="shared" si="222"/>
        <v>0</v>
      </c>
      <c r="I496" s="129"/>
      <c r="J496" s="130"/>
      <c r="K496" s="131"/>
      <c r="L496" s="129">
        <v>6</v>
      </c>
      <c r="M496" s="109"/>
      <c r="N496" s="130"/>
      <c r="O496" s="409"/>
      <c r="P496" s="409"/>
      <c r="Q496" s="409"/>
      <c r="R496" s="409"/>
      <c r="S496" s="409"/>
      <c r="T496" s="409"/>
      <c r="U496" s="409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/>
      <c r="B497" s="406" t="s">
        <v>239</v>
      </c>
      <c r="C497" s="406" t="s">
        <v>179</v>
      </c>
      <c r="D497" s="108">
        <v>6.04</v>
      </c>
      <c r="E497" s="108"/>
      <c r="F497" s="127"/>
      <c r="G497" s="128"/>
      <c r="H497" s="401">
        <f t="shared" si="222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498" si="226">IF(ISERROR(I497-K497),"",I497-K497)</f>
        <v>0</v>
      </c>
      <c r="N497" s="130">
        <f t="shared" ref="N497:N498" si="227">SUM(O497:U497)</f>
        <v>0</v>
      </c>
      <c r="O497" s="409"/>
      <c r="P497" s="409"/>
      <c r="Q497" s="409"/>
      <c r="R497" s="409"/>
      <c r="S497" s="409"/>
      <c r="T497" s="409"/>
      <c r="U497" s="409"/>
      <c r="V497" s="132">
        <f t="shared" ref="V497:V498" si="228">SUM(X497:AA497)</f>
        <v>0</v>
      </c>
      <c r="W497" s="133" t="str">
        <f t="shared" ref="W497:W498" si="229">IF(ISERROR(V497/G497),"",V497/G497)</f>
        <v/>
      </c>
      <c r="X497" s="132"/>
      <c r="Y497" s="132"/>
      <c r="Z497" s="132"/>
      <c r="AA497" s="132"/>
    </row>
    <row r="498" spans="1:27" ht="20.100000000000001" hidden="1" customHeight="1">
      <c r="A498" s="305">
        <v>30700019</v>
      </c>
      <c r="B498" s="406" t="s">
        <v>239</v>
      </c>
      <c r="C498" s="406" t="s">
        <v>186</v>
      </c>
      <c r="D498" s="108">
        <v>6.04</v>
      </c>
      <c r="E498" s="108"/>
      <c r="F498" s="127"/>
      <c r="G498" s="128"/>
      <c r="H498" s="401">
        <f t="shared" si="222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6"/>
        <v>0</v>
      </c>
      <c r="N498" s="130">
        <f t="shared" si="227"/>
        <v>0</v>
      </c>
      <c r="O498" s="409"/>
      <c r="P498" s="409"/>
      <c r="Q498" s="409"/>
      <c r="R498" s="409"/>
      <c r="S498" s="409"/>
      <c r="T498" s="409"/>
      <c r="U498" s="409"/>
      <c r="V498" s="132">
        <f t="shared" si="228"/>
        <v>0</v>
      </c>
      <c r="W498" s="133" t="str">
        <f t="shared" si="229"/>
        <v/>
      </c>
      <c r="X498" s="132"/>
      <c r="Y498" s="132"/>
      <c r="Z498" s="132"/>
      <c r="AA498" s="132"/>
    </row>
    <row r="499" spans="1:27" ht="20.100000000000001" hidden="1" customHeight="1">
      <c r="A499" s="305">
        <v>30601015</v>
      </c>
      <c r="B499" s="406" t="s">
        <v>443</v>
      </c>
      <c r="C499" s="406" t="s">
        <v>179</v>
      </c>
      <c r="D499" s="108"/>
      <c r="E499" s="108"/>
      <c r="F499" s="127"/>
      <c r="G499" s="128"/>
      <c r="H499" s="401">
        <f t="shared" si="222"/>
        <v>0</v>
      </c>
      <c r="I499" s="129"/>
      <c r="J499" s="130"/>
      <c r="K499" s="131"/>
      <c r="L499" s="129"/>
      <c r="M499" s="109"/>
      <c r="N499" s="130"/>
      <c r="O499" s="409"/>
      <c r="P499" s="409"/>
      <c r="Q499" s="409"/>
      <c r="R499" s="409"/>
      <c r="S499" s="409"/>
      <c r="T499" s="409"/>
      <c r="U499" s="409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305">
        <v>30101016</v>
      </c>
      <c r="B500" s="406" t="s">
        <v>443</v>
      </c>
      <c r="C500" s="406" t="s">
        <v>186</v>
      </c>
      <c r="D500" s="108"/>
      <c r="E500" s="108"/>
      <c r="F500" s="127"/>
      <c r="G500" s="128"/>
      <c r="H500" s="401">
        <f t="shared" si="222"/>
        <v>0</v>
      </c>
      <c r="I500" s="129"/>
      <c r="J500" s="130"/>
      <c r="K500" s="131"/>
      <c r="L500" s="129"/>
      <c r="M500" s="109"/>
      <c r="N500" s="130"/>
      <c r="O500" s="409"/>
      <c r="P500" s="409"/>
      <c r="Q500" s="409"/>
      <c r="R500" s="409"/>
      <c r="S500" s="409"/>
      <c r="T500" s="409"/>
      <c r="U500" s="409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30700018</v>
      </c>
      <c r="B501" s="400" t="s">
        <v>240</v>
      </c>
      <c r="C501" s="126"/>
      <c r="D501" s="108">
        <v>7.3</v>
      </c>
      <c r="E501" s="108"/>
      <c r="F501" s="127"/>
      <c r="G501" s="128"/>
      <c r="H501" s="401">
        <f t="shared" si="222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ref="M501" si="230">IF(ISERROR(I501-K501),"",I501-K501)</f>
        <v>0</v>
      </c>
      <c r="N501" s="130">
        <f t="shared" ref="N501" si="231">SUM(O501:U501)</f>
        <v>0</v>
      </c>
      <c r="O501" s="409"/>
      <c r="P501" s="409"/>
      <c r="Q501" s="409"/>
      <c r="R501" s="409"/>
      <c r="S501" s="409"/>
      <c r="T501" s="409"/>
      <c r="U501" s="409"/>
      <c r="V501" s="132">
        <f t="shared" ref="V501" si="232">SUM(X501:AA501)</f>
        <v>0</v>
      </c>
      <c r="W501" s="133" t="str">
        <f t="shared" ref="W501" si="233">IF(ISERROR(V501/G501),"",V501/G501)</f>
        <v/>
      </c>
      <c r="X501" s="132"/>
      <c r="Y501" s="132"/>
      <c r="Z501" s="132"/>
      <c r="AA501" s="132"/>
    </row>
    <row r="502" spans="1:27" ht="20.100000000000001" hidden="1" customHeight="1">
      <c r="A502" s="299">
        <v>30700010</v>
      </c>
      <c r="B502" s="400" t="s">
        <v>241</v>
      </c>
      <c r="C502" s="126"/>
      <c r="D502" s="108">
        <f>78*120/1000</f>
        <v>9.36</v>
      </c>
      <c r="E502" s="108"/>
      <c r="F502" s="127"/>
      <c r="G502" s="128"/>
      <c r="H502" s="401">
        <f t="shared" si="222"/>
        <v>0</v>
      </c>
      <c r="I502" s="129"/>
      <c r="J502" s="130"/>
      <c r="K502" s="131"/>
      <c r="L502" s="129"/>
      <c r="M502" s="109"/>
      <c r="N502" s="130"/>
      <c r="O502" s="409"/>
      <c r="P502" s="409"/>
      <c r="Q502" s="409"/>
      <c r="R502" s="409"/>
      <c r="S502" s="409"/>
      <c r="T502" s="409"/>
      <c r="U502" s="409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299">
        <v>30700015</v>
      </c>
      <c r="B503" s="400" t="s">
        <v>242</v>
      </c>
      <c r="C503" s="126"/>
      <c r="D503" s="108">
        <v>4.5</v>
      </c>
      <c r="E503" s="108"/>
      <c r="F503" s="127"/>
      <c r="G503" s="128"/>
      <c r="H503" s="401">
        <f t="shared" si="222"/>
        <v>0</v>
      </c>
      <c r="I503" s="129"/>
      <c r="J503" s="130"/>
      <c r="K503" s="131"/>
      <c r="L503" s="129"/>
      <c r="M503" s="109"/>
      <c r="N503" s="130"/>
      <c r="O503" s="409"/>
      <c r="P503" s="409"/>
      <c r="Q503" s="409"/>
      <c r="R503" s="409"/>
      <c r="S503" s="409"/>
      <c r="T503" s="409"/>
      <c r="U503" s="409"/>
      <c r="V503" s="132"/>
      <c r="W503" s="133"/>
      <c r="X503" s="132"/>
      <c r="Y503" s="132"/>
      <c r="Z503" s="132"/>
      <c r="AA503" s="132"/>
    </row>
    <row r="504" spans="1:27" ht="20.100000000000001" hidden="1" customHeight="1">
      <c r="A504" s="299">
        <v>30700012</v>
      </c>
      <c r="B504" s="400" t="s">
        <v>243</v>
      </c>
      <c r="C504" s="126"/>
      <c r="D504" s="108">
        <v>4.5</v>
      </c>
      <c r="E504" s="108"/>
      <c r="F504" s="127"/>
      <c r="G504" s="128"/>
      <c r="H504" s="401">
        <f t="shared" si="222"/>
        <v>0</v>
      </c>
      <c r="I504" s="129"/>
      <c r="J504" s="130"/>
      <c r="K504" s="131"/>
      <c r="L504" s="129"/>
      <c r="M504" s="109"/>
      <c r="N504" s="130"/>
      <c r="O504" s="409"/>
      <c r="P504" s="409"/>
      <c r="Q504" s="409"/>
      <c r="R504" s="409"/>
      <c r="S504" s="409"/>
      <c r="T504" s="409"/>
      <c r="U504" s="409"/>
      <c r="V504" s="132"/>
      <c r="W504" s="133"/>
      <c r="X504" s="132"/>
      <c r="Y504" s="132"/>
      <c r="Z504" s="132"/>
      <c r="AA504" s="132"/>
    </row>
    <row r="505" spans="1:27" ht="20.100000000000001" hidden="1" customHeight="1">
      <c r="A505" s="299"/>
      <c r="B505" s="400"/>
      <c r="C505" s="126"/>
      <c r="D505" s="108"/>
      <c r="E505" s="108"/>
      <c r="F505" s="127"/>
      <c r="G505" s="128"/>
      <c r="H505" s="401">
        <f t="shared" si="222"/>
        <v>0</v>
      </c>
      <c r="I505" s="129"/>
      <c r="J505" s="130"/>
      <c r="K505" s="131"/>
      <c r="L505" s="129"/>
      <c r="M505" s="109"/>
      <c r="N505" s="130"/>
      <c r="O505" s="409"/>
      <c r="P505" s="409"/>
      <c r="Q505" s="409"/>
      <c r="R505" s="409"/>
      <c r="S505" s="409"/>
      <c r="T505" s="409"/>
      <c r="U505" s="409"/>
      <c r="V505" s="132"/>
      <c r="W505" s="133"/>
      <c r="X505" s="132"/>
      <c r="Y505" s="132"/>
      <c r="Z505" s="132"/>
      <c r="AA505" s="132"/>
    </row>
    <row r="506" spans="1:27" ht="20.100000000000001" hidden="1" customHeight="1">
      <c r="A506" s="578" t="s">
        <v>244</v>
      </c>
      <c r="B506" s="579"/>
      <c r="C506" s="410" t="s">
        <v>202</v>
      </c>
      <c r="D506" s="143"/>
      <c r="E506" s="143"/>
      <c r="F506" s="144"/>
      <c r="G506" s="145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4">SUM(M491:M501)</f>
        <v>0</v>
      </c>
      <c r="N506" s="146">
        <f t="shared" si="234"/>
        <v>0</v>
      </c>
      <c r="O506" s="148">
        <f t="shared" si="234"/>
        <v>0</v>
      </c>
      <c r="P506" s="148">
        <f t="shared" si="234"/>
        <v>0</v>
      </c>
      <c r="Q506" s="148">
        <f t="shared" si="234"/>
        <v>0</v>
      </c>
      <c r="R506" s="148">
        <f t="shared" si="234"/>
        <v>0</v>
      </c>
      <c r="S506" s="148">
        <f t="shared" si="234"/>
        <v>0</v>
      </c>
      <c r="T506" s="148">
        <f t="shared" si="234"/>
        <v>0</v>
      </c>
      <c r="U506" s="148">
        <f t="shared" si="234"/>
        <v>0</v>
      </c>
      <c r="V506" s="149">
        <f t="shared" si="234"/>
        <v>0</v>
      </c>
      <c r="W506" s="133">
        <f t="shared" si="234"/>
        <v>0</v>
      </c>
      <c r="X506" s="149">
        <f t="shared" si="234"/>
        <v>0</v>
      </c>
      <c r="Y506" s="149">
        <f t="shared" si="234"/>
        <v>0</v>
      </c>
      <c r="Z506" s="149">
        <f t="shared" si="234"/>
        <v>0</v>
      </c>
      <c r="AA506" s="149">
        <f t="shared" si="234"/>
        <v>0</v>
      </c>
    </row>
    <row r="507" spans="1:27" ht="20.100000000000001" customHeight="1">
      <c r="A507" s="580" t="s">
        <v>246</v>
      </c>
      <c r="B507" s="581"/>
      <c r="C507" s="581"/>
      <c r="D507" s="581"/>
      <c r="E507" s="581"/>
      <c r="F507" s="582"/>
      <c r="G507" s="154">
        <f>SUM(G370,G428,G463,G479,G490,G506)</f>
        <v>0</v>
      </c>
      <c r="H507" s="154">
        <f>SUM(H370,H428,H463,H479,H490,H506)</f>
        <v>0</v>
      </c>
      <c r="I507" s="154">
        <f>SUM(I370,I428,I463,I479,I490,I506)</f>
        <v>0</v>
      </c>
      <c r="J507" s="155" t="str">
        <f t="array" ref="J507">IF(ISERROR(G507/I507),"",G507/I507)</f>
        <v/>
      </c>
      <c r="K507" s="154">
        <f>SUM(K370,K428,K463,K479,K490,K506)</f>
        <v>0</v>
      </c>
      <c r="L507" s="155" t="str">
        <f>IF(ISERROR(G507/K507),"",G507/K507)</f>
        <v/>
      </c>
      <c r="M507" s="154">
        <f t="shared" ref="M507:V507" si="235">SUM(M370,M428,M463,M479,M490,M506)</f>
        <v>0</v>
      </c>
      <c r="N507" s="154">
        <f t="shared" si="235"/>
        <v>0</v>
      </c>
      <c r="O507" s="154">
        <f t="shared" si="235"/>
        <v>0</v>
      </c>
      <c r="P507" s="154">
        <f t="shared" si="235"/>
        <v>0</v>
      </c>
      <c r="Q507" s="154">
        <f t="shared" si="235"/>
        <v>0</v>
      </c>
      <c r="R507" s="154">
        <f t="shared" si="235"/>
        <v>0</v>
      </c>
      <c r="S507" s="154">
        <f t="shared" si="235"/>
        <v>0</v>
      </c>
      <c r="T507" s="154">
        <f t="shared" si="235"/>
        <v>0</v>
      </c>
      <c r="U507" s="154">
        <f t="shared" si="235"/>
        <v>0</v>
      </c>
      <c r="V507" s="154">
        <f t="shared" si="235"/>
        <v>0</v>
      </c>
      <c r="W507" s="156" t="str">
        <f t="shared" ref="W507" si="236">IF(ISERROR(V507/G507),"",V507/G507)</f>
        <v/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583" t="s">
        <v>476</v>
      </c>
      <c r="B508" s="403" t="s">
        <v>247</v>
      </c>
      <c r="C508" s="586" t="s">
        <v>248</v>
      </c>
      <c r="D508" s="587"/>
      <c r="E508" s="588" t="s">
        <v>249</v>
      </c>
      <c r="F508" s="588"/>
      <c r="G508" s="591" t="s">
        <v>250</v>
      </c>
      <c r="H508" s="591"/>
      <c r="I508" s="588" t="s">
        <v>251</v>
      </c>
      <c r="J508" s="588"/>
      <c r="K508" s="588" t="s">
        <v>252</v>
      </c>
      <c r="L508" s="588"/>
      <c r="M508" s="588" t="s">
        <v>253</v>
      </c>
      <c r="N508" s="588"/>
      <c r="O508" s="588" t="s">
        <v>254</v>
      </c>
      <c r="P508" s="591" t="s">
        <v>255</v>
      </c>
      <c r="Q508" s="591"/>
      <c r="R508" s="591" t="s">
        <v>252</v>
      </c>
      <c r="S508" s="591"/>
      <c r="T508" s="591" t="s">
        <v>256</v>
      </c>
      <c r="U508" s="591"/>
      <c r="V508" s="591" t="s">
        <v>257</v>
      </c>
      <c r="W508" s="591"/>
      <c r="X508" s="591" t="s">
        <v>252</v>
      </c>
      <c r="Y508" s="591"/>
      <c r="Z508" s="591" t="s">
        <v>256</v>
      </c>
      <c r="AA508" s="591"/>
    </row>
    <row r="509" spans="1:27" ht="20.100000000000001" customHeight="1">
      <c r="A509" s="584"/>
      <c r="B509" s="403" t="s">
        <v>258</v>
      </c>
      <c r="C509" s="586">
        <v>0</v>
      </c>
      <c r="D509" s="587"/>
      <c r="E509" s="590">
        <f>C509*11</f>
        <v>0</v>
      </c>
      <c r="F509" s="590"/>
      <c r="G509" s="591">
        <v>0</v>
      </c>
      <c r="H509" s="591"/>
      <c r="I509" s="590">
        <f>G509*11</f>
        <v>0</v>
      </c>
      <c r="J509" s="590"/>
      <c r="K509" s="590">
        <f>E509-I509</f>
        <v>0</v>
      </c>
      <c r="L509" s="590"/>
      <c r="M509" s="592" t="str">
        <f>IF(ISERROR(K509/E509),"",K509/E509)</f>
        <v/>
      </c>
      <c r="N509" s="592"/>
      <c r="O509" s="588"/>
      <c r="P509" s="591" t="s">
        <v>201</v>
      </c>
      <c r="Q509" s="591"/>
      <c r="R509" s="593">
        <f>SUM(O370:U370)</f>
        <v>0</v>
      </c>
      <c r="S509" s="593"/>
      <c r="T509" s="594" t="str">
        <f t="array" ref="T509">IF(ISERROR(R509/R516),"",R509/R516)</f>
        <v/>
      </c>
      <c r="U509" s="594"/>
      <c r="V509" s="591" t="s">
        <v>259</v>
      </c>
      <c r="W509" s="591"/>
      <c r="X509" s="595">
        <f>SUM(O370,O428,O463,O479,O490,O506)</f>
        <v>0</v>
      </c>
      <c r="Y509" s="595"/>
      <c r="Z509" s="594" t="str">
        <f t="array" ref="Z509">IF(ISERROR(X509/X516),"",X509/X516)</f>
        <v/>
      </c>
      <c r="AA509" s="594"/>
    </row>
    <row r="510" spans="1:27" ht="20.100000000000001" customHeight="1">
      <c r="A510" s="584"/>
      <c r="B510" s="403" t="s">
        <v>260</v>
      </c>
      <c r="C510" s="586">
        <v>0</v>
      </c>
      <c r="D510" s="587"/>
      <c r="E510" s="590">
        <f>C510*11</f>
        <v>0</v>
      </c>
      <c r="F510" s="590"/>
      <c r="G510" s="591">
        <v>0</v>
      </c>
      <c r="H510" s="591"/>
      <c r="I510" s="590">
        <f>G510*11</f>
        <v>0</v>
      </c>
      <c r="J510" s="590"/>
      <c r="K510" s="590">
        <f>E510-I510</f>
        <v>0</v>
      </c>
      <c r="L510" s="590"/>
      <c r="M510" s="592" t="str">
        <f>IF(ISERROR(K510/E510),"",K510/E510)</f>
        <v/>
      </c>
      <c r="N510" s="592"/>
      <c r="O510" s="588"/>
      <c r="P510" s="591" t="s">
        <v>216</v>
      </c>
      <c r="Q510" s="591"/>
      <c r="R510" s="593">
        <f>SUM(O428:U428)</f>
        <v>0</v>
      </c>
      <c r="S510" s="593"/>
      <c r="T510" s="594" t="str">
        <f>IF(ISERROR(R510/R516),"",R510/R516)</f>
        <v/>
      </c>
      <c r="U510" s="594"/>
      <c r="V510" s="591" t="s">
        <v>261</v>
      </c>
      <c r="W510" s="591"/>
      <c r="X510" s="595">
        <f>SUM(O371,O429,O464,O480,O491,O507)</f>
        <v>0</v>
      </c>
      <c r="Y510" s="595"/>
      <c r="Z510" s="594" t="str">
        <f>IF(ISERROR(X510/X516),"",X510/X516)</f>
        <v/>
      </c>
      <c r="AA510" s="594"/>
    </row>
    <row r="511" spans="1:27" ht="20.100000000000001" customHeight="1">
      <c r="A511" s="584"/>
      <c r="B511" s="403" t="s">
        <v>262</v>
      </c>
      <c r="C511" s="586">
        <v>0</v>
      </c>
      <c r="D511" s="587"/>
      <c r="E511" s="590">
        <f>C511*11</f>
        <v>0</v>
      </c>
      <c r="F511" s="590"/>
      <c r="G511" s="591">
        <v>0</v>
      </c>
      <c r="H511" s="591"/>
      <c r="I511" s="590">
        <f>G511*11</f>
        <v>0</v>
      </c>
      <c r="J511" s="590"/>
      <c r="K511" s="590">
        <f>E511-I511</f>
        <v>0</v>
      </c>
      <c r="L511" s="590"/>
      <c r="M511" s="592" t="str">
        <f>IF(ISERROR(K511/E511),"",K511/E511)</f>
        <v/>
      </c>
      <c r="N511" s="592"/>
      <c r="O511" s="588"/>
      <c r="P511" s="591" t="s">
        <v>224</v>
      </c>
      <c r="Q511" s="591"/>
      <c r="R511" s="593">
        <f>SUM(O463:U463)</f>
        <v>0</v>
      </c>
      <c r="S511" s="593"/>
      <c r="T511" s="594" t="str">
        <f>IF(ISERROR(R511/R516),"",R511/R516)</f>
        <v/>
      </c>
      <c r="U511" s="594"/>
      <c r="V511" s="591" t="s">
        <v>263</v>
      </c>
      <c r="W511" s="591"/>
      <c r="X511" s="595">
        <f>SUM(O373,O430,O465,O481,O492,O508)</f>
        <v>0</v>
      </c>
      <c r="Y511" s="595"/>
      <c r="Z511" s="594" t="str">
        <f>IF(ISERROR(X511/X516),"",X511/X516)</f>
        <v/>
      </c>
      <c r="AA511" s="594"/>
    </row>
    <row r="512" spans="1:27" ht="20.100000000000001" customHeight="1">
      <c r="A512" s="584"/>
      <c r="B512" s="403" t="s">
        <v>264</v>
      </c>
      <c r="C512" s="586">
        <v>1</v>
      </c>
      <c r="D512" s="587"/>
      <c r="E512" s="590">
        <f>C512*11</f>
        <v>11</v>
      </c>
      <c r="F512" s="590"/>
      <c r="G512" s="591">
        <v>1</v>
      </c>
      <c r="H512" s="591"/>
      <c r="I512" s="590">
        <f>G512*11</f>
        <v>11</v>
      </c>
      <c r="J512" s="590"/>
      <c r="K512" s="590">
        <f>E512-I512</f>
        <v>0</v>
      </c>
      <c r="L512" s="590"/>
      <c r="M512" s="592">
        <f>IF(ISERROR(K512/E512),"",K512/E512)</f>
        <v>0</v>
      </c>
      <c r="N512" s="592"/>
      <c r="O512" s="588"/>
      <c r="P512" s="591" t="s">
        <v>231</v>
      </c>
      <c r="Q512" s="591"/>
      <c r="R512" s="593">
        <f>SUM(O479:U479)</f>
        <v>0</v>
      </c>
      <c r="S512" s="593"/>
      <c r="T512" s="594" t="str">
        <f>IF(ISERROR(R512/R516),"",R512/R516)</f>
        <v/>
      </c>
      <c r="U512" s="594"/>
      <c r="V512" s="591" t="s">
        <v>265</v>
      </c>
      <c r="W512" s="591"/>
      <c r="X512" s="595">
        <f>SUM(O374,O431,O466,O482,O493,O509)</f>
        <v>0</v>
      </c>
      <c r="Y512" s="595"/>
      <c r="Z512" s="594" t="str">
        <f>IF(ISERROR(X512/X516),"",X512/X516)</f>
        <v/>
      </c>
      <c r="AA512" s="594"/>
    </row>
    <row r="513" spans="1:27" ht="20.100000000000001" customHeight="1">
      <c r="A513" s="585"/>
      <c r="B513" s="403" t="s">
        <v>266</v>
      </c>
      <c r="C513" s="596">
        <f>SUM(C509:D512)</f>
        <v>1</v>
      </c>
      <c r="D513" s="597"/>
      <c r="E513" s="590">
        <f>SUM(E509:F512)</f>
        <v>11</v>
      </c>
      <c r="F513" s="590"/>
      <c r="G513" s="591">
        <f>SUM(G509:H512)</f>
        <v>1</v>
      </c>
      <c r="H513" s="591"/>
      <c r="I513" s="590">
        <f>SUM(I509:J512)</f>
        <v>11</v>
      </c>
      <c r="J513" s="590"/>
      <c r="K513" s="590">
        <f>SUM(K509:L512)</f>
        <v>0</v>
      </c>
      <c r="L513" s="590"/>
      <c r="M513" s="592">
        <f>IF(ISERROR(K513/E513),"",K513/E513)</f>
        <v>0</v>
      </c>
      <c r="N513" s="592"/>
      <c r="O513" s="588"/>
      <c r="P513" s="591" t="s">
        <v>234</v>
      </c>
      <c r="Q513" s="591"/>
      <c r="R513" s="593">
        <f>SUM(O490:U490)</f>
        <v>0</v>
      </c>
      <c r="S513" s="593"/>
      <c r="T513" s="594" t="str">
        <f>IF(ISERROR(R513/R516),"",R513/R516)</f>
        <v/>
      </c>
      <c r="U513" s="594"/>
      <c r="V513" s="591" t="s">
        <v>267</v>
      </c>
      <c r="W513" s="591"/>
      <c r="X513" s="595">
        <f>SUM(O375,O432,O467,O483,O494,O510)</f>
        <v>0</v>
      </c>
      <c r="Y513" s="595"/>
      <c r="Z513" s="594" t="str">
        <f>IF(ISERROR(X513/X516),"",X513/X516)</f>
        <v/>
      </c>
      <c r="AA513" s="594"/>
    </row>
    <row r="514" spans="1:27" ht="20.100000000000001" customHeight="1">
      <c r="A514" s="307" t="s">
        <v>477</v>
      </c>
      <c r="B514" s="403">
        <f>G507</f>
        <v>0</v>
      </c>
      <c r="C514" s="598" t="s">
        <v>269</v>
      </c>
      <c r="D514" s="599"/>
      <c r="E514" s="591">
        <f>H507</f>
        <v>0</v>
      </c>
      <c r="F514" s="591"/>
      <c r="G514" s="591" t="s">
        <v>270</v>
      </c>
      <c r="H514" s="591"/>
      <c r="I514" s="600" t="str">
        <f>L507</f>
        <v/>
      </c>
      <c r="J514" s="600"/>
      <c r="K514" s="588" t="s">
        <v>271</v>
      </c>
      <c r="L514" s="588"/>
      <c r="M514" s="600" t="str">
        <f>J507</f>
        <v/>
      </c>
      <c r="N514" s="600"/>
      <c r="O514" s="588"/>
      <c r="P514" s="591" t="s">
        <v>244</v>
      </c>
      <c r="Q514" s="591"/>
      <c r="R514" s="593">
        <f>SUM(O506:U506)</f>
        <v>0</v>
      </c>
      <c r="S514" s="593"/>
      <c r="T514" s="594" t="str">
        <f>IF(ISERROR(R514/R516),"",R514/R516)</f>
        <v/>
      </c>
      <c r="U514" s="594"/>
      <c r="V514" s="591" t="s">
        <v>272</v>
      </c>
      <c r="W514" s="591"/>
      <c r="X514" s="595">
        <f>SUM(O376,O433,O468,O484,O495,O511)</f>
        <v>0</v>
      </c>
      <c r="Y514" s="595"/>
      <c r="Z514" s="594" t="str">
        <f>IF(ISERROR(X514/X516),"",X514/X516)</f>
        <v/>
      </c>
      <c r="AA514" s="594"/>
    </row>
    <row r="515" spans="1:27" ht="20.100000000000001" customHeight="1">
      <c r="A515" s="308" t="s">
        <v>478</v>
      </c>
      <c r="B515" s="403">
        <f>I507+C513</f>
        <v>1</v>
      </c>
      <c r="C515" s="601" t="s">
        <v>251</v>
      </c>
      <c r="D515" s="602"/>
      <c r="E515" s="603">
        <f>K507+I513</f>
        <v>11</v>
      </c>
      <c r="F515" s="603"/>
      <c r="G515" s="591" t="s">
        <v>274</v>
      </c>
      <c r="H515" s="591"/>
      <c r="I515" s="600">
        <f>B515-E515</f>
        <v>-10</v>
      </c>
      <c r="J515" s="600"/>
      <c r="K515" s="588" t="s">
        <v>275</v>
      </c>
      <c r="L515" s="588"/>
      <c r="M515" s="592">
        <f>IF(ISERROR(I515/E515),"",I515/E515)</f>
        <v>-0.90909090909090906</v>
      </c>
      <c r="N515" s="592"/>
      <c r="O515" s="588"/>
      <c r="P515" s="591" t="s">
        <v>245</v>
      </c>
      <c r="Q515" s="591"/>
      <c r="R515" s="593"/>
      <c r="S515" s="593"/>
      <c r="T515" s="594" t="str">
        <f>IF(ISERROR(R515/R516),"",R515/R516)</f>
        <v/>
      </c>
      <c r="U515" s="594"/>
      <c r="V515" s="591" t="s">
        <v>264</v>
      </c>
      <c r="W515" s="591"/>
      <c r="X515" s="595">
        <f>SUM(O377,O434,O469,O489,O496,O512)</f>
        <v>0</v>
      </c>
      <c r="Y515" s="595"/>
      <c r="Z515" s="594" t="str">
        <f>IF(ISERROR(X515/X516),"",X515/X516)</f>
        <v/>
      </c>
      <c r="AA515" s="594"/>
    </row>
    <row r="516" spans="1:27" ht="20.100000000000001" customHeight="1">
      <c r="A516" s="308" t="s">
        <v>479</v>
      </c>
      <c r="B516" s="403">
        <f>N507</f>
        <v>0</v>
      </c>
      <c r="C516" s="601" t="s">
        <v>277</v>
      </c>
      <c r="D516" s="602"/>
      <c r="E516" s="594">
        <f>IF(ISERROR(B516/B515),"",B516/B515)</f>
        <v>0</v>
      </c>
      <c r="F516" s="594"/>
      <c r="G516" s="591" t="s">
        <v>278</v>
      </c>
      <c r="H516" s="591"/>
      <c r="I516" s="588">
        <f>V507</f>
        <v>0</v>
      </c>
      <c r="J516" s="588"/>
      <c r="K516" s="588" t="s">
        <v>279</v>
      </c>
      <c r="L516" s="588"/>
      <c r="M516" s="592" t="str">
        <f t="array" ref="M516">IF(ISERROR(I516/B514),"",I516/B514)</f>
        <v/>
      </c>
      <c r="N516" s="592"/>
      <c r="O516" s="588"/>
      <c r="P516" s="591" t="s">
        <v>266</v>
      </c>
      <c r="Q516" s="591"/>
      <c r="R516" s="593">
        <f>SUM(R509:S515)</f>
        <v>0</v>
      </c>
      <c r="S516" s="593"/>
      <c r="T516" s="594"/>
      <c r="U516" s="594"/>
      <c r="V516" s="591" t="s">
        <v>266</v>
      </c>
      <c r="W516" s="591"/>
      <c r="X516" s="595">
        <f>SUM(X509:Y515)</f>
        <v>0</v>
      </c>
      <c r="Y516" s="595"/>
      <c r="Z516" s="594"/>
      <c r="AA516" s="594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630" t="str">
        <f>IF(ISERROR(#REF!/#REF!),"",#REF!/#REF!)</f>
        <v/>
      </c>
      <c r="H517" s="630"/>
      <c r="I517" s="630"/>
      <c r="J517" s="125"/>
      <c r="K517" s="160"/>
      <c r="L517" s="122"/>
      <c r="M517" s="122"/>
      <c r="N517" s="630" t="str">
        <f>IF(ISERROR(G517/#REF!),"",G517/#REF!)</f>
        <v/>
      </c>
      <c r="O517" s="630"/>
      <c r="P517" s="630"/>
      <c r="Q517" s="630"/>
      <c r="R517" s="630"/>
      <c r="S517" s="405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6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633" t="s">
        <v>268</v>
      </c>
      <c r="B519" s="633"/>
      <c r="C519" s="586">
        <f>SUM(B171,B342,B514)</f>
        <v>3570</v>
      </c>
      <c r="D519" s="587"/>
      <c r="E519" s="633" t="s">
        <v>269</v>
      </c>
      <c r="F519" s="633"/>
      <c r="G519" s="603">
        <f>SUM(E171,E342,E514)</f>
        <v>17952.689999999999</v>
      </c>
      <c r="H519" s="603"/>
      <c r="I519" s="591" t="s">
        <v>270</v>
      </c>
      <c r="J519" s="633"/>
      <c r="K519" s="586">
        <f>IF(ISERROR(C519/G520),"",C519/G520)</f>
        <v>17.253873691913768</v>
      </c>
      <c r="L519" s="587"/>
      <c r="M519" s="591" t="s">
        <v>271</v>
      </c>
      <c r="N519" s="591"/>
      <c r="O519" s="628">
        <f t="array" ref="O519">IF(ISERROR(C519/C520),"",C519/C520)</f>
        <v>16.527777777777779</v>
      </c>
      <c r="P519" s="629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591" t="s">
        <v>273</v>
      </c>
      <c r="B520" s="591"/>
      <c r="C520" s="586">
        <f>SUM(B172,B343,B515)</f>
        <v>216</v>
      </c>
      <c r="D520" s="587"/>
      <c r="E520" s="591" t="s">
        <v>251</v>
      </c>
      <c r="F520" s="591"/>
      <c r="G520" s="603">
        <f>SUM(E172,E343,E515)</f>
        <v>206.91005763378936</v>
      </c>
      <c r="H520" s="603"/>
      <c r="I520" s="601" t="s">
        <v>274</v>
      </c>
      <c r="J520" s="602"/>
      <c r="K520" s="598">
        <f>C520-G520</f>
        <v>9.0899423662106358</v>
      </c>
      <c r="L520" s="599"/>
      <c r="M520" s="598" t="s">
        <v>275</v>
      </c>
      <c r="N520" s="599"/>
      <c r="O520" s="631">
        <f>IF(ISERROR(K520/C520),"",K520/C520)</f>
        <v>4.2083066510234426E-2</v>
      </c>
      <c r="P520" s="632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601" t="s">
        <v>276</v>
      </c>
      <c r="B521" s="602"/>
      <c r="C521" s="586">
        <f>SUM(B173,B344,B516)</f>
        <v>0</v>
      </c>
      <c r="D521" s="587"/>
      <c r="E521" s="601" t="s">
        <v>277</v>
      </c>
      <c r="F521" s="602"/>
      <c r="G521" s="594">
        <f>IF(ISERROR(C521/C520),"",C521/C520)</f>
        <v>0</v>
      </c>
      <c r="H521" s="594"/>
      <c r="I521" s="591" t="s">
        <v>278</v>
      </c>
      <c r="J521" s="633"/>
      <c r="K521" s="603">
        <f>SUM(I173,I344,I516)</f>
        <v>0</v>
      </c>
      <c r="L521" s="603"/>
      <c r="M521" s="633" t="s">
        <v>279</v>
      </c>
      <c r="N521" s="633"/>
      <c r="O521" s="631">
        <f t="array" ref="O521">IF(ISERROR(K521/C519),"",K521/C519)</f>
        <v>0</v>
      </c>
      <c r="P521" s="632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347"/>
      <c r="H522" s="168"/>
      <c r="I522" s="405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601" t="s">
        <v>298</v>
      </c>
      <c r="B523" s="602"/>
      <c r="C523" s="601" t="s">
        <v>299</v>
      </c>
      <c r="D523" s="602"/>
      <c r="E523" s="601" t="s">
        <v>256</v>
      </c>
      <c r="F523" s="602"/>
      <c r="G523" s="634" t="s">
        <v>254</v>
      </c>
      <c r="H523" s="635"/>
      <c r="I523" s="601" t="s">
        <v>255</v>
      </c>
      <c r="J523" s="599"/>
      <c r="K523" s="601" t="s">
        <v>300</v>
      </c>
      <c r="L523" s="602"/>
      <c r="M523" s="601" t="s">
        <v>256</v>
      </c>
      <c r="N523" s="602"/>
      <c r="O523" s="591" t="s">
        <v>257</v>
      </c>
      <c r="P523" s="591"/>
      <c r="Q523" s="601" t="s">
        <v>300</v>
      </c>
      <c r="R523" s="602"/>
      <c r="S523" s="601" t="s">
        <v>256</v>
      </c>
      <c r="T523" s="602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640" t="s">
        <v>201</v>
      </c>
      <c r="B524" s="602"/>
      <c r="C524" s="601">
        <f>SUM(G28,G199,G370)</f>
        <v>1119</v>
      </c>
      <c r="D524" s="602"/>
      <c r="E524" s="641">
        <f>IF(ISERROR(C524/C530),"",C524/C530)</f>
        <v>0.3134453781512605</v>
      </c>
      <c r="F524" s="642"/>
      <c r="G524" s="636"/>
      <c r="H524" s="637"/>
      <c r="I524" s="643" t="s">
        <v>301</v>
      </c>
      <c r="J524" s="644"/>
      <c r="K524" s="598">
        <f t="shared" ref="K524:K529" si="237">SUM(R166,U337,U509)</f>
        <v>0</v>
      </c>
      <c r="L524" s="599"/>
      <c r="M524" s="641" t="str">
        <f t="array" ref="M524">IF(ISERROR(K524/K530),"",K524/K530)</f>
        <v/>
      </c>
      <c r="N524" s="642"/>
      <c r="O524" s="591" t="s">
        <v>259</v>
      </c>
      <c r="P524" s="591"/>
      <c r="Q524" s="628">
        <f t="shared" ref="Q524:Q529" si="238">SUM(X166,AA337,AA509)</f>
        <v>0</v>
      </c>
      <c r="R524" s="629"/>
      <c r="S524" s="641" t="str">
        <f t="array" ref="S524">IF(ISERROR(Q524/Q530),"",Q524/Q530)</f>
        <v/>
      </c>
      <c r="T524" s="642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640" t="s">
        <v>216</v>
      </c>
      <c r="B525" s="602"/>
      <c r="C525" s="601">
        <f>SUM(G86,G257,G428)</f>
        <v>1833</v>
      </c>
      <c r="D525" s="602"/>
      <c r="E525" s="641">
        <f>IF(ISERROR(C525/C530),"",C525/C530)</f>
        <v>0.51344537815126046</v>
      </c>
      <c r="F525" s="642"/>
      <c r="G525" s="636"/>
      <c r="H525" s="637"/>
      <c r="I525" s="643" t="s">
        <v>302</v>
      </c>
      <c r="J525" s="644"/>
      <c r="K525" s="598">
        <f t="shared" si="237"/>
        <v>0</v>
      </c>
      <c r="L525" s="599"/>
      <c r="M525" s="641" t="str">
        <f>IF(ISERROR(K525/K530),"",K525/K530)</f>
        <v/>
      </c>
      <c r="N525" s="642"/>
      <c r="O525" s="591" t="s">
        <v>261</v>
      </c>
      <c r="P525" s="591"/>
      <c r="Q525" s="628">
        <f t="shared" si="238"/>
        <v>0</v>
      </c>
      <c r="R525" s="629"/>
      <c r="S525" s="641" t="str">
        <f>IF(ISERROR(Q525/Q530),"",Q525/Q530)</f>
        <v/>
      </c>
      <c r="T525" s="642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640" t="s">
        <v>224</v>
      </c>
      <c r="B526" s="602"/>
      <c r="C526" s="601">
        <f>SUM(G121,G292,G463)</f>
        <v>258</v>
      </c>
      <c r="D526" s="602"/>
      <c r="E526" s="641">
        <f>IF(ISERROR(C526/C530),"",C526/C530)</f>
        <v>7.2268907563025217E-2</v>
      </c>
      <c r="F526" s="642"/>
      <c r="G526" s="636"/>
      <c r="H526" s="637"/>
      <c r="I526" s="643" t="s">
        <v>303</v>
      </c>
      <c r="J526" s="644"/>
      <c r="K526" s="598">
        <f t="shared" si="237"/>
        <v>0</v>
      </c>
      <c r="L526" s="599"/>
      <c r="M526" s="641" t="str">
        <f>IF(ISERROR(K526/K530),"",K526/K530)</f>
        <v/>
      </c>
      <c r="N526" s="642"/>
      <c r="O526" s="591" t="s">
        <v>263</v>
      </c>
      <c r="P526" s="591"/>
      <c r="Q526" s="628">
        <f t="shared" si="238"/>
        <v>0</v>
      </c>
      <c r="R526" s="629"/>
      <c r="S526" s="641" t="str">
        <f>IF(ISERROR(Q526/Q530),"",Q526/Q530)</f>
        <v/>
      </c>
      <c r="T526" s="642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640" t="s">
        <v>231</v>
      </c>
      <c r="B527" s="602"/>
      <c r="C527" s="601">
        <f>SUM(G137,G308,G479)</f>
        <v>360</v>
      </c>
      <c r="D527" s="602"/>
      <c r="E527" s="641">
        <f>IF(ISERROR(C527/C530),"",C527/C530)</f>
        <v>0.10084033613445378</v>
      </c>
      <c r="F527" s="642"/>
      <c r="G527" s="636"/>
      <c r="H527" s="637"/>
      <c r="I527" s="643" t="s">
        <v>304</v>
      </c>
      <c r="J527" s="644"/>
      <c r="K527" s="598">
        <f t="shared" si="237"/>
        <v>0</v>
      </c>
      <c r="L527" s="599"/>
      <c r="M527" s="641" t="str">
        <f>IF(ISERROR(K527/K530),"",K527/K530)</f>
        <v/>
      </c>
      <c r="N527" s="642"/>
      <c r="O527" s="591" t="s">
        <v>305</v>
      </c>
      <c r="P527" s="591"/>
      <c r="Q527" s="628">
        <f t="shared" si="238"/>
        <v>0</v>
      </c>
      <c r="R527" s="629"/>
      <c r="S527" s="641" t="str">
        <f>IF(ISERROR(Q527/Q530),"",Q527/Q530)</f>
        <v/>
      </c>
      <c r="T527" s="642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640" t="s">
        <v>234</v>
      </c>
      <c r="B528" s="602"/>
      <c r="C528" s="601">
        <f>SUM(G148,G319,G490)</f>
        <v>0</v>
      </c>
      <c r="D528" s="602"/>
      <c r="E528" s="641">
        <f>IF(ISERROR(C528/C530),"",C528/C530)</f>
        <v>0</v>
      </c>
      <c r="F528" s="642"/>
      <c r="G528" s="636"/>
      <c r="H528" s="637"/>
      <c r="I528" s="643" t="s">
        <v>306</v>
      </c>
      <c r="J528" s="644"/>
      <c r="K528" s="598">
        <f t="shared" si="237"/>
        <v>0</v>
      </c>
      <c r="L528" s="599"/>
      <c r="M528" s="641" t="str">
        <f>IF(ISERROR(K528/K530),"",K528/K530)</f>
        <v/>
      </c>
      <c r="N528" s="642"/>
      <c r="O528" s="591" t="s">
        <v>267</v>
      </c>
      <c r="P528" s="591"/>
      <c r="Q528" s="628">
        <f t="shared" si="238"/>
        <v>0</v>
      </c>
      <c r="R528" s="629"/>
      <c r="S528" s="641" t="str">
        <f>IF(ISERROR(Q528/Q530),"",Q528/Q530)</f>
        <v/>
      </c>
      <c r="T528" s="642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640" t="s">
        <v>244</v>
      </c>
      <c r="B529" s="602"/>
      <c r="C529" s="601">
        <f>SUM(G163,G334,G506)</f>
        <v>0</v>
      </c>
      <c r="D529" s="602"/>
      <c r="E529" s="641">
        <f>IF(ISERROR(C529/C530),"",C529/C530)</f>
        <v>0</v>
      </c>
      <c r="F529" s="642"/>
      <c r="G529" s="636"/>
      <c r="H529" s="637"/>
      <c r="I529" s="643" t="s">
        <v>307</v>
      </c>
      <c r="J529" s="644"/>
      <c r="K529" s="598">
        <f t="shared" si="237"/>
        <v>0</v>
      </c>
      <c r="L529" s="599"/>
      <c r="M529" s="641" t="str">
        <f>IF(ISERROR(K529/K530),"",K529/K530)</f>
        <v/>
      </c>
      <c r="N529" s="642"/>
      <c r="O529" s="591" t="s">
        <v>272</v>
      </c>
      <c r="P529" s="591"/>
      <c r="Q529" s="628">
        <f t="shared" si="238"/>
        <v>0</v>
      </c>
      <c r="R529" s="629"/>
      <c r="S529" s="641" t="str">
        <f>IF(ISERROR(Q529/Q530),"",Q529/Q530)</f>
        <v/>
      </c>
      <c r="T529" s="642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601" t="s">
        <v>266</v>
      </c>
      <c r="B530" s="602"/>
      <c r="C530" s="601">
        <f>SUM(C524:C529)</f>
        <v>3570</v>
      </c>
      <c r="D530" s="602"/>
      <c r="E530" s="641">
        <f>SUM(E524:F529)</f>
        <v>0.99999999999999989</v>
      </c>
      <c r="F530" s="642"/>
      <c r="G530" s="638"/>
      <c r="H530" s="639"/>
      <c r="I530" s="601" t="s">
        <v>266</v>
      </c>
      <c r="J530" s="599"/>
      <c r="K530" s="598">
        <f>SUM(R173,U344,U516)</f>
        <v>0</v>
      </c>
      <c r="L530" s="599"/>
      <c r="M530" s="641"/>
      <c r="N530" s="642"/>
      <c r="O530" s="591" t="s">
        <v>266</v>
      </c>
      <c r="P530" s="591"/>
      <c r="Q530" s="628">
        <f>SUM(Q524:R529)</f>
        <v>0</v>
      </c>
      <c r="R530" s="629"/>
      <c r="S530" s="641">
        <f>SUM(S524:T529)</f>
        <v>0</v>
      </c>
      <c r="T530" s="642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172"/>
      <c r="D531" s="172"/>
      <c r="E531" s="172"/>
      <c r="F531" s="172"/>
      <c r="G531" s="173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643" t="s">
        <v>308</v>
      </c>
      <c r="B532" s="597"/>
      <c r="C532" s="406" t="s">
        <v>309</v>
      </c>
      <c r="D532" s="406" t="s">
        <v>310</v>
      </c>
      <c r="E532" s="406" t="s">
        <v>311</v>
      </c>
      <c r="F532" s="406" t="s">
        <v>312</v>
      </c>
      <c r="G532" s="348" t="s">
        <v>313</v>
      </c>
      <c r="H532" s="129" t="s">
        <v>314</v>
      </c>
      <c r="I532" s="129" t="s">
        <v>315</v>
      </c>
      <c r="J532" s="129" t="s">
        <v>316</v>
      </c>
      <c r="K532" s="409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401" t="s">
        <v>322</v>
      </c>
      <c r="Q532" s="129" t="s">
        <v>323</v>
      </c>
      <c r="R532" s="109" t="s">
        <v>324</v>
      </c>
      <c r="S532" s="406" t="s">
        <v>325</v>
      </c>
      <c r="T532" s="406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645" t="s">
        <v>327</v>
      </c>
      <c r="B533" s="646"/>
      <c r="C533" s="106">
        <f>D533+E533+F533-G533-O533-P533</f>
        <v>38</v>
      </c>
      <c r="D533" s="106">
        <v>38</v>
      </c>
      <c r="E533" s="106"/>
      <c r="F533" s="106"/>
      <c r="G533" s="107"/>
      <c r="H533" s="106"/>
      <c r="I533" s="106"/>
      <c r="J533" s="106">
        <f>C533-H533-I533</f>
        <v>38</v>
      </c>
      <c r="K533" s="106"/>
      <c r="L533" s="106"/>
      <c r="M533" s="106"/>
      <c r="N533" s="106"/>
      <c r="O533" s="106"/>
      <c r="P533" s="108"/>
      <c r="Q533" s="106">
        <f>J533-K533-L533</f>
        <v>38</v>
      </c>
      <c r="R533" s="109">
        <f>Q533*11-M533-N533</f>
        <v>418</v>
      </c>
      <c r="S533" s="407">
        <f t="array" ref="S533">IF(ISERROR(Q533/J533),"",Q533/J533)</f>
        <v>1</v>
      </c>
      <c r="T533" s="407">
        <f t="array" ref="T533">IF(ISERROR((O533:P533)/C533),"",SUM(O533:P533)/C533)</f>
        <v>0</v>
      </c>
      <c r="X533" s="116"/>
      <c r="Y533" s="116"/>
      <c r="Z533" s="159"/>
      <c r="AA533" s="159"/>
    </row>
    <row r="534" spans="1:27" ht="20.100000000000001" customHeight="1">
      <c r="A534" s="645" t="s">
        <v>328</v>
      </c>
      <c r="B534" s="646"/>
      <c r="C534" s="106">
        <f>D534+E534+F534-G534-O534-P534</f>
        <v>45</v>
      </c>
      <c r="D534" s="110">
        <v>45</v>
      </c>
      <c r="E534" s="110"/>
      <c r="F534" s="110"/>
      <c r="G534" s="107"/>
      <c r="H534" s="106"/>
      <c r="I534" s="106"/>
      <c r="J534" s="106">
        <f>C534-H534-I534</f>
        <v>45</v>
      </c>
      <c r="K534" s="106"/>
      <c r="L534" s="106"/>
      <c r="M534" s="106"/>
      <c r="N534" s="106"/>
      <c r="O534" s="110"/>
      <c r="P534" s="111"/>
      <c r="Q534" s="106">
        <f>J534-K534-L534</f>
        <v>45</v>
      </c>
      <c r="R534" s="109">
        <f>Q534*11-M534-N534</f>
        <v>495</v>
      </c>
      <c r="S534" s="407">
        <f t="array" ref="S534">IF(ISERROR(Q534/J534),"",Q534/J534)</f>
        <v>1</v>
      </c>
      <c r="T534" s="407">
        <f t="array" ref="T534">IF(ISERROR((O534:P534)/C534),"",SUM(O534:P534)/C534)</f>
        <v>0</v>
      </c>
      <c r="X534" s="116"/>
      <c r="Y534" s="116"/>
      <c r="Z534" s="159"/>
      <c r="AA534" s="159"/>
    </row>
    <row r="535" spans="1:27" ht="20.100000000000001" customHeight="1">
      <c r="A535" s="645" t="s">
        <v>329</v>
      </c>
      <c r="B535" s="646"/>
      <c r="C535" s="106">
        <f>D535+E535+F535-G535-O535-P535</f>
        <v>10</v>
      </c>
      <c r="D535" s="110">
        <v>10</v>
      </c>
      <c r="E535" s="110"/>
      <c r="F535" s="110"/>
      <c r="G535" s="107"/>
      <c r="H535" s="106"/>
      <c r="I535" s="106"/>
      <c r="J535" s="106">
        <f>C535-H535-I535</f>
        <v>10</v>
      </c>
      <c r="K535" s="106"/>
      <c r="L535" s="106"/>
      <c r="M535" s="106"/>
      <c r="N535" s="106"/>
      <c r="O535" s="110"/>
      <c r="P535" s="111"/>
      <c r="Q535" s="106">
        <f>J535-K535-L535</f>
        <v>10</v>
      </c>
      <c r="R535" s="109">
        <f>Q535*11-M535-N535</f>
        <v>110</v>
      </c>
      <c r="S535" s="407">
        <f t="array" ref="S535">IF(ISERROR(Q535/J535),"",Q535/J535)</f>
        <v>1</v>
      </c>
      <c r="T535" s="407">
        <f t="array" ref="T535">IF(ISERROR((O535:P535)/C535),"",SUM(O535:P535)/C535)</f>
        <v>0</v>
      </c>
      <c r="V535" s="179"/>
      <c r="X535" s="116"/>
      <c r="Y535" s="116"/>
      <c r="Z535" s="159"/>
      <c r="AA535" s="159"/>
    </row>
    <row r="536" spans="1:27" ht="20.100000000000001" customHeight="1">
      <c r="A536" s="647" t="s">
        <v>330</v>
      </c>
      <c r="B536" s="648"/>
      <c r="C536" s="112">
        <f>SUM(C533:C535)</f>
        <v>93</v>
      </c>
      <c r="D536" s="112">
        <f t="shared" ref="D536:N536" si="239">SUM(D533:D535)</f>
        <v>93</v>
      </c>
      <c r="E536" s="112">
        <f t="shared" si="239"/>
        <v>0</v>
      </c>
      <c r="F536" s="112">
        <f t="shared" si="239"/>
        <v>0</v>
      </c>
      <c r="G536" s="113">
        <f t="shared" si="239"/>
        <v>0</v>
      </c>
      <c r="H536" s="112">
        <f t="shared" si="239"/>
        <v>0</v>
      </c>
      <c r="I536" s="112">
        <f t="shared" si="239"/>
        <v>0</v>
      </c>
      <c r="J536" s="112">
        <f t="shared" si="239"/>
        <v>93</v>
      </c>
      <c r="K536" s="112">
        <f t="shared" si="239"/>
        <v>0</v>
      </c>
      <c r="L536" s="112">
        <f t="shared" si="239"/>
        <v>0</v>
      </c>
      <c r="M536" s="112">
        <f t="shared" si="239"/>
        <v>0</v>
      </c>
      <c r="N536" s="112">
        <f t="shared" si="239"/>
        <v>0</v>
      </c>
      <c r="O536" s="112">
        <f>SUM(O533:O535)</f>
        <v>0</v>
      </c>
      <c r="P536" s="112">
        <f>SUM(P533:P535)</f>
        <v>0</v>
      </c>
      <c r="Q536" s="112">
        <f>SUM(Q533:Q535)</f>
        <v>93</v>
      </c>
      <c r="R536" s="114">
        <f>SUM(R533:R535)</f>
        <v>1023</v>
      </c>
      <c r="S536" s="115">
        <f t="array" ref="S536">IF(ISERROR(Q536/J536),"",Q536/J536)</f>
        <v>1</v>
      </c>
      <c r="T536" s="115">
        <f t="array" ref="T536">IF(ISERROR((O536:P536)/C536),"",SUM(O536:P536)/C536)</f>
        <v>0</v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7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7"/>
      <c r="H538" s="116"/>
      <c r="I538" s="118" t="s">
        <v>332</v>
      </c>
      <c r="J538" s="198" t="s">
        <v>447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54" spans="2:2">
      <c r="B554" s="121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137" activePane="bottomRight" state="frozen"/>
      <selection activeCell="E487" sqref="E487"/>
      <selection pane="topRight" activeCell="E487" sqref="E487"/>
      <selection pane="bottomLeft" activeCell="E487" sqref="E487"/>
      <selection pane="bottomRight" activeCell="G150" sqref="G150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55" t="s">
        <v>413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55"/>
      <c r="M1" s="555"/>
      <c r="N1" s="555"/>
      <c r="O1" s="555"/>
      <c r="P1" s="555"/>
      <c r="Q1" s="555"/>
      <c r="R1" s="555"/>
      <c r="S1" s="555"/>
      <c r="T1" s="555"/>
      <c r="U1" s="555"/>
      <c r="V1" s="555"/>
      <c r="W1" s="555"/>
      <c r="X1" s="555"/>
      <c r="Y1" s="555"/>
      <c r="Z1" s="555"/>
      <c r="AA1" s="555"/>
    </row>
    <row r="2" spans="1:27" ht="18.75">
      <c r="A2" s="556"/>
      <c r="B2" s="556"/>
      <c r="C2" s="556"/>
      <c r="D2" s="556"/>
      <c r="E2" s="556"/>
      <c r="F2" s="556"/>
      <c r="G2" s="556"/>
      <c r="H2" s="556"/>
      <c r="I2" s="556"/>
      <c r="J2" s="556"/>
      <c r="K2" s="556"/>
      <c r="L2" s="556"/>
      <c r="M2" s="556"/>
      <c r="N2" s="556"/>
      <c r="O2" s="556"/>
      <c r="P2" s="556"/>
      <c r="Q2" s="556"/>
      <c r="R2" s="556"/>
      <c r="S2" s="556"/>
      <c r="T2" s="556"/>
      <c r="U2" s="556"/>
      <c r="V2" s="556"/>
      <c r="W2" s="556"/>
      <c r="X2" s="556"/>
      <c r="Y2" s="556"/>
      <c r="Z2" s="556"/>
      <c r="AA2" s="556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57" t="s">
        <v>12</v>
      </c>
      <c r="B4" s="557" t="s">
        <v>25</v>
      </c>
      <c r="C4" s="557" t="s">
        <v>26</v>
      </c>
      <c r="D4" s="557" t="s">
        <v>27</v>
      </c>
      <c r="E4" s="560" t="s">
        <v>28</v>
      </c>
      <c r="F4" s="563" t="s">
        <v>29</v>
      </c>
      <c r="G4" s="566" t="s">
        <v>30</v>
      </c>
      <c r="H4" s="566"/>
      <c r="I4" s="557" t="s">
        <v>31</v>
      </c>
      <c r="J4" s="569" t="s">
        <v>32</v>
      </c>
      <c r="K4" s="572" t="s">
        <v>33</v>
      </c>
      <c r="L4" s="557" t="s">
        <v>34</v>
      </c>
      <c r="M4" s="575" t="s">
        <v>35</v>
      </c>
      <c r="N4" s="577" t="s">
        <v>36</v>
      </c>
      <c r="O4" s="566" t="s">
        <v>37</v>
      </c>
      <c r="P4" s="566"/>
      <c r="Q4" s="566"/>
      <c r="R4" s="566"/>
      <c r="S4" s="566"/>
      <c r="T4" s="566"/>
      <c r="U4" s="566"/>
      <c r="V4" s="566" t="s">
        <v>38</v>
      </c>
      <c r="W4" s="577" t="s">
        <v>39</v>
      </c>
      <c r="X4" s="566" t="s">
        <v>40</v>
      </c>
      <c r="Y4" s="566"/>
      <c r="Z4" s="566"/>
      <c r="AA4" s="566"/>
    </row>
    <row r="5" spans="1:27" s="104" customFormat="1" ht="15" customHeight="1">
      <c r="A5" s="558"/>
      <c r="B5" s="558"/>
      <c r="C5" s="558"/>
      <c r="D5" s="558"/>
      <c r="E5" s="561"/>
      <c r="F5" s="564"/>
      <c r="G5" s="566"/>
      <c r="H5" s="566"/>
      <c r="I5" s="558"/>
      <c r="J5" s="570"/>
      <c r="K5" s="573"/>
      <c r="L5" s="558"/>
      <c r="M5" s="576"/>
      <c r="N5" s="577"/>
      <c r="O5" s="566" t="s">
        <v>41</v>
      </c>
      <c r="P5" s="566" t="s">
        <v>42</v>
      </c>
      <c r="Q5" s="566" t="s">
        <v>43</v>
      </c>
      <c r="R5" s="567" t="s">
        <v>44</v>
      </c>
      <c r="S5" s="568" t="s">
        <v>45</v>
      </c>
      <c r="T5" s="566" t="s">
        <v>46</v>
      </c>
      <c r="U5" s="566" t="s">
        <v>47</v>
      </c>
      <c r="V5" s="566"/>
      <c r="W5" s="577"/>
      <c r="X5" s="566" t="s">
        <v>13</v>
      </c>
      <c r="Y5" s="566" t="s">
        <v>48</v>
      </c>
      <c r="Z5" s="566" t="s">
        <v>49</v>
      </c>
      <c r="AA5" s="566" t="s">
        <v>47</v>
      </c>
    </row>
    <row r="6" spans="1:27" s="104" customFormat="1" ht="27.75" customHeight="1">
      <c r="A6" s="559"/>
      <c r="B6" s="559"/>
      <c r="C6" s="559"/>
      <c r="D6" s="559"/>
      <c r="E6" s="562"/>
      <c r="F6" s="565"/>
      <c r="G6" s="350" t="s">
        <v>50</v>
      </c>
      <c r="H6" s="500" t="s">
        <v>51</v>
      </c>
      <c r="I6" s="559"/>
      <c r="J6" s="571"/>
      <c r="K6" s="574"/>
      <c r="L6" s="559"/>
      <c r="M6" s="576"/>
      <c r="N6" s="577"/>
      <c r="O6" s="566"/>
      <c r="P6" s="566"/>
      <c r="Q6" s="566"/>
      <c r="R6" s="567"/>
      <c r="S6" s="568"/>
      <c r="T6" s="566"/>
      <c r="U6" s="566"/>
      <c r="V6" s="566"/>
      <c r="W6" s="577"/>
      <c r="X6" s="566"/>
      <c r="Y6" s="566"/>
      <c r="Z6" s="566"/>
      <c r="AA6" s="566"/>
    </row>
    <row r="7" spans="1:27" ht="20.100000000000001" hidden="1" customHeight="1">
      <c r="A7" s="299">
        <v>30100030</v>
      </c>
      <c r="B7" s="489" t="s">
        <v>178</v>
      </c>
      <c r="C7" s="126" t="s">
        <v>179</v>
      </c>
      <c r="D7" s="108">
        <v>5.03</v>
      </c>
      <c r="E7" s="108"/>
      <c r="F7" s="127"/>
      <c r="G7" s="128"/>
      <c r="H7" s="490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498"/>
      <c r="P7" s="498"/>
      <c r="Q7" s="498"/>
      <c r="R7" s="498"/>
      <c r="S7" s="498"/>
      <c r="T7" s="498"/>
      <c r="U7" s="498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90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498"/>
      <c r="Q8" s="498"/>
      <c r="R8" s="498"/>
      <c r="S8" s="498"/>
      <c r="T8" s="498"/>
      <c r="U8" s="498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90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98"/>
      <c r="P9" s="498"/>
      <c r="Q9" s="498"/>
      <c r="R9" s="498"/>
      <c r="S9" s="498"/>
      <c r="T9" s="498"/>
      <c r="U9" s="498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>
        <v>42744</v>
      </c>
      <c r="G10" s="152">
        <f>57+108*3-108</f>
        <v>273</v>
      </c>
      <c r="H10" s="490">
        <f t="shared" si="0"/>
        <v>1373.19</v>
      </c>
      <c r="I10" s="129">
        <f>6*4</f>
        <v>24</v>
      </c>
      <c r="J10" s="130">
        <f t="array" ref="J10">IF(ISERROR(G10/I10),"",G10/I10)</f>
        <v>11.375</v>
      </c>
      <c r="K10" s="131">
        <f t="array" ref="K10">IF(ISERROR(G10/L10),"",G10/L10)</f>
        <v>14.368421052631579</v>
      </c>
      <c r="L10" s="129">
        <v>19</v>
      </c>
      <c r="M10" s="109">
        <f t="shared" si="1"/>
        <v>9.6315789473684212</v>
      </c>
      <c r="N10" s="130">
        <f t="shared" si="4"/>
        <v>0</v>
      </c>
      <c r="O10" s="498"/>
      <c r="P10" s="498"/>
      <c r="Q10" s="498"/>
      <c r="R10" s="498"/>
      <c r="S10" s="498"/>
      <c r="T10" s="498"/>
      <c r="U10" s="498"/>
      <c r="V10" s="132">
        <f t="shared" si="2"/>
        <v>0</v>
      </c>
      <c r="W10" s="133">
        <f t="shared" si="3"/>
        <v>0</v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490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498"/>
      <c r="P11" s="498"/>
      <c r="Q11" s="498"/>
      <c r="R11" s="498"/>
      <c r="S11" s="498"/>
      <c r="T11" s="498"/>
      <c r="U11" s="498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490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498"/>
      <c r="P12" s="498"/>
      <c r="Q12" s="498"/>
      <c r="R12" s="498"/>
      <c r="S12" s="498"/>
      <c r="T12" s="498"/>
      <c r="U12" s="498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90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98"/>
      <c r="P13" s="498"/>
      <c r="Q13" s="498"/>
      <c r="R13" s="498"/>
      <c r="S13" s="498"/>
      <c r="T13" s="498"/>
      <c r="U13" s="498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90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98"/>
      <c r="P14" s="498"/>
      <c r="Q14" s="498"/>
      <c r="R14" s="498"/>
      <c r="S14" s="498"/>
      <c r="T14" s="498"/>
      <c r="U14" s="498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490">
        <f t="shared" si="0"/>
        <v>0</v>
      </c>
      <c r="I15" s="490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498"/>
      <c r="P15" s="498"/>
      <c r="Q15" s="498"/>
      <c r="R15" s="498"/>
      <c r="S15" s="498"/>
      <c r="T15" s="498"/>
      <c r="U15" s="498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490">
        <f t="shared" si="0"/>
        <v>0</v>
      </c>
      <c r="I16" s="490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98"/>
      <c r="P16" s="498"/>
      <c r="Q16" s="498"/>
      <c r="R16" s="498"/>
      <c r="S16" s="498"/>
      <c r="T16" s="498"/>
      <c r="U16" s="498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490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98"/>
      <c r="P17" s="498"/>
      <c r="Q17" s="498"/>
      <c r="R17" s="498"/>
      <c r="S17" s="498"/>
      <c r="T17" s="498"/>
      <c r="U17" s="498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490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98"/>
      <c r="P18" s="498"/>
      <c r="Q18" s="498"/>
      <c r="R18" s="498"/>
      <c r="S18" s="498"/>
      <c r="T18" s="498"/>
      <c r="U18" s="498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490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498"/>
      <c r="P19" s="498"/>
      <c r="Q19" s="498"/>
      <c r="R19" s="498"/>
      <c r="S19" s="498"/>
      <c r="T19" s="498"/>
      <c r="U19" s="498"/>
      <c r="V19" s="132">
        <f t="shared" ref="V19:V21" si="5">SUM(X19:AA19)</f>
        <v>0</v>
      </c>
      <c r="W19" s="491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490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498"/>
      <c r="P20" s="498"/>
      <c r="Q20" s="498"/>
      <c r="R20" s="498"/>
      <c r="S20" s="498"/>
      <c r="T20" s="498"/>
      <c r="U20" s="498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90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98"/>
      <c r="P21" s="498"/>
      <c r="Q21" s="498"/>
      <c r="R21" s="498"/>
      <c r="S21" s="498"/>
      <c r="T21" s="498"/>
      <c r="U21" s="498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496" t="s">
        <v>190</v>
      </c>
      <c r="D22" s="108">
        <v>4.8</v>
      </c>
      <c r="E22" s="108"/>
      <c r="F22" s="127"/>
      <c r="G22" s="128"/>
      <c r="H22" s="490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98"/>
      <c r="P22" s="498"/>
      <c r="Q22" s="498"/>
      <c r="R22" s="498"/>
      <c r="S22" s="498"/>
      <c r="T22" s="498"/>
      <c r="U22" s="498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496" t="s">
        <v>187</v>
      </c>
      <c r="D23" s="108">
        <v>4.8</v>
      </c>
      <c r="E23" s="108"/>
      <c r="F23" s="127"/>
      <c r="G23" s="128"/>
      <c r="H23" s="490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98"/>
      <c r="P23" s="498"/>
      <c r="Q23" s="498"/>
      <c r="R23" s="498"/>
      <c r="S23" s="498"/>
      <c r="T23" s="498"/>
      <c r="U23" s="498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496" t="s">
        <v>179</v>
      </c>
      <c r="D24" s="108">
        <v>4.8</v>
      </c>
      <c r="E24" s="108"/>
      <c r="F24" s="127"/>
      <c r="G24" s="128"/>
      <c r="H24" s="490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98"/>
      <c r="P24" s="498"/>
      <c r="Q24" s="498"/>
      <c r="R24" s="498"/>
      <c r="S24" s="498"/>
      <c r="T24" s="498"/>
      <c r="U24" s="498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496" t="s">
        <v>199</v>
      </c>
      <c r="D25" s="108">
        <v>4.8</v>
      </c>
      <c r="E25" s="108"/>
      <c r="F25" s="127"/>
      <c r="G25" s="128"/>
      <c r="H25" s="490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98"/>
      <c r="P25" s="498"/>
      <c r="Q25" s="498"/>
      <c r="R25" s="498"/>
      <c r="S25" s="498"/>
      <c r="T25" s="498"/>
      <c r="U25" s="498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90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98"/>
      <c r="P26" s="498"/>
      <c r="Q26" s="498"/>
      <c r="R26" s="498"/>
      <c r="S26" s="498"/>
      <c r="T26" s="498"/>
      <c r="U26" s="498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90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98"/>
      <c r="P27" s="498"/>
      <c r="Q27" s="498"/>
      <c r="R27" s="498"/>
      <c r="S27" s="498"/>
      <c r="T27" s="498"/>
      <c r="U27" s="498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578" t="s">
        <v>201</v>
      </c>
      <c r="B28" s="579"/>
      <c r="C28" s="499" t="s">
        <v>202</v>
      </c>
      <c r="D28" s="143"/>
      <c r="E28" s="143"/>
      <c r="F28" s="144"/>
      <c r="G28" s="145">
        <f>SUM(G7:G27)</f>
        <v>273</v>
      </c>
      <c r="H28" s="146">
        <f>SUM(H7:H27)</f>
        <v>1373.19</v>
      </c>
      <c r="I28" s="146">
        <f>SUM(I7:I27)</f>
        <v>24</v>
      </c>
      <c r="J28" s="130">
        <f t="array" ref="J28">IF(ISERROR(G28/I28),"",G28/I28)</f>
        <v>11.375</v>
      </c>
      <c r="K28" s="146">
        <f>SUM(K7:K27)</f>
        <v>14.368421052631579</v>
      </c>
      <c r="L28" s="147"/>
      <c r="M28" s="146">
        <f t="shared" ref="M28:V28" si="10">SUM(M7:M27)</f>
        <v>9.6315789473684212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489" t="s">
        <v>206</v>
      </c>
      <c r="C29" s="126" t="s">
        <v>199</v>
      </c>
      <c r="D29" s="108">
        <v>5.03</v>
      </c>
      <c r="E29" s="108"/>
      <c r="F29" s="127"/>
      <c r="G29" s="128"/>
      <c r="H29" s="490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494"/>
      <c r="P29" s="494"/>
      <c r="Q29" s="494"/>
      <c r="R29" s="494"/>
      <c r="S29" s="494"/>
      <c r="T29" s="494"/>
      <c r="U29" s="494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489" t="s">
        <v>425</v>
      </c>
      <c r="C30" s="187" t="s">
        <v>427</v>
      </c>
      <c r="D30" s="108">
        <v>5.03</v>
      </c>
      <c r="E30" s="108"/>
      <c r="F30" s="127"/>
      <c r="G30" s="128"/>
      <c r="H30" s="490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494"/>
      <c r="P30" s="494"/>
      <c r="Q30" s="494"/>
      <c r="R30" s="494"/>
      <c r="S30" s="494"/>
      <c r="T30" s="494"/>
      <c r="U30" s="494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489" t="s">
        <v>206</v>
      </c>
      <c r="C31" s="126" t="s">
        <v>186</v>
      </c>
      <c r="D31" s="108">
        <v>5.03</v>
      </c>
      <c r="E31" s="108"/>
      <c r="F31" s="127"/>
      <c r="G31" s="128"/>
      <c r="H31" s="490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494"/>
      <c r="P31" s="494"/>
      <c r="Q31" s="494"/>
      <c r="R31" s="494"/>
      <c r="S31" s="494"/>
      <c r="T31" s="494"/>
      <c r="U31" s="494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489" t="s">
        <v>206</v>
      </c>
      <c r="C32" s="126" t="s">
        <v>203</v>
      </c>
      <c r="D32" s="108">
        <v>5.03</v>
      </c>
      <c r="E32" s="108"/>
      <c r="F32" s="127"/>
      <c r="G32" s="128"/>
      <c r="H32" s="490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94"/>
      <c r="P32" s="494"/>
      <c r="Q32" s="494"/>
      <c r="R32" s="494"/>
      <c r="S32" s="494"/>
      <c r="T32" s="494"/>
      <c r="U32" s="494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customHeight="1">
      <c r="A33" s="300">
        <v>30100013</v>
      </c>
      <c r="B33" s="489" t="s">
        <v>206</v>
      </c>
      <c r="C33" s="126" t="s">
        <v>207</v>
      </c>
      <c r="D33" s="108">
        <v>5.03</v>
      </c>
      <c r="E33" s="108"/>
      <c r="F33" s="127">
        <v>42743</v>
      </c>
      <c r="G33" s="128">
        <f>76+108*3+13+95+116</f>
        <v>624</v>
      </c>
      <c r="H33" s="490">
        <f t="shared" si="11"/>
        <v>3138.7200000000003</v>
      </c>
      <c r="I33" s="129">
        <f>3*2+1*2</f>
        <v>8</v>
      </c>
      <c r="J33" s="130">
        <f t="array" ref="J33">IF(ISERROR(G33/I33),"",G33/I33)</f>
        <v>78</v>
      </c>
      <c r="K33" s="131">
        <f t="array" ref="K33">IF(ISERROR(G33/L33),"",G33/L33)</f>
        <v>12</v>
      </c>
      <c r="L33" s="129">
        <v>52</v>
      </c>
      <c r="M33" s="109">
        <f t="shared" si="15"/>
        <v>-4</v>
      </c>
      <c r="N33" s="130">
        <f t="shared" si="16"/>
        <v>0</v>
      </c>
      <c r="O33" s="494"/>
      <c r="P33" s="494"/>
      <c r="Q33" s="494"/>
      <c r="R33" s="494"/>
      <c r="S33" s="494"/>
      <c r="T33" s="494"/>
      <c r="U33" s="494"/>
      <c r="V33" s="132">
        <f t="shared" si="17"/>
        <v>0</v>
      </c>
      <c r="W33" s="133">
        <f t="shared" si="18"/>
        <v>0</v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489" t="s">
        <v>414</v>
      </c>
      <c r="C34" s="187" t="s">
        <v>415</v>
      </c>
      <c r="D34" s="108">
        <v>5.03</v>
      </c>
      <c r="E34" s="108"/>
      <c r="F34" s="127"/>
      <c r="G34" s="128"/>
      <c r="H34" s="490">
        <f t="shared" si="11"/>
        <v>0</v>
      </c>
      <c r="I34" s="129"/>
      <c r="J34" s="130"/>
      <c r="K34" s="131"/>
      <c r="L34" s="129">
        <v>52</v>
      </c>
      <c r="M34" s="109"/>
      <c r="N34" s="130"/>
      <c r="O34" s="494"/>
      <c r="P34" s="494"/>
      <c r="Q34" s="494"/>
      <c r="R34" s="494"/>
      <c r="S34" s="494"/>
      <c r="T34" s="494"/>
      <c r="U34" s="494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489" t="s">
        <v>414</v>
      </c>
      <c r="C35" s="187" t="s">
        <v>416</v>
      </c>
      <c r="D35" s="108">
        <v>5.03</v>
      </c>
      <c r="E35" s="108"/>
      <c r="F35" s="127"/>
      <c r="G35" s="128"/>
      <c r="H35" s="490">
        <f t="shared" si="11"/>
        <v>0</v>
      </c>
      <c r="I35" s="129"/>
      <c r="J35" s="130"/>
      <c r="K35" s="131"/>
      <c r="L35" s="129">
        <v>52</v>
      </c>
      <c r="M35" s="109"/>
      <c r="N35" s="130"/>
      <c r="O35" s="494"/>
      <c r="P35" s="494"/>
      <c r="Q35" s="494"/>
      <c r="R35" s="494"/>
      <c r="S35" s="494"/>
      <c r="T35" s="494"/>
      <c r="U35" s="494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489" t="s">
        <v>414</v>
      </c>
      <c r="C36" s="187" t="s">
        <v>61</v>
      </c>
      <c r="D36" s="108">
        <v>5.03</v>
      </c>
      <c r="E36" s="108"/>
      <c r="F36" s="127"/>
      <c r="G36" s="128"/>
      <c r="H36" s="490">
        <f t="shared" si="11"/>
        <v>0</v>
      </c>
      <c r="I36" s="129"/>
      <c r="J36" s="130"/>
      <c r="K36" s="131"/>
      <c r="L36" s="129">
        <v>52</v>
      </c>
      <c r="M36" s="109"/>
      <c r="N36" s="130"/>
      <c r="O36" s="494"/>
      <c r="P36" s="494"/>
      <c r="Q36" s="494"/>
      <c r="R36" s="494"/>
      <c r="S36" s="494"/>
      <c r="T36" s="494"/>
      <c r="U36" s="494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489" t="s">
        <v>208</v>
      </c>
      <c r="C37" s="126" t="s">
        <v>179</v>
      </c>
      <c r="D37" s="108">
        <v>5.08</v>
      </c>
      <c r="E37" s="108"/>
      <c r="F37" s="127"/>
      <c r="G37" s="128"/>
      <c r="H37" s="490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494"/>
      <c r="P37" s="494"/>
      <c r="Q37" s="494"/>
      <c r="R37" s="494"/>
      <c r="S37" s="494"/>
      <c r="T37" s="494"/>
      <c r="U37" s="494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489" t="s">
        <v>208</v>
      </c>
      <c r="C38" s="126" t="s">
        <v>204</v>
      </c>
      <c r="D38" s="108">
        <v>5.08</v>
      </c>
      <c r="E38" s="108"/>
      <c r="F38" s="127"/>
      <c r="G38" s="128"/>
      <c r="H38" s="490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494"/>
      <c r="P38" s="494"/>
      <c r="Q38" s="494"/>
      <c r="R38" s="494"/>
      <c r="S38" s="494"/>
      <c r="T38" s="494"/>
      <c r="U38" s="494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489" t="s">
        <v>208</v>
      </c>
      <c r="C39" s="126" t="s">
        <v>205</v>
      </c>
      <c r="D39" s="108">
        <v>5.08</v>
      </c>
      <c r="E39" s="108"/>
      <c r="F39" s="127"/>
      <c r="G39" s="128"/>
      <c r="H39" s="490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494"/>
      <c r="P39" s="494"/>
      <c r="Q39" s="494"/>
      <c r="R39" s="494"/>
      <c r="S39" s="494"/>
      <c r="T39" s="494"/>
      <c r="U39" s="494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489" t="s">
        <v>208</v>
      </c>
      <c r="C40" s="126" t="s">
        <v>186</v>
      </c>
      <c r="D40" s="108">
        <v>5.08</v>
      </c>
      <c r="E40" s="108"/>
      <c r="F40" s="127"/>
      <c r="G40" s="128"/>
      <c r="H40" s="490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494"/>
      <c r="P40" s="494"/>
      <c r="Q40" s="494"/>
      <c r="R40" s="494"/>
      <c r="S40" s="494"/>
      <c r="T40" s="494"/>
      <c r="U40" s="494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489" t="s">
        <v>208</v>
      </c>
      <c r="C41" s="126" t="s">
        <v>203</v>
      </c>
      <c r="D41" s="108">
        <v>5.08</v>
      </c>
      <c r="E41" s="108"/>
      <c r="F41" s="127"/>
      <c r="G41" s="128"/>
      <c r="H41" s="490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494"/>
      <c r="P41" s="494"/>
      <c r="Q41" s="494"/>
      <c r="R41" s="494"/>
      <c r="S41" s="494"/>
      <c r="T41" s="494"/>
      <c r="U41" s="494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customHeight="1">
      <c r="A42" s="300">
        <v>30100026</v>
      </c>
      <c r="B42" s="489" t="s">
        <v>208</v>
      </c>
      <c r="C42" s="126" t="s">
        <v>199</v>
      </c>
      <c r="D42" s="108">
        <v>5.08</v>
      </c>
      <c r="E42" s="108"/>
      <c r="F42" s="127">
        <v>42744</v>
      </c>
      <c r="G42" s="128">
        <f>108*6+38+108</f>
        <v>794</v>
      </c>
      <c r="H42" s="490">
        <f t="shared" si="11"/>
        <v>4033.52</v>
      </c>
      <c r="I42" s="129">
        <f>11*3</f>
        <v>33</v>
      </c>
      <c r="J42" s="130">
        <f t="array" ref="J42">IF(ISERROR(G42/I42),"",G42/I42)</f>
        <v>24.060606060606062</v>
      </c>
      <c r="K42" s="131">
        <f t="array" ref="K42">IF(ISERROR(G42/L42),"",G42/L42)</f>
        <v>37.80952380952381</v>
      </c>
      <c r="L42" s="129">
        <v>21</v>
      </c>
      <c r="M42" s="109">
        <f t="shared" si="19"/>
        <v>-4.8095238095238102</v>
      </c>
      <c r="N42" s="130">
        <f t="shared" si="20"/>
        <v>0</v>
      </c>
      <c r="O42" s="498"/>
      <c r="P42" s="498"/>
      <c r="Q42" s="498"/>
      <c r="R42" s="498"/>
      <c r="S42" s="498"/>
      <c r="T42" s="498"/>
      <c r="U42" s="498"/>
      <c r="V42" s="132">
        <f t="shared" si="21"/>
        <v>0</v>
      </c>
      <c r="W42" s="133">
        <f t="shared" si="22"/>
        <v>0</v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489" t="s">
        <v>208</v>
      </c>
      <c r="C43" s="126" t="s">
        <v>187</v>
      </c>
      <c r="D43" s="108">
        <v>5.08</v>
      </c>
      <c r="E43" s="108"/>
      <c r="F43" s="127"/>
      <c r="G43" s="128"/>
      <c r="H43" s="490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494"/>
      <c r="P43" s="494"/>
      <c r="Q43" s="494"/>
      <c r="R43" s="494"/>
      <c r="S43" s="494"/>
      <c r="T43" s="494"/>
      <c r="U43" s="494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489" t="s">
        <v>208</v>
      </c>
      <c r="C44" s="126" t="s">
        <v>207</v>
      </c>
      <c r="D44" s="108">
        <v>5.08</v>
      </c>
      <c r="E44" s="108"/>
      <c r="F44" s="127"/>
      <c r="G44" s="128"/>
      <c r="H44" s="490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498"/>
      <c r="P44" s="498"/>
      <c r="Q44" s="498"/>
      <c r="R44" s="498"/>
      <c r="S44" s="498"/>
      <c r="T44" s="498"/>
      <c r="U44" s="498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489" t="s">
        <v>209</v>
      </c>
      <c r="C45" s="126" t="s">
        <v>194</v>
      </c>
      <c r="D45" s="108">
        <v>5.03</v>
      </c>
      <c r="E45" s="108"/>
      <c r="F45" s="127"/>
      <c r="G45" s="128"/>
      <c r="H45" s="490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494"/>
      <c r="P45" s="494"/>
      <c r="Q45" s="494"/>
      <c r="R45" s="494"/>
      <c r="S45" s="494"/>
      <c r="T45" s="494"/>
      <c r="U45" s="494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489" t="s">
        <v>209</v>
      </c>
      <c r="C46" s="126" t="s">
        <v>179</v>
      </c>
      <c r="D46" s="108">
        <v>5.03</v>
      </c>
      <c r="E46" s="108"/>
      <c r="F46" s="127"/>
      <c r="G46" s="128"/>
      <c r="H46" s="490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494"/>
      <c r="P46" s="494"/>
      <c r="Q46" s="494"/>
      <c r="R46" s="494"/>
      <c r="S46" s="494"/>
      <c r="T46" s="494"/>
      <c r="U46" s="494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489" t="s">
        <v>209</v>
      </c>
      <c r="C47" s="126" t="s">
        <v>195</v>
      </c>
      <c r="D47" s="108">
        <v>5.03</v>
      </c>
      <c r="E47" s="108"/>
      <c r="F47" s="127"/>
      <c r="G47" s="128"/>
      <c r="H47" s="490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494"/>
      <c r="P47" s="494"/>
      <c r="Q47" s="494"/>
      <c r="R47" s="494"/>
      <c r="S47" s="494"/>
      <c r="T47" s="494"/>
      <c r="U47" s="494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customHeight="1">
      <c r="A48" s="300">
        <v>30100031</v>
      </c>
      <c r="B48" s="489" t="s">
        <v>209</v>
      </c>
      <c r="C48" s="126" t="s">
        <v>204</v>
      </c>
      <c r="D48" s="108">
        <v>5.03</v>
      </c>
      <c r="E48" s="108"/>
      <c r="F48" s="127">
        <v>42743</v>
      </c>
      <c r="G48" s="128">
        <f>108*8+108+4</f>
        <v>976</v>
      </c>
      <c r="H48" s="490">
        <f t="shared" si="11"/>
        <v>4909.2800000000007</v>
      </c>
      <c r="I48" s="129">
        <f>5*2</f>
        <v>10</v>
      </c>
      <c r="J48" s="130">
        <f t="array" ref="J48">IF(ISERROR(G48/I48),"",G48/I48)</f>
        <v>97.6</v>
      </c>
      <c r="K48" s="131">
        <f t="array" ref="K48">IF(ISERROR(G48/L48),"",G48/L48)</f>
        <v>17.428571428571427</v>
      </c>
      <c r="L48" s="129">
        <v>56</v>
      </c>
      <c r="M48" s="109">
        <f t="shared" si="19"/>
        <v>-7.428571428571427</v>
      </c>
      <c r="N48" s="130">
        <f t="shared" si="20"/>
        <v>0</v>
      </c>
      <c r="O48" s="494"/>
      <c r="P48" s="494"/>
      <c r="Q48" s="494"/>
      <c r="R48" s="494"/>
      <c r="S48" s="494"/>
      <c r="T48" s="494"/>
      <c r="U48" s="494"/>
      <c r="V48" s="132">
        <f t="shared" si="21"/>
        <v>0</v>
      </c>
      <c r="W48" s="133">
        <f t="shared" si="22"/>
        <v>0</v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489" t="s">
        <v>382</v>
      </c>
      <c r="C49" s="187" t="s">
        <v>383</v>
      </c>
      <c r="D49" s="108">
        <v>5.03</v>
      </c>
      <c r="E49" s="108"/>
      <c r="F49" s="127"/>
      <c r="G49" s="128"/>
      <c r="H49" s="490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494"/>
      <c r="P49" s="494"/>
      <c r="Q49" s="494"/>
      <c r="R49" s="494"/>
      <c r="S49" s="494"/>
      <c r="T49" s="494"/>
      <c r="U49" s="494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489" t="s">
        <v>382</v>
      </c>
      <c r="C50" s="187" t="s">
        <v>384</v>
      </c>
      <c r="D50" s="108">
        <v>5.03</v>
      </c>
      <c r="E50" s="108"/>
      <c r="F50" s="127"/>
      <c r="G50" s="128"/>
      <c r="H50" s="490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494"/>
      <c r="P50" s="494"/>
      <c r="Q50" s="494"/>
      <c r="R50" s="494"/>
      <c r="S50" s="494"/>
      <c r="T50" s="494"/>
      <c r="U50" s="494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489" t="s">
        <v>382</v>
      </c>
      <c r="C51" s="187" t="s">
        <v>389</v>
      </c>
      <c r="D51" s="108">
        <v>5.03</v>
      </c>
      <c r="E51" s="108"/>
      <c r="F51" s="127"/>
      <c r="G51" s="128"/>
      <c r="H51" s="490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494"/>
      <c r="P51" s="494"/>
      <c r="Q51" s="494"/>
      <c r="R51" s="494"/>
      <c r="S51" s="494"/>
      <c r="T51" s="494"/>
      <c r="U51" s="494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489" t="s">
        <v>382</v>
      </c>
      <c r="C52" s="187" t="s">
        <v>391</v>
      </c>
      <c r="D52" s="108">
        <v>5.03</v>
      </c>
      <c r="E52" s="108"/>
      <c r="F52" s="127"/>
      <c r="G52" s="128"/>
      <c r="H52" s="490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494"/>
      <c r="P52" s="494"/>
      <c r="Q52" s="494"/>
      <c r="R52" s="494"/>
      <c r="S52" s="494"/>
      <c r="T52" s="494"/>
      <c r="U52" s="494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489" t="s">
        <v>418</v>
      </c>
      <c r="C53" s="187" t="s">
        <v>364</v>
      </c>
      <c r="D53" s="108">
        <v>5.03</v>
      </c>
      <c r="E53" s="108"/>
      <c r="F53" s="127"/>
      <c r="G53" s="128"/>
      <c r="H53" s="490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494"/>
      <c r="P53" s="494"/>
      <c r="Q53" s="494"/>
      <c r="R53" s="494"/>
      <c r="S53" s="494"/>
      <c r="T53" s="494"/>
      <c r="U53" s="494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489" t="s">
        <v>418</v>
      </c>
      <c r="C54" s="187" t="s">
        <v>365</v>
      </c>
      <c r="D54" s="108">
        <v>5.03</v>
      </c>
      <c r="E54" s="108"/>
      <c r="F54" s="127"/>
      <c r="G54" s="128"/>
      <c r="H54" s="490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494"/>
      <c r="P54" s="494"/>
      <c r="Q54" s="494"/>
      <c r="R54" s="494"/>
      <c r="S54" s="494"/>
      <c r="T54" s="494"/>
      <c r="U54" s="494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489" t="s">
        <v>418</v>
      </c>
      <c r="C55" s="187" t="s">
        <v>366</v>
      </c>
      <c r="D55" s="108">
        <v>5.03</v>
      </c>
      <c r="E55" s="108"/>
      <c r="F55" s="127"/>
      <c r="G55" s="128"/>
      <c r="H55" s="490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494"/>
      <c r="P55" s="494"/>
      <c r="Q55" s="494"/>
      <c r="R55" s="494"/>
      <c r="S55" s="494"/>
      <c r="T55" s="494"/>
      <c r="U55" s="494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489" t="s">
        <v>418</v>
      </c>
      <c r="C56" s="187" t="s">
        <v>367</v>
      </c>
      <c r="D56" s="108">
        <v>5.03</v>
      </c>
      <c r="E56" s="108"/>
      <c r="F56" s="127"/>
      <c r="G56" s="128"/>
      <c r="H56" s="490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494"/>
      <c r="P56" s="494"/>
      <c r="Q56" s="494"/>
      <c r="R56" s="494"/>
      <c r="S56" s="494"/>
      <c r="T56" s="494"/>
      <c r="U56" s="494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90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498"/>
      <c r="P57" s="498"/>
      <c r="Q57" s="498"/>
      <c r="R57" s="498"/>
      <c r="S57" s="498"/>
      <c r="T57" s="498"/>
      <c r="U57" s="498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90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498"/>
      <c r="P58" s="498"/>
      <c r="Q58" s="498"/>
      <c r="R58" s="498"/>
      <c r="S58" s="498"/>
      <c r="T58" s="498"/>
      <c r="U58" s="498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490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498"/>
      <c r="P59" s="498"/>
      <c r="Q59" s="498"/>
      <c r="R59" s="498"/>
      <c r="S59" s="498"/>
      <c r="T59" s="498"/>
      <c r="U59" s="498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90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498"/>
      <c r="P60" s="498"/>
      <c r="Q60" s="498"/>
      <c r="R60" s="498"/>
      <c r="S60" s="498"/>
      <c r="T60" s="498"/>
      <c r="U60" s="498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90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498"/>
      <c r="P61" s="498"/>
      <c r="Q61" s="498"/>
      <c r="R61" s="498"/>
      <c r="S61" s="498"/>
      <c r="T61" s="498"/>
      <c r="U61" s="498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90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498"/>
      <c r="P62" s="498"/>
      <c r="Q62" s="498"/>
      <c r="R62" s="498"/>
      <c r="S62" s="498"/>
      <c r="T62" s="498"/>
      <c r="U62" s="498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90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498"/>
      <c r="P63" s="498"/>
      <c r="Q63" s="498"/>
      <c r="R63" s="498"/>
      <c r="S63" s="498"/>
      <c r="T63" s="498"/>
      <c r="U63" s="498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>
        <v>42744</v>
      </c>
      <c r="G64" s="128">
        <f>90+90+90</f>
        <v>270</v>
      </c>
      <c r="H64" s="490">
        <f t="shared" si="11"/>
        <v>1358.1000000000001</v>
      </c>
      <c r="I64" s="129">
        <v>4</v>
      </c>
      <c r="J64" s="130">
        <f t="array" ref="J64">IF(ISERROR(G64/I64),"",G64/I64)</f>
        <v>67.5</v>
      </c>
      <c r="K64" s="131">
        <f t="array" ref="K64">IF(ISERROR(G64/L64),"",G64/L64)</f>
        <v>5.4</v>
      </c>
      <c r="L64" s="129">
        <v>50</v>
      </c>
      <c r="M64" s="109">
        <f t="shared" si="19"/>
        <v>-1.4000000000000004</v>
      </c>
      <c r="N64" s="130">
        <f t="shared" si="23"/>
        <v>0</v>
      </c>
      <c r="O64" s="498"/>
      <c r="P64" s="498"/>
      <c r="Q64" s="498"/>
      <c r="R64" s="498"/>
      <c r="S64" s="498"/>
      <c r="T64" s="498"/>
      <c r="U64" s="498"/>
      <c r="V64" s="132">
        <f t="shared" si="24"/>
        <v>0</v>
      </c>
      <c r="W64" s="133">
        <f t="shared" si="25"/>
        <v>0</v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90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498"/>
      <c r="P65" s="498"/>
      <c r="Q65" s="498"/>
      <c r="R65" s="498"/>
      <c r="S65" s="498"/>
      <c r="T65" s="498"/>
      <c r="U65" s="498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90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498"/>
      <c r="P66" s="498"/>
      <c r="Q66" s="498"/>
      <c r="R66" s="498"/>
      <c r="S66" s="498"/>
      <c r="T66" s="498"/>
      <c r="U66" s="498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490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98"/>
      <c r="P67" s="498"/>
      <c r="Q67" s="498"/>
      <c r="R67" s="498"/>
      <c r="S67" s="498"/>
      <c r="T67" s="498"/>
      <c r="U67" s="498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90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98"/>
      <c r="P68" s="498"/>
      <c r="Q68" s="498"/>
      <c r="R68" s="498"/>
      <c r="S68" s="498"/>
      <c r="T68" s="498"/>
      <c r="U68" s="498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490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498"/>
      <c r="P69" s="498"/>
      <c r="Q69" s="498"/>
      <c r="R69" s="498"/>
      <c r="S69" s="498"/>
      <c r="T69" s="498"/>
      <c r="U69" s="498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490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498"/>
      <c r="P70" s="498"/>
      <c r="Q70" s="498"/>
      <c r="R70" s="498"/>
      <c r="S70" s="498"/>
      <c r="T70" s="498"/>
      <c r="U70" s="498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90">
        <f t="shared" si="11"/>
        <v>0</v>
      </c>
      <c r="I71" s="129"/>
      <c r="J71" s="130"/>
      <c r="K71" s="131"/>
      <c r="L71" s="129"/>
      <c r="M71" s="109"/>
      <c r="N71" s="130"/>
      <c r="O71" s="498"/>
      <c r="P71" s="498"/>
      <c r="Q71" s="498"/>
      <c r="R71" s="498"/>
      <c r="S71" s="498"/>
      <c r="T71" s="498"/>
      <c r="U71" s="498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90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498"/>
      <c r="P72" s="498"/>
      <c r="Q72" s="498"/>
      <c r="R72" s="498"/>
      <c r="S72" s="498"/>
      <c r="T72" s="498"/>
      <c r="U72" s="498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90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498"/>
      <c r="P73" s="498"/>
      <c r="Q73" s="498"/>
      <c r="R73" s="498"/>
      <c r="S73" s="498"/>
      <c r="T73" s="498"/>
      <c r="U73" s="498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90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498"/>
      <c r="P74" s="498"/>
      <c r="Q74" s="498"/>
      <c r="R74" s="498"/>
      <c r="S74" s="498"/>
      <c r="T74" s="498"/>
      <c r="U74" s="498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90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498"/>
      <c r="P75" s="498"/>
      <c r="Q75" s="498"/>
      <c r="R75" s="498"/>
      <c r="S75" s="498"/>
      <c r="T75" s="498"/>
      <c r="U75" s="498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90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498"/>
      <c r="P76" s="498"/>
      <c r="Q76" s="498"/>
      <c r="R76" s="498"/>
      <c r="S76" s="498"/>
      <c r="T76" s="498"/>
      <c r="U76" s="498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90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498"/>
      <c r="P77" s="498"/>
      <c r="Q77" s="498"/>
      <c r="R77" s="498"/>
      <c r="S77" s="498"/>
      <c r="T77" s="498"/>
      <c r="U77" s="498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90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498"/>
      <c r="P78" s="498"/>
      <c r="Q78" s="498"/>
      <c r="R78" s="498"/>
      <c r="S78" s="498"/>
      <c r="T78" s="498"/>
      <c r="U78" s="498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90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498"/>
      <c r="P79" s="498"/>
      <c r="Q79" s="498"/>
      <c r="R79" s="498"/>
      <c r="S79" s="498"/>
      <c r="T79" s="498"/>
      <c r="U79" s="498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90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98"/>
      <c r="P80" s="498"/>
      <c r="Q80" s="498"/>
      <c r="R80" s="498"/>
      <c r="S80" s="498"/>
      <c r="T80" s="498"/>
      <c r="U80" s="498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90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98"/>
      <c r="P81" s="498"/>
      <c r="Q81" s="498"/>
      <c r="R81" s="498"/>
      <c r="S81" s="498"/>
      <c r="T81" s="498"/>
      <c r="U81" s="498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90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98"/>
      <c r="P82" s="498"/>
      <c r="Q82" s="498"/>
      <c r="R82" s="498"/>
      <c r="S82" s="498"/>
      <c r="T82" s="498"/>
      <c r="U82" s="498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90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98"/>
      <c r="P83" s="498"/>
      <c r="Q83" s="498"/>
      <c r="R83" s="498"/>
      <c r="S83" s="498"/>
      <c r="T83" s="498"/>
      <c r="U83" s="498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90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98"/>
      <c r="P84" s="498"/>
      <c r="Q84" s="498"/>
      <c r="R84" s="498"/>
      <c r="S84" s="498"/>
      <c r="T84" s="498"/>
      <c r="U84" s="498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90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98"/>
      <c r="P85" s="498"/>
      <c r="Q85" s="498"/>
      <c r="R85" s="498"/>
      <c r="S85" s="498"/>
      <c r="T85" s="498"/>
      <c r="U85" s="498"/>
      <c r="V85" s="132"/>
      <c r="W85" s="133"/>
      <c r="X85" s="132"/>
      <c r="Y85" s="132"/>
      <c r="Z85" s="132"/>
      <c r="AA85" s="132"/>
    </row>
    <row r="86" spans="1:27" ht="20.100000000000001" customHeight="1">
      <c r="A86" s="589" t="s">
        <v>216</v>
      </c>
      <c r="B86" s="589"/>
      <c r="C86" s="499" t="s">
        <v>202</v>
      </c>
      <c r="D86" s="143"/>
      <c r="E86" s="143"/>
      <c r="F86" s="144"/>
      <c r="G86" s="145">
        <f>SUM(G29:G85)</f>
        <v>2664</v>
      </c>
      <c r="H86" s="146">
        <f>SUM(H29:H85)</f>
        <v>13439.62</v>
      </c>
      <c r="I86" s="146">
        <f>SUM(I29:I85)</f>
        <v>55</v>
      </c>
      <c r="J86" s="130">
        <f t="array" ref="J86">IF(ISERROR(G86/I86),"",G86/I86)</f>
        <v>48.436363636363637</v>
      </c>
      <c r="K86" s="146">
        <f>SUM(K29:K85)</f>
        <v>72.638095238095246</v>
      </c>
      <c r="L86" s="147"/>
      <c r="M86" s="150">
        <f t="shared" ref="M86:V86" si="34">SUM(M29:M85)</f>
        <v>-17.638095238095239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489" t="s">
        <v>217</v>
      </c>
      <c r="C87" s="126" t="s">
        <v>179</v>
      </c>
      <c r="D87" s="108">
        <v>5.03</v>
      </c>
      <c r="E87" s="108"/>
      <c r="F87" s="127"/>
      <c r="G87" s="128"/>
      <c r="H87" s="490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498"/>
      <c r="P87" s="498"/>
      <c r="Q87" s="498"/>
      <c r="R87" s="498"/>
      <c r="S87" s="498"/>
      <c r="T87" s="498"/>
      <c r="U87" s="498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489" t="s">
        <v>217</v>
      </c>
      <c r="C88" s="126" t="s">
        <v>186</v>
      </c>
      <c r="D88" s="108">
        <v>5.03</v>
      </c>
      <c r="E88" s="108"/>
      <c r="F88" s="127"/>
      <c r="G88" s="128"/>
      <c r="H88" s="490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498"/>
      <c r="P88" s="498"/>
      <c r="Q88" s="498"/>
      <c r="R88" s="498"/>
      <c r="S88" s="498"/>
      <c r="T88" s="498"/>
      <c r="U88" s="498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489" t="s">
        <v>217</v>
      </c>
      <c r="C89" s="126" t="s">
        <v>204</v>
      </c>
      <c r="D89" s="108">
        <v>5.03</v>
      </c>
      <c r="E89" s="108"/>
      <c r="F89" s="127"/>
      <c r="G89" s="128"/>
      <c r="H89" s="490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498"/>
      <c r="P89" s="498"/>
      <c r="Q89" s="498"/>
      <c r="R89" s="498"/>
      <c r="S89" s="498"/>
      <c r="T89" s="498"/>
      <c r="U89" s="498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90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498"/>
      <c r="P90" s="498"/>
      <c r="Q90" s="498"/>
      <c r="R90" s="498"/>
      <c r="S90" s="498"/>
      <c r="T90" s="498"/>
      <c r="U90" s="498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490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498"/>
      <c r="P91" s="498"/>
      <c r="Q91" s="498"/>
      <c r="R91" s="498"/>
      <c r="S91" s="498"/>
      <c r="T91" s="498"/>
      <c r="U91" s="498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490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498"/>
      <c r="P92" s="498"/>
      <c r="Q92" s="498"/>
      <c r="R92" s="498"/>
      <c r="S92" s="498"/>
      <c r="T92" s="498"/>
      <c r="U92" s="498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490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498"/>
      <c r="P93" s="498"/>
      <c r="Q93" s="498"/>
      <c r="R93" s="498"/>
      <c r="S93" s="498"/>
      <c r="T93" s="498"/>
      <c r="U93" s="498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490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498"/>
      <c r="P94" s="498"/>
      <c r="Q94" s="498"/>
      <c r="R94" s="498"/>
      <c r="S94" s="498"/>
      <c r="T94" s="498"/>
      <c r="U94" s="498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90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498"/>
      <c r="P95" s="498"/>
      <c r="Q95" s="498"/>
      <c r="R95" s="498"/>
      <c r="S95" s="498"/>
      <c r="T95" s="498"/>
      <c r="U95" s="498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90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498"/>
      <c r="P96" s="498"/>
      <c r="Q96" s="498"/>
      <c r="R96" s="498"/>
      <c r="S96" s="498"/>
      <c r="T96" s="498"/>
      <c r="U96" s="498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90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498"/>
      <c r="P97" s="498"/>
      <c r="Q97" s="498"/>
      <c r="R97" s="498"/>
      <c r="S97" s="498"/>
      <c r="T97" s="498"/>
      <c r="U97" s="498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90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498"/>
      <c r="P98" s="498"/>
      <c r="Q98" s="498"/>
      <c r="R98" s="498"/>
      <c r="S98" s="498"/>
      <c r="T98" s="498"/>
      <c r="U98" s="498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490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498"/>
      <c r="P99" s="498"/>
      <c r="Q99" s="498"/>
      <c r="R99" s="498"/>
      <c r="S99" s="498"/>
      <c r="T99" s="498"/>
      <c r="U99" s="498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90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498"/>
      <c r="P100" s="498"/>
      <c r="Q100" s="498"/>
      <c r="R100" s="498"/>
      <c r="S100" s="498"/>
      <c r="T100" s="498"/>
      <c r="U100" s="498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90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498"/>
      <c r="P101" s="498"/>
      <c r="Q101" s="498"/>
      <c r="R101" s="498"/>
      <c r="S101" s="498"/>
      <c r="T101" s="498"/>
      <c r="U101" s="498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90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498"/>
      <c r="P102" s="498"/>
      <c r="Q102" s="498"/>
      <c r="R102" s="498"/>
      <c r="S102" s="498"/>
      <c r="T102" s="498"/>
      <c r="U102" s="498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489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90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498"/>
      <c r="P103" s="498"/>
      <c r="Q103" s="498"/>
      <c r="R103" s="498"/>
      <c r="S103" s="498"/>
      <c r="T103" s="498"/>
      <c r="U103" s="498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489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90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498"/>
      <c r="P104" s="498"/>
      <c r="Q104" s="498"/>
      <c r="R104" s="498"/>
      <c r="S104" s="498"/>
      <c r="T104" s="498"/>
      <c r="U104" s="498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489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90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498"/>
      <c r="P105" s="498"/>
      <c r="Q105" s="498"/>
      <c r="R105" s="498"/>
      <c r="S105" s="498"/>
      <c r="T105" s="498"/>
      <c r="U105" s="498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489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90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498"/>
      <c r="P106" s="498"/>
      <c r="Q106" s="498"/>
      <c r="R106" s="498"/>
      <c r="S106" s="498"/>
      <c r="T106" s="498"/>
      <c r="U106" s="498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489" t="s">
        <v>393</v>
      </c>
      <c r="C107" s="187" t="s">
        <v>395</v>
      </c>
      <c r="D107" s="108">
        <v>5</v>
      </c>
      <c r="E107" s="108"/>
      <c r="F107" s="127"/>
      <c r="G107" s="128"/>
      <c r="H107" s="490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498"/>
      <c r="P107" s="498"/>
      <c r="Q107" s="498"/>
      <c r="R107" s="498"/>
      <c r="S107" s="498"/>
      <c r="T107" s="498"/>
      <c r="U107" s="498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489" t="s">
        <v>393</v>
      </c>
      <c r="C108" s="187" t="s">
        <v>402</v>
      </c>
      <c r="D108" s="108">
        <v>5</v>
      </c>
      <c r="E108" s="108"/>
      <c r="F108" s="127"/>
      <c r="G108" s="128"/>
      <c r="H108" s="490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498"/>
      <c r="P108" s="498"/>
      <c r="Q108" s="498"/>
      <c r="R108" s="498"/>
      <c r="S108" s="498"/>
      <c r="T108" s="498"/>
      <c r="U108" s="498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489" t="s">
        <v>404</v>
      </c>
      <c r="C109" s="187" t="s">
        <v>405</v>
      </c>
      <c r="D109" s="108">
        <v>5</v>
      </c>
      <c r="E109" s="108"/>
      <c r="F109" s="127"/>
      <c r="G109" s="128"/>
      <c r="H109" s="490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498"/>
      <c r="P109" s="498"/>
      <c r="Q109" s="498"/>
      <c r="R109" s="498"/>
      <c r="S109" s="498"/>
      <c r="T109" s="498"/>
      <c r="U109" s="498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489" t="s">
        <v>492</v>
      </c>
      <c r="C110" s="187" t="s">
        <v>372</v>
      </c>
      <c r="D110" s="108">
        <v>5</v>
      </c>
      <c r="E110" s="108"/>
      <c r="F110" s="127"/>
      <c r="G110" s="128"/>
      <c r="H110" s="490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498"/>
      <c r="P110" s="498"/>
      <c r="Q110" s="498"/>
      <c r="R110" s="498"/>
      <c r="S110" s="498"/>
      <c r="T110" s="498"/>
      <c r="U110" s="498"/>
      <c r="V110" s="132"/>
      <c r="W110" s="133"/>
      <c r="X110" s="132"/>
      <c r="Y110" s="132"/>
      <c r="Z110" s="132"/>
      <c r="AA110" s="132"/>
    </row>
    <row r="111" spans="1:27" ht="20.100000000000001" customHeight="1">
      <c r="A111" s="299">
        <v>30600009</v>
      </c>
      <c r="B111" s="489" t="s">
        <v>343</v>
      </c>
      <c r="C111" s="126" t="s">
        <v>345</v>
      </c>
      <c r="D111" s="108">
        <v>5</v>
      </c>
      <c r="E111" s="108"/>
      <c r="F111" s="127">
        <v>42743</v>
      </c>
      <c r="G111" s="128">
        <f>90+22</f>
        <v>112</v>
      </c>
      <c r="H111" s="490">
        <f t="shared" si="36"/>
        <v>560</v>
      </c>
      <c r="I111" s="129">
        <f>3.5*6</f>
        <v>21</v>
      </c>
      <c r="J111" s="130">
        <f t="array" ref="J111">IF(ISERROR(G111/I111),"",G111/I111)</f>
        <v>5.333333333333333</v>
      </c>
      <c r="K111" s="131">
        <f t="array" ref="K111">IF(ISERROR(G111/L111),"",G111/L111)</f>
        <v>22.4</v>
      </c>
      <c r="L111" s="129">
        <v>5</v>
      </c>
      <c r="M111" s="109">
        <f t="shared" si="37"/>
        <v>-1.3999999999999986</v>
      </c>
      <c r="N111" s="130">
        <f t="shared" si="40"/>
        <v>0</v>
      </c>
      <c r="O111" s="498"/>
      <c r="P111" s="498"/>
      <c r="Q111" s="498"/>
      <c r="R111" s="498"/>
      <c r="S111" s="498"/>
      <c r="T111" s="498"/>
      <c r="U111" s="498"/>
      <c r="V111" s="132"/>
      <c r="W111" s="133"/>
      <c r="X111" s="132"/>
      <c r="Y111" s="132"/>
      <c r="Z111" s="132"/>
      <c r="AA111" s="132"/>
    </row>
    <row r="112" spans="1:27" ht="20.100000000000001" customHeight="1">
      <c r="A112" s="299">
        <v>30600010</v>
      </c>
      <c r="B112" s="489" t="s">
        <v>343</v>
      </c>
      <c r="C112" s="126" t="s">
        <v>347</v>
      </c>
      <c r="D112" s="108">
        <v>5</v>
      </c>
      <c r="E112" s="108"/>
      <c r="F112" s="127">
        <v>42743</v>
      </c>
      <c r="G112" s="128">
        <f>90+36</f>
        <v>126</v>
      </c>
      <c r="H112" s="490">
        <f t="shared" si="36"/>
        <v>630</v>
      </c>
      <c r="I112" s="129">
        <f>3.5*6</f>
        <v>21</v>
      </c>
      <c r="J112" s="130">
        <f t="array" ref="J112">IF(ISERROR(G112/I112),"",G112/I112)</f>
        <v>6</v>
      </c>
      <c r="K112" s="131">
        <f t="array" ref="K112">IF(ISERROR(G112/L112),"",G112/L112)</f>
        <v>25.2</v>
      </c>
      <c r="L112" s="129">
        <v>5</v>
      </c>
      <c r="M112" s="109">
        <f t="shared" si="37"/>
        <v>-4.1999999999999993</v>
      </c>
      <c r="N112" s="130">
        <f t="shared" si="40"/>
        <v>0</v>
      </c>
      <c r="O112" s="498"/>
      <c r="P112" s="498"/>
      <c r="Q112" s="498"/>
      <c r="R112" s="498"/>
      <c r="S112" s="498"/>
      <c r="T112" s="498"/>
      <c r="U112" s="498"/>
      <c r="V112" s="132"/>
      <c r="W112" s="133"/>
      <c r="X112" s="132"/>
      <c r="Y112" s="132"/>
      <c r="Z112" s="132"/>
      <c r="AA112" s="132"/>
    </row>
    <row r="113" spans="1:27" ht="20.10000000000000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>
        <v>42742</v>
      </c>
      <c r="G113" s="128">
        <f>70+87+100</f>
        <v>257</v>
      </c>
      <c r="H113" s="490">
        <f t="shared" si="36"/>
        <v>1300.4199999999998</v>
      </c>
      <c r="I113" s="129">
        <f>11*2</f>
        <v>22</v>
      </c>
      <c r="J113" s="130">
        <f t="array" ref="J113">IF(ISERROR(G113/I113),"",G113/I113)</f>
        <v>11.681818181818182</v>
      </c>
      <c r="K113" s="131">
        <f t="array" ref="K113">IF(ISERROR(G113/L113),"",G113/L113)</f>
        <v>16.580645161290324</v>
      </c>
      <c r="L113" s="129">
        <v>15.5</v>
      </c>
      <c r="M113" s="109">
        <f t="shared" si="37"/>
        <v>5.4193548387096762</v>
      </c>
      <c r="N113" s="130">
        <f t="shared" si="40"/>
        <v>0</v>
      </c>
      <c r="O113" s="498"/>
      <c r="P113" s="498"/>
      <c r="Q113" s="498"/>
      <c r="R113" s="498"/>
      <c r="S113" s="498"/>
      <c r="T113" s="498"/>
      <c r="U113" s="498"/>
      <c r="V113" s="132">
        <f t="shared" ref="V113:V114" si="44">SUM(X113:AA113)</f>
        <v>0</v>
      </c>
      <c r="W113" s="133">
        <f t="shared" ref="W113:W114" si="45">IF(ISERROR(V113/G113),"",V113/G113)</f>
        <v>0</v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90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498"/>
      <c r="P114" s="498"/>
      <c r="Q114" s="498"/>
      <c r="R114" s="498"/>
      <c r="S114" s="498"/>
      <c r="T114" s="498"/>
      <c r="U114" s="498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490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498"/>
      <c r="P115" s="498"/>
      <c r="Q115" s="498"/>
      <c r="R115" s="498"/>
      <c r="S115" s="498"/>
      <c r="T115" s="498"/>
      <c r="U115" s="498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90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498"/>
      <c r="P116" s="498"/>
      <c r="Q116" s="498"/>
      <c r="R116" s="498"/>
      <c r="S116" s="498"/>
      <c r="T116" s="498"/>
      <c r="U116" s="498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490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498"/>
      <c r="P117" s="498"/>
      <c r="Q117" s="498"/>
      <c r="R117" s="498"/>
      <c r="S117" s="498"/>
      <c r="T117" s="498"/>
      <c r="U117" s="498"/>
      <c r="V117" s="132"/>
      <c r="W117" s="133"/>
      <c r="X117" s="132"/>
      <c r="Y117" s="132"/>
      <c r="Z117" s="132"/>
      <c r="AA117" s="132"/>
    </row>
    <row r="118" spans="1:27" ht="20.10000000000000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>
        <v>42740</v>
      </c>
      <c r="G118" s="128">
        <f>100+90+100+104-90</f>
        <v>304</v>
      </c>
      <c r="H118" s="490">
        <f t="shared" si="36"/>
        <v>1541.2800000000002</v>
      </c>
      <c r="I118" s="129">
        <f>11*4</f>
        <v>44</v>
      </c>
      <c r="J118" s="130">
        <f t="array" ref="J118">IF(ISERROR(G118/I118),"",G118/I118)</f>
        <v>6.9090909090909092</v>
      </c>
      <c r="K118" s="131">
        <f t="array" ref="K118">IF(ISERROR(G118/L118),"",G118/L118)</f>
        <v>33.777777777777779</v>
      </c>
      <c r="L118" s="129">
        <v>9</v>
      </c>
      <c r="M118" s="109">
        <f t="shared" ref="M118:M120" si="46">IF(ISERROR(I118-K118),"",I118-K118)</f>
        <v>10.222222222222221</v>
      </c>
      <c r="N118" s="130">
        <f t="shared" ref="N118:N120" si="47">SUM(O118:U118)</f>
        <v>0</v>
      </c>
      <c r="O118" s="498"/>
      <c r="P118" s="498"/>
      <c r="Q118" s="498"/>
      <c r="R118" s="498"/>
      <c r="S118" s="498"/>
      <c r="T118" s="498"/>
      <c r="U118" s="498"/>
      <c r="V118" s="132">
        <f t="shared" ref="V118:V120" si="48">SUM(X118:AA118)</f>
        <v>0</v>
      </c>
      <c r="W118" s="133">
        <f t="shared" ref="W118:W142" si="49">IF(ISERROR(V118/G118),"",V118/G118)</f>
        <v>0</v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90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498"/>
      <c r="P119" s="498"/>
      <c r="Q119" s="498"/>
      <c r="R119" s="498"/>
      <c r="S119" s="498"/>
      <c r="T119" s="498"/>
      <c r="U119" s="498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490">
        <f t="shared" si="36"/>
        <v>0</v>
      </c>
      <c r="I120" s="129"/>
      <c r="J120" s="130" t="str">
        <f t="array" ref="J120">IF(ISERROR(G120/I120),"",G120/I120)</f>
        <v/>
      </c>
      <c r="K120" s="490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498"/>
      <c r="P120" s="498"/>
      <c r="Q120" s="498"/>
      <c r="R120" s="498"/>
      <c r="S120" s="498"/>
      <c r="T120" s="498"/>
      <c r="U120" s="498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578" t="s">
        <v>224</v>
      </c>
      <c r="B121" s="579"/>
      <c r="C121" s="499" t="s">
        <v>202</v>
      </c>
      <c r="D121" s="143"/>
      <c r="E121" s="143"/>
      <c r="F121" s="144"/>
      <c r="G121" s="145">
        <f>SUM(G87:G120)</f>
        <v>799</v>
      </c>
      <c r="H121" s="146">
        <f>SUM(H87:H120)</f>
        <v>4031.7000000000003</v>
      </c>
      <c r="I121" s="146">
        <f>SUM(I87:I120)</f>
        <v>108</v>
      </c>
      <c r="J121" s="130">
        <f t="array" ref="J121">IF(ISERROR(G121/I121),"",G121/I121)</f>
        <v>7.3981481481481479</v>
      </c>
      <c r="K121" s="146">
        <f>SUM(K87:K120)</f>
        <v>97.9584229390681</v>
      </c>
      <c r="L121" s="147"/>
      <c r="M121" s="150">
        <f t="shared" ref="M121:V121" si="50">SUM(M87:M120)</f>
        <v>10.0415770609319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>
        <v>42742</v>
      </c>
      <c r="G122" s="128">
        <f>44+90+90*4</f>
        <v>494</v>
      </c>
      <c r="H122" s="490">
        <f t="shared" ref="H122:H136" si="51">D122*G122</f>
        <v>2484.8200000000002</v>
      </c>
      <c r="I122" s="129">
        <f>8*2</f>
        <v>16</v>
      </c>
      <c r="J122" s="130">
        <f t="array" ref="J122">IF(ISERROR(G122/I122),"",G122/I122)</f>
        <v>30.875</v>
      </c>
      <c r="K122" s="131">
        <f t="array" ref="K122">IF(ISERROR(G122/L122),"",G122/L122)</f>
        <v>19.760000000000002</v>
      </c>
      <c r="L122" s="129">
        <v>25</v>
      </c>
      <c r="M122" s="109">
        <f t="shared" ref="M122:M136" si="52">IF(ISERROR(I122-K122),"",I122-K122)</f>
        <v>-3.7600000000000016</v>
      </c>
      <c r="N122" s="130">
        <f t="shared" ref="N122:N136" si="53">SUM(O122:U122)</f>
        <v>0</v>
      </c>
      <c r="O122" s="498"/>
      <c r="P122" s="498"/>
      <c r="Q122" s="498"/>
      <c r="R122" s="498"/>
      <c r="S122" s="498"/>
      <c r="T122" s="498"/>
      <c r="U122" s="498"/>
      <c r="V122" s="132">
        <f t="shared" ref="V122:V136" si="54">SUM(X122:AA122)</f>
        <v>0</v>
      </c>
      <c r="W122" s="133">
        <f t="shared" si="49"/>
        <v>0</v>
      </c>
      <c r="X122" s="132"/>
      <c r="Y122" s="132"/>
      <c r="Z122" s="132"/>
      <c r="AA122" s="132"/>
    </row>
    <row r="123" spans="1:27" ht="20.10000000000000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>
        <v>42742</v>
      </c>
      <c r="G123" s="128">
        <f>24+90</f>
        <v>114</v>
      </c>
      <c r="H123" s="490">
        <f t="shared" si="51"/>
        <v>573.42000000000007</v>
      </c>
      <c r="I123" s="129">
        <f>3*2</f>
        <v>6</v>
      </c>
      <c r="J123" s="130">
        <f t="array" ref="J123">IF(ISERROR(G123/I123),"",G123/I123)</f>
        <v>19</v>
      </c>
      <c r="K123" s="131">
        <f t="array" ref="K123">IF(ISERROR(G123/L123),"",G123/L123)</f>
        <v>4.5599999999999996</v>
      </c>
      <c r="L123" s="129">
        <v>25</v>
      </c>
      <c r="M123" s="109">
        <f t="shared" si="52"/>
        <v>1.4400000000000004</v>
      </c>
      <c r="N123" s="130">
        <f t="shared" si="53"/>
        <v>0</v>
      </c>
      <c r="O123" s="498"/>
      <c r="P123" s="498"/>
      <c r="Q123" s="498"/>
      <c r="R123" s="498"/>
      <c r="S123" s="498"/>
      <c r="T123" s="498"/>
      <c r="U123" s="498"/>
      <c r="V123" s="132">
        <f t="shared" si="54"/>
        <v>0</v>
      </c>
      <c r="W123" s="133">
        <f t="shared" si="49"/>
        <v>0</v>
      </c>
      <c r="X123" s="132"/>
      <c r="Y123" s="132"/>
      <c r="Z123" s="132"/>
      <c r="AA123" s="132"/>
    </row>
    <row r="124" spans="1:27" ht="20.10000000000000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>
        <v>42743</v>
      </c>
      <c r="G124" s="128">
        <f>100*5+54</f>
        <v>554</v>
      </c>
      <c r="H124" s="490">
        <f t="shared" si="51"/>
        <v>2792.16</v>
      </c>
      <c r="I124" s="129">
        <f>11*3</f>
        <v>33</v>
      </c>
      <c r="J124" s="130">
        <f t="array" ref="J124">IF(ISERROR(G124/I124),"",G124/I124)</f>
        <v>16.787878787878789</v>
      </c>
      <c r="K124" s="131">
        <f t="array" ref="K124">IF(ISERROR(G124/L124),"",G124/L124)</f>
        <v>27.7</v>
      </c>
      <c r="L124" s="129">
        <v>20</v>
      </c>
      <c r="M124" s="109">
        <f t="shared" si="52"/>
        <v>5.3000000000000007</v>
      </c>
      <c r="N124" s="130">
        <f t="shared" si="53"/>
        <v>0</v>
      </c>
      <c r="O124" s="498"/>
      <c r="P124" s="498"/>
      <c r="Q124" s="498"/>
      <c r="R124" s="498"/>
      <c r="S124" s="498"/>
      <c r="T124" s="498"/>
      <c r="U124" s="498"/>
      <c r="V124" s="132">
        <f t="shared" si="54"/>
        <v>0</v>
      </c>
      <c r="W124" s="133">
        <f t="shared" si="49"/>
        <v>0</v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490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498"/>
      <c r="P125" s="498"/>
      <c r="Q125" s="498"/>
      <c r="R125" s="498"/>
      <c r="S125" s="498"/>
      <c r="T125" s="498"/>
      <c r="U125" s="498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495" t="s">
        <v>203</v>
      </c>
      <c r="D126" s="108">
        <v>5.03</v>
      </c>
      <c r="E126" s="108"/>
      <c r="F126" s="127"/>
      <c r="G126" s="128"/>
      <c r="H126" s="490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498"/>
      <c r="P126" s="498"/>
      <c r="Q126" s="498"/>
      <c r="R126" s="498"/>
      <c r="S126" s="498"/>
      <c r="T126" s="498"/>
      <c r="U126" s="498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90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498"/>
      <c r="P127" s="498"/>
      <c r="Q127" s="498"/>
      <c r="R127" s="498"/>
      <c r="S127" s="498"/>
      <c r="T127" s="498"/>
      <c r="U127" s="498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90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498"/>
      <c r="P128" s="498"/>
      <c r="Q128" s="498"/>
      <c r="R128" s="498"/>
      <c r="S128" s="498"/>
      <c r="T128" s="498"/>
      <c r="U128" s="498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495" t="s">
        <v>228</v>
      </c>
      <c r="D129" s="108">
        <v>5.03</v>
      </c>
      <c r="E129" s="108"/>
      <c r="F129" s="127"/>
      <c r="G129" s="128"/>
      <c r="H129" s="490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498"/>
      <c r="P129" s="498"/>
      <c r="Q129" s="498"/>
      <c r="R129" s="498"/>
      <c r="S129" s="498"/>
      <c r="T129" s="498"/>
      <c r="U129" s="498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495" t="s">
        <v>212</v>
      </c>
      <c r="D130" s="108">
        <v>5.03</v>
      </c>
      <c r="E130" s="108"/>
      <c r="F130" s="127"/>
      <c r="G130" s="128"/>
      <c r="H130" s="490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498"/>
      <c r="P130" s="498"/>
      <c r="Q130" s="498"/>
      <c r="R130" s="498"/>
      <c r="S130" s="498"/>
      <c r="T130" s="498"/>
      <c r="U130" s="498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495" t="s">
        <v>203</v>
      </c>
      <c r="D131" s="108">
        <v>5.03</v>
      </c>
      <c r="E131" s="108"/>
      <c r="F131" s="127"/>
      <c r="G131" s="128"/>
      <c r="H131" s="490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498"/>
      <c r="P131" s="498"/>
      <c r="Q131" s="498"/>
      <c r="R131" s="498"/>
      <c r="S131" s="498"/>
      <c r="T131" s="498"/>
      <c r="U131" s="498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495" t="s">
        <v>186</v>
      </c>
      <c r="D132" s="108">
        <v>5.03</v>
      </c>
      <c r="E132" s="108"/>
      <c r="F132" s="127"/>
      <c r="G132" s="128"/>
      <c r="H132" s="490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498"/>
      <c r="P132" s="498"/>
      <c r="Q132" s="498"/>
      <c r="R132" s="498"/>
      <c r="S132" s="498"/>
      <c r="T132" s="498"/>
      <c r="U132" s="498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495" t="s">
        <v>228</v>
      </c>
      <c r="D133" s="108">
        <v>5.03</v>
      </c>
      <c r="E133" s="108"/>
      <c r="F133" s="127"/>
      <c r="G133" s="128"/>
      <c r="H133" s="490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498"/>
      <c r="P133" s="498"/>
      <c r="Q133" s="498"/>
      <c r="R133" s="498"/>
      <c r="S133" s="498"/>
      <c r="T133" s="498"/>
      <c r="U133" s="498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495" t="s">
        <v>199</v>
      </c>
      <c r="D134" s="108">
        <v>5.03</v>
      </c>
      <c r="E134" s="108"/>
      <c r="F134" s="127"/>
      <c r="G134" s="128"/>
      <c r="H134" s="490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498"/>
      <c r="P134" s="498"/>
      <c r="Q134" s="498"/>
      <c r="R134" s="498"/>
      <c r="S134" s="498"/>
      <c r="T134" s="498"/>
      <c r="U134" s="498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90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498"/>
      <c r="P135" s="498"/>
      <c r="Q135" s="498"/>
      <c r="R135" s="498"/>
      <c r="S135" s="498"/>
      <c r="T135" s="498"/>
      <c r="U135" s="498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490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498"/>
      <c r="P136" s="498"/>
      <c r="Q136" s="498"/>
      <c r="R136" s="498"/>
      <c r="S136" s="498"/>
      <c r="T136" s="498"/>
      <c r="U136" s="498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customHeight="1">
      <c r="A137" s="578" t="s">
        <v>231</v>
      </c>
      <c r="B137" s="579"/>
      <c r="C137" s="499" t="s">
        <v>202</v>
      </c>
      <c r="D137" s="143"/>
      <c r="E137" s="143"/>
      <c r="F137" s="144"/>
      <c r="G137" s="145">
        <f>SUM(G122:G136)</f>
        <v>1162</v>
      </c>
      <c r="H137" s="146">
        <f>SUM(H122:H136)</f>
        <v>5850.4</v>
      </c>
      <c r="I137" s="146">
        <f>SUM(I122:I136)</f>
        <v>55</v>
      </c>
      <c r="J137" s="130">
        <f t="array" ref="J137">IF(ISERROR(G137/I137),"",G137/I137)</f>
        <v>21.127272727272729</v>
      </c>
      <c r="K137" s="146">
        <f>SUM(K122:K136)</f>
        <v>52.019999999999996</v>
      </c>
      <c r="L137" s="147"/>
      <c r="M137" s="150">
        <f>SUM(M122:M136)</f>
        <v>2.9799999999999995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49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90">
        <f t="shared" ref="H138:H147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498"/>
      <c r="P138" s="498"/>
      <c r="Q138" s="498"/>
      <c r="R138" s="498"/>
      <c r="S138" s="498"/>
      <c r="T138" s="498"/>
      <c r="U138" s="498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90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498"/>
      <c r="P139" s="498"/>
      <c r="Q139" s="498"/>
      <c r="R139" s="498"/>
      <c r="S139" s="498"/>
      <c r="T139" s="498"/>
      <c r="U139" s="498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90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498"/>
      <c r="P140" s="498"/>
      <c r="Q140" s="498"/>
      <c r="R140" s="498"/>
      <c r="S140" s="498"/>
      <c r="T140" s="498"/>
      <c r="U140" s="498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490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498"/>
      <c r="P141" s="498"/>
      <c r="Q141" s="498"/>
      <c r="R141" s="498"/>
      <c r="S141" s="498"/>
      <c r="T141" s="498"/>
      <c r="U141" s="498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90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498"/>
      <c r="P142" s="498"/>
      <c r="Q142" s="498"/>
      <c r="R142" s="498"/>
      <c r="S142" s="498"/>
      <c r="T142" s="498"/>
      <c r="U142" s="498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490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498"/>
      <c r="P143" s="498"/>
      <c r="Q143" s="498"/>
      <c r="R143" s="498"/>
      <c r="S143" s="498"/>
      <c r="T143" s="498"/>
      <c r="U143" s="498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>
        <v>42743</v>
      </c>
      <c r="G144" s="128">
        <f>90*5+64</f>
        <v>514</v>
      </c>
      <c r="H144" s="490">
        <f t="shared" si="55"/>
        <v>2590.56</v>
      </c>
      <c r="I144" s="129">
        <f>9.5*4</f>
        <v>38</v>
      </c>
      <c r="J144" s="130">
        <f t="array" ref="J144">IF(ISERROR(G144/I144),"",G144/I144)</f>
        <v>13.526315789473685</v>
      </c>
      <c r="K144" s="131">
        <f t="array" ref="K144">IF(ISERROR(G144/L144),"",G144/L144)</f>
        <v>38.074074074074076</v>
      </c>
      <c r="L144" s="129">
        <v>13.5</v>
      </c>
      <c r="M144" s="109">
        <f t="shared" ref="M144:M145" si="59">IF(ISERROR(I144-K144),"",I144-K144)</f>
        <v>-7.4074074074076179E-2</v>
      </c>
      <c r="N144" s="130"/>
      <c r="O144" s="498"/>
      <c r="P144" s="498"/>
      <c r="Q144" s="498"/>
      <c r="R144" s="498"/>
      <c r="S144" s="498"/>
      <c r="T144" s="498"/>
      <c r="U144" s="498"/>
      <c r="V144" s="132"/>
      <c r="W144" s="133"/>
      <c r="X144" s="132"/>
      <c r="Y144" s="132"/>
      <c r="Z144" s="132"/>
      <c r="AA144" s="132"/>
    </row>
    <row r="145" spans="1:27" ht="20.100000000000001" customHeight="1">
      <c r="A145" s="300">
        <v>30400021</v>
      </c>
      <c r="B145" s="134" t="s">
        <v>439</v>
      </c>
      <c r="C145" s="187" t="s">
        <v>53</v>
      </c>
      <c r="D145" s="108">
        <v>5.04</v>
      </c>
      <c r="E145" s="108"/>
      <c r="F145" s="127">
        <v>42743</v>
      </c>
      <c r="G145" s="128">
        <v>81</v>
      </c>
      <c r="H145" s="490">
        <f t="shared" si="55"/>
        <v>408.24</v>
      </c>
      <c r="I145" s="129">
        <f>1.5*4</f>
        <v>6</v>
      </c>
      <c r="J145" s="130">
        <f t="array" ref="J145">IF(ISERROR(G145/I145),"",G145/I145)</f>
        <v>13.5</v>
      </c>
      <c r="K145" s="131">
        <f t="array" ref="K145">IF(ISERROR(G145/L145),"",G145/L145)</f>
        <v>6</v>
      </c>
      <c r="L145" s="129">
        <v>13.5</v>
      </c>
      <c r="M145" s="109">
        <f t="shared" si="59"/>
        <v>0</v>
      </c>
      <c r="N145" s="130"/>
      <c r="O145" s="498"/>
      <c r="P145" s="498"/>
      <c r="Q145" s="498"/>
      <c r="R145" s="498"/>
      <c r="S145" s="498"/>
      <c r="T145" s="498"/>
      <c r="U145" s="498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/>
      <c r="G146" s="128"/>
      <c r="H146" s="490">
        <f t="shared" si="55"/>
        <v>0</v>
      </c>
      <c r="I146" s="129"/>
      <c r="J146" s="130"/>
      <c r="K146" s="131">
        <f t="array" ref="K146">IF(ISERROR(G146/L146),"",G146/L146)</f>
        <v>0</v>
      </c>
      <c r="L146" s="129">
        <v>13.5</v>
      </c>
      <c r="M146" s="109"/>
      <c r="N146" s="130"/>
      <c r="O146" s="498"/>
      <c r="P146" s="498"/>
      <c r="Q146" s="498"/>
      <c r="R146" s="498"/>
      <c r="S146" s="498"/>
      <c r="T146" s="498"/>
      <c r="U146" s="498"/>
      <c r="V146" s="132"/>
      <c r="W146" s="133"/>
      <c r="X146" s="132"/>
      <c r="Y146" s="132"/>
      <c r="Z146" s="132"/>
      <c r="AA146" s="132"/>
    </row>
    <row r="147" spans="1:27" ht="20.100000000000001" hidden="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28"/>
      <c r="H147" s="490">
        <f t="shared" si="55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ref="M147" si="60">IF(ISERROR(I147-K147),"",I147-K147)</f>
        <v>0</v>
      </c>
      <c r="N147" s="130">
        <f t="shared" ref="N147" si="61">SUM(O147:U147)</f>
        <v>0</v>
      </c>
      <c r="O147" s="498"/>
      <c r="P147" s="498"/>
      <c r="Q147" s="498"/>
      <c r="R147" s="498"/>
      <c r="S147" s="498"/>
      <c r="T147" s="498"/>
      <c r="U147" s="498"/>
      <c r="V147" s="132">
        <f t="shared" ref="V147" si="62">SUM(X147:AA147)</f>
        <v>0</v>
      </c>
      <c r="W147" s="133" t="str">
        <f t="shared" ref="W147:W152" si="63">IF(ISERROR(V147/G147),"",V147/G147)</f>
        <v/>
      </c>
      <c r="X147" s="132"/>
      <c r="Y147" s="132"/>
      <c r="Z147" s="132"/>
      <c r="AA147" s="132"/>
    </row>
    <row r="148" spans="1:27" ht="20.100000000000001" customHeight="1">
      <c r="A148" s="578" t="s">
        <v>234</v>
      </c>
      <c r="B148" s="579"/>
      <c r="C148" s="499" t="s">
        <v>202</v>
      </c>
      <c r="D148" s="143"/>
      <c r="E148" s="143"/>
      <c r="F148" s="144"/>
      <c r="G148" s="145">
        <f>SUM(G138:G147)</f>
        <v>595</v>
      </c>
      <c r="H148" s="146">
        <f>SUM(H138:H147)</f>
        <v>2998.8</v>
      </c>
      <c r="I148" s="146">
        <f>SUM(I138:I147)</f>
        <v>44</v>
      </c>
      <c r="J148" s="130">
        <f t="array" ref="J148">IF(ISERROR(G148/I148),"",G148/I148)</f>
        <v>13.522727272727273</v>
      </c>
      <c r="K148" s="146">
        <f>SUM(K138:K147)</f>
        <v>44.074074074074076</v>
      </c>
      <c r="L148" s="147"/>
      <c r="M148" s="150">
        <f>SUM(M138:M147)</f>
        <v>-7.4074074074076179E-2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>
        <f t="shared" si="63"/>
        <v>0</v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hidden="1" customHeight="1">
      <c r="A149" s="299">
        <v>30700013</v>
      </c>
      <c r="B149" s="298" t="s">
        <v>103</v>
      </c>
      <c r="C149" s="496"/>
      <c r="D149" s="108">
        <v>3.65</v>
      </c>
      <c r="E149" s="108"/>
      <c r="F149" s="153"/>
      <c r="G149" s="128"/>
      <c r="H149" s="490">
        <f t="shared" ref="H149:H162" si="64">D149*G149</f>
        <v>0</v>
      </c>
      <c r="I149" s="129"/>
      <c r="J149" s="130" t="str">
        <f t="array" ref="J149">IF(ISERROR(G149/I149),"",G149/I149)</f>
        <v/>
      </c>
      <c r="K149" s="490">
        <f t="array" ref="K149">IF(ISERROR(G149/L149),"",G149/L149)</f>
        <v>0</v>
      </c>
      <c r="L149" s="129">
        <v>5</v>
      </c>
      <c r="M149" s="109">
        <f t="shared" ref="M149:M152" si="65">IF(ISERROR(I149-K149),"",I149-K149)</f>
        <v>0</v>
      </c>
      <c r="N149" s="130">
        <f t="shared" ref="N149:N152" si="66">SUM(O149:U149)</f>
        <v>0</v>
      </c>
      <c r="O149" s="498"/>
      <c r="P149" s="498"/>
      <c r="Q149" s="498"/>
      <c r="R149" s="498"/>
      <c r="S149" s="498"/>
      <c r="T149" s="498"/>
      <c r="U149" s="498"/>
      <c r="V149" s="132">
        <f t="shared" ref="V149:V152" si="67">SUM(X149:AA149)</f>
        <v>0</v>
      </c>
      <c r="W149" s="133" t="str">
        <f t="shared" si="63"/>
        <v/>
      </c>
      <c r="X149" s="132"/>
      <c r="Y149" s="132"/>
      <c r="Z149" s="132"/>
      <c r="AA149" s="132"/>
    </row>
    <row r="150" spans="1:27" ht="20.100000000000001" customHeight="1">
      <c r="A150" s="299">
        <v>30700014</v>
      </c>
      <c r="B150" s="141" t="s">
        <v>236</v>
      </c>
      <c r="C150" s="496"/>
      <c r="D150" s="108">
        <v>6.58</v>
      </c>
      <c r="E150" s="108"/>
      <c r="F150" s="127">
        <v>42738</v>
      </c>
      <c r="G150" s="128">
        <f>33+36</f>
        <v>69</v>
      </c>
      <c r="H150" s="490">
        <f t="shared" si="64"/>
        <v>454.02</v>
      </c>
      <c r="I150" s="129">
        <v>14</v>
      </c>
      <c r="J150" s="130">
        <f t="array" ref="J150">IF(ISERROR(G150/I150),"",G150/I150)</f>
        <v>4.9285714285714288</v>
      </c>
      <c r="K150" s="131">
        <f t="array" ref="K150">IF(ISERROR(G150/L150),"",G150/L150)</f>
        <v>13.8</v>
      </c>
      <c r="L150" s="129">
        <v>5</v>
      </c>
      <c r="M150" s="109">
        <f t="shared" si="65"/>
        <v>0.19999999999999929</v>
      </c>
      <c r="N150" s="130">
        <f t="shared" si="66"/>
        <v>0</v>
      </c>
      <c r="O150" s="498"/>
      <c r="P150" s="498"/>
      <c r="Q150" s="498"/>
      <c r="R150" s="498"/>
      <c r="S150" s="498"/>
      <c r="T150" s="498"/>
      <c r="U150" s="498"/>
      <c r="V150" s="132">
        <f t="shared" si="67"/>
        <v>0</v>
      </c>
      <c r="W150" s="133">
        <f t="shared" si="63"/>
        <v>0</v>
      </c>
      <c r="X150" s="132"/>
      <c r="Y150" s="132"/>
      <c r="Z150" s="132"/>
      <c r="AA150" s="132"/>
    </row>
    <row r="151" spans="1:27" ht="20.100000000000001" hidden="1" customHeight="1">
      <c r="A151" s="299">
        <v>30700016</v>
      </c>
      <c r="B151" s="141" t="s">
        <v>237</v>
      </c>
      <c r="C151" s="496"/>
      <c r="D151" s="108">
        <v>7.8</v>
      </c>
      <c r="E151" s="108"/>
      <c r="F151" s="127"/>
      <c r="G151" s="128"/>
      <c r="H151" s="490">
        <f t="shared" si="64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4.5999999999999996</v>
      </c>
      <c r="M151" s="109">
        <f t="shared" si="65"/>
        <v>0</v>
      </c>
      <c r="N151" s="130">
        <f t="shared" si="66"/>
        <v>0</v>
      </c>
      <c r="O151" s="498"/>
      <c r="P151" s="498"/>
      <c r="Q151" s="498"/>
      <c r="R151" s="498"/>
      <c r="S151" s="498"/>
      <c r="T151" s="498"/>
      <c r="U151" s="498"/>
      <c r="V151" s="132">
        <f t="shared" si="67"/>
        <v>0</v>
      </c>
      <c r="W151" s="133" t="str">
        <f t="shared" si="63"/>
        <v/>
      </c>
      <c r="X151" s="132"/>
      <c r="Y151" s="132"/>
      <c r="Z151" s="132"/>
      <c r="AA151" s="132"/>
    </row>
    <row r="152" spans="1:27" ht="20.100000000000001" hidden="1" customHeight="1">
      <c r="A152" s="299">
        <v>30700017</v>
      </c>
      <c r="B152" s="141" t="s">
        <v>238</v>
      </c>
      <c r="C152" s="496"/>
      <c r="D152" s="108">
        <v>4.4000000000000004</v>
      </c>
      <c r="E152" s="108"/>
      <c r="F152" s="127"/>
      <c r="G152" s="128"/>
      <c r="H152" s="490">
        <f t="shared" si="64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5.8</v>
      </c>
      <c r="M152" s="109">
        <f t="shared" si="65"/>
        <v>0</v>
      </c>
      <c r="N152" s="130">
        <f t="shared" si="66"/>
        <v>0</v>
      </c>
      <c r="O152" s="498"/>
      <c r="P152" s="498"/>
      <c r="Q152" s="498"/>
      <c r="R152" s="498"/>
      <c r="S152" s="498"/>
      <c r="T152" s="498"/>
      <c r="U152" s="498"/>
      <c r="V152" s="132">
        <f t="shared" si="67"/>
        <v>0</v>
      </c>
      <c r="W152" s="133" t="str">
        <f t="shared" si="63"/>
        <v/>
      </c>
      <c r="X152" s="132"/>
      <c r="Y152" s="132"/>
      <c r="Z152" s="132"/>
      <c r="AA152" s="132"/>
    </row>
    <row r="153" spans="1:27" ht="20.100000000000001" hidden="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28"/>
      <c r="H153" s="490">
        <f t="shared" si="64"/>
        <v>0</v>
      </c>
      <c r="I153" s="129"/>
      <c r="J153" s="130"/>
      <c r="K153" s="131"/>
      <c r="L153" s="129">
        <v>6</v>
      </c>
      <c r="M153" s="109"/>
      <c r="N153" s="130"/>
      <c r="O153" s="498"/>
      <c r="P153" s="498"/>
      <c r="Q153" s="498"/>
      <c r="R153" s="498"/>
      <c r="S153" s="498"/>
      <c r="T153" s="498"/>
      <c r="U153" s="498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5"/>
      <c r="B154" s="496" t="s">
        <v>239</v>
      </c>
      <c r="C154" s="496" t="s">
        <v>179</v>
      </c>
      <c r="D154" s="108">
        <v>6.04</v>
      </c>
      <c r="E154" s="108"/>
      <c r="F154" s="127"/>
      <c r="G154" s="128"/>
      <c r="H154" s="490">
        <f t="shared" si="64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5" si="68">IF(ISERROR(I154-K154),"",I154-K154)</f>
        <v>0</v>
      </c>
      <c r="N154" s="130">
        <f t="shared" ref="N154:N155" si="69">SUM(O154:U154)</f>
        <v>0</v>
      </c>
      <c r="O154" s="498"/>
      <c r="P154" s="498"/>
      <c r="Q154" s="498"/>
      <c r="R154" s="498"/>
      <c r="S154" s="498"/>
      <c r="T154" s="498"/>
      <c r="U154" s="498"/>
      <c r="V154" s="132">
        <f t="shared" ref="V154:V155" si="70">SUM(X154:AA154)</f>
        <v>0</v>
      </c>
      <c r="W154" s="133" t="str">
        <f t="shared" ref="W154:W155" si="71">IF(ISERROR(V154/G154),"",V154/G154)</f>
        <v/>
      </c>
      <c r="X154" s="132"/>
      <c r="Y154" s="132"/>
      <c r="Z154" s="132"/>
      <c r="AA154" s="132"/>
    </row>
    <row r="155" spans="1:27" ht="20.100000000000001" hidden="1" customHeight="1">
      <c r="A155" s="305">
        <v>30700019</v>
      </c>
      <c r="B155" s="496" t="s">
        <v>239</v>
      </c>
      <c r="C155" s="496" t="s">
        <v>186</v>
      </c>
      <c r="D155" s="108">
        <v>6.04</v>
      </c>
      <c r="E155" s="108"/>
      <c r="F155" s="127"/>
      <c r="G155" s="128"/>
      <c r="H155" s="490">
        <f t="shared" si="64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8"/>
        <v>0</v>
      </c>
      <c r="N155" s="130">
        <f t="shared" si="69"/>
        <v>0</v>
      </c>
      <c r="O155" s="498"/>
      <c r="P155" s="498"/>
      <c r="Q155" s="498"/>
      <c r="R155" s="498"/>
      <c r="S155" s="498"/>
      <c r="T155" s="498"/>
      <c r="U155" s="498"/>
      <c r="V155" s="132">
        <f t="shared" si="70"/>
        <v>0</v>
      </c>
      <c r="W155" s="133" t="str">
        <f t="shared" si="71"/>
        <v/>
      </c>
      <c r="X155" s="132"/>
      <c r="Y155" s="132"/>
      <c r="Z155" s="132"/>
      <c r="AA155" s="132"/>
    </row>
    <row r="156" spans="1:27" ht="20.100000000000001" hidden="1" customHeight="1">
      <c r="A156" s="305">
        <v>30601015</v>
      </c>
      <c r="B156" s="496" t="s">
        <v>443</v>
      </c>
      <c r="C156" s="496" t="s">
        <v>179</v>
      </c>
      <c r="D156" s="108">
        <v>6</v>
      </c>
      <c r="E156" s="108"/>
      <c r="F156" s="127"/>
      <c r="G156" s="128"/>
      <c r="H156" s="490">
        <f t="shared" si="64"/>
        <v>0</v>
      </c>
      <c r="I156" s="129"/>
      <c r="J156" s="130"/>
      <c r="K156" s="131"/>
      <c r="L156" s="129"/>
      <c r="M156" s="109"/>
      <c r="N156" s="130"/>
      <c r="O156" s="498"/>
      <c r="P156" s="498"/>
      <c r="Q156" s="498"/>
      <c r="R156" s="498"/>
      <c r="S156" s="498"/>
      <c r="T156" s="498"/>
      <c r="U156" s="498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305">
        <v>30101016</v>
      </c>
      <c r="B157" s="496" t="s">
        <v>443</v>
      </c>
      <c r="C157" s="496" t="s">
        <v>60</v>
      </c>
      <c r="D157" s="108">
        <v>6</v>
      </c>
      <c r="E157" s="108"/>
      <c r="F157" s="127"/>
      <c r="G157" s="128"/>
      <c r="H157" s="490">
        <f t="shared" si="64"/>
        <v>0</v>
      </c>
      <c r="I157" s="129"/>
      <c r="J157" s="130"/>
      <c r="K157" s="131"/>
      <c r="L157" s="129">
        <v>6</v>
      </c>
      <c r="M157" s="109"/>
      <c r="N157" s="130"/>
      <c r="O157" s="498"/>
      <c r="P157" s="498"/>
      <c r="Q157" s="498"/>
      <c r="R157" s="498"/>
      <c r="S157" s="498"/>
      <c r="T157" s="498"/>
      <c r="U157" s="498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299">
        <v>30700018</v>
      </c>
      <c r="B158" s="489" t="s">
        <v>240</v>
      </c>
      <c r="C158" s="126"/>
      <c r="D158" s="108">
        <v>7.3</v>
      </c>
      <c r="E158" s="108"/>
      <c r="F158" s="127"/>
      <c r="G158" s="128"/>
      <c r="H158" s="490">
        <f t="shared" si="64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2">IF(ISERROR(I158-K158),"",I158-K158)</f>
        <v/>
      </c>
      <c r="N158" s="130">
        <f t="shared" ref="N158:N159" si="73">SUM(O158:U158)</f>
        <v>0</v>
      </c>
      <c r="O158" s="498"/>
      <c r="P158" s="498"/>
      <c r="Q158" s="498"/>
      <c r="R158" s="498"/>
      <c r="S158" s="498"/>
      <c r="T158" s="498"/>
      <c r="U158" s="498"/>
      <c r="V158" s="132">
        <f t="shared" ref="V158:V159" si="74">SUM(X158:AA158)</f>
        <v>0</v>
      </c>
      <c r="W158" s="133" t="str">
        <f t="shared" ref="W158:W159" si="75">IF(ISERROR(V158/G158),"",V158/G158)</f>
        <v/>
      </c>
      <c r="X158" s="132"/>
      <c r="Y158" s="132"/>
      <c r="Z158" s="132"/>
      <c r="AA158" s="132"/>
    </row>
    <row r="159" spans="1:27" ht="20.100000000000001" hidden="1" customHeight="1">
      <c r="A159" s="299">
        <v>30700010</v>
      </c>
      <c r="B159" s="489" t="s">
        <v>241</v>
      </c>
      <c r="C159" s="126"/>
      <c r="D159" s="108">
        <f>78*120/1000</f>
        <v>9.36</v>
      </c>
      <c r="E159" s="108"/>
      <c r="F159" s="127"/>
      <c r="G159" s="128"/>
      <c r="H159" s="490">
        <f t="shared" si="64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3"/>
        <v>0</v>
      </c>
      <c r="O159" s="498"/>
      <c r="P159" s="498"/>
      <c r="Q159" s="498"/>
      <c r="R159" s="498"/>
      <c r="S159" s="498"/>
      <c r="T159" s="498"/>
      <c r="U159" s="498"/>
      <c r="V159" s="132">
        <f t="shared" si="74"/>
        <v>0</v>
      </c>
      <c r="W159" s="133" t="str">
        <f t="shared" si="75"/>
        <v/>
      </c>
      <c r="X159" s="132"/>
      <c r="Y159" s="132"/>
      <c r="Z159" s="132"/>
      <c r="AA159" s="132"/>
    </row>
    <row r="160" spans="1:27" ht="20.100000000000001" hidden="1" customHeight="1">
      <c r="A160" s="299">
        <v>30700015</v>
      </c>
      <c r="B160" s="489" t="s">
        <v>242</v>
      </c>
      <c r="C160" s="126"/>
      <c r="D160" s="108">
        <v>4.5</v>
      </c>
      <c r="E160" s="108"/>
      <c r="F160" s="127"/>
      <c r="G160" s="128"/>
      <c r="H160" s="490">
        <f t="shared" si="64"/>
        <v>0</v>
      </c>
      <c r="I160" s="129"/>
      <c r="J160" s="130"/>
      <c r="K160" s="131"/>
      <c r="L160" s="129"/>
      <c r="M160" s="109"/>
      <c r="N160" s="130"/>
      <c r="O160" s="498"/>
      <c r="P160" s="498"/>
      <c r="Q160" s="498"/>
      <c r="R160" s="498"/>
      <c r="S160" s="498"/>
      <c r="T160" s="498"/>
      <c r="U160" s="498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299">
        <v>30700012</v>
      </c>
      <c r="B161" s="489" t="s">
        <v>243</v>
      </c>
      <c r="C161" s="126"/>
      <c r="D161" s="108">
        <v>4.5</v>
      </c>
      <c r="E161" s="108"/>
      <c r="F161" s="127"/>
      <c r="G161" s="128"/>
      <c r="H161" s="490">
        <f t="shared" si="64"/>
        <v>0</v>
      </c>
      <c r="I161" s="129"/>
      <c r="J161" s="130"/>
      <c r="K161" s="131"/>
      <c r="L161" s="129"/>
      <c r="M161" s="109"/>
      <c r="N161" s="130"/>
      <c r="O161" s="498"/>
      <c r="P161" s="498"/>
      <c r="Q161" s="498"/>
      <c r="R161" s="498"/>
      <c r="S161" s="498"/>
      <c r="T161" s="498"/>
      <c r="U161" s="498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306">
        <v>30101063</v>
      </c>
      <c r="B162" s="254" t="s">
        <v>436</v>
      </c>
      <c r="C162" s="126"/>
      <c r="D162" s="108">
        <v>5.03</v>
      </c>
      <c r="E162" s="108"/>
      <c r="F162" s="127"/>
      <c r="G162" s="128"/>
      <c r="H162" s="490">
        <f t="shared" si="64"/>
        <v>0</v>
      </c>
      <c r="I162" s="129"/>
      <c r="J162" s="130"/>
      <c r="K162" s="131"/>
      <c r="L162" s="129"/>
      <c r="M162" s="109"/>
      <c r="N162" s="130"/>
      <c r="O162" s="498"/>
      <c r="P162" s="498"/>
      <c r="Q162" s="498"/>
      <c r="R162" s="498"/>
      <c r="S162" s="498"/>
      <c r="T162" s="498"/>
      <c r="U162" s="498"/>
      <c r="V162" s="132"/>
      <c r="W162" s="133"/>
      <c r="X162" s="132"/>
      <c r="Y162" s="132"/>
      <c r="Z162" s="132"/>
      <c r="AA162" s="132"/>
    </row>
    <row r="163" spans="1:27" ht="20.100000000000001" customHeight="1">
      <c r="A163" s="578" t="s">
        <v>244</v>
      </c>
      <c r="B163" s="579"/>
      <c r="C163" s="499" t="s">
        <v>202</v>
      </c>
      <c r="D163" s="143"/>
      <c r="E163" s="143"/>
      <c r="F163" s="144"/>
      <c r="G163" s="145">
        <f>SUM(G149:G161)</f>
        <v>69</v>
      </c>
      <c r="H163" s="146">
        <f>SUM(H149:H159)</f>
        <v>454.02</v>
      </c>
      <c r="I163" s="146">
        <f>SUM(I149:I161)</f>
        <v>14</v>
      </c>
      <c r="J163" s="130">
        <f t="array" ref="J163">IF(ISERROR(G163/I163),"",G163/I163)</f>
        <v>4.9285714285714288</v>
      </c>
      <c r="K163" s="146">
        <f>SUM(K149:K159)</f>
        <v>13.8</v>
      </c>
      <c r="L163" s="147"/>
      <c r="M163" s="150">
        <f t="shared" ref="M163:V163" si="76">SUM(M149:M159)</f>
        <v>0.19999999999999929</v>
      </c>
      <c r="N163" s="146">
        <f t="shared" si="76"/>
        <v>0</v>
      </c>
      <c r="O163" s="148">
        <f t="shared" si="76"/>
        <v>0</v>
      </c>
      <c r="P163" s="148">
        <f t="shared" si="76"/>
        <v>0</v>
      </c>
      <c r="Q163" s="148">
        <f t="shared" si="76"/>
        <v>0</v>
      </c>
      <c r="R163" s="148">
        <f t="shared" si="76"/>
        <v>0</v>
      </c>
      <c r="S163" s="148">
        <f t="shared" si="76"/>
        <v>0</v>
      </c>
      <c r="T163" s="148">
        <f t="shared" si="76"/>
        <v>0</v>
      </c>
      <c r="U163" s="148">
        <f t="shared" si="76"/>
        <v>0</v>
      </c>
      <c r="V163" s="149">
        <f t="shared" si="76"/>
        <v>0</v>
      </c>
      <c r="W163" s="133">
        <f>IF(ISERROR(V163/G163),"",V163/G163)</f>
        <v>0</v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580" t="s">
        <v>246</v>
      </c>
      <c r="B164" s="581"/>
      <c r="C164" s="581"/>
      <c r="D164" s="581"/>
      <c r="E164" s="581"/>
      <c r="F164" s="582"/>
      <c r="G164" s="154">
        <f>SUM(G28,G86,G121,G137,G148,G163)</f>
        <v>5562</v>
      </c>
      <c r="H164" s="154">
        <f>SUM(H28,H86,H121,H137,H148,H163)</f>
        <v>28147.730000000003</v>
      </c>
      <c r="I164" s="154">
        <f>SUM(I28,I86,I121,I137,I148,I163)</f>
        <v>300</v>
      </c>
      <c r="J164" s="155">
        <f t="array" ref="J164">IF(ISERROR(G164/I164),"",G164/I164)</f>
        <v>18.54</v>
      </c>
      <c r="K164" s="154">
        <f>SUM(K28,K86,K121,K137,K148,K163)</f>
        <v>294.85901330386901</v>
      </c>
      <c r="L164" s="155">
        <f>IF(ISERROR(G164/K164),"",G164/K164)</f>
        <v>18.863252432673789</v>
      </c>
      <c r="M164" s="154">
        <f t="shared" ref="M164:AA164" si="77">SUM(M28,M86,M121,M137,M148,M163)</f>
        <v>5.1409866961310042</v>
      </c>
      <c r="N164" s="154">
        <f t="shared" si="77"/>
        <v>0</v>
      </c>
      <c r="O164" s="154">
        <f t="shared" si="77"/>
        <v>0</v>
      </c>
      <c r="P164" s="154">
        <f t="shared" si="77"/>
        <v>0</v>
      </c>
      <c r="Q164" s="154">
        <f t="shared" si="77"/>
        <v>0</v>
      </c>
      <c r="R164" s="154">
        <f t="shared" si="77"/>
        <v>0</v>
      </c>
      <c r="S164" s="154">
        <f t="shared" si="77"/>
        <v>0</v>
      </c>
      <c r="T164" s="154">
        <f t="shared" si="77"/>
        <v>0</v>
      </c>
      <c r="U164" s="154">
        <f t="shared" si="77"/>
        <v>0</v>
      </c>
      <c r="V164" s="154">
        <f t="shared" si="77"/>
        <v>0</v>
      </c>
      <c r="W164" s="154">
        <f t="shared" si="77"/>
        <v>0</v>
      </c>
      <c r="X164" s="154">
        <f t="shared" si="77"/>
        <v>0</v>
      </c>
      <c r="Y164" s="154">
        <f t="shared" si="77"/>
        <v>0</v>
      </c>
      <c r="Z164" s="154">
        <f t="shared" si="77"/>
        <v>0</v>
      </c>
      <c r="AA164" s="154">
        <f t="shared" si="77"/>
        <v>0</v>
      </c>
    </row>
    <row r="165" spans="1:27" ht="20.100000000000001" customHeight="1">
      <c r="A165" s="583" t="s">
        <v>476</v>
      </c>
      <c r="B165" s="492" t="s">
        <v>247</v>
      </c>
      <c r="C165" s="586" t="s">
        <v>248</v>
      </c>
      <c r="D165" s="587"/>
      <c r="E165" s="588" t="s">
        <v>249</v>
      </c>
      <c r="F165" s="588"/>
      <c r="G165" s="591" t="s">
        <v>250</v>
      </c>
      <c r="H165" s="591"/>
      <c r="I165" s="588" t="s">
        <v>251</v>
      </c>
      <c r="J165" s="588"/>
      <c r="K165" s="588" t="s">
        <v>252</v>
      </c>
      <c r="L165" s="588"/>
      <c r="M165" s="588" t="s">
        <v>253</v>
      </c>
      <c r="N165" s="588"/>
      <c r="O165" s="588" t="s">
        <v>254</v>
      </c>
      <c r="P165" s="591" t="s">
        <v>255</v>
      </c>
      <c r="Q165" s="591"/>
      <c r="R165" s="591" t="s">
        <v>252</v>
      </c>
      <c r="S165" s="591"/>
      <c r="T165" s="591" t="s">
        <v>256</v>
      </c>
      <c r="U165" s="591"/>
      <c r="V165" s="591" t="s">
        <v>257</v>
      </c>
      <c r="W165" s="591"/>
      <c r="X165" s="591" t="s">
        <v>252</v>
      </c>
      <c r="Y165" s="591"/>
      <c r="Z165" s="591" t="s">
        <v>256</v>
      </c>
      <c r="AA165" s="591"/>
    </row>
    <row r="166" spans="1:27" ht="20.100000000000001" customHeight="1">
      <c r="A166" s="584"/>
      <c r="B166" s="492" t="s">
        <v>258</v>
      </c>
      <c r="C166" s="586">
        <v>1</v>
      </c>
      <c r="D166" s="587"/>
      <c r="E166" s="590">
        <f>C166*11</f>
        <v>11</v>
      </c>
      <c r="F166" s="590"/>
      <c r="G166" s="591">
        <v>1</v>
      </c>
      <c r="H166" s="591"/>
      <c r="I166" s="590">
        <f>G166*11</f>
        <v>11</v>
      </c>
      <c r="J166" s="590"/>
      <c r="K166" s="590">
        <f>E166-I166</f>
        <v>0</v>
      </c>
      <c r="L166" s="590"/>
      <c r="M166" s="592">
        <f>IF(ISERROR(K166/E166),"",K166/E166)</f>
        <v>0</v>
      </c>
      <c r="N166" s="592"/>
      <c r="O166" s="588"/>
      <c r="P166" s="591" t="s">
        <v>201</v>
      </c>
      <c r="Q166" s="591"/>
      <c r="R166" s="593">
        <f>SUM(O28:U28)</f>
        <v>0</v>
      </c>
      <c r="S166" s="593"/>
      <c r="T166" s="594" t="str">
        <f t="array" ref="T166">IF(ISERROR(R166/R173),"",R166/R173)</f>
        <v/>
      </c>
      <c r="U166" s="594"/>
      <c r="V166" s="591" t="s">
        <v>259</v>
      </c>
      <c r="W166" s="591"/>
      <c r="X166" s="595">
        <f>SUM(P27,P85,P120,P136,P147,P161)</f>
        <v>0</v>
      </c>
      <c r="Y166" s="595"/>
      <c r="Z166" s="594" t="str">
        <f t="array" ref="Z166">IF(ISERROR(X166/X173),"",X166/X173)</f>
        <v/>
      </c>
      <c r="AA166" s="594"/>
    </row>
    <row r="167" spans="1:27" ht="20.100000000000001" customHeight="1">
      <c r="A167" s="584"/>
      <c r="B167" s="492" t="s">
        <v>260</v>
      </c>
      <c r="C167" s="586">
        <v>1</v>
      </c>
      <c r="D167" s="587"/>
      <c r="E167" s="590">
        <f>C167*11</f>
        <v>11</v>
      </c>
      <c r="F167" s="590"/>
      <c r="G167" s="591">
        <v>1</v>
      </c>
      <c r="H167" s="591"/>
      <c r="I167" s="590">
        <f>G167*11</f>
        <v>11</v>
      </c>
      <c r="J167" s="590"/>
      <c r="K167" s="590">
        <f>E167-I167</f>
        <v>0</v>
      </c>
      <c r="L167" s="590"/>
      <c r="M167" s="592">
        <f>IF(ISERROR(K167/E167),"",K167/E167)</f>
        <v>0</v>
      </c>
      <c r="N167" s="592"/>
      <c r="O167" s="588"/>
      <c r="P167" s="591" t="s">
        <v>216</v>
      </c>
      <c r="Q167" s="591"/>
      <c r="R167" s="593">
        <f>SUM(O86:U86)</f>
        <v>0</v>
      </c>
      <c r="S167" s="593"/>
      <c r="T167" s="594" t="str">
        <f>IF(ISERROR(R167/R173),"",R167/R173)</f>
        <v/>
      </c>
      <c r="U167" s="594"/>
      <c r="V167" s="591" t="s">
        <v>261</v>
      </c>
      <c r="W167" s="591"/>
      <c r="X167" s="595">
        <f>SUM(P28,P86,P121,P137,P148,P163)</f>
        <v>0</v>
      </c>
      <c r="Y167" s="595"/>
      <c r="Z167" s="594" t="str">
        <f>IF(ISERROR(X167/X173),"",X167/X173)</f>
        <v/>
      </c>
      <c r="AA167" s="594"/>
    </row>
    <row r="168" spans="1:27" ht="20.100000000000001" customHeight="1">
      <c r="A168" s="584"/>
      <c r="B168" s="492" t="s">
        <v>262</v>
      </c>
      <c r="C168" s="586">
        <v>1</v>
      </c>
      <c r="D168" s="587"/>
      <c r="E168" s="590">
        <f>C168*8</f>
        <v>8</v>
      </c>
      <c r="F168" s="590"/>
      <c r="G168" s="591">
        <v>1</v>
      </c>
      <c r="H168" s="591"/>
      <c r="I168" s="590">
        <f>G168*8</f>
        <v>8</v>
      </c>
      <c r="J168" s="590"/>
      <c r="K168" s="590">
        <f>E168-I168</f>
        <v>0</v>
      </c>
      <c r="L168" s="590"/>
      <c r="M168" s="592">
        <f>IF(ISERROR(K168/E168),"",K168/E168)</f>
        <v>0</v>
      </c>
      <c r="N168" s="592"/>
      <c r="O168" s="588"/>
      <c r="P168" s="591" t="s">
        <v>224</v>
      </c>
      <c r="Q168" s="591"/>
      <c r="R168" s="593">
        <f>SUM(O121:U121)</f>
        <v>0</v>
      </c>
      <c r="S168" s="593"/>
      <c r="T168" s="594" t="str">
        <f>IF(ISERROR(R168/R173),"",R168/R173)</f>
        <v/>
      </c>
      <c r="U168" s="594"/>
      <c r="V168" s="591" t="s">
        <v>263</v>
      </c>
      <c r="W168" s="591"/>
      <c r="X168" s="595">
        <f>SUM(P29,P87,P122,P138,P149,P164)</f>
        <v>0</v>
      </c>
      <c r="Y168" s="595"/>
      <c r="Z168" s="594" t="str">
        <f>IF(ISERROR(X168/X173),"",X168/X173)</f>
        <v/>
      </c>
      <c r="AA168" s="594"/>
    </row>
    <row r="169" spans="1:27" ht="20.100000000000001" customHeight="1">
      <c r="A169" s="584"/>
      <c r="B169" s="492" t="s">
        <v>264</v>
      </c>
      <c r="C169" s="586">
        <v>1</v>
      </c>
      <c r="D169" s="587"/>
      <c r="E169" s="590">
        <f>C169*11</f>
        <v>11</v>
      </c>
      <c r="F169" s="590"/>
      <c r="G169" s="591">
        <v>1</v>
      </c>
      <c r="H169" s="591"/>
      <c r="I169" s="590">
        <f>G169*11</f>
        <v>11</v>
      </c>
      <c r="J169" s="590"/>
      <c r="K169" s="590">
        <f>E169-I169</f>
        <v>0</v>
      </c>
      <c r="L169" s="590"/>
      <c r="M169" s="592">
        <f>IF(ISERROR(K169/E169),"",K169/E169)</f>
        <v>0</v>
      </c>
      <c r="N169" s="592"/>
      <c r="O169" s="588"/>
      <c r="P169" s="591" t="s">
        <v>231</v>
      </c>
      <c r="Q169" s="591"/>
      <c r="R169" s="593">
        <f>SUM(O137:U137)</f>
        <v>0</v>
      </c>
      <c r="S169" s="593"/>
      <c r="T169" s="594" t="str">
        <f>IF(ISERROR(R169/R173),"",R169/R173)</f>
        <v/>
      </c>
      <c r="U169" s="594"/>
      <c r="V169" s="591" t="s">
        <v>265</v>
      </c>
      <c r="W169" s="591"/>
      <c r="X169" s="595">
        <f>SUM(P31,P88,P123,P139,P150,P165)</f>
        <v>0</v>
      </c>
      <c r="Y169" s="595"/>
      <c r="Z169" s="594" t="str">
        <f>IF(ISERROR(X169/X173),"",X169/X173)</f>
        <v/>
      </c>
      <c r="AA169" s="594"/>
    </row>
    <row r="170" spans="1:27" ht="20.100000000000001" customHeight="1">
      <c r="A170" s="585"/>
      <c r="B170" s="492" t="s">
        <v>266</v>
      </c>
      <c r="C170" s="596">
        <f>SUM(C166:D169)</f>
        <v>4</v>
      </c>
      <c r="D170" s="597"/>
      <c r="E170" s="590">
        <f>SUM(E166:F169)</f>
        <v>41</v>
      </c>
      <c r="F170" s="590"/>
      <c r="G170" s="591">
        <f>SUM(G166:H169)</f>
        <v>4</v>
      </c>
      <c r="H170" s="591"/>
      <c r="I170" s="590">
        <f>SUM(I166:J169)</f>
        <v>41</v>
      </c>
      <c r="J170" s="590"/>
      <c r="K170" s="590">
        <f>SUM(K166:L169)</f>
        <v>0</v>
      </c>
      <c r="L170" s="590"/>
      <c r="M170" s="592">
        <f>IF(ISERROR(K170/E170),"",K170/E170)</f>
        <v>0</v>
      </c>
      <c r="N170" s="592"/>
      <c r="O170" s="588"/>
      <c r="P170" s="591" t="s">
        <v>234</v>
      </c>
      <c r="Q170" s="591"/>
      <c r="R170" s="593">
        <f>SUM(O148:U148)</f>
        <v>0</v>
      </c>
      <c r="S170" s="593"/>
      <c r="T170" s="594" t="str">
        <f>IF(ISERROR(R170/R173),"",R170/R173)</f>
        <v/>
      </c>
      <c r="U170" s="594"/>
      <c r="V170" s="591" t="s">
        <v>267</v>
      </c>
      <c r="W170" s="591"/>
      <c r="X170" s="595">
        <f>SUM(P32,P89,P124,P140,P151,P166)</f>
        <v>0</v>
      </c>
      <c r="Y170" s="595"/>
      <c r="Z170" s="594" t="str">
        <f>IF(ISERROR(X170/X173),"",X170/X173)</f>
        <v/>
      </c>
      <c r="AA170" s="594"/>
    </row>
    <row r="171" spans="1:27" ht="20.100000000000001" customHeight="1">
      <c r="A171" s="307" t="s">
        <v>477</v>
      </c>
      <c r="B171" s="492">
        <f>G164</f>
        <v>5562</v>
      </c>
      <c r="C171" s="598" t="s">
        <v>269</v>
      </c>
      <c r="D171" s="599"/>
      <c r="E171" s="591">
        <f>H164</f>
        <v>28147.730000000003</v>
      </c>
      <c r="F171" s="591"/>
      <c r="G171" s="591" t="s">
        <v>270</v>
      </c>
      <c r="H171" s="591"/>
      <c r="I171" s="600">
        <f>L164</f>
        <v>18.863252432673789</v>
      </c>
      <c r="J171" s="600"/>
      <c r="K171" s="588" t="s">
        <v>271</v>
      </c>
      <c r="L171" s="588"/>
      <c r="M171" s="600">
        <f>J164</f>
        <v>18.54</v>
      </c>
      <c r="N171" s="600"/>
      <c r="O171" s="588"/>
      <c r="P171" s="591" t="s">
        <v>244</v>
      </c>
      <c r="Q171" s="591"/>
      <c r="R171" s="593">
        <f>SUM(O163:U163)</f>
        <v>0</v>
      </c>
      <c r="S171" s="593"/>
      <c r="T171" s="594" t="str">
        <f>IF(ISERROR(R171/R173),"",R171/R173)</f>
        <v/>
      </c>
      <c r="U171" s="594"/>
      <c r="V171" s="591" t="s">
        <v>272</v>
      </c>
      <c r="W171" s="591"/>
      <c r="X171" s="595">
        <f>SUM(P33,P90,P125,P141,P152,P167)</f>
        <v>0</v>
      </c>
      <c r="Y171" s="595"/>
      <c r="Z171" s="594" t="str">
        <f>IF(ISERROR(X171/X173),"",X171/X173)</f>
        <v/>
      </c>
      <c r="AA171" s="594"/>
    </row>
    <row r="172" spans="1:27" ht="20.100000000000001" customHeight="1">
      <c r="A172" s="308" t="s">
        <v>478</v>
      </c>
      <c r="B172" s="492">
        <f>I164+C170</f>
        <v>304</v>
      </c>
      <c r="C172" s="601" t="s">
        <v>251</v>
      </c>
      <c r="D172" s="602"/>
      <c r="E172" s="603">
        <f>K164+I170</f>
        <v>335.85901330386901</v>
      </c>
      <c r="F172" s="603"/>
      <c r="G172" s="591" t="s">
        <v>274</v>
      </c>
      <c r="H172" s="591"/>
      <c r="I172" s="600">
        <f>B172-E172</f>
        <v>-31.859013303869006</v>
      </c>
      <c r="J172" s="600"/>
      <c r="K172" s="588" t="s">
        <v>275</v>
      </c>
      <c r="L172" s="588"/>
      <c r="M172" s="592">
        <f>IF(ISERROR(I172/E172),"",I172/E172)</f>
        <v>-9.4858294825765202E-2</v>
      </c>
      <c r="N172" s="592"/>
      <c r="O172" s="588"/>
      <c r="P172" s="591" t="s">
        <v>245</v>
      </c>
      <c r="Q172" s="591"/>
      <c r="R172" s="593"/>
      <c r="S172" s="593"/>
      <c r="T172" s="594" t="str">
        <f>IF(ISERROR(R172/R173),"",R172/R173)</f>
        <v/>
      </c>
      <c r="U172" s="594"/>
      <c r="V172" s="591" t="s">
        <v>264</v>
      </c>
      <c r="W172" s="591"/>
      <c r="X172" s="595"/>
      <c r="Y172" s="595"/>
      <c r="Z172" s="594" t="str">
        <f>IF(ISERROR(X172/X173),"",X172/X173)</f>
        <v/>
      </c>
      <c r="AA172" s="594"/>
    </row>
    <row r="173" spans="1:27" ht="20.100000000000001" customHeight="1">
      <c r="A173" s="308" t="s">
        <v>479</v>
      </c>
      <c r="B173" s="492">
        <f>N164</f>
        <v>0</v>
      </c>
      <c r="C173" s="601" t="s">
        <v>277</v>
      </c>
      <c r="D173" s="602"/>
      <c r="E173" s="594">
        <f>IF(ISERROR(B173/B172),"",B173/B172)</f>
        <v>0</v>
      </c>
      <c r="F173" s="594"/>
      <c r="G173" s="591" t="s">
        <v>278</v>
      </c>
      <c r="H173" s="591"/>
      <c r="I173" s="588">
        <f>V164</f>
        <v>0</v>
      </c>
      <c r="J173" s="588"/>
      <c r="K173" s="588" t="s">
        <v>279</v>
      </c>
      <c r="L173" s="588"/>
      <c r="M173" s="592">
        <f t="array" ref="M173">IF(ISERROR(I173/B171),"",I173/B171)</f>
        <v>0</v>
      </c>
      <c r="N173" s="592"/>
      <c r="O173" s="588"/>
      <c r="P173" s="591" t="s">
        <v>266</v>
      </c>
      <c r="Q173" s="591"/>
      <c r="R173" s="593">
        <f>SUM(R166:S172)</f>
        <v>0</v>
      </c>
      <c r="S173" s="593"/>
      <c r="T173" s="594"/>
      <c r="U173" s="594"/>
      <c r="V173" s="591" t="s">
        <v>266</v>
      </c>
      <c r="W173" s="591"/>
      <c r="X173" s="595">
        <f>SUM(X166:Y172)</f>
        <v>0</v>
      </c>
      <c r="Y173" s="595"/>
      <c r="Z173" s="594"/>
      <c r="AA173" s="594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4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604" t="s">
        <v>480</v>
      </c>
      <c r="B175" s="607" t="s">
        <v>280</v>
      </c>
      <c r="C175" s="607" t="s">
        <v>281</v>
      </c>
      <c r="D175" s="607" t="s">
        <v>282</v>
      </c>
      <c r="E175" s="610" t="s">
        <v>283</v>
      </c>
      <c r="F175" s="623" t="s">
        <v>284</v>
      </c>
      <c r="G175" s="588" t="s">
        <v>285</v>
      </c>
      <c r="H175" s="588"/>
      <c r="I175" s="607" t="s">
        <v>286</v>
      </c>
      <c r="J175" s="613" t="s">
        <v>271</v>
      </c>
      <c r="K175" s="616" t="s">
        <v>287</v>
      </c>
      <c r="L175" s="607" t="s">
        <v>270</v>
      </c>
      <c r="M175" s="619" t="s">
        <v>288</v>
      </c>
      <c r="N175" s="621" t="s">
        <v>252</v>
      </c>
      <c r="O175" s="588" t="s">
        <v>289</v>
      </c>
      <c r="P175" s="588"/>
      <c r="Q175" s="588"/>
      <c r="R175" s="588"/>
      <c r="S175" s="588"/>
      <c r="T175" s="588"/>
      <c r="U175" s="588"/>
      <c r="V175" s="588" t="s">
        <v>290</v>
      </c>
      <c r="W175" s="621" t="s">
        <v>291</v>
      </c>
      <c r="X175" s="588" t="s">
        <v>292</v>
      </c>
      <c r="Y175" s="588"/>
      <c r="Z175" s="588"/>
      <c r="AA175" s="588"/>
    </row>
    <row r="176" spans="1:27" ht="21.95" customHeight="1">
      <c r="A176" s="605"/>
      <c r="B176" s="608"/>
      <c r="C176" s="608"/>
      <c r="D176" s="608"/>
      <c r="E176" s="611"/>
      <c r="F176" s="624"/>
      <c r="G176" s="588"/>
      <c r="H176" s="588"/>
      <c r="I176" s="608"/>
      <c r="J176" s="614"/>
      <c r="K176" s="617"/>
      <c r="L176" s="608"/>
      <c r="M176" s="620"/>
      <c r="N176" s="621"/>
      <c r="O176" s="588" t="s">
        <v>259</v>
      </c>
      <c r="P176" s="588" t="s">
        <v>261</v>
      </c>
      <c r="Q176" s="588" t="s">
        <v>263</v>
      </c>
      <c r="R176" s="622" t="s">
        <v>265</v>
      </c>
      <c r="S176" s="591" t="s">
        <v>267</v>
      </c>
      <c r="T176" s="588" t="s">
        <v>272</v>
      </c>
      <c r="U176" s="588" t="s">
        <v>264</v>
      </c>
      <c r="V176" s="588"/>
      <c r="W176" s="621"/>
      <c r="X176" s="588" t="s">
        <v>293</v>
      </c>
      <c r="Y176" s="588" t="s">
        <v>294</v>
      </c>
      <c r="Z176" s="588" t="s">
        <v>295</v>
      </c>
      <c r="AA176" s="588" t="s">
        <v>264</v>
      </c>
    </row>
    <row r="177" spans="1:27" ht="21.95" customHeight="1">
      <c r="A177" s="606"/>
      <c r="B177" s="609"/>
      <c r="C177" s="609"/>
      <c r="D177" s="609"/>
      <c r="E177" s="612"/>
      <c r="F177" s="625"/>
      <c r="G177" s="348" t="s">
        <v>546</v>
      </c>
      <c r="H177" s="496" t="s">
        <v>297</v>
      </c>
      <c r="I177" s="609"/>
      <c r="J177" s="615"/>
      <c r="K177" s="618"/>
      <c r="L177" s="609"/>
      <c r="M177" s="620"/>
      <c r="N177" s="621"/>
      <c r="O177" s="588"/>
      <c r="P177" s="588"/>
      <c r="Q177" s="588"/>
      <c r="R177" s="622"/>
      <c r="S177" s="591"/>
      <c r="T177" s="588"/>
      <c r="U177" s="588"/>
      <c r="V177" s="588"/>
      <c r="W177" s="621"/>
      <c r="X177" s="588"/>
      <c r="Y177" s="588"/>
      <c r="Z177" s="588"/>
      <c r="AA177" s="588"/>
    </row>
    <row r="178" spans="1:27" ht="20.100000000000001" hidden="1" customHeight="1">
      <c r="A178" s="299">
        <v>30100030</v>
      </c>
      <c r="B178" s="489" t="s">
        <v>178</v>
      </c>
      <c r="C178" s="126" t="s">
        <v>179</v>
      </c>
      <c r="D178" s="108">
        <v>5.03</v>
      </c>
      <c r="E178" s="108"/>
      <c r="F178" s="127"/>
      <c r="G178" s="128"/>
      <c r="H178" s="490">
        <f t="shared" ref="H178:H187" si="78">D178*G178</f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16</v>
      </c>
      <c r="M178" s="109">
        <f t="shared" ref="M178:M187" si="79">IF(ISERROR(I178-K178),"",I178-K178)</f>
        <v>0</v>
      </c>
      <c r="N178" s="130">
        <f>SUM(O178:U178)</f>
        <v>0</v>
      </c>
      <c r="O178" s="498"/>
      <c r="P178" s="498"/>
      <c r="Q178" s="498"/>
      <c r="R178" s="498"/>
      <c r="S178" s="498"/>
      <c r="T178" s="498"/>
      <c r="U178" s="498"/>
      <c r="V178" s="132">
        <f t="shared" ref="V178:V183" si="80">SUM(X178:AA178)</f>
        <v>0</v>
      </c>
      <c r="W178" s="133" t="str">
        <f t="shared" ref="W178:W183" si="81">IF(ISERROR(V178/G178),"",V178/G178)</f>
        <v/>
      </c>
      <c r="X178" s="132"/>
      <c r="Y178" s="132"/>
      <c r="Z178" s="132"/>
      <c r="AA178" s="132"/>
    </row>
    <row r="179" spans="1:27" ht="20.100000000000001" hidden="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28"/>
      <c r="H179" s="490">
        <f t="shared" si="78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9"/>
        <v>0</v>
      </c>
      <c r="N179" s="130">
        <f t="shared" ref="N179:N187" si="82">SUM(O179:U179)</f>
        <v>0</v>
      </c>
      <c r="O179" s="498"/>
      <c r="P179" s="498"/>
      <c r="Q179" s="498"/>
      <c r="R179" s="498"/>
      <c r="S179" s="498"/>
      <c r="T179" s="498"/>
      <c r="U179" s="498"/>
      <c r="V179" s="132">
        <f t="shared" si="80"/>
        <v>0</v>
      </c>
      <c r="W179" s="133" t="str">
        <f t="shared" si="81"/>
        <v/>
      </c>
      <c r="X179" s="132"/>
      <c r="Y179" s="132"/>
      <c r="Z179" s="132"/>
      <c r="AA179" s="132"/>
    </row>
    <row r="180" spans="1:27" ht="20.100000000000001" hidden="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28"/>
      <c r="H180" s="490">
        <f t="shared" si="78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9"/>
        <v>0</v>
      </c>
      <c r="N180" s="130">
        <f t="shared" si="82"/>
        <v>0</v>
      </c>
      <c r="O180" s="498"/>
      <c r="P180" s="498"/>
      <c r="Q180" s="498"/>
      <c r="R180" s="498"/>
      <c r="S180" s="498"/>
      <c r="T180" s="498"/>
      <c r="U180" s="498"/>
      <c r="V180" s="132">
        <f t="shared" si="80"/>
        <v>0</v>
      </c>
      <c r="W180" s="133" t="str">
        <f t="shared" si="81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/>
      <c r="G181" s="128"/>
      <c r="H181" s="490">
        <f t="shared" si="78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19</v>
      </c>
      <c r="M181" s="109">
        <f t="shared" si="79"/>
        <v>0</v>
      </c>
      <c r="N181" s="130">
        <f t="shared" si="82"/>
        <v>0</v>
      </c>
      <c r="O181" s="498"/>
      <c r="P181" s="498"/>
      <c r="Q181" s="498"/>
      <c r="R181" s="498"/>
      <c r="S181" s="498"/>
      <c r="T181" s="498"/>
      <c r="U181" s="498"/>
      <c r="V181" s="132">
        <f t="shared" si="80"/>
        <v>0</v>
      </c>
      <c r="W181" s="133" t="str">
        <f t="shared" si="81"/>
        <v/>
      </c>
      <c r="X181" s="132"/>
      <c r="Y181" s="132"/>
      <c r="Z181" s="132"/>
      <c r="AA181" s="132"/>
    </row>
    <row r="182" spans="1:27" ht="20.100000000000001" hidden="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/>
      <c r="G182" s="128"/>
      <c r="H182" s="490">
        <f t="shared" si="78"/>
        <v>0</v>
      </c>
      <c r="I182" s="129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20</v>
      </c>
      <c r="M182" s="109">
        <f t="shared" si="79"/>
        <v>0</v>
      </c>
      <c r="N182" s="130">
        <f t="shared" si="82"/>
        <v>0</v>
      </c>
      <c r="O182" s="498"/>
      <c r="P182" s="498"/>
      <c r="Q182" s="498"/>
      <c r="R182" s="498"/>
      <c r="S182" s="498"/>
      <c r="T182" s="498"/>
      <c r="U182" s="498"/>
      <c r="V182" s="132">
        <f t="shared" si="80"/>
        <v>0</v>
      </c>
      <c r="W182" s="133" t="str">
        <f t="shared" si="81"/>
        <v/>
      </c>
      <c r="X182" s="132"/>
      <c r="Y182" s="132"/>
      <c r="Z182" s="132"/>
      <c r="AA182" s="132"/>
    </row>
    <row r="183" spans="1:27" ht="20.100000000000001" hidden="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58"/>
      <c r="G183" s="137"/>
      <c r="H183" s="490">
        <f t="shared" si="78"/>
        <v>0</v>
      </c>
      <c r="I183" s="138"/>
      <c r="J183" s="130" t="str">
        <f t="array" ref="J183">IF(ISERROR(G183/I183),"",G183/I183)</f>
        <v/>
      </c>
      <c r="K183" s="131">
        <f t="array" ref="K183">IF(ISERROR(G183/L183),"",G183/L183)</f>
        <v>0</v>
      </c>
      <c r="L183" s="129">
        <v>19</v>
      </c>
      <c r="M183" s="109">
        <f t="shared" si="79"/>
        <v>0</v>
      </c>
      <c r="N183" s="130">
        <f t="shared" si="82"/>
        <v>0</v>
      </c>
      <c r="O183" s="498"/>
      <c r="P183" s="498"/>
      <c r="Q183" s="498"/>
      <c r="R183" s="498"/>
      <c r="S183" s="498"/>
      <c r="T183" s="498"/>
      <c r="U183" s="498"/>
      <c r="V183" s="132">
        <f t="shared" si="80"/>
        <v>0</v>
      </c>
      <c r="W183" s="133" t="str">
        <f t="shared" si="81"/>
        <v/>
      </c>
      <c r="X183" s="132"/>
      <c r="Y183" s="132"/>
      <c r="Z183" s="132"/>
      <c r="AA183" s="132"/>
    </row>
    <row r="184" spans="1:27" ht="20.100000000000001" hidden="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/>
      <c r="G184" s="128"/>
      <c r="H184" s="490">
        <f t="shared" si="78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9"/>
        <v>0</v>
      </c>
      <c r="N184" s="130">
        <f t="shared" si="82"/>
        <v>0</v>
      </c>
      <c r="O184" s="498"/>
      <c r="P184" s="498"/>
      <c r="Q184" s="498"/>
      <c r="R184" s="498"/>
      <c r="S184" s="498"/>
      <c r="T184" s="498"/>
      <c r="U184" s="498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28"/>
      <c r="H185" s="490">
        <f t="shared" si="78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79"/>
        <v>0</v>
      </c>
      <c r="N185" s="130">
        <f t="shared" si="82"/>
        <v>0</v>
      </c>
      <c r="O185" s="498"/>
      <c r="P185" s="498"/>
      <c r="Q185" s="498"/>
      <c r="R185" s="498"/>
      <c r="S185" s="498"/>
      <c r="T185" s="498"/>
      <c r="U185" s="498"/>
      <c r="V185" s="132"/>
      <c r="W185" s="133"/>
      <c r="X185" s="132"/>
      <c r="Y185" s="132"/>
      <c r="Z185" s="132"/>
      <c r="AA185" s="132"/>
    </row>
    <row r="186" spans="1:27" ht="20.100000000000001" hidden="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/>
      <c r="G186" s="128"/>
      <c r="H186" s="490">
        <f t="shared" si="78"/>
        <v>0</v>
      </c>
      <c r="I186" s="490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9"/>
        <v>0</v>
      </c>
      <c r="N186" s="130">
        <f t="shared" si="82"/>
        <v>0</v>
      </c>
      <c r="O186" s="498"/>
      <c r="P186" s="498"/>
      <c r="Q186" s="498"/>
      <c r="R186" s="498"/>
      <c r="S186" s="498"/>
      <c r="T186" s="498"/>
      <c r="U186" s="498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>
        <v>42744</v>
      </c>
      <c r="G187" s="128">
        <f>100*6</f>
        <v>600</v>
      </c>
      <c r="H187" s="490">
        <f t="shared" si="78"/>
        <v>3024</v>
      </c>
      <c r="I187" s="490">
        <f>8.5*5</f>
        <v>42.5</v>
      </c>
      <c r="J187" s="130">
        <f t="array" ref="J187">IF(ISERROR(G187/I187),"",G187/I187)</f>
        <v>14.117647058823529</v>
      </c>
      <c r="K187" s="131">
        <f t="array" ref="K187">IF(ISERROR(G187/L187),"",G187/L187)</f>
        <v>35.294117647058826</v>
      </c>
      <c r="L187" s="129">
        <v>17</v>
      </c>
      <c r="M187" s="109">
        <f t="shared" si="79"/>
        <v>7.205882352941174</v>
      </c>
      <c r="N187" s="130">
        <f t="shared" si="82"/>
        <v>0</v>
      </c>
      <c r="O187" s="498"/>
      <c r="P187" s="498"/>
      <c r="Q187" s="498"/>
      <c r="R187" s="498"/>
      <c r="S187" s="498"/>
      <c r="T187" s="498"/>
      <c r="U187" s="498"/>
      <c r="V187" s="132">
        <f>SUM(X187:AA187)</f>
        <v>0</v>
      </c>
      <c r="W187" s="133">
        <f>IF(ISERROR(V187/G187),"",V187/G187)</f>
        <v>0</v>
      </c>
      <c r="X187" s="132"/>
      <c r="Y187" s="132"/>
      <c r="Z187" s="132"/>
      <c r="AA187" s="132"/>
    </row>
    <row r="188" spans="1:27" ht="20.100000000000001" hidden="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28"/>
      <c r="H188" s="490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498"/>
      <c r="P188" s="498"/>
      <c r="Q188" s="498"/>
      <c r="R188" s="498"/>
      <c r="S188" s="498"/>
      <c r="T188" s="498"/>
      <c r="U188" s="498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28"/>
      <c r="H189" s="490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498"/>
      <c r="P189" s="498"/>
      <c r="Q189" s="498"/>
      <c r="R189" s="498"/>
      <c r="S189" s="498"/>
      <c r="T189" s="498"/>
      <c r="U189" s="498"/>
      <c r="V189" s="132"/>
      <c r="W189" s="133"/>
      <c r="X189" s="132"/>
      <c r="Y189" s="132"/>
      <c r="Z189" s="132"/>
      <c r="AA189" s="132"/>
    </row>
    <row r="190" spans="1:27" ht="20.100000000000001" hidden="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E190" s="108"/>
      <c r="F190" s="127"/>
      <c r="G190" s="128"/>
      <c r="H190" s="490">
        <f t="shared" ref="H190:H198" si="83">D190*G190</f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19</v>
      </c>
      <c r="M190" s="109">
        <f t="shared" ref="M190:M198" si="84">IF(ISERROR(I190-K190),"",I190-K190)</f>
        <v>0</v>
      </c>
      <c r="N190" s="130">
        <f t="shared" ref="N190:N192" si="85">SUM(O190:U190)</f>
        <v>0</v>
      </c>
      <c r="O190" s="498"/>
      <c r="P190" s="498"/>
      <c r="Q190" s="498"/>
      <c r="R190" s="498"/>
      <c r="S190" s="498"/>
      <c r="T190" s="498"/>
      <c r="U190" s="498"/>
      <c r="V190" s="132">
        <f t="shared" ref="V190:V192" si="86">SUM(X190:AA190)</f>
        <v>0</v>
      </c>
      <c r="W190" s="133" t="str">
        <f t="shared" ref="W190:W192" si="87">IF(ISERROR(V190/G190),"",V190/G190)</f>
        <v/>
      </c>
      <c r="X190" s="132"/>
      <c r="Y190" s="132"/>
      <c r="Z190" s="132"/>
      <c r="AA190" s="132"/>
    </row>
    <row r="191" spans="1:27" ht="20.10000000000000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39">
        <v>42738</v>
      </c>
      <c r="G191" s="128">
        <v>14</v>
      </c>
      <c r="H191" s="490">
        <f t="shared" si="83"/>
        <v>71.259999999999991</v>
      </c>
      <c r="I191" s="129">
        <v>1</v>
      </c>
      <c r="J191" s="130">
        <f t="array" ref="J191">IF(ISERROR(G191/I191),"",G191/I191)</f>
        <v>14</v>
      </c>
      <c r="K191" s="131">
        <f t="array" ref="K191">IF(ISERROR(G191/L191),"",G191/L191)</f>
        <v>0.60869565217391308</v>
      </c>
      <c r="L191" s="129">
        <v>23</v>
      </c>
      <c r="M191" s="109">
        <f t="shared" si="84"/>
        <v>0.39130434782608692</v>
      </c>
      <c r="N191" s="130">
        <f t="shared" si="85"/>
        <v>0</v>
      </c>
      <c r="O191" s="498"/>
      <c r="P191" s="498"/>
      <c r="Q191" s="498"/>
      <c r="R191" s="498"/>
      <c r="S191" s="498"/>
      <c r="T191" s="498"/>
      <c r="U191" s="498"/>
      <c r="V191" s="132">
        <f t="shared" si="86"/>
        <v>0</v>
      </c>
      <c r="W191" s="133">
        <f t="shared" si="87"/>
        <v>0</v>
      </c>
      <c r="X191" s="132"/>
      <c r="Y191" s="132"/>
      <c r="Z191" s="132"/>
      <c r="AA191" s="132"/>
    </row>
    <row r="192" spans="1:27" ht="20.100000000000001" hidden="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/>
      <c r="G192" s="128"/>
      <c r="H192" s="490">
        <f t="shared" si="83"/>
        <v>0</v>
      </c>
      <c r="I192" s="129"/>
      <c r="J192" s="130" t="str">
        <f t="array" ref="J192">IF(ISERROR(G192/I192),"",G192/I192)</f>
        <v/>
      </c>
      <c r="K192" s="131">
        <f t="array" ref="K192">IF(ISERROR(G192/L192),"",G192/L192)</f>
        <v>0</v>
      </c>
      <c r="L192" s="129">
        <v>23</v>
      </c>
      <c r="M192" s="109">
        <f t="shared" si="84"/>
        <v>0</v>
      </c>
      <c r="N192" s="130">
        <f t="shared" si="85"/>
        <v>0</v>
      </c>
      <c r="O192" s="498"/>
      <c r="P192" s="498"/>
      <c r="Q192" s="498"/>
      <c r="R192" s="498"/>
      <c r="S192" s="498"/>
      <c r="T192" s="498"/>
      <c r="U192" s="498"/>
      <c r="V192" s="132">
        <f t="shared" si="86"/>
        <v>0</v>
      </c>
      <c r="W192" s="133" t="str">
        <f t="shared" si="87"/>
        <v/>
      </c>
      <c r="X192" s="132"/>
      <c r="Y192" s="132"/>
      <c r="Z192" s="132"/>
      <c r="AA192" s="132"/>
    </row>
    <row r="193" spans="1:27" ht="20.100000000000001" hidden="1" customHeight="1">
      <c r="A193" s="300">
        <v>30100003</v>
      </c>
      <c r="B193" s="141" t="s">
        <v>198</v>
      </c>
      <c r="C193" s="496" t="s">
        <v>190</v>
      </c>
      <c r="D193" s="108">
        <v>4.8</v>
      </c>
      <c r="E193" s="108"/>
      <c r="F193" s="127"/>
      <c r="G193" s="128"/>
      <c r="H193" s="490">
        <f t="shared" si="83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4"/>
        <v>0</v>
      </c>
      <c r="N193" s="130"/>
      <c r="O193" s="498"/>
      <c r="P193" s="498"/>
      <c r="Q193" s="498"/>
      <c r="R193" s="498"/>
      <c r="S193" s="498"/>
      <c r="T193" s="498"/>
      <c r="U193" s="498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30100004</v>
      </c>
      <c r="B194" s="141" t="s">
        <v>198</v>
      </c>
      <c r="C194" s="496" t="s">
        <v>187</v>
      </c>
      <c r="D194" s="108">
        <v>4.8</v>
      </c>
      <c r="E194" s="108"/>
      <c r="F194" s="127"/>
      <c r="G194" s="128"/>
      <c r="H194" s="490">
        <f t="shared" si="83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4"/>
        <v>0</v>
      </c>
      <c r="N194" s="130"/>
      <c r="O194" s="498"/>
      <c r="P194" s="498"/>
      <c r="Q194" s="498"/>
      <c r="R194" s="498"/>
      <c r="S194" s="498"/>
      <c r="T194" s="498"/>
      <c r="U194" s="498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30100006</v>
      </c>
      <c r="B195" s="141" t="s">
        <v>198</v>
      </c>
      <c r="C195" s="496" t="s">
        <v>179</v>
      </c>
      <c r="D195" s="108">
        <v>4.8</v>
      </c>
      <c r="E195" s="108"/>
      <c r="F195" s="127"/>
      <c r="G195" s="128"/>
      <c r="H195" s="490">
        <f t="shared" si="83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4"/>
        <v>0</v>
      </c>
      <c r="N195" s="130"/>
      <c r="O195" s="498"/>
      <c r="P195" s="498"/>
      <c r="Q195" s="498"/>
      <c r="R195" s="498"/>
      <c r="S195" s="498"/>
      <c r="T195" s="498"/>
      <c r="U195" s="498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30100005</v>
      </c>
      <c r="B196" s="141" t="s">
        <v>198</v>
      </c>
      <c r="C196" s="496" t="s">
        <v>199</v>
      </c>
      <c r="D196" s="108">
        <v>4.8</v>
      </c>
      <c r="E196" s="108"/>
      <c r="F196" s="127"/>
      <c r="G196" s="128"/>
      <c r="H196" s="490">
        <f t="shared" si="83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4"/>
        <v>0</v>
      </c>
      <c r="N196" s="130"/>
      <c r="O196" s="498"/>
      <c r="P196" s="498"/>
      <c r="Q196" s="498"/>
      <c r="R196" s="498"/>
      <c r="S196" s="498"/>
      <c r="T196" s="498"/>
      <c r="U196" s="498"/>
      <c r="V196" s="132"/>
      <c r="W196" s="133"/>
      <c r="X196" s="132"/>
      <c r="Y196" s="132"/>
      <c r="Z196" s="132"/>
      <c r="AA196" s="132"/>
    </row>
    <row r="197" spans="1:27" ht="20.100000000000001" hidden="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/>
      <c r="G197" s="128"/>
      <c r="H197" s="490">
        <f t="shared" si="83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4"/>
        <v>0</v>
      </c>
      <c r="N197" s="130">
        <f t="shared" ref="N197:N198" si="88">SUM(O197:U197)</f>
        <v>0</v>
      </c>
      <c r="O197" s="498"/>
      <c r="P197" s="498"/>
      <c r="Q197" s="498"/>
      <c r="R197" s="498"/>
      <c r="S197" s="498"/>
      <c r="T197" s="498"/>
      <c r="U197" s="498"/>
      <c r="V197" s="132">
        <f t="shared" ref="V197:V198" si="89">SUM(X197:AA197)</f>
        <v>0</v>
      </c>
      <c r="W197" s="133" t="str">
        <f t="shared" ref="W197:W198" si="90">IF(ISERROR(V197/G197),"",V197/G197)</f>
        <v/>
      </c>
      <c r="X197" s="132"/>
      <c r="Y197" s="132"/>
      <c r="Z197" s="132"/>
      <c r="AA197" s="132"/>
    </row>
    <row r="198" spans="1:27" ht="20.100000000000001" hidden="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42"/>
      <c r="G198" s="128"/>
      <c r="H198" s="490">
        <f t="shared" si="83"/>
        <v>0</v>
      </c>
      <c r="I198" s="129"/>
      <c r="J198" s="130" t="str">
        <f t="array" ref="J198">IF(ISERROR(G198/I198),"",G198/I198)</f>
        <v/>
      </c>
      <c r="K198" s="131">
        <f t="array" ref="K198">IF(ISERROR(G198/L198),"",G198/L198)</f>
        <v>0</v>
      </c>
      <c r="L198" s="129">
        <v>23.5</v>
      </c>
      <c r="M198" s="109">
        <f t="shared" si="84"/>
        <v>0</v>
      </c>
      <c r="N198" s="130">
        <f t="shared" si="88"/>
        <v>0</v>
      </c>
      <c r="O198" s="498"/>
      <c r="P198" s="498"/>
      <c r="Q198" s="498"/>
      <c r="R198" s="498"/>
      <c r="S198" s="498"/>
      <c r="T198" s="498"/>
      <c r="U198" s="498"/>
      <c r="V198" s="132">
        <f t="shared" si="89"/>
        <v>0</v>
      </c>
      <c r="W198" s="133" t="str">
        <f t="shared" si="90"/>
        <v/>
      </c>
      <c r="X198" s="132"/>
      <c r="Y198" s="132"/>
      <c r="Z198" s="132"/>
      <c r="AA198" s="132"/>
    </row>
    <row r="199" spans="1:27" ht="20.100000000000001" customHeight="1">
      <c r="A199" s="578" t="s">
        <v>201</v>
      </c>
      <c r="B199" s="579"/>
      <c r="C199" s="499" t="s">
        <v>202</v>
      </c>
      <c r="D199" s="143"/>
      <c r="E199" s="143"/>
      <c r="F199" s="144"/>
      <c r="G199" s="145">
        <f>SUM(G178:G198)</f>
        <v>614</v>
      </c>
      <c r="H199" s="146">
        <f>SUM(H178:H198)</f>
        <v>3095.26</v>
      </c>
      <c r="I199" s="146">
        <f>SUM(I178:I198)</f>
        <v>43.5</v>
      </c>
      <c r="J199" s="130">
        <f t="array" ref="J199">IF(ISERROR(G199/I199),"",G199/I199)</f>
        <v>14.114942528735632</v>
      </c>
      <c r="K199" s="146">
        <f>SUM(K178:K198)</f>
        <v>35.90281329923274</v>
      </c>
      <c r="L199" s="147"/>
      <c r="M199" s="150">
        <f t="shared" ref="M199:AA199" si="91">SUM(M178:M198)</f>
        <v>7.5971867007672609</v>
      </c>
      <c r="N199" s="146">
        <f t="shared" si="91"/>
        <v>0</v>
      </c>
      <c r="O199" s="148">
        <f t="shared" si="91"/>
        <v>0</v>
      </c>
      <c r="P199" s="148">
        <f t="shared" si="91"/>
        <v>0</v>
      </c>
      <c r="Q199" s="148">
        <f t="shared" si="91"/>
        <v>0</v>
      </c>
      <c r="R199" s="148">
        <f t="shared" si="91"/>
        <v>0</v>
      </c>
      <c r="S199" s="148">
        <f t="shared" si="91"/>
        <v>0</v>
      </c>
      <c r="T199" s="148">
        <f t="shared" si="91"/>
        <v>0</v>
      </c>
      <c r="U199" s="148">
        <f t="shared" si="91"/>
        <v>0</v>
      </c>
      <c r="V199" s="149">
        <f t="shared" si="91"/>
        <v>0</v>
      </c>
      <c r="W199" s="133">
        <f t="shared" si="91"/>
        <v>0</v>
      </c>
      <c r="X199" s="149">
        <f t="shared" si="91"/>
        <v>0</v>
      </c>
      <c r="Y199" s="149">
        <f t="shared" si="91"/>
        <v>0</v>
      </c>
      <c r="Z199" s="149">
        <f t="shared" si="91"/>
        <v>0</v>
      </c>
      <c r="AA199" s="149">
        <f t="shared" si="91"/>
        <v>0</v>
      </c>
    </row>
    <row r="200" spans="1:27" ht="20.100000000000001" hidden="1" customHeight="1">
      <c r="A200" s="300">
        <v>30100012</v>
      </c>
      <c r="B200" s="489" t="s">
        <v>206</v>
      </c>
      <c r="C200" s="126" t="s">
        <v>199</v>
      </c>
      <c r="D200" s="108">
        <v>5.03</v>
      </c>
      <c r="E200" s="108"/>
      <c r="F200" s="127"/>
      <c r="G200" s="128"/>
      <c r="H200" s="490">
        <f t="shared" ref="H200:H256" si="92">D200*G200</f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 t="shared" ref="M200:M201" si="93">IF(ISERROR(I200-K200),"",I200-K200)</f>
        <v>0</v>
      </c>
      <c r="N200" s="130">
        <f t="shared" ref="N200" si="94">SUM(O200:U200)</f>
        <v>0</v>
      </c>
      <c r="O200" s="494"/>
      <c r="P200" s="494"/>
      <c r="Q200" s="494"/>
      <c r="R200" s="494"/>
      <c r="S200" s="494"/>
      <c r="T200" s="494"/>
      <c r="U200" s="494"/>
      <c r="V200" s="132">
        <f t="shared" ref="V200" si="95">SUM(X200:AA200)</f>
        <v>0</v>
      </c>
      <c r="W200" s="133" t="str">
        <f t="shared" ref="W200" si="96">IF(ISERROR(V200/G200),"",V200/G200)</f>
        <v/>
      </c>
      <c r="X200" s="132"/>
      <c r="Y200" s="132"/>
      <c r="Z200" s="132"/>
      <c r="AA200" s="132"/>
    </row>
    <row r="201" spans="1:27" ht="20.100000000000001" customHeight="1">
      <c r="A201" s="300">
        <v>30100011</v>
      </c>
      <c r="B201" s="489" t="s">
        <v>425</v>
      </c>
      <c r="C201" s="187" t="s">
        <v>427</v>
      </c>
      <c r="D201" s="108">
        <v>5.03</v>
      </c>
      <c r="E201" s="108"/>
      <c r="F201" s="127">
        <v>42743</v>
      </c>
      <c r="G201" s="128">
        <f>108*7+103+108</f>
        <v>967</v>
      </c>
      <c r="H201" s="490">
        <f t="shared" si="92"/>
        <v>4864.01</v>
      </c>
      <c r="I201" s="129">
        <f>7.5*2</f>
        <v>15</v>
      </c>
      <c r="J201" s="130">
        <f t="array" ref="J201">IF(ISERROR(G201/I201),"",G201/I201)</f>
        <v>64.466666666666669</v>
      </c>
      <c r="K201" s="131">
        <f t="array" ref="K201">IF(ISERROR(G201/L201),"",G201/L201)</f>
        <v>18.596153846153847</v>
      </c>
      <c r="L201" s="129">
        <v>52</v>
      </c>
      <c r="M201" s="109">
        <f t="shared" si="93"/>
        <v>-3.5961538461538467</v>
      </c>
      <c r="N201" s="130"/>
      <c r="O201" s="494"/>
      <c r="P201" s="494"/>
      <c r="Q201" s="494"/>
      <c r="R201" s="494"/>
      <c r="S201" s="494"/>
      <c r="T201" s="494"/>
      <c r="U201" s="494"/>
      <c r="V201" s="132"/>
      <c r="W201" s="133"/>
      <c r="X201" s="132"/>
      <c r="Y201" s="132"/>
      <c r="Z201" s="132"/>
      <c r="AA201" s="132"/>
    </row>
    <row r="202" spans="1:27" ht="20.100000000000001" hidden="1" customHeight="1">
      <c r="A202" s="300">
        <v>30100010</v>
      </c>
      <c r="B202" s="489" t="s">
        <v>206</v>
      </c>
      <c r="C202" s="126" t="s">
        <v>186</v>
      </c>
      <c r="D202" s="108">
        <v>5.03</v>
      </c>
      <c r="E202" s="108"/>
      <c r="F202" s="127"/>
      <c r="G202" s="128"/>
      <c r="H202" s="490">
        <f t="shared" si="92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 t="shared" ref="M202" si="97">IF(ISERROR(I202-K202),"",I202-K202)</f>
        <v>0</v>
      </c>
      <c r="N202" s="130">
        <f t="shared" ref="N202:N204" si="98">SUM(O202:U202)</f>
        <v>0</v>
      </c>
      <c r="O202" s="494"/>
      <c r="P202" s="494"/>
      <c r="Q202" s="494"/>
      <c r="R202" s="494"/>
      <c r="S202" s="494"/>
      <c r="T202" s="494"/>
      <c r="U202" s="494"/>
      <c r="V202" s="132">
        <f t="shared" ref="V202:V204" si="99">SUM(X202:AA202)</f>
        <v>0</v>
      </c>
      <c r="W202" s="133" t="str">
        <f t="shared" ref="W202:W204" si="100">IF(ISERROR(V202/G202),"",V202/G202)</f>
        <v/>
      </c>
      <c r="X202" s="132"/>
      <c r="Y202" s="132"/>
      <c r="Z202" s="132"/>
      <c r="AA202" s="132"/>
    </row>
    <row r="203" spans="1:27" ht="20.100000000000001" customHeight="1">
      <c r="A203" s="300">
        <v>30100014</v>
      </c>
      <c r="B203" s="489" t="s">
        <v>206</v>
      </c>
      <c r="C203" s="126" t="s">
        <v>203</v>
      </c>
      <c r="D203" s="108">
        <v>5.03</v>
      </c>
      <c r="E203" s="108"/>
      <c r="F203" s="127">
        <v>42743</v>
      </c>
      <c r="G203" s="128">
        <f>108*3+108*2</f>
        <v>540</v>
      </c>
      <c r="H203" s="490">
        <f t="shared" si="92"/>
        <v>2716.2000000000003</v>
      </c>
      <c r="I203" s="129">
        <f>4*2</f>
        <v>8</v>
      </c>
      <c r="J203" s="130">
        <f t="array" ref="J203">IF(ISERROR(G203/I203),"",G203/I203)</f>
        <v>67.5</v>
      </c>
      <c r="K203" s="131">
        <f t="array" ref="K203">IF(ISERROR(G203/L203),"",G203/L203)</f>
        <v>10.384615384615385</v>
      </c>
      <c r="L203" s="129">
        <v>52</v>
      </c>
      <c r="M203" s="109">
        <f>IF(ISERROR(I203-K203),"",I203-K203)</f>
        <v>-2.384615384615385</v>
      </c>
      <c r="N203" s="130">
        <f t="shared" si="98"/>
        <v>0</v>
      </c>
      <c r="O203" s="494"/>
      <c r="P203" s="494"/>
      <c r="Q203" s="494"/>
      <c r="R203" s="494"/>
      <c r="S203" s="494"/>
      <c r="T203" s="494"/>
      <c r="U203" s="494"/>
      <c r="V203" s="132">
        <f t="shared" si="99"/>
        <v>0</v>
      </c>
      <c r="W203" s="133">
        <f t="shared" si="100"/>
        <v>0</v>
      </c>
      <c r="X203" s="132"/>
      <c r="Y203" s="132"/>
      <c r="Z203" s="132"/>
      <c r="AA203" s="132"/>
    </row>
    <row r="204" spans="1:27" ht="20.100000000000001" hidden="1" customHeight="1">
      <c r="A204" s="300">
        <v>30100013</v>
      </c>
      <c r="B204" s="489" t="s">
        <v>206</v>
      </c>
      <c r="C204" s="126" t="s">
        <v>207</v>
      </c>
      <c r="D204" s="108">
        <v>5.03</v>
      </c>
      <c r="E204" s="108"/>
      <c r="F204" s="127"/>
      <c r="G204" s="128"/>
      <c r="H204" s="490">
        <f t="shared" si="92"/>
        <v>0</v>
      </c>
      <c r="I204" s="129"/>
      <c r="J204" s="130" t="str">
        <f t="array" ref="J204">IF(ISERROR(G204/I204),"",G204/I204)</f>
        <v/>
      </c>
      <c r="K204" s="131">
        <f t="array" ref="K204">IF(ISERROR(G204/L204),"",G204/L204)</f>
        <v>0</v>
      </c>
      <c r="L204" s="129">
        <v>52</v>
      </c>
      <c r="M204" s="109">
        <f t="shared" ref="M204" si="101">IF(ISERROR(I204-K204),"",I204-K204)</f>
        <v>0</v>
      </c>
      <c r="N204" s="130">
        <f t="shared" si="98"/>
        <v>0</v>
      </c>
      <c r="O204" s="494"/>
      <c r="P204" s="494"/>
      <c r="Q204" s="494"/>
      <c r="R204" s="494"/>
      <c r="S204" s="494"/>
      <c r="T204" s="494"/>
      <c r="U204" s="494"/>
      <c r="V204" s="132">
        <f t="shared" si="99"/>
        <v>0</v>
      </c>
      <c r="W204" s="133" t="str">
        <f t="shared" si="100"/>
        <v/>
      </c>
      <c r="X204" s="132"/>
      <c r="Y204" s="132"/>
      <c r="Z204" s="132"/>
      <c r="AA204" s="132"/>
    </row>
    <row r="205" spans="1:27" ht="20.100000000000001" hidden="1" customHeight="1">
      <c r="A205" s="300">
        <v>30100016</v>
      </c>
      <c r="B205" s="489" t="s">
        <v>414</v>
      </c>
      <c r="C205" s="187" t="s">
        <v>415</v>
      </c>
      <c r="D205" s="108">
        <v>5.03</v>
      </c>
      <c r="E205" s="108"/>
      <c r="F205" s="127"/>
      <c r="G205" s="128"/>
      <c r="H205" s="490">
        <f t="shared" si="92"/>
        <v>0</v>
      </c>
      <c r="I205" s="129"/>
      <c r="J205" s="130"/>
      <c r="K205" s="131"/>
      <c r="L205" s="129">
        <v>52</v>
      </c>
      <c r="M205" s="109"/>
      <c r="N205" s="130"/>
      <c r="O205" s="494"/>
      <c r="P205" s="494"/>
      <c r="Q205" s="494"/>
      <c r="R205" s="494"/>
      <c r="S205" s="494"/>
      <c r="T205" s="494"/>
      <c r="U205" s="494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30100017</v>
      </c>
      <c r="B206" s="489" t="s">
        <v>414</v>
      </c>
      <c r="C206" s="187" t="s">
        <v>416</v>
      </c>
      <c r="D206" s="108">
        <v>5.03</v>
      </c>
      <c r="E206" s="108"/>
      <c r="F206" s="127"/>
      <c r="G206" s="128"/>
      <c r="H206" s="490">
        <f t="shared" si="92"/>
        <v>0</v>
      </c>
      <c r="I206" s="129"/>
      <c r="J206" s="130"/>
      <c r="K206" s="131"/>
      <c r="L206" s="129">
        <v>52</v>
      </c>
      <c r="M206" s="109"/>
      <c r="N206" s="130"/>
      <c r="O206" s="494"/>
      <c r="P206" s="494"/>
      <c r="Q206" s="494"/>
      <c r="R206" s="494"/>
      <c r="S206" s="494"/>
      <c r="T206" s="494"/>
      <c r="U206" s="494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30100015</v>
      </c>
      <c r="B207" s="489" t="s">
        <v>414</v>
      </c>
      <c r="C207" s="187" t="s">
        <v>61</v>
      </c>
      <c r="D207" s="108">
        <v>5.03</v>
      </c>
      <c r="E207" s="108"/>
      <c r="F207" s="127"/>
      <c r="G207" s="128"/>
      <c r="H207" s="490">
        <f t="shared" si="92"/>
        <v>0</v>
      </c>
      <c r="I207" s="129"/>
      <c r="J207" s="130"/>
      <c r="K207" s="131"/>
      <c r="L207" s="129">
        <v>52</v>
      </c>
      <c r="M207" s="109"/>
      <c r="N207" s="130"/>
      <c r="O207" s="494"/>
      <c r="P207" s="494"/>
      <c r="Q207" s="494"/>
      <c r="R207" s="494"/>
      <c r="S207" s="494"/>
      <c r="T207" s="494"/>
      <c r="U207" s="494"/>
      <c r="V207" s="132"/>
      <c r="W207" s="133"/>
      <c r="X207" s="132"/>
      <c r="Y207" s="132"/>
      <c r="Z207" s="132"/>
      <c r="AA207" s="132"/>
    </row>
    <row r="208" spans="1:27" ht="20.100000000000001" hidden="1" customHeight="1">
      <c r="A208" s="300">
        <v>30100027</v>
      </c>
      <c r="B208" s="489" t="s">
        <v>208</v>
      </c>
      <c r="C208" s="126" t="s">
        <v>179</v>
      </c>
      <c r="D208" s="108">
        <v>5.08</v>
      </c>
      <c r="E208" s="108"/>
      <c r="F208" s="127"/>
      <c r="G208" s="128"/>
      <c r="H208" s="490">
        <f t="shared" si="92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ref="M208:M237" si="102">IF(ISERROR(I208-K208),"",I208-K208)</f>
        <v>0</v>
      </c>
      <c r="N208" s="130">
        <f t="shared" ref="N208:N237" si="103">SUM(O208:U208)</f>
        <v>0</v>
      </c>
      <c r="O208" s="494"/>
      <c r="P208" s="494"/>
      <c r="Q208" s="494"/>
      <c r="R208" s="494"/>
      <c r="S208" s="494"/>
      <c r="T208" s="494"/>
      <c r="U208" s="494"/>
      <c r="V208" s="132">
        <f t="shared" ref="V208:V219" si="104">SUM(X208:AA208)</f>
        <v>0</v>
      </c>
      <c r="W208" s="133" t="str">
        <f t="shared" ref="W208:W219" si="105">IF(ISERROR(V208/G208),"",V208/G208)</f>
        <v/>
      </c>
      <c r="X208" s="132"/>
      <c r="Y208" s="132"/>
      <c r="Z208" s="132"/>
      <c r="AA208" s="132"/>
    </row>
    <row r="209" spans="1:27" ht="20.100000000000001" hidden="1" customHeight="1">
      <c r="A209" s="300">
        <v>30100023</v>
      </c>
      <c r="B209" s="489" t="s">
        <v>208</v>
      </c>
      <c r="C209" s="126" t="s">
        <v>204</v>
      </c>
      <c r="D209" s="108">
        <v>5.08</v>
      </c>
      <c r="E209" s="108"/>
      <c r="F209" s="127"/>
      <c r="G209" s="128"/>
      <c r="H209" s="490">
        <f t="shared" si="92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2"/>
        <v>0</v>
      </c>
      <c r="N209" s="130">
        <f t="shared" si="103"/>
        <v>0</v>
      </c>
      <c r="O209" s="494"/>
      <c r="P209" s="494"/>
      <c r="Q209" s="494"/>
      <c r="R209" s="494"/>
      <c r="S209" s="494"/>
      <c r="T209" s="494"/>
      <c r="U209" s="494"/>
      <c r="V209" s="132">
        <f t="shared" si="104"/>
        <v>0</v>
      </c>
      <c r="W209" s="133" t="str">
        <f t="shared" si="105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30100024</v>
      </c>
      <c r="B210" s="489" t="s">
        <v>208</v>
      </c>
      <c r="C210" s="126" t="s">
        <v>205</v>
      </c>
      <c r="D210" s="108">
        <v>5.08</v>
      </c>
      <c r="E210" s="108"/>
      <c r="F210" s="127"/>
      <c r="G210" s="128"/>
      <c r="H210" s="490">
        <f t="shared" si="92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2"/>
        <v>0</v>
      </c>
      <c r="N210" s="130">
        <f t="shared" si="103"/>
        <v>0</v>
      </c>
      <c r="O210" s="494"/>
      <c r="P210" s="494"/>
      <c r="Q210" s="494"/>
      <c r="R210" s="494"/>
      <c r="S210" s="494"/>
      <c r="T210" s="494"/>
      <c r="U210" s="494"/>
      <c r="V210" s="132">
        <f t="shared" si="104"/>
        <v>0</v>
      </c>
      <c r="W210" s="133" t="str">
        <f t="shared" si="105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30100022</v>
      </c>
      <c r="B211" s="489" t="s">
        <v>208</v>
      </c>
      <c r="C211" s="126" t="s">
        <v>186</v>
      </c>
      <c r="D211" s="108">
        <v>5.08</v>
      </c>
      <c r="E211" s="108"/>
      <c r="F211" s="127"/>
      <c r="G211" s="128"/>
      <c r="H211" s="490">
        <f t="shared" si="92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2"/>
        <v>0</v>
      </c>
      <c r="N211" s="130">
        <f t="shared" si="103"/>
        <v>0</v>
      </c>
      <c r="O211" s="494"/>
      <c r="P211" s="494"/>
      <c r="Q211" s="494"/>
      <c r="R211" s="494"/>
      <c r="S211" s="494"/>
      <c r="T211" s="494"/>
      <c r="U211" s="494"/>
      <c r="V211" s="132">
        <f t="shared" si="104"/>
        <v>0</v>
      </c>
      <c r="W211" s="133" t="str">
        <f t="shared" si="105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30100029</v>
      </c>
      <c r="B212" s="489" t="s">
        <v>208</v>
      </c>
      <c r="C212" s="126" t="s">
        <v>203</v>
      </c>
      <c r="D212" s="108">
        <v>5.08</v>
      </c>
      <c r="E212" s="108"/>
      <c r="F212" s="127"/>
      <c r="G212" s="128"/>
      <c r="H212" s="490">
        <f t="shared" si="92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2"/>
        <v>0</v>
      </c>
      <c r="N212" s="130">
        <f t="shared" si="103"/>
        <v>0</v>
      </c>
      <c r="O212" s="494"/>
      <c r="P212" s="494"/>
      <c r="Q212" s="494"/>
      <c r="R212" s="494"/>
      <c r="S212" s="494"/>
      <c r="T212" s="494"/>
      <c r="U212" s="494"/>
      <c r="V212" s="132">
        <f t="shared" si="104"/>
        <v>0</v>
      </c>
      <c r="W212" s="133" t="str">
        <f t="shared" si="105"/>
        <v/>
      </c>
      <c r="X212" s="132"/>
      <c r="Y212" s="132"/>
      <c r="Z212" s="132"/>
      <c r="AA212" s="132"/>
    </row>
    <row r="213" spans="1:27" ht="20.100000000000001" customHeight="1">
      <c r="A213" s="300">
        <v>30100026</v>
      </c>
      <c r="B213" s="489" t="s">
        <v>208</v>
      </c>
      <c r="C213" s="126" t="s">
        <v>199</v>
      </c>
      <c r="D213" s="108">
        <v>5.08</v>
      </c>
      <c r="E213" s="108"/>
      <c r="F213" s="127">
        <v>42744</v>
      </c>
      <c r="G213" s="128">
        <f>108*7+57+1</f>
        <v>814</v>
      </c>
      <c r="H213" s="490">
        <f t="shared" si="92"/>
        <v>4135.12</v>
      </c>
      <c r="I213" s="129">
        <f>11.5*3</f>
        <v>34.5</v>
      </c>
      <c r="J213" s="130">
        <f t="array" ref="J213">IF(ISERROR(G213/I213),"",G213/I213)</f>
        <v>23.594202898550726</v>
      </c>
      <c r="K213" s="131">
        <f t="array" ref="K213">IF(ISERROR(G213/L213),"",G213/L213)</f>
        <v>38.761904761904759</v>
      </c>
      <c r="L213" s="129">
        <v>21</v>
      </c>
      <c r="M213" s="109">
        <f t="shared" si="102"/>
        <v>-4.2619047619047592</v>
      </c>
      <c r="N213" s="130">
        <f t="shared" si="103"/>
        <v>0</v>
      </c>
      <c r="O213" s="498"/>
      <c r="P213" s="498"/>
      <c r="Q213" s="498"/>
      <c r="R213" s="498"/>
      <c r="S213" s="498"/>
      <c r="T213" s="498"/>
      <c r="U213" s="498"/>
      <c r="V213" s="132">
        <f t="shared" si="104"/>
        <v>0</v>
      </c>
      <c r="W213" s="133">
        <f t="shared" si="105"/>
        <v>0</v>
      </c>
      <c r="X213" s="132"/>
      <c r="Y213" s="132"/>
      <c r="Z213" s="132"/>
      <c r="AA213" s="132"/>
    </row>
    <row r="214" spans="1:27" ht="20.100000000000001" hidden="1" customHeight="1">
      <c r="A214" s="300">
        <v>30100025</v>
      </c>
      <c r="B214" s="489" t="s">
        <v>208</v>
      </c>
      <c r="C214" s="126" t="s">
        <v>187</v>
      </c>
      <c r="D214" s="108">
        <v>5.08</v>
      </c>
      <c r="E214" s="108"/>
      <c r="F214" s="127"/>
      <c r="G214" s="128"/>
      <c r="H214" s="490">
        <f t="shared" si="92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2"/>
        <v>0</v>
      </c>
      <c r="N214" s="130">
        <f t="shared" si="103"/>
        <v>0</v>
      </c>
      <c r="O214" s="494"/>
      <c r="P214" s="494"/>
      <c r="Q214" s="494"/>
      <c r="R214" s="494"/>
      <c r="S214" s="494"/>
      <c r="T214" s="494"/>
      <c r="U214" s="494"/>
      <c r="V214" s="132">
        <f t="shared" si="104"/>
        <v>0</v>
      </c>
      <c r="W214" s="133" t="str">
        <f t="shared" si="105"/>
        <v/>
      </c>
      <c r="X214" s="132"/>
      <c r="Y214" s="132"/>
      <c r="Z214" s="132"/>
      <c r="AA214" s="132"/>
    </row>
    <row r="215" spans="1:27" ht="20.100000000000001" hidden="1" customHeight="1">
      <c r="A215" s="300">
        <v>30100028</v>
      </c>
      <c r="B215" s="489" t="s">
        <v>208</v>
      </c>
      <c r="C215" s="126" t="s">
        <v>207</v>
      </c>
      <c r="D215" s="108">
        <v>5.08</v>
      </c>
      <c r="E215" s="108"/>
      <c r="F215" s="127"/>
      <c r="G215" s="128"/>
      <c r="H215" s="490">
        <f t="shared" si="92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21</v>
      </c>
      <c r="M215" s="109">
        <f t="shared" si="102"/>
        <v>0</v>
      </c>
      <c r="N215" s="130">
        <f t="shared" si="103"/>
        <v>0</v>
      </c>
      <c r="O215" s="498"/>
      <c r="P215" s="498"/>
      <c r="Q215" s="498"/>
      <c r="R215" s="498"/>
      <c r="S215" s="498"/>
      <c r="T215" s="498"/>
      <c r="U215" s="498"/>
      <c r="V215" s="132">
        <f t="shared" si="104"/>
        <v>0</v>
      </c>
      <c r="W215" s="133" t="str">
        <f t="shared" si="105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30100032</v>
      </c>
      <c r="B216" s="489" t="s">
        <v>209</v>
      </c>
      <c r="C216" s="126" t="s">
        <v>194</v>
      </c>
      <c r="D216" s="108">
        <v>5.03</v>
      </c>
      <c r="E216" s="108"/>
      <c r="F216" s="127"/>
      <c r="G216" s="128"/>
      <c r="H216" s="490">
        <f t="shared" si="92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2"/>
        <v>0</v>
      </c>
      <c r="N216" s="130">
        <f t="shared" si="103"/>
        <v>0</v>
      </c>
      <c r="O216" s="494"/>
      <c r="P216" s="494"/>
      <c r="Q216" s="494"/>
      <c r="R216" s="494"/>
      <c r="S216" s="494"/>
      <c r="T216" s="494"/>
      <c r="U216" s="494"/>
      <c r="V216" s="132">
        <f t="shared" si="104"/>
        <v>0</v>
      </c>
      <c r="W216" s="133" t="str">
        <f t="shared" si="105"/>
        <v/>
      </c>
      <c r="X216" s="132"/>
      <c r="Y216" s="132"/>
      <c r="Z216" s="132"/>
      <c r="AA216" s="132"/>
    </row>
    <row r="217" spans="1:27" ht="20.100000000000001" hidden="1" customHeight="1">
      <c r="A217" s="300">
        <v>30100033</v>
      </c>
      <c r="B217" s="489" t="s">
        <v>209</v>
      </c>
      <c r="C217" s="126" t="s">
        <v>179</v>
      </c>
      <c r="D217" s="108">
        <v>5.03</v>
      </c>
      <c r="E217" s="108"/>
      <c r="F217" s="127"/>
      <c r="G217" s="128"/>
      <c r="H217" s="490">
        <f t="shared" si="92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2"/>
        <v>0</v>
      </c>
      <c r="N217" s="130">
        <f t="shared" si="103"/>
        <v>0</v>
      </c>
      <c r="O217" s="494"/>
      <c r="P217" s="494"/>
      <c r="Q217" s="494"/>
      <c r="R217" s="494"/>
      <c r="S217" s="494"/>
      <c r="T217" s="494"/>
      <c r="U217" s="494"/>
      <c r="V217" s="132">
        <f t="shared" si="104"/>
        <v>0</v>
      </c>
      <c r="W217" s="133" t="str">
        <f t="shared" si="105"/>
        <v/>
      </c>
      <c r="X217" s="132"/>
      <c r="Y217" s="132"/>
      <c r="Z217" s="132"/>
      <c r="AA217" s="132"/>
    </row>
    <row r="218" spans="1:27" ht="20.100000000000001" hidden="1" customHeight="1">
      <c r="A218" s="300">
        <v>30100062</v>
      </c>
      <c r="B218" s="489" t="s">
        <v>209</v>
      </c>
      <c r="C218" s="126" t="s">
        <v>195</v>
      </c>
      <c r="D218" s="108">
        <v>5.03</v>
      </c>
      <c r="E218" s="108"/>
      <c r="F218" s="127"/>
      <c r="G218" s="128"/>
      <c r="H218" s="490">
        <f t="shared" si="92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2"/>
        <v>0</v>
      </c>
      <c r="N218" s="130">
        <f t="shared" si="103"/>
        <v>0</v>
      </c>
      <c r="O218" s="494"/>
      <c r="P218" s="494"/>
      <c r="Q218" s="494"/>
      <c r="R218" s="494"/>
      <c r="S218" s="494"/>
      <c r="T218" s="494"/>
      <c r="U218" s="494"/>
      <c r="V218" s="132">
        <f t="shared" si="104"/>
        <v>0</v>
      </c>
      <c r="W218" s="133" t="str">
        <f t="shared" si="105"/>
        <v/>
      </c>
      <c r="X218" s="132"/>
      <c r="Y218" s="132"/>
      <c r="Z218" s="132"/>
      <c r="AA218" s="132"/>
    </row>
    <row r="219" spans="1:27" ht="20.100000000000001" hidden="1" customHeight="1">
      <c r="A219" s="300">
        <v>30100031</v>
      </c>
      <c r="B219" s="489" t="s">
        <v>209</v>
      </c>
      <c r="C219" s="126" t="s">
        <v>204</v>
      </c>
      <c r="D219" s="108">
        <v>5.03</v>
      </c>
      <c r="E219" s="108"/>
      <c r="F219" s="127"/>
      <c r="G219" s="128"/>
      <c r="H219" s="490">
        <f t="shared" si="92"/>
        <v>0</v>
      </c>
      <c r="I219" s="129"/>
      <c r="J219" s="130" t="str">
        <f t="array" ref="J219">IF(ISERROR(G219/I219),"",G219/I219)</f>
        <v/>
      </c>
      <c r="K219" s="131">
        <f t="array" ref="K219">IF(ISERROR(G219/L219),"",G219/L219)</f>
        <v>0</v>
      </c>
      <c r="L219" s="129">
        <v>56</v>
      </c>
      <c r="M219" s="109">
        <f t="shared" si="102"/>
        <v>0</v>
      </c>
      <c r="N219" s="130">
        <f t="shared" si="103"/>
        <v>0</v>
      </c>
      <c r="O219" s="494"/>
      <c r="P219" s="494"/>
      <c r="Q219" s="494"/>
      <c r="R219" s="494"/>
      <c r="S219" s="494"/>
      <c r="T219" s="494"/>
      <c r="U219" s="494"/>
      <c r="V219" s="132">
        <f t="shared" si="104"/>
        <v>0</v>
      </c>
      <c r="W219" s="133" t="str">
        <f t="shared" si="105"/>
        <v/>
      </c>
      <c r="X219" s="132"/>
      <c r="Y219" s="132"/>
      <c r="Z219" s="132"/>
      <c r="AA219" s="132"/>
    </row>
    <row r="220" spans="1:27" ht="20.100000000000001" hidden="1" customHeight="1">
      <c r="A220" s="300">
        <v>30100019</v>
      </c>
      <c r="B220" s="489" t="s">
        <v>382</v>
      </c>
      <c r="C220" s="187" t="s">
        <v>383</v>
      </c>
      <c r="D220" s="108">
        <v>5.03</v>
      </c>
      <c r="E220" s="108"/>
      <c r="F220" s="127"/>
      <c r="G220" s="128"/>
      <c r="H220" s="490">
        <f t="shared" si="92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2"/>
        <v>0</v>
      </c>
      <c r="N220" s="130">
        <f t="shared" si="103"/>
        <v>0</v>
      </c>
      <c r="O220" s="494"/>
      <c r="P220" s="494"/>
      <c r="Q220" s="494"/>
      <c r="R220" s="494"/>
      <c r="S220" s="494"/>
      <c r="T220" s="494"/>
      <c r="U220" s="494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30100020</v>
      </c>
      <c r="B221" s="489" t="s">
        <v>382</v>
      </c>
      <c r="C221" s="187" t="s">
        <v>384</v>
      </c>
      <c r="D221" s="108">
        <v>5.03</v>
      </c>
      <c r="E221" s="108"/>
      <c r="F221" s="127"/>
      <c r="G221" s="128"/>
      <c r="H221" s="490">
        <f t="shared" si="92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2"/>
        <v>0</v>
      </c>
      <c r="N221" s="130">
        <f t="shared" si="103"/>
        <v>0</v>
      </c>
      <c r="O221" s="494"/>
      <c r="P221" s="494"/>
      <c r="Q221" s="494"/>
      <c r="R221" s="494"/>
      <c r="S221" s="494"/>
      <c r="T221" s="494"/>
      <c r="U221" s="494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30100021</v>
      </c>
      <c r="B222" s="489" t="s">
        <v>382</v>
      </c>
      <c r="C222" s="187" t="s">
        <v>389</v>
      </c>
      <c r="D222" s="108">
        <v>5.03</v>
      </c>
      <c r="E222" s="108"/>
      <c r="F222" s="127"/>
      <c r="G222" s="128"/>
      <c r="H222" s="490">
        <f t="shared" si="92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2"/>
        <v>0</v>
      </c>
      <c r="N222" s="130">
        <f t="shared" si="103"/>
        <v>0</v>
      </c>
      <c r="O222" s="494"/>
      <c r="P222" s="494"/>
      <c r="Q222" s="494"/>
      <c r="R222" s="494"/>
      <c r="S222" s="494"/>
      <c r="T222" s="494"/>
      <c r="U222" s="494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0">
        <v>30100018</v>
      </c>
      <c r="B223" s="489" t="s">
        <v>382</v>
      </c>
      <c r="C223" s="187" t="s">
        <v>391</v>
      </c>
      <c r="D223" s="108">
        <v>5.03</v>
      </c>
      <c r="E223" s="108"/>
      <c r="F223" s="127"/>
      <c r="G223" s="128"/>
      <c r="H223" s="490">
        <f t="shared" si="92"/>
        <v>0</v>
      </c>
      <c r="I223" s="129"/>
      <c r="J223" s="130"/>
      <c r="K223" s="131">
        <f t="array" ref="K223">IF(ISERROR(G223/L223),"",G223/L223)</f>
        <v>0</v>
      </c>
      <c r="L223" s="129">
        <v>54</v>
      </c>
      <c r="M223" s="109">
        <f t="shared" si="102"/>
        <v>0</v>
      </c>
      <c r="N223" s="130">
        <f t="shared" si="103"/>
        <v>0</v>
      </c>
      <c r="O223" s="494"/>
      <c r="P223" s="494"/>
      <c r="Q223" s="494"/>
      <c r="R223" s="494"/>
      <c r="S223" s="494"/>
      <c r="T223" s="494"/>
      <c r="U223" s="494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30700007</v>
      </c>
      <c r="B224" s="489" t="s">
        <v>418</v>
      </c>
      <c r="C224" s="187" t="s">
        <v>364</v>
      </c>
      <c r="D224" s="108">
        <v>5.03</v>
      </c>
      <c r="E224" s="108"/>
      <c r="F224" s="127"/>
      <c r="G224" s="128"/>
      <c r="H224" s="490">
        <f t="shared" si="92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2"/>
        <v>0</v>
      </c>
      <c r="N224" s="130">
        <f t="shared" si="103"/>
        <v>0</v>
      </c>
      <c r="O224" s="494"/>
      <c r="P224" s="494"/>
      <c r="Q224" s="494"/>
      <c r="R224" s="494"/>
      <c r="S224" s="494"/>
      <c r="T224" s="494"/>
      <c r="U224" s="494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30700006</v>
      </c>
      <c r="B225" s="489" t="s">
        <v>418</v>
      </c>
      <c r="C225" s="187" t="s">
        <v>365</v>
      </c>
      <c r="D225" s="108">
        <v>5.03</v>
      </c>
      <c r="E225" s="108"/>
      <c r="F225" s="127"/>
      <c r="G225" s="128"/>
      <c r="H225" s="490">
        <f t="shared" si="92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2"/>
        <v>0</v>
      </c>
      <c r="N225" s="130">
        <f t="shared" si="103"/>
        <v>0</v>
      </c>
      <c r="O225" s="494"/>
      <c r="P225" s="494"/>
      <c r="Q225" s="494"/>
      <c r="R225" s="494"/>
      <c r="S225" s="494"/>
      <c r="T225" s="494"/>
      <c r="U225" s="494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30700008</v>
      </c>
      <c r="B226" s="489" t="s">
        <v>418</v>
      </c>
      <c r="C226" s="187" t="s">
        <v>366</v>
      </c>
      <c r="D226" s="108">
        <v>5.03</v>
      </c>
      <c r="E226" s="108"/>
      <c r="F226" s="127"/>
      <c r="G226" s="128"/>
      <c r="H226" s="490">
        <f t="shared" si="92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2"/>
        <v>0</v>
      </c>
      <c r="N226" s="130">
        <f t="shared" si="103"/>
        <v>0</v>
      </c>
      <c r="O226" s="494"/>
      <c r="P226" s="494"/>
      <c r="Q226" s="494"/>
      <c r="R226" s="494"/>
      <c r="S226" s="494"/>
      <c r="T226" s="494"/>
      <c r="U226" s="494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3">
        <v>30700009</v>
      </c>
      <c r="B227" s="489" t="s">
        <v>418</v>
      </c>
      <c r="C227" s="187" t="s">
        <v>367</v>
      </c>
      <c r="D227" s="108">
        <v>5.03</v>
      </c>
      <c r="E227" s="108"/>
      <c r="F227" s="127"/>
      <c r="G227" s="128"/>
      <c r="H227" s="490">
        <f t="shared" si="92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102"/>
        <v>0</v>
      </c>
      <c r="N227" s="130">
        <f t="shared" si="103"/>
        <v>0</v>
      </c>
      <c r="O227" s="494"/>
      <c r="P227" s="494"/>
      <c r="Q227" s="494"/>
      <c r="R227" s="494"/>
      <c r="S227" s="494"/>
      <c r="T227" s="494"/>
      <c r="U227" s="494"/>
      <c r="V227" s="132"/>
      <c r="W227" s="133"/>
      <c r="X227" s="132"/>
      <c r="Y227" s="132"/>
      <c r="Z227" s="132"/>
      <c r="AA227" s="132"/>
    </row>
    <row r="228" spans="1:27" ht="20.100000000000001" hidden="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/>
      <c r="G228" s="128"/>
      <c r="H228" s="490">
        <f t="shared" si="92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2"/>
        <v>0</v>
      </c>
      <c r="N228" s="130">
        <f t="shared" si="103"/>
        <v>0</v>
      </c>
      <c r="O228" s="498"/>
      <c r="P228" s="498"/>
      <c r="Q228" s="498"/>
      <c r="R228" s="498"/>
      <c r="S228" s="498"/>
      <c r="T228" s="498"/>
      <c r="U228" s="498"/>
      <c r="V228" s="132">
        <f t="shared" ref="V228:V237" si="106">SUM(X228:AA228)</f>
        <v>0</v>
      </c>
      <c r="W228" s="133" t="str">
        <f t="shared" ref="W228:W237" si="107">IF(ISERROR(V228/G228),"",V228/G228)</f>
        <v/>
      </c>
      <c r="X228" s="132"/>
      <c r="Y228" s="132"/>
      <c r="Z228" s="132"/>
      <c r="AA228" s="132"/>
    </row>
    <row r="229" spans="1:27" ht="20.100000000000001" hidden="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/>
      <c r="G229" s="128"/>
      <c r="H229" s="490">
        <f t="shared" si="92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2"/>
        <v>0</v>
      </c>
      <c r="N229" s="130">
        <f t="shared" si="103"/>
        <v>0</v>
      </c>
      <c r="O229" s="498"/>
      <c r="P229" s="498"/>
      <c r="Q229" s="498"/>
      <c r="R229" s="498"/>
      <c r="S229" s="498"/>
      <c r="T229" s="498"/>
      <c r="U229" s="498"/>
      <c r="V229" s="132">
        <f t="shared" si="106"/>
        <v>0</v>
      </c>
      <c r="W229" s="133" t="str">
        <f t="shared" si="107"/>
        <v/>
      </c>
      <c r="X229" s="132"/>
      <c r="Y229" s="132"/>
      <c r="Z229" s="132"/>
      <c r="AA229" s="132"/>
    </row>
    <row r="230" spans="1:27" ht="20.100000000000001" hidden="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/>
      <c r="G230" s="128"/>
      <c r="H230" s="490">
        <f t="shared" si="92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40</v>
      </c>
      <c r="M230" s="109">
        <f t="shared" si="102"/>
        <v>0</v>
      </c>
      <c r="N230" s="130">
        <f t="shared" si="103"/>
        <v>0</v>
      </c>
      <c r="O230" s="498"/>
      <c r="P230" s="498"/>
      <c r="Q230" s="498"/>
      <c r="R230" s="498"/>
      <c r="S230" s="498"/>
      <c r="T230" s="498"/>
      <c r="U230" s="498"/>
      <c r="V230" s="132">
        <f t="shared" si="106"/>
        <v>0</v>
      </c>
      <c r="W230" s="133" t="str">
        <f t="shared" si="107"/>
        <v/>
      </c>
      <c r="X230" s="132"/>
      <c r="Y230" s="132"/>
      <c r="Z230" s="132"/>
      <c r="AA230" s="132"/>
    </row>
    <row r="231" spans="1:27" ht="20.100000000000001" hidden="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28"/>
      <c r="H231" s="490">
        <f t="shared" si="92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2"/>
        <v>0</v>
      </c>
      <c r="N231" s="130">
        <f t="shared" si="103"/>
        <v>0</v>
      </c>
      <c r="O231" s="498"/>
      <c r="P231" s="498"/>
      <c r="Q231" s="498"/>
      <c r="R231" s="498"/>
      <c r="S231" s="498"/>
      <c r="T231" s="498"/>
      <c r="U231" s="498"/>
      <c r="V231" s="132">
        <f t="shared" si="106"/>
        <v>0</v>
      </c>
      <c r="W231" s="133" t="str">
        <f t="shared" si="107"/>
        <v/>
      </c>
      <c r="X231" s="132"/>
      <c r="Y231" s="132"/>
      <c r="Z231" s="132"/>
      <c r="AA231" s="132"/>
    </row>
    <row r="232" spans="1:27" ht="20.100000000000001" hidden="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28"/>
      <c r="H232" s="490">
        <f t="shared" si="92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2"/>
        <v>0</v>
      </c>
      <c r="N232" s="130">
        <f t="shared" si="103"/>
        <v>0</v>
      </c>
      <c r="O232" s="498"/>
      <c r="P232" s="498"/>
      <c r="Q232" s="498"/>
      <c r="R232" s="498"/>
      <c r="S232" s="498"/>
      <c r="T232" s="498"/>
      <c r="U232" s="498"/>
      <c r="V232" s="132">
        <f t="shared" si="106"/>
        <v>0</v>
      </c>
      <c r="W232" s="133" t="str">
        <f t="shared" si="107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28"/>
      <c r="H233" s="490">
        <f t="shared" si="92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2"/>
        <v>0</v>
      </c>
      <c r="N233" s="130">
        <f t="shared" si="103"/>
        <v>0</v>
      </c>
      <c r="O233" s="498"/>
      <c r="P233" s="498"/>
      <c r="Q233" s="498"/>
      <c r="R233" s="498"/>
      <c r="S233" s="498"/>
      <c r="T233" s="498"/>
      <c r="U233" s="498"/>
      <c r="V233" s="132">
        <f t="shared" si="106"/>
        <v>0</v>
      </c>
      <c r="W233" s="133" t="str">
        <f t="shared" si="107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28"/>
      <c r="H234" s="490">
        <f t="shared" si="92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2"/>
        <v>0</v>
      </c>
      <c r="N234" s="130">
        <f t="shared" si="103"/>
        <v>0</v>
      </c>
      <c r="O234" s="498"/>
      <c r="P234" s="498"/>
      <c r="Q234" s="498"/>
      <c r="R234" s="498"/>
      <c r="S234" s="498"/>
      <c r="T234" s="498"/>
      <c r="U234" s="498"/>
      <c r="V234" s="132">
        <f t="shared" si="106"/>
        <v>0</v>
      </c>
      <c r="W234" s="133" t="str">
        <f t="shared" si="107"/>
        <v/>
      </c>
      <c r="X234" s="132"/>
      <c r="Y234" s="132"/>
      <c r="Z234" s="132"/>
      <c r="AA234" s="132"/>
    </row>
    <row r="235" spans="1:27" ht="20.10000000000000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>
        <v>42744</v>
      </c>
      <c r="G235" s="128">
        <f>90*7+24</f>
        <v>654</v>
      </c>
      <c r="H235" s="490">
        <f t="shared" si="92"/>
        <v>3289.6200000000003</v>
      </c>
      <c r="I235" s="129">
        <v>10.5</v>
      </c>
      <c r="J235" s="130">
        <f t="array" ref="J235">IF(ISERROR(G235/I235),"",G235/I235)</f>
        <v>62.285714285714285</v>
      </c>
      <c r="K235" s="131">
        <f t="array" ref="K235">IF(ISERROR(G235/L235),"",G235/L235)</f>
        <v>13.08</v>
      </c>
      <c r="L235" s="129">
        <v>50</v>
      </c>
      <c r="M235" s="109">
        <f t="shared" si="102"/>
        <v>-2.58</v>
      </c>
      <c r="N235" s="130">
        <f t="shared" si="103"/>
        <v>0</v>
      </c>
      <c r="O235" s="498"/>
      <c r="P235" s="498"/>
      <c r="Q235" s="498"/>
      <c r="R235" s="498"/>
      <c r="S235" s="498"/>
      <c r="T235" s="498"/>
      <c r="U235" s="498"/>
      <c r="V235" s="132">
        <f t="shared" si="106"/>
        <v>0</v>
      </c>
      <c r="W235" s="133">
        <f t="shared" si="107"/>
        <v>0</v>
      </c>
      <c r="X235" s="132"/>
      <c r="Y235" s="132"/>
      <c r="Z235" s="132"/>
      <c r="AA235" s="132"/>
    </row>
    <row r="236" spans="1:27" ht="20.10000000000000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>
        <v>42744</v>
      </c>
      <c r="G236" s="128">
        <v>26</v>
      </c>
      <c r="H236" s="490">
        <f t="shared" si="92"/>
        <v>130.78</v>
      </c>
      <c r="I236" s="129">
        <v>1</v>
      </c>
      <c r="J236" s="130">
        <f t="array" ref="J236">IF(ISERROR(G236/I236),"",G236/I236)</f>
        <v>26</v>
      </c>
      <c r="K236" s="131">
        <f t="array" ref="K236">IF(ISERROR(G236/L236),"",G236/L236)</f>
        <v>0.52</v>
      </c>
      <c r="L236" s="129">
        <v>50</v>
      </c>
      <c r="M236" s="109">
        <f t="shared" si="102"/>
        <v>0.48</v>
      </c>
      <c r="N236" s="130">
        <f t="shared" si="103"/>
        <v>0</v>
      </c>
      <c r="O236" s="498"/>
      <c r="P236" s="498"/>
      <c r="Q236" s="498"/>
      <c r="R236" s="498"/>
      <c r="S236" s="498"/>
      <c r="T236" s="498"/>
      <c r="U236" s="498"/>
      <c r="V236" s="132">
        <f t="shared" si="106"/>
        <v>0</v>
      </c>
      <c r="W236" s="133">
        <f t="shared" si="107"/>
        <v>0</v>
      </c>
      <c r="X236" s="132"/>
      <c r="Y236" s="132"/>
      <c r="Z236" s="132"/>
      <c r="AA236" s="132"/>
    </row>
    <row r="237" spans="1:27" ht="20.100000000000001" hidden="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/>
      <c r="G237" s="128"/>
      <c r="H237" s="490">
        <f t="shared" si="92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50</v>
      </c>
      <c r="M237" s="109">
        <f t="shared" si="102"/>
        <v>0</v>
      </c>
      <c r="N237" s="130">
        <f t="shared" si="103"/>
        <v>0</v>
      </c>
      <c r="O237" s="498"/>
      <c r="P237" s="498"/>
      <c r="Q237" s="498"/>
      <c r="R237" s="498"/>
      <c r="S237" s="498"/>
      <c r="T237" s="498"/>
      <c r="U237" s="498"/>
      <c r="V237" s="132">
        <f t="shared" si="106"/>
        <v>0</v>
      </c>
      <c r="W237" s="133" t="str">
        <f t="shared" si="107"/>
        <v/>
      </c>
      <c r="X237" s="132"/>
      <c r="Y237" s="132"/>
      <c r="Z237" s="132"/>
      <c r="AA237" s="132"/>
    </row>
    <row r="238" spans="1:27" ht="20.100000000000001" hidden="1" customHeight="1">
      <c r="A238" s="300">
        <v>30100043</v>
      </c>
      <c r="B238" s="134" t="s">
        <v>429</v>
      </c>
      <c r="C238" s="187" t="s">
        <v>427</v>
      </c>
      <c r="D238" s="108">
        <v>5.03</v>
      </c>
      <c r="E238" s="108"/>
      <c r="F238" s="127"/>
      <c r="G238" s="128"/>
      <c r="H238" s="490">
        <f t="shared" si="92"/>
        <v>0</v>
      </c>
      <c r="I238" s="129"/>
      <c r="J238" s="130"/>
      <c r="K238" s="131"/>
      <c r="L238" s="129">
        <v>50</v>
      </c>
      <c r="M238" s="109"/>
      <c r="N238" s="130"/>
      <c r="O238" s="498"/>
      <c r="P238" s="498"/>
      <c r="Q238" s="498"/>
      <c r="R238" s="498"/>
      <c r="S238" s="498"/>
      <c r="T238" s="498"/>
      <c r="U238" s="498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/>
      <c r="G239" s="128"/>
      <c r="H239" s="490">
        <f t="shared" si="92"/>
        <v>0</v>
      </c>
      <c r="I239" s="129"/>
      <c r="J239" s="130"/>
      <c r="K239" s="131">
        <f t="array" ref="K239">IF(ISERROR(G239/L239),"",G239/L239)</f>
        <v>0</v>
      </c>
      <c r="L239" s="129">
        <v>50</v>
      </c>
      <c r="M239" s="109">
        <f t="shared" ref="M239:M250" si="108">IF(ISERROR(I239-K239),"",I239-K239)</f>
        <v>0</v>
      </c>
      <c r="N239" s="130"/>
      <c r="O239" s="498"/>
      <c r="P239" s="498"/>
      <c r="Q239" s="498"/>
      <c r="R239" s="498"/>
      <c r="S239" s="498"/>
      <c r="T239" s="498"/>
      <c r="U239" s="498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/>
      <c r="G240" s="128"/>
      <c r="H240" s="490">
        <f t="shared" si="92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8"/>
        <v>0</v>
      </c>
      <c r="N240" s="130">
        <f t="shared" ref="N240:N241" si="109">SUM(O240:U240)</f>
        <v>0</v>
      </c>
      <c r="O240" s="498"/>
      <c r="P240" s="498"/>
      <c r="Q240" s="498"/>
      <c r="R240" s="498"/>
      <c r="S240" s="498"/>
      <c r="T240" s="498"/>
      <c r="U240" s="498"/>
      <c r="V240" s="132">
        <f t="shared" ref="V240:V241" si="110">SUM(X240:AA240)</f>
        <v>0</v>
      </c>
      <c r="W240" s="133" t="str">
        <f t="shared" ref="W240:W241" si="111">IF(ISERROR(V240/G240),"",V240/G240)</f>
        <v/>
      </c>
      <c r="X240" s="132"/>
      <c r="Y240" s="132"/>
      <c r="Z240" s="132"/>
      <c r="AA240" s="132"/>
    </row>
    <row r="241" spans="1:27" ht="20.100000000000001" hidden="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/>
      <c r="G241" s="128"/>
      <c r="H241" s="490">
        <f t="shared" si="92"/>
        <v>0</v>
      </c>
      <c r="I241" s="129"/>
      <c r="J241" s="130" t="str">
        <f t="array" ref="J241">IF(ISERROR(G241/I241),"",G241/I241)</f>
        <v/>
      </c>
      <c r="K241" s="131">
        <f t="array" ref="K241">IF(ISERROR(G241/L241),"",G241/L241)</f>
        <v>0</v>
      </c>
      <c r="L241" s="129">
        <v>21.5</v>
      </c>
      <c r="M241" s="109">
        <f t="shared" si="108"/>
        <v>0</v>
      </c>
      <c r="N241" s="130">
        <f t="shared" si="109"/>
        <v>0</v>
      </c>
      <c r="O241" s="498"/>
      <c r="P241" s="498"/>
      <c r="Q241" s="498"/>
      <c r="R241" s="498"/>
      <c r="S241" s="498"/>
      <c r="T241" s="498"/>
      <c r="U241" s="498"/>
      <c r="V241" s="132">
        <f t="shared" si="110"/>
        <v>0</v>
      </c>
      <c r="W241" s="133" t="str">
        <f t="shared" si="111"/>
        <v/>
      </c>
      <c r="X241" s="132"/>
      <c r="Y241" s="132"/>
      <c r="Z241" s="132"/>
      <c r="AA241" s="132"/>
    </row>
    <row r="242" spans="1:27" ht="20.100000000000001" hidden="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28"/>
      <c r="H242" s="490">
        <f t="shared" si="92"/>
        <v>0</v>
      </c>
      <c r="I242" s="129"/>
      <c r="J242" s="130"/>
      <c r="K242" s="131"/>
      <c r="L242" s="129"/>
      <c r="M242" s="109">
        <f t="shared" si="108"/>
        <v>0</v>
      </c>
      <c r="N242" s="130"/>
      <c r="O242" s="498"/>
      <c r="P242" s="498"/>
      <c r="Q242" s="498"/>
      <c r="R242" s="498"/>
      <c r="S242" s="498"/>
      <c r="T242" s="498"/>
      <c r="U242" s="498"/>
      <c r="V242" s="132"/>
      <c r="W242" s="133"/>
      <c r="X242" s="132"/>
      <c r="Y242" s="132"/>
      <c r="Z242" s="132"/>
      <c r="AA242" s="132"/>
    </row>
    <row r="243" spans="1:27" ht="20.100000000000001" hidden="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28"/>
      <c r="H243" s="490">
        <f t="shared" si="92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8"/>
        <v/>
      </c>
      <c r="N243" s="130">
        <f t="shared" ref="N243:N246" si="112">SUM(O243:U243)</f>
        <v>0</v>
      </c>
      <c r="O243" s="498"/>
      <c r="P243" s="498"/>
      <c r="Q243" s="498"/>
      <c r="R243" s="498"/>
      <c r="S243" s="498"/>
      <c r="T243" s="498"/>
      <c r="U243" s="498"/>
      <c r="V243" s="132">
        <f t="shared" ref="V243:V246" si="113">SUM(X243:AA243)</f>
        <v>0</v>
      </c>
      <c r="W243" s="133" t="str">
        <f t="shared" ref="W243:W246" si="114">IF(ISERROR(V243/G243),"",V243/G243)</f>
        <v/>
      </c>
      <c r="X243" s="132"/>
      <c r="Y243" s="132"/>
      <c r="Z243" s="132"/>
      <c r="AA243" s="132"/>
    </row>
    <row r="244" spans="1:27" ht="20.100000000000001" hidden="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28"/>
      <c r="H244" s="490">
        <f t="shared" si="92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8"/>
        <v/>
      </c>
      <c r="N244" s="130">
        <f t="shared" si="112"/>
        <v>0</v>
      </c>
      <c r="O244" s="498"/>
      <c r="P244" s="498"/>
      <c r="Q244" s="498"/>
      <c r="R244" s="498"/>
      <c r="S244" s="498"/>
      <c r="T244" s="498"/>
      <c r="U244" s="498"/>
      <c r="V244" s="132">
        <f t="shared" si="113"/>
        <v>0</v>
      </c>
      <c r="W244" s="133" t="str">
        <f t="shared" si="114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28"/>
      <c r="H245" s="490">
        <f t="shared" si="92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8"/>
        <v/>
      </c>
      <c r="N245" s="130">
        <f t="shared" si="112"/>
        <v>0</v>
      </c>
      <c r="O245" s="498"/>
      <c r="P245" s="498"/>
      <c r="Q245" s="498"/>
      <c r="R245" s="498"/>
      <c r="S245" s="498"/>
      <c r="T245" s="498"/>
      <c r="U245" s="498"/>
      <c r="V245" s="132">
        <f t="shared" si="113"/>
        <v>0</v>
      </c>
      <c r="W245" s="133" t="str">
        <f t="shared" si="114"/>
        <v/>
      </c>
      <c r="X245" s="132"/>
      <c r="Y245" s="132"/>
      <c r="Z245" s="132"/>
      <c r="AA245" s="132"/>
    </row>
    <row r="246" spans="1:27" ht="20.100000000000001" hidden="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28"/>
      <c r="H246" s="490">
        <f t="shared" si="92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8"/>
        <v/>
      </c>
      <c r="N246" s="130">
        <f t="shared" si="112"/>
        <v>0</v>
      </c>
      <c r="O246" s="498"/>
      <c r="P246" s="498"/>
      <c r="Q246" s="498"/>
      <c r="R246" s="498"/>
      <c r="S246" s="498"/>
      <c r="T246" s="498"/>
      <c r="U246" s="498"/>
      <c r="V246" s="132">
        <f t="shared" si="113"/>
        <v>0</v>
      </c>
      <c r="W246" s="133" t="str">
        <f t="shared" si="114"/>
        <v/>
      </c>
      <c r="X246" s="132"/>
      <c r="Y246" s="132"/>
      <c r="Z246" s="132"/>
      <c r="AA246" s="132"/>
    </row>
    <row r="247" spans="1:27" ht="20.100000000000001" hidden="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28"/>
      <c r="H247" s="490">
        <f t="shared" si="92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8"/>
        <v>0</v>
      </c>
      <c r="N247" s="130"/>
      <c r="O247" s="498"/>
      <c r="P247" s="498"/>
      <c r="Q247" s="498"/>
      <c r="R247" s="498"/>
      <c r="S247" s="498"/>
      <c r="T247" s="498"/>
      <c r="U247" s="498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28"/>
      <c r="H248" s="490">
        <f t="shared" si="92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8"/>
        <v>0</v>
      </c>
      <c r="N248" s="130"/>
      <c r="O248" s="498"/>
      <c r="P248" s="498"/>
      <c r="Q248" s="498"/>
      <c r="R248" s="498"/>
      <c r="S248" s="498"/>
      <c r="T248" s="498"/>
      <c r="U248" s="498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28"/>
      <c r="H249" s="490">
        <f t="shared" si="92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8"/>
        <v>0</v>
      </c>
      <c r="N249" s="130"/>
      <c r="O249" s="498"/>
      <c r="P249" s="498"/>
      <c r="Q249" s="498"/>
      <c r="R249" s="498"/>
      <c r="S249" s="498"/>
      <c r="T249" s="498"/>
      <c r="U249" s="498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28"/>
      <c r="H250" s="490">
        <f t="shared" si="92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8"/>
        <v>0</v>
      </c>
      <c r="N250" s="130"/>
      <c r="O250" s="498"/>
      <c r="P250" s="498"/>
      <c r="Q250" s="498"/>
      <c r="R250" s="498"/>
      <c r="S250" s="498"/>
      <c r="T250" s="498"/>
      <c r="U250" s="498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28"/>
      <c r="H251" s="490">
        <f t="shared" si="92"/>
        <v>0</v>
      </c>
      <c r="I251" s="129"/>
      <c r="J251" s="130"/>
      <c r="K251" s="131"/>
      <c r="L251" s="129">
        <v>4</v>
      </c>
      <c r="M251" s="109"/>
      <c r="N251" s="130"/>
      <c r="O251" s="498"/>
      <c r="P251" s="498"/>
      <c r="Q251" s="498"/>
      <c r="R251" s="498"/>
      <c r="S251" s="498"/>
      <c r="T251" s="498"/>
      <c r="U251" s="498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28"/>
      <c r="H252" s="490">
        <f t="shared" si="92"/>
        <v>0</v>
      </c>
      <c r="I252" s="129"/>
      <c r="J252" s="130"/>
      <c r="K252" s="131"/>
      <c r="L252" s="129">
        <v>4</v>
      </c>
      <c r="M252" s="109"/>
      <c r="N252" s="130"/>
      <c r="O252" s="498"/>
      <c r="P252" s="498"/>
      <c r="Q252" s="498"/>
      <c r="R252" s="498"/>
      <c r="S252" s="498"/>
      <c r="T252" s="498"/>
      <c r="U252" s="498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28"/>
      <c r="H253" s="490">
        <f t="shared" si="92"/>
        <v>0</v>
      </c>
      <c r="I253" s="129"/>
      <c r="J253" s="130"/>
      <c r="K253" s="131"/>
      <c r="L253" s="129">
        <v>4</v>
      </c>
      <c r="M253" s="109"/>
      <c r="N253" s="130"/>
      <c r="O253" s="498"/>
      <c r="P253" s="498"/>
      <c r="Q253" s="498"/>
      <c r="R253" s="498"/>
      <c r="S253" s="498"/>
      <c r="T253" s="498"/>
      <c r="U253" s="498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28"/>
      <c r="H254" s="490">
        <f t="shared" si="92"/>
        <v>0</v>
      </c>
      <c r="I254" s="129"/>
      <c r="J254" s="130"/>
      <c r="K254" s="131"/>
      <c r="L254" s="129">
        <v>4</v>
      </c>
      <c r="M254" s="109"/>
      <c r="N254" s="130"/>
      <c r="O254" s="498"/>
      <c r="P254" s="498"/>
      <c r="Q254" s="498"/>
      <c r="R254" s="498"/>
      <c r="S254" s="498"/>
      <c r="T254" s="498"/>
      <c r="U254" s="498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28"/>
      <c r="H255" s="490">
        <f t="shared" si="92"/>
        <v>0</v>
      </c>
      <c r="I255" s="129"/>
      <c r="J255" s="130"/>
      <c r="K255" s="131"/>
      <c r="L255" s="129">
        <v>4</v>
      </c>
      <c r="M255" s="109"/>
      <c r="N255" s="130"/>
      <c r="O255" s="498"/>
      <c r="P255" s="498"/>
      <c r="Q255" s="498"/>
      <c r="R255" s="498"/>
      <c r="S255" s="498"/>
      <c r="T255" s="498"/>
      <c r="U255" s="498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28"/>
      <c r="H256" s="490">
        <f t="shared" si="92"/>
        <v>0</v>
      </c>
      <c r="I256" s="129"/>
      <c r="J256" s="130"/>
      <c r="K256" s="131"/>
      <c r="L256" s="129">
        <v>4</v>
      </c>
      <c r="M256" s="109"/>
      <c r="N256" s="130"/>
      <c r="O256" s="498"/>
      <c r="P256" s="498"/>
      <c r="Q256" s="498"/>
      <c r="R256" s="498"/>
      <c r="S256" s="498"/>
      <c r="T256" s="498"/>
      <c r="U256" s="498"/>
      <c r="V256" s="132"/>
      <c r="W256" s="133"/>
      <c r="X256" s="132"/>
      <c r="Y256" s="132"/>
      <c r="Z256" s="132"/>
      <c r="AA256" s="132"/>
    </row>
    <row r="257" spans="1:27" ht="20.100000000000001" customHeight="1">
      <c r="A257" s="589" t="s">
        <v>216</v>
      </c>
      <c r="B257" s="589"/>
      <c r="C257" s="499" t="s">
        <v>202</v>
      </c>
      <c r="D257" s="143"/>
      <c r="E257" s="143"/>
      <c r="F257" s="144"/>
      <c r="G257" s="145">
        <f>SUM(G200:G256)</f>
        <v>3001</v>
      </c>
      <c r="H257" s="146">
        <f>SUM(H200:H256)</f>
        <v>15135.730000000003</v>
      </c>
      <c r="I257" s="146">
        <f>SUM(I200:I256)</f>
        <v>69</v>
      </c>
      <c r="J257" s="130">
        <f t="array" ref="J257">IF(ISERROR(G257/I257),"",G257/I257)</f>
        <v>43.492753623188406</v>
      </c>
      <c r="K257" s="146">
        <f>SUM(K200:K256)</f>
        <v>81.34267399267398</v>
      </c>
      <c r="L257" s="147"/>
      <c r="M257" s="150">
        <f t="shared" ref="M257:V257" si="115">SUM(M200:M256)</f>
        <v>-12.342673992673991</v>
      </c>
      <c r="N257" s="146">
        <f t="shared" si="115"/>
        <v>0</v>
      </c>
      <c r="O257" s="148">
        <f t="shared" si="115"/>
        <v>0</v>
      </c>
      <c r="P257" s="148">
        <f t="shared" si="115"/>
        <v>0</v>
      </c>
      <c r="Q257" s="148">
        <f t="shared" si="115"/>
        <v>0</v>
      </c>
      <c r="R257" s="148">
        <f t="shared" si="115"/>
        <v>0</v>
      </c>
      <c r="S257" s="148">
        <f t="shared" si="115"/>
        <v>0</v>
      </c>
      <c r="T257" s="148">
        <f t="shared" si="115"/>
        <v>0</v>
      </c>
      <c r="U257" s="148">
        <f t="shared" si="115"/>
        <v>0</v>
      </c>
      <c r="V257" s="149">
        <f t="shared" si="115"/>
        <v>0</v>
      </c>
      <c r="W257" s="133">
        <f t="shared" ref="W257:W264" si="116">IF(ISERROR(V257/G257),"",V257/G257)</f>
        <v>0</v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hidden="1" customHeight="1">
      <c r="A258" s="299">
        <v>30400012</v>
      </c>
      <c r="B258" s="489" t="s">
        <v>217</v>
      </c>
      <c r="C258" s="126" t="s">
        <v>179</v>
      </c>
      <c r="D258" s="108">
        <v>5.03</v>
      </c>
      <c r="E258" s="108"/>
      <c r="F258" s="127"/>
      <c r="G258" s="128"/>
      <c r="H258" s="490">
        <f t="shared" ref="H258:H291" si="117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8">IF(ISERROR(I258-K258),"",I258-K258)</f>
        <v>0</v>
      </c>
      <c r="N258" s="130">
        <f t="shared" ref="N258:N265" si="119">SUM(O258:U258)</f>
        <v>0</v>
      </c>
      <c r="O258" s="498"/>
      <c r="P258" s="498"/>
      <c r="Q258" s="498"/>
      <c r="R258" s="498"/>
      <c r="S258" s="498"/>
      <c r="T258" s="498"/>
      <c r="U258" s="498"/>
      <c r="V258" s="132">
        <f t="shared" ref="V258:V264" si="120">SUM(X258:AA258)</f>
        <v>0</v>
      </c>
      <c r="W258" s="133" t="str">
        <f t="shared" si="116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30400010</v>
      </c>
      <c r="B259" s="489" t="s">
        <v>217</v>
      </c>
      <c r="C259" s="126" t="s">
        <v>186</v>
      </c>
      <c r="D259" s="108">
        <v>5.03</v>
      </c>
      <c r="E259" s="108"/>
      <c r="F259" s="127"/>
      <c r="G259" s="128"/>
      <c r="H259" s="490">
        <f t="shared" si="117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8"/>
        <v>0</v>
      </c>
      <c r="N259" s="130">
        <f t="shared" si="119"/>
        <v>0</v>
      </c>
      <c r="O259" s="498"/>
      <c r="P259" s="498"/>
      <c r="Q259" s="498"/>
      <c r="R259" s="498"/>
      <c r="S259" s="498"/>
      <c r="T259" s="498"/>
      <c r="U259" s="498"/>
      <c r="V259" s="132">
        <f t="shared" si="120"/>
        <v>0</v>
      </c>
      <c r="W259" s="133" t="str">
        <f t="shared" si="116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30400011</v>
      </c>
      <c r="B260" s="489" t="s">
        <v>217</v>
      </c>
      <c r="C260" s="126" t="s">
        <v>204</v>
      </c>
      <c r="D260" s="108">
        <v>5.03</v>
      </c>
      <c r="E260" s="108"/>
      <c r="F260" s="127"/>
      <c r="G260" s="128"/>
      <c r="H260" s="490">
        <f t="shared" si="117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8.8000000000000007</v>
      </c>
      <c r="M260" s="109">
        <f t="shared" si="118"/>
        <v>0</v>
      </c>
      <c r="N260" s="130">
        <f t="shared" si="119"/>
        <v>0</v>
      </c>
      <c r="O260" s="498"/>
      <c r="P260" s="498"/>
      <c r="Q260" s="498"/>
      <c r="R260" s="498"/>
      <c r="S260" s="498"/>
      <c r="T260" s="498"/>
      <c r="U260" s="498"/>
      <c r="V260" s="132">
        <f t="shared" si="120"/>
        <v>0</v>
      </c>
      <c r="W260" s="133" t="str">
        <f t="shared" si="116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28"/>
      <c r="H261" s="490">
        <f t="shared" si="117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8"/>
        <v>0</v>
      </c>
      <c r="N261" s="130">
        <f t="shared" si="119"/>
        <v>0</v>
      </c>
      <c r="O261" s="498"/>
      <c r="P261" s="498"/>
      <c r="Q261" s="498"/>
      <c r="R261" s="498"/>
      <c r="S261" s="498"/>
      <c r="T261" s="498"/>
      <c r="U261" s="498"/>
      <c r="V261" s="132">
        <f t="shared" si="120"/>
        <v>0</v>
      </c>
      <c r="W261" s="133" t="str">
        <f t="shared" si="116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/>
      <c r="G262" s="128"/>
      <c r="H262" s="490">
        <f t="shared" si="117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8"/>
        <v>0</v>
      </c>
      <c r="N262" s="130">
        <f t="shared" si="119"/>
        <v>0</v>
      </c>
      <c r="O262" s="498"/>
      <c r="P262" s="498"/>
      <c r="Q262" s="498"/>
      <c r="R262" s="498"/>
      <c r="S262" s="498"/>
      <c r="T262" s="498"/>
      <c r="U262" s="498"/>
      <c r="V262" s="132">
        <f t="shared" si="120"/>
        <v>0</v>
      </c>
      <c r="W262" s="133" t="str">
        <f t="shared" si="116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/>
      <c r="G263" s="128"/>
      <c r="H263" s="490">
        <f t="shared" si="117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8"/>
        <v>0</v>
      </c>
      <c r="N263" s="130">
        <f t="shared" si="119"/>
        <v>0</v>
      </c>
      <c r="O263" s="498"/>
      <c r="P263" s="498"/>
      <c r="Q263" s="498"/>
      <c r="R263" s="498"/>
      <c r="S263" s="498"/>
      <c r="T263" s="498"/>
      <c r="U263" s="498"/>
      <c r="V263" s="132">
        <f t="shared" si="120"/>
        <v>0</v>
      </c>
      <c r="W263" s="133" t="str">
        <f t="shared" si="116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/>
      <c r="G264" s="128"/>
      <c r="H264" s="490">
        <f t="shared" si="117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9.3000000000000007</v>
      </c>
      <c r="M264" s="109">
        <f t="shared" si="118"/>
        <v>0</v>
      </c>
      <c r="N264" s="130">
        <f t="shared" si="119"/>
        <v>0</v>
      </c>
      <c r="O264" s="498"/>
      <c r="P264" s="498"/>
      <c r="Q264" s="498"/>
      <c r="R264" s="498"/>
      <c r="S264" s="498"/>
      <c r="T264" s="498"/>
      <c r="U264" s="498"/>
      <c r="V264" s="132">
        <f t="shared" si="120"/>
        <v>0</v>
      </c>
      <c r="W264" s="133" t="str">
        <f t="shared" si="116"/>
        <v/>
      </c>
      <c r="X264" s="132"/>
      <c r="Y264" s="132"/>
      <c r="Z264" s="132"/>
      <c r="AA264" s="132"/>
    </row>
    <row r="265" spans="1:27" ht="20.100000000000001" hidden="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/>
      <c r="G265" s="128"/>
      <c r="H265" s="490">
        <f t="shared" si="117"/>
        <v>0</v>
      </c>
      <c r="I265" s="129"/>
      <c r="J265" s="130"/>
      <c r="K265" s="131">
        <f t="array" ref="K265">IF(ISERROR(G265/L265),"",G265/L265)</f>
        <v>0</v>
      </c>
      <c r="L265" s="129">
        <v>9.3000000000000007</v>
      </c>
      <c r="M265" s="109">
        <f t="shared" si="118"/>
        <v>0</v>
      </c>
      <c r="N265" s="130">
        <f t="shared" si="119"/>
        <v>0</v>
      </c>
      <c r="O265" s="498"/>
      <c r="P265" s="498"/>
      <c r="Q265" s="498"/>
      <c r="R265" s="498"/>
      <c r="S265" s="498"/>
      <c r="T265" s="498"/>
      <c r="U265" s="498"/>
      <c r="V265" s="132"/>
      <c r="W265" s="133"/>
      <c r="X265" s="132"/>
      <c r="Y265" s="132"/>
      <c r="Z265" s="132"/>
      <c r="AA265" s="132"/>
    </row>
    <row r="266" spans="1:27" ht="20.100000000000001" hidden="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28"/>
      <c r="H266" s="490">
        <f t="shared" si="117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98"/>
      <c r="P266" s="498"/>
      <c r="Q266" s="498"/>
      <c r="R266" s="498"/>
      <c r="S266" s="498"/>
      <c r="T266" s="498"/>
      <c r="U266" s="498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28"/>
      <c r="H267" s="490">
        <f t="shared" si="117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498"/>
      <c r="P267" s="498"/>
      <c r="Q267" s="498"/>
      <c r="R267" s="498"/>
      <c r="S267" s="498"/>
      <c r="T267" s="498"/>
      <c r="U267" s="498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28"/>
      <c r="H268" s="490">
        <f t="shared" si="117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498"/>
      <c r="P268" s="498"/>
      <c r="Q268" s="498"/>
      <c r="R268" s="498"/>
      <c r="S268" s="498"/>
      <c r="T268" s="498"/>
      <c r="U268" s="498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28"/>
      <c r="H269" s="490">
        <f t="shared" si="117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498"/>
      <c r="P269" s="498"/>
      <c r="Q269" s="498"/>
      <c r="R269" s="498"/>
      <c r="S269" s="498"/>
      <c r="T269" s="498"/>
      <c r="U269" s="498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28"/>
      <c r="H270" s="490">
        <f t="shared" si="117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7" si="121">IF(ISERROR(I270-K270),"",I270-K270)</f>
        <v>0</v>
      </c>
      <c r="N270" s="130">
        <f t="shared" ref="N270:N285" si="122">SUM(O270:U270)</f>
        <v>0</v>
      </c>
      <c r="O270" s="498"/>
      <c r="P270" s="498"/>
      <c r="Q270" s="498"/>
      <c r="R270" s="498"/>
      <c r="S270" s="498"/>
      <c r="T270" s="498"/>
      <c r="U270" s="498"/>
      <c r="V270" s="132">
        <f t="shared" ref="V270:V273" si="123">SUM(X270:AA270)</f>
        <v>0</v>
      </c>
      <c r="W270" s="133" t="str">
        <f t="shared" ref="W270:W277" si="124">IF(ISERROR(V270/G270),"",V270/G270)</f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28"/>
      <c r="H271" s="490">
        <f t="shared" si="117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1"/>
        <v/>
      </c>
      <c r="N271" s="130">
        <f t="shared" si="122"/>
        <v>0</v>
      </c>
      <c r="O271" s="498"/>
      <c r="P271" s="498"/>
      <c r="Q271" s="498"/>
      <c r="R271" s="498"/>
      <c r="S271" s="498"/>
      <c r="T271" s="498"/>
      <c r="U271" s="498"/>
      <c r="V271" s="132">
        <f t="shared" si="123"/>
        <v>0</v>
      </c>
      <c r="W271" s="133" t="str">
        <f t="shared" si="124"/>
        <v/>
      </c>
      <c r="X271" s="132"/>
      <c r="Y271" s="132"/>
      <c r="Z271" s="132"/>
      <c r="AA271" s="132"/>
    </row>
    <row r="272" spans="1:27" ht="20.100000000000001" hidden="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28"/>
      <c r="H272" s="490">
        <f t="shared" si="117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1"/>
        <v/>
      </c>
      <c r="N272" s="130">
        <f t="shared" si="122"/>
        <v>0</v>
      </c>
      <c r="O272" s="498"/>
      <c r="P272" s="498"/>
      <c r="Q272" s="498"/>
      <c r="R272" s="498"/>
      <c r="S272" s="498"/>
      <c r="T272" s="498"/>
      <c r="U272" s="498"/>
      <c r="V272" s="132">
        <f t="shared" si="123"/>
        <v>0</v>
      </c>
      <c r="W272" s="133" t="str">
        <f t="shared" si="124"/>
        <v/>
      </c>
      <c r="X272" s="132"/>
      <c r="Y272" s="132"/>
      <c r="Z272" s="132"/>
      <c r="AA272" s="132"/>
    </row>
    <row r="273" spans="1:27" ht="20.100000000000001" hidden="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28"/>
      <c r="H273" s="490">
        <f t="shared" si="117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21"/>
        <v/>
      </c>
      <c r="N273" s="130">
        <f t="shared" si="122"/>
        <v>0</v>
      </c>
      <c r="O273" s="498"/>
      <c r="P273" s="498"/>
      <c r="Q273" s="498"/>
      <c r="R273" s="498"/>
      <c r="S273" s="498"/>
      <c r="T273" s="498"/>
      <c r="U273" s="498"/>
      <c r="V273" s="132">
        <f t="shared" si="123"/>
        <v>0</v>
      </c>
      <c r="W273" s="133" t="str">
        <f t="shared" si="124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30600005</v>
      </c>
      <c r="B274" s="489" t="s">
        <v>222</v>
      </c>
      <c r="C274" s="126" t="s">
        <v>181</v>
      </c>
      <c r="D274" s="108">
        <v>9.36</v>
      </c>
      <c r="E274" s="108"/>
      <c r="F274" s="127"/>
      <c r="G274" s="128"/>
      <c r="H274" s="490">
        <f t="shared" si="117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1"/>
        <v>0</v>
      </c>
      <c r="N274" s="130">
        <f t="shared" si="122"/>
        <v>0</v>
      </c>
      <c r="O274" s="498"/>
      <c r="P274" s="498"/>
      <c r="Q274" s="498"/>
      <c r="R274" s="498"/>
      <c r="S274" s="498"/>
      <c r="T274" s="498"/>
      <c r="U274" s="498"/>
      <c r="V274" s="132">
        <f t="shared" ref="V274:V277" si="125">SUM(X274:AA274)</f>
        <v>0</v>
      </c>
      <c r="W274" s="133" t="str">
        <f t="shared" si="124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30600008</v>
      </c>
      <c r="B275" s="489" t="s">
        <v>222</v>
      </c>
      <c r="C275" s="126" t="s">
        <v>179</v>
      </c>
      <c r="D275" s="108">
        <v>9.36</v>
      </c>
      <c r="E275" s="108"/>
      <c r="F275" s="127"/>
      <c r="G275" s="128"/>
      <c r="H275" s="490">
        <f t="shared" si="117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1"/>
        <v>0</v>
      </c>
      <c r="N275" s="130">
        <f t="shared" si="122"/>
        <v>0</v>
      </c>
      <c r="O275" s="498"/>
      <c r="P275" s="498"/>
      <c r="Q275" s="498"/>
      <c r="R275" s="498"/>
      <c r="S275" s="498"/>
      <c r="T275" s="498"/>
      <c r="U275" s="498"/>
      <c r="V275" s="132">
        <f t="shared" si="125"/>
        <v>0</v>
      </c>
      <c r="W275" s="133" t="str">
        <f t="shared" si="124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30600007</v>
      </c>
      <c r="B276" s="489" t="s">
        <v>222</v>
      </c>
      <c r="C276" s="126" t="s">
        <v>221</v>
      </c>
      <c r="D276" s="108">
        <v>9.36</v>
      </c>
      <c r="E276" s="108"/>
      <c r="F276" s="127"/>
      <c r="G276" s="128"/>
      <c r="H276" s="490">
        <f t="shared" si="117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1"/>
        <v>0</v>
      </c>
      <c r="N276" s="130">
        <f t="shared" si="122"/>
        <v>0</v>
      </c>
      <c r="O276" s="498"/>
      <c r="P276" s="498"/>
      <c r="Q276" s="498"/>
      <c r="R276" s="498"/>
      <c r="S276" s="498"/>
      <c r="T276" s="498"/>
      <c r="U276" s="498"/>
      <c r="V276" s="132">
        <f t="shared" si="125"/>
        <v>0</v>
      </c>
      <c r="W276" s="133" t="str">
        <f t="shared" si="124"/>
        <v/>
      </c>
      <c r="X276" s="132"/>
      <c r="Y276" s="132"/>
      <c r="Z276" s="132"/>
      <c r="AA276" s="132"/>
    </row>
    <row r="277" spans="1:27" ht="20.100000000000001" hidden="1" customHeight="1">
      <c r="A277" s="304">
        <v>30600006</v>
      </c>
      <c r="B277" s="489" t="s">
        <v>222</v>
      </c>
      <c r="C277" s="126" t="s">
        <v>186</v>
      </c>
      <c r="D277" s="108">
        <v>9.36</v>
      </c>
      <c r="E277" s="108"/>
      <c r="F277" s="127"/>
      <c r="G277" s="128"/>
      <c r="H277" s="490">
        <f t="shared" si="117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21"/>
        <v>0</v>
      </c>
      <c r="N277" s="130">
        <f t="shared" si="122"/>
        <v>0</v>
      </c>
      <c r="O277" s="498"/>
      <c r="P277" s="498"/>
      <c r="Q277" s="498"/>
      <c r="R277" s="498"/>
      <c r="S277" s="498"/>
      <c r="T277" s="498"/>
      <c r="U277" s="498"/>
      <c r="V277" s="132">
        <f t="shared" si="125"/>
        <v>0</v>
      </c>
      <c r="W277" s="133" t="str">
        <f t="shared" si="124"/>
        <v/>
      </c>
      <c r="X277" s="132"/>
      <c r="Y277" s="132"/>
      <c r="Z277" s="132"/>
      <c r="AA277" s="132"/>
    </row>
    <row r="278" spans="1:27" ht="20.100000000000001" hidden="1" customHeight="1">
      <c r="A278" s="299">
        <v>30400026</v>
      </c>
      <c r="B278" s="489" t="s">
        <v>393</v>
      </c>
      <c r="C278" s="187" t="s">
        <v>395</v>
      </c>
      <c r="D278" s="108">
        <v>5</v>
      </c>
      <c r="E278" s="108"/>
      <c r="F278" s="127"/>
      <c r="G278" s="128"/>
      <c r="H278" s="490">
        <f t="shared" si="117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1"/>
        <v>0</v>
      </c>
      <c r="N278" s="130">
        <f t="shared" si="122"/>
        <v>0</v>
      </c>
      <c r="O278" s="498"/>
      <c r="P278" s="498"/>
      <c r="Q278" s="498"/>
      <c r="R278" s="498"/>
      <c r="S278" s="498"/>
      <c r="T278" s="498"/>
      <c r="U278" s="498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30400028</v>
      </c>
      <c r="B279" s="489" t="s">
        <v>393</v>
      </c>
      <c r="C279" s="187" t="s">
        <v>402</v>
      </c>
      <c r="D279" s="108">
        <v>5</v>
      </c>
      <c r="E279" s="108"/>
      <c r="F279" s="127"/>
      <c r="G279" s="128"/>
      <c r="H279" s="490">
        <f t="shared" si="117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1"/>
        <v>0</v>
      </c>
      <c r="N279" s="130">
        <f t="shared" si="122"/>
        <v>0</v>
      </c>
      <c r="O279" s="498"/>
      <c r="P279" s="498"/>
      <c r="Q279" s="498"/>
      <c r="R279" s="498"/>
      <c r="S279" s="498"/>
      <c r="T279" s="498"/>
      <c r="U279" s="498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>
        <v>30400027</v>
      </c>
      <c r="B280" s="489" t="s">
        <v>404</v>
      </c>
      <c r="C280" s="187" t="s">
        <v>405</v>
      </c>
      <c r="D280" s="108">
        <v>5</v>
      </c>
      <c r="E280" s="108"/>
      <c r="F280" s="127"/>
      <c r="G280" s="128"/>
      <c r="H280" s="490">
        <f t="shared" si="117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1"/>
        <v>0</v>
      </c>
      <c r="N280" s="130">
        <f t="shared" si="122"/>
        <v>0</v>
      </c>
      <c r="O280" s="498"/>
      <c r="P280" s="498"/>
      <c r="Q280" s="498"/>
      <c r="R280" s="498"/>
      <c r="S280" s="498"/>
      <c r="T280" s="498"/>
      <c r="U280" s="498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/>
      <c r="B281" s="489" t="s">
        <v>342</v>
      </c>
      <c r="C281" s="187" t="s">
        <v>372</v>
      </c>
      <c r="D281" s="108">
        <v>5</v>
      </c>
      <c r="E281" s="108"/>
      <c r="F281" s="127"/>
      <c r="G281" s="128"/>
      <c r="H281" s="490">
        <f t="shared" si="117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1"/>
        <v>0</v>
      </c>
      <c r="N281" s="130">
        <f t="shared" si="122"/>
        <v>0</v>
      </c>
      <c r="O281" s="498"/>
      <c r="P281" s="498"/>
      <c r="Q281" s="498"/>
      <c r="R281" s="498"/>
      <c r="S281" s="498"/>
      <c r="T281" s="498"/>
      <c r="U281" s="498"/>
      <c r="V281" s="132"/>
      <c r="W281" s="133"/>
      <c r="X281" s="132"/>
      <c r="Y281" s="132"/>
      <c r="Z281" s="132"/>
      <c r="AA281" s="132"/>
    </row>
    <row r="282" spans="1:27" ht="20.100000000000001" customHeight="1">
      <c r="A282" s="299">
        <v>30600009</v>
      </c>
      <c r="B282" s="489" t="s">
        <v>343</v>
      </c>
      <c r="C282" s="126" t="s">
        <v>345</v>
      </c>
      <c r="D282" s="108">
        <v>5</v>
      </c>
      <c r="E282" s="108"/>
      <c r="F282" s="127">
        <v>42743</v>
      </c>
      <c r="G282" s="128">
        <v>90</v>
      </c>
      <c r="H282" s="490">
        <f t="shared" si="117"/>
        <v>450</v>
      </c>
      <c r="I282" s="129">
        <f>5*3+1.5*6</f>
        <v>24</v>
      </c>
      <c r="J282" s="130">
        <f t="array" ref="J282">IF(ISERROR(G282/I282),"",G282/I282)</f>
        <v>3.75</v>
      </c>
      <c r="K282" s="131">
        <f t="array" ref="K282">IF(ISERROR(G282/L282),"",G282/L282)</f>
        <v>18</v>
      </c>
      <c r="L282" s="129">
        <v>5</v>
      </c>
      <c r="M282" s="109">
        <f t="shared" si="121"/>
        <v>6</v>
      </c>
      <c r="N282" s="130">
        <f t="shared" si="122"/>
        <v>0</v>
      </c>
      <c r="O282" s="498"/>
      <c r="P282" s="498"/>
      <c r="Q282" s="498"/>
      <c r="R282" s="498"/>
      <c r="S282" s="498"/>
      <c r="T282" s="498"/>
      <c r="U282" s="498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30600010</v>
      </c>
      <c r="B283" s="489" t="s">
        <v>343</v>
      </c>
      <c r="C283" s="126" t="s">
        <v>347</v>
      </c>
      <c r="D283" s="108">
        <v>5</v>
      </c>
      <c r="E283" s="108"/>
      <c r="F283" s="127"/>
      <c r="G283" s="128"/>
      <c r="H283" s="490">
        <f t="shared" si="117"/>
        <v>0</v>
      </c>
      <c r="I283" s="129"/>
      <c r="J283" s="130"/>
      <c r="K283" s="131">
        <f t="array" ref="K283">IF(ISERROR(G283/L283),"",G283/L283)</f>
        <v>0</v>
      </c>
      <c r="L283" s="129">
        <v>5</v>
      </c>
      <c r="M283" s="109">
        <f t="shared" si="121"/>
        <v>0</v>
      </c>
      <c r="N283" s="130">
        <f t="shared" si="122"/>
        <v>0</v>
      </c>
      <c r="O283" s="498"/>
      <c r="P283" s="498"/>
      <c r="Q283" s="498"/>
      <c r="R283" s="498"/>
      <c r="S283" s="498"/>
      <c r="T283" s="498"/>
      <c r="U283" s="498"/>
      <c r="V283" s="132"/>
      <c r="W283" s="133"/>
      <c r="X283" s="132"/>
      <c r="Y283" s="132"/>
      <c r="Z283" s="132"/>
      <c r="AA283" s="132"/>
    </row>
    <row r="284" spans="1:27" ht="20.10000000000000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>
        <v>42742</v>
      </c>
      <c r="G284" s="128">
        <f>100+46</f>
        <v>146</v>
      </c>
      <c r="H284" s="490">
        <f t="shared" si="117"/>
        <v>738.76</v>
      </c>
      <c r="I284" s="129">
        <f>6.5*3</f>
        <v>19.5</v>
      </c>
      <c r="J284" s="130">
        <f t="array" ref="J284">IF(ISERROR(G284/I284),"",G284/I284)</f>
        <v>7.4871794871794872</v>
      </c>
      <c r="K284" s="131">
        <f t="array" ref="K284">IF(ISERROR(G284/L284),"",G284/L284)</f>
        <v>9.4193548387096779</v>
      </c>
      <c r="L284" s="129">
        <v>15.5</v>
      </c>
      <c r="M284" s="109">
        <f t="shared" si="121"/>
        <v>10.080645161290322</v>
      </c>
      <c r="N284" s="130">
        <f t="shared" si="122"/>
        <v>0</v>
      </c>
      <c r="O284" s="498"/>
      <c r="P284" s="498"/>
      <c r="Q284" s="498"/>
      <c r="R284" s="498"/>
      <c r="S284" s="498"/>
      <c r="T284" s="498"/>
      <c r="U284" s="498"/>
      <c r="V284" s="132">
        <f t="shared" ref="V284:V285" si="126">SUM(X284:AA284)</f>
        <v>0</v>
      </c>
      <c r="W284" s="133">
        <f t="shared" ref="W284:W285" si="127">IF(ISERROR(V284/G284),"",V284/G284)</f>
        <v>0</v>
      </c>
      <c r="X284" s="132"/>
      <c r="Y284" s="132"/>
      <c r="Z284" s="132"/>
      <c r="AA284" s="132"/>
    </row>
    <row r="285" spans="1:27" ht="20.100000000000001" hidden="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28"/>
      <c r="H285" s="490">
        <f t="shared" si="117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21"/>
        <v>0</v>
      </c>
      <c r="N285" s="130">
        <f t="shared" si="122"/>
        <v>0</v>
      </c>
      <c r="O285" s="498"/>
      <c r="P285" s="498"/>
      <c r="Q285" s="498"/>
      <c r="R285" s="498"/>
      <c r="S285" s="498"/>
      <c r="T285" s="498"/>
      <c r="U285" s="498"/>
      <c r="V285" s="132">
        <f t="shared" si="126"/>
        <v>0</v>
      </c>
      <c r="W285" s="133" t="str">
        <f t="shared" si="127"/>
        <v/>
      </c>
      <c r="X285" s="132"/>
      <c r="Y285" s="132"/>
      <c r="Z285" s="132"/>
      <c r="AA285" s="132"/>
    </row>
    <row r="286" spans="1:27" ht="20.100000000000001" hidden="1" customHeight="1">
      <c r="A286" s="299">
        <v>30400004</v>
      </c>
      <c r="B286" s="151" t="s">
        <v>419</v>
      </c>
      <c r="C286" s="187" t="s">
        <v>73</v>
      </c>
      <c r="D286" s="108">
        <v>5.03</v>
      </c>
      <c r="E286" s="108"/>
      <c r="F286" s="127"/>
      <c r="G286" s="128"/>
      <c r="H286" s="490">
        <f t="shared" si="117"/>
        <v>0</v>
      </c>
      <c r="I286" s="129"/>
      <c r="J286" s="130"/>
      <c r="K286" s="131"/>
      <c r="L286" s="129">
        <v>24</v>
      </c>
      <c r="M286" s="109"/>
      <c r="N286" s="130"/>
      <c r="O286" s="498"/>
      <c r="P286" s="498"/>
      <c r="Q286" s="498"/>
      <c r="R286" s="498"/>
      <c r="S286" s="498"/>
      <c r="T286" s="498"/>
      <c r="U286" s="498"/>
      <c r="V286" s="132"/>
      <c r="W286" s="133"/>
      <c r="X286" s="132"/>
      <c r="Y286" s="132"/>
      <c r="Z286" s="132"/>
      <c r="AA286" s="132"/>
    </row>
    <row r="287" spans="1:27" ht="20.10000000000000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>
        <v>42740</v>
      </c>
      <c r="G287" s="128">
        <v>63</v>
      </c>
      <c r="H287" s="490">
        <f t="shared" si="117"/>
        <v>316.89000000000004</v>
      </c>
      <c r="I287" s="129">
        <f>1*5</f>
        <v>5</v>
      </c>
      <c r="J287" s="130">
        <f t="array" ref="J287">IF(ISERROR(G287/I287),"",G287/I287)</f>
        <v>12.6</v>
      </c>
      <c r="K287" s="131">
        <f t="array" ref="K287">IF(ISERROR(G287/L287),"",G287/L287)</f>
        <v>2.625</v>
      </c>
      <c r="L287" s="129">
        <v>24</v>
      </c>
      <c r="M287" s="109">
        <f t="shared" si="121"/>
        <v>2.375</v>
      </c>
      <c r="N287" s="130"/>
      <c r="O287" s="498"/>
      <c r="P287" s="498"/>
      <c r="Q287" s="498"/>
      <c r="R287" s="498"/>
      <c r="S287" s="498"/>
      <c r="T287" s="498"/>
      <c r="U287" s="498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/>
      <c r="G288" s="128"/>
      <c r="H288" s="490">
        <f t="shared" si="117"/>
        <v>0</v>
      </c>
      <c r="I288" s="129"/>
      <c r="J288" s="130"/>
      <c r="K288" s="131"/>
      <c r="L288" s="129">
        <v>24</v>
      </c>
      <c r="M288" s="109"/>
      <c r="N288" s="130"/>
      <c r="O288" s="498"/>
      <c r="P288" s="498"/>
      <c r="Q288" s="498"/>
      <c r="R288" s="498"/>
      <c r="S288" s="498"/>
      <c r="T288" s="498"/>
      <c r="U288" s="498"/>
      <c r="V288" s="132"/>
      <c r="W288" s="133"/>
      <c r="X288" s="132"/>
      <c r="Y288" s="132"/>
      <c r="Z288" s="132"/>
      <c r="AA288" s="132"/>
    </row>
    <row r="289" spans="1:27" ht="20.10000000000000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>
        <v>42740</v>
      </c>
      <c r="G289" s="128">
        <f>100*2+50</f>
        <v>250</v>
      </c>
      <c r="H289" s="490">
        <f t="shared" si="117"/>
        <v>1267.5</v>
      </c>
      <c r="I289" s="129">
        <f>2*4+8.5*6</f>
        <v>59</v>
      </c>
      <c r="J289" s="130">
        <f t="array" ref="J289">IF(ISERROR(G289/I289),"",G289/I289)</f>
        <v>4.2372881355932206</v>
      </c>
      <c r="K289" s="131">
        <f t="array" ref="K289">IF(ISERROR(G289/L289),"",G289/L289)</f>
        <v>27.777777777777779</v>
      </c>
      <c r="L289" s="129">
        <v>9</v>
      </c>
      <c r="M289" s="109">
        <f t="shared" ref="M289:M291" si="128">IF(ISERROR(I289-K289),"",I289-K289)</f>
        <v>31.222222222222221</v>
      </c>
      <c r="N289" s="130">
        <f t="shared" ref="N289:N291" si="129">SUM(O289:U289)</f>
        <v>0</v>
      </c>
      <c r="O289" s="498"/>
      <c r="P289" s="498"/>
      <c r="Q289" s="498"/>
      <c r="R289" s="498"/>
      <c r="S289" s="498"/>
      <c r="T289" s="498"/>
      <c r="U289" s="498"/>
      <c r="V289" s="132">
        <f t="shared" ref="V289:V291" si="130">SUM(X289:AA289)</f>
        <v>0</v>
      </c>
      <c r="W289" s="133">
        <f t="shared" ref="W289:W313" si="131">IF(ISERROR(V289/G289),"",V289/G289)</f>
        <v>0</v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28"/>
      <c r="H290" s="490">
        <f t="shared" si="117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8"/>
        <v>0</v>
      </c>
      <c r="N290" s="130">
        <f t="shared" si="129"/>
        <v>0</v>
      </c>
      <c r="O290" s="498"/>
      <c r="P290" s="498"/>
      <c r="Q290" s="498"/>
      <c r="R290" s="498"/>
      <c r="S290" s="498"/>
      <c r="T290" s="498"/>
      <c r="U290" s="498"/>
      <c r="V290" s="132">
        <f t="shared" si="130"/>
        <v>0</v>
      </c>
      <c r="W290" s="133" t="str">
        <f t="shared" si="131"/>
        <v/>
      </c>
      <c r="X290" s="132"/>
      <c r="Y290" s="132"/>
      <c r="Z290" s="132"/>
      <c r="AA290" s="132"/>
    </row>
    <row r="291" spans="1:27" ht="20.100000000000001" hidden="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/>
      <c r="G291" s="128"/>
      <c r="H291" s="490">
        <f t="shared" si="117"/>
        <v>0</v>
      </c>
      <c r="I291" s="129"/>
      <c r="J291" s="130" t="str">
        <f t="array" ref="J291">IF(ISERROR(G291/I291),"",G291/I291)</f>
        <v/>
      </c>
      <c r="K291" s="490">
        <f t="array" ref="K291">IF(ISERROR(G291/L291),"",G291/L291)</f>
        <v>0</v>
      </c>
      <c r="L291" s="129">
        <v>9</v>
      </c>
      <c r="M291" s="109">
        <f t="shared" si="128"/>
        <v>0</v>
      </c>
      <c r="N291" s="130">
        <f t="shared" si="129"/>
        <v>0</v>
      </c>
      <c r="O291" s="498"/>
      <c r="P291" s="498"/>
      <c r="Q291" s="498"/>
      <c r="R291" s="498"/>
      <c r="S291" s="498"/>
      <c r="T291" s="498"/>
      <c r="U291" s="498"/>
      <c r="V291" s="132">
        <f t="shared" si="130"/>
        <v>0</v>
      </c>
      <c r="W291" s="133" t="str">
        <f t="shared" si="131"/>
        <v/>
      </c>
      <c r="X291" s="132"/>
      <c r="Y291" s="132"/>
      <c r="Z291" s="132"/>
      <c r="AA291" s="132"/>
    </row>
    <row r="292" spans="1:27" ht="20.100000000000001" customHeight="1">
      <c r="A292" s="578" t="s">
        <v>224</v>
      </c>
      <c r="B292" s="579"/>
      <c r="C292" s="499" t="s">
        <v>202</v>
      </c>
      <c r="D292" s="143"/>
      <c r="E292" s="143"/>
      <c r="F292" s="144"/>
      <c r="G292" s="145">
        <f>SUM(G258:G291)</f>
        <v>549</v>
      </c>
      <c r="H292" s="146">
        <f>SUM(H258:H291)</f>
        <v>2773.15</v>
      </c>
      <c r="I292" s="146">
        <f>SUM(I258:I291)</f>
        <v>107.5</v>
      </c>
      <c r="J292" s="130">
        <f t="array" ref="J292">IF(ISERROR(G292/I292),"",G292/I292)</f>
        <v>5.1069767441860465</v>
      </c>
      <c r="K292" s="146">
        <f>SUM(K258:K291)</f>
        <v>57.822132616487458</v>
      </c>
      <c r="L292" s="147"/>
      <c r="M292" s="150">
        <f t="shared" ref="M292:V292" si="132">SUM(M258:M291)</f>
        <v>49.677867383512542</v>
      </c>
      <c r="N292" s="146">
        <f t="shared" si="132"/>
        <v>0</v>
      </c>
      <c r="O292" s="148">
        <f t="shared" si="132"/>
        <v>0</v>
      </c>
      <c r="P292" s="148">
        <f t="shared" si="132"/>
        <v>0</v>
      </c>
      <c r="Q292" s="148">
        <f t="shared" si="132"/>
        <v>0</v>
      </c>
      <c r="R292" s="148">
        <f t="shared" si="132"/>
        <v>0</v>
      </c>
      <c r="S292" s="148">
        <f t="shared" si="132"/>
        <v>0</v>
      </c>
      <c r="T292" s="148">
        <f t="shared" si="132"/>
        <v>0</v>
      </c>
      <c r="U292" s="148">
        <f t="shared" si="132"/>
        <v>0</v>
      </c>
      <c r="V292" s="149">
        <f t="shared" si="132"/>
        <v>0</v>
      </c>
      <c r="W292" s="133">
        <f t="shared" si="131"/>
        <v>0</v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hidden="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/>
      <c r="G293" s="128"/>
      <c r="H293" s="490">
        <f t="shared" ref="H293:H307" si="133">D293*G293</f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ref="M293:M307" si="134">IF(ISERROR(I293-K293),"",I293-K293)</f>
        <v>0</v>
      </c>
      <c r="N293" s="130">
        <f t="shared" ref="N293:N307" si="135">SUM(O293:U293)</f>
        <v>0</v>
      </c>
      <c r="O293" s="498"/>
      <c r="P293" s="498"/>
      <c r="Q293" s="498"/>
      <c r="R293" s="498"/>
      <c r="S293" s="498"/>
      <c r="T293" s="498"/>
      <c r="U293" s="498"/>
      <c r="V293" s="132">
        <f t="shared" ref="V293:V307" si="136">SUM(X293:AA293)</f>
        <v>0</v>
      </c>
      <c r="W293" s="133" t="str">
        <f t="shared" si="131"/>
        <v/>
      </c>
      <c r="X293" s="132"/>
      <c r="Y293" s="132"/>
      <c r="Z293" s="132"/>
      <c r="AA293" s="132"/>
    </row>
    <row r="294" spans="1:27" ht="20.100000000000001" hidden="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/>
      <c r="G294" s="128"/>
      <c r="H294" s="490">
        <f t="shared" si="133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25</v>
      </c>
      <c r="M294" s="109">
        <f t="shared" si="134"/>
        <v>0</v>
      </c>
      <c r="N294" s="130">
        <f t="shared" si="135"/>
        <v>0</v>
      </c>
      <c r="O294" s="498"/>
      <c r="P294" s="498"/>
      <c r="Q294" s="498"/>
      <c r="R294" s="498"/>
      <c r="S294" s="498"/>
      <c r="T294" s="498"/>
      <c r="U294" s="498"/>
      <c r="V294" s="132">
        <f t="shared" si="136"/>
        <v>0</v>
      </c>
      <c r="W294" s="133" t="str">
        <f t="shared" si="131"/>
        <v/>
      </c>
      <c r="X294" s="132"/>
      <c r="Y294" s="132"/>
      <c r="Z294" s="132"/>
      <c r="AA294" s="132"/>
    </row>
    <row r="295" spans="1:27" ht="20.100000000000001" hidden="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/>
      <c r="G295" s="128"/>
      <c r="H295" s="490">
        <f t="shared" si="133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20</v>
      </c>
      <c r="M295" s="109">
        <f t="shared" si="134"/>
        <v>0</v>
      </c>
      <c r="N295" s="130">
        <f t="shared" si="135"/>
        <v>0</v>
      </c>
      <c r="O295" s="498"/>
      <c r="P295" s="498"/>
      <c r="Q295" s="498"/>
      <c r="R295" s="498"/>
      <c r="S295" s="498"/>
      <c r="T295" s="498"/>
      <c r="U295" s="498"/>
      <c r="V295" s="132">
        <f t="shared" si="136"/>
        <v>0</v>
      </c>
      <c r="W295" s="133" t="str">
        <f t="shared" si="131"/>
        <v/>
      </c>
      <c r="X295" s="132"/>
      <c r="Y295" s="132"/>
      <c r="Z295" s="132"/>
      <c r="AA295" s="132"/>
    </row>
    <row r="296" spans="1:27" ht="20.100000000000001" hidden="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28"/>
      <c r="H296" s="490">
        <f t="shared" si="133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4"/>
        <v>0</v>
      </c>
      <c r="N296" s="130">
        <f t="shared" si="135"/>
        <v>0</v>
      </c>
      <c r="O296" s="498"/>
      <c r="P296" s="498"/>
      <c r="Q296" s="498"/>
      <c r="R296" s="498"/>
      <c r="S296" s="498"/>
      <c r="T296" s="498"/>
      <c r="U296" s="498"/>
      <c r="V296" s="132">
        <f t="shared" si="136"/>
        <v>0</v>
      </c>
      <c r="W296" s="133" t="str">
        <f t="shared" si="131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30100054</v>
      </c>
      <c r="B297" s="140" t="s">
        <v>227</v>
      </c>
      <c r="C297" s="495" t="s">
        <v>203</v>
      </c>
      <c r="D297" s="108">
        <v>5.03</v>
      </c>
      <c r="E297" s="108"/>
      <c r="F297" s="127"/>
      <c r="G297" s="128"/>
      <c r="H297" s="490">
        <f t="shared" si="133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4"/>
        <v>0</v>
      </c>
      <c r="N297" s="130">
        <f t="shared" si="135"/>
        <v>0</v>
      </c>
      <c r="O297" s="498"/>
      <c r="P297" s="498"/>
      <c r="Q297" s="498"/>
      <c r="R297" s="498"/>
      <c r="S297" s="498"/>
      <c r="T297" s="498"/>
      <c r="U297" s="498"/>
      <c r="V297" s="132">
        <f t="shared" si="136"/>
        <v>0</v>
      </c>
      <c r="W297" s="133" t="str">
        <f t="shared" si="131"/>
        <v/>
      </c>
      <c r="X297" s="132"/>
      <c r="Y297" s="132"/>
      <c r="Z297" s="132"/>
      <c r="AA297" s="132"/>
    </row>
    <row r="298" spans="1:27" ht="20.10000000000000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>
        <v>42744</v>
      </c>
      <c r="G298" s="128">
        <f>90*5</f>
        <v>450</v>
      </c>
      <c r="H298" s="490">
        <f t="shared" si="133"/>
        <v>2263.5</v>
      </c>
      <c r="I298" s="129">
        <f>11*4</f>
        <v>44</v>
      </c>
      <c r="J298" s="130">
        <f t="array" ref="J298">IF(ISERROR(G298/I298),"",G298/I298)</f>
        <v>10.227272727272727</v>
      </c>
      <c r="K298" s="131">
        <f t="array" ref="K298">IF(ISERROR(G298/L298),"",G298/L298)</f>
        <v>112.5</v>
      </c>
      <c r="L298" s="129">
        <v>4</v>
      </c>
      <c r="M298" s="109">
        <f t="shared" si="134"/>
        <v>-68.5</v>
      </c>
      <c r="N298" s="130">
        <f t="shared" si="135"/>
        <v>0</v>
      </c>
      <c r="O298" s="498"/>
      <c r="P298" s="498"/>
      <c r="Q298" s="498"/>
      <c r="R298" s="498"/>
      <c r="S298" s="498"/>
      <c r="T298" s="498"/>
      <c r="U298" s="498"/>
      <c r="V298" s="132">
        <f t="shared" si="136"/>
        <v>0</v>
      </c>
      <c r="W298" s="133">
        <f t="shared" si="131"/>
        <v>0</v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28"/>
      <c r="H299" s="490">
        <f t="shared" si="133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4"/>
        <v>0</v>
      </c>
      <c r="N299" s="130">
        <f t="shared" si="135"/>
        <v>0</v>
      </c>
      <c r="O299" s="498"/>
      <c r="P299" s="498"/>
      <c r="Q299" s="498"/>
      <c r="R299" s="498"/>
      <c r="S299" s="498"/>
      <c r="T299" s="498"/>
      <c r="U299" s="498"/>
      <c r="V299" s="132">
        <f t="shared" si="136"/>
        <v>0</v>
      </c>
      <c r="W299" s="133" t="str">
        <f t="shared" si="131"/>
        <v/>
      </c>
      <c r="X299" s="132"/>
      <c r="Y299" s="132"/>
      <c r="Z299" s="132"/>
      <c r="AA299" s="132"/>
    </row>
    <row r="300" spans="1:27" ht="20.100000000000001" hidden="1" customHeight="1">
      <c r="A300" s="299"/>
      <c r="B300" s="140" t="s">
        <v>227</v>
      </c>
      <c r="C300" s="495" t="s">
        <v>228</v>
      </c>
      <c r="D300" s="108">
        <v>5.03</v>
      </c>
      <c r="E300" s="108"/>
      <c r="F300" s="127"/>
      <c r="G300" s="128"/>
      <c r="H300" s="490">
        <f t="shared" si="133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4"/>
        <v>0</v>
      </c>
      <c r="N300" s="130">
        <f t="shared" si="135"/>
        <v>0</v>
      </c>
      <c r="O300" s="498"/>
      <c r="P300" s="498"/>
      <c r="Q300" s="498"/>
      <c r="R300" s="498"/>
      <c r="S300" s="498"/>
      <c r="T300" s="498"/>
      <c r="U300" s="498"/>
      <c r="V300" s="132">
        <f t="shared" si="136"/>
        <v>0</v>
      </c>
      <c r="W300" s="133" t="str">
        <f t="shared" si="131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30101067</v>
      </c>
      <c r="B301" s="140" t="s">
        <v>229</v>
      </c>
      <c r="C301" s="495" t="s">
        <v>212</v>
      </c>
      <c r="D301" s="108">
        <v>5.03</v>
      </c>
      <c r="E301" s="108"/>
      <c r="F301" s="127"/>
      <c r="G301" s="128"/>
      <c r="H301" s="490">
        <f t="shared" si="133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4"/>
        <v/>
      </c>
      <c r="N301" s="130">
        <f t="shared" si="135"/>
        <v>0</v>
      </c>
      <c r="O301" s="498"/>
      <c r="P301" s="498"/>
      <c r="Q301" s="498"/>
      <c r="R301" s="498"/>
      <c r="S301" s="498"/>
      <c r="T301" s="498"/>
      <c r="U301" s="498"/>
      <c r="V301" s="132">
        <f t="shared" si="136"/>
        <v>0</v>
      </c>
      <c r="W301" s="133" t="str">
        <f t="shared" si="131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30101068</v>
      </c>
      <c r="B302" s="140" t="s">
        <v>229</v>
      </c>
      <c r="C302" s="495" t="s">
        <v>203</v>
      </c>
      <c r="D302" s="108">
        <v>5.03</v>
      </c>
      <c r="E302" s="108"/>
      <c r="F302" s="127"/>
      <c r="G302" s="128"/>
      <c r="H302" s="490">
        <f t="shared" si="133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4"/>
        <v/>
      </c>
      <c r="N302" s="130">
        <f t="shared" si="135"/>
        <v>0</v>
      </c>
      <c r="O302" s="498"/>
      <c r="P302" s="498"/>
      <c r="Q302" s="498"/>
      <c r="R302" s="498"/>
      <c r="S302" s="498"/>
      <c r="T302" s="498"/>
      <c r="U302" s="498"/>
      <c r="V302" s="132">
        <f t="shared" si="136"/>
        <v>0</v>
      </c>
      <c r="W302" s="133" t="str">
        <f t="shared" si="131"/>
        <v/>
      </c>
      <c r="X302" s="132"/>
      <c r="Y302" s="132"/>
      <c r="Z302" s="132"/>
      <c r="AA302" s="132"/>
    </row>
    <row r="303" spans="1:27" ht="20.100000000000001" hidden="1" customHeight="1">
      <c r="A303" s="299">
        <v>30101069</v>
      </c>
      <c r="B303" s="140" t="s">
        <v>229</v>
      </c>
      <c r="C303" s="495" t="s">
        <v>186</v>
      </c>
      <c r="D303" s="108">
        <v>5.03</v>
      </c>
      <c r="E303" s="108"/>
      <c r="F303" s="127"/>
      <c r="G303" s="128"/>
      <c r="H303" s="490">
        <f t="shared" si="133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4"/>
        <v/>
      </c>
      <c r="N303" s="130">
        <f t="shared" si="135"/>
        <v>0</v>
      </c>
      <c r="O303" s="498"/>
      <c r="P303" s="498"/>
      <c r="Q303" s="498"/>
      <c r="R303" s="498"/>
      <c r="S303" s="498"/>
      <c r="T303" s="498"/>
      <c r="U303" s="498"/>
      <c r="V303" s="132">
        <f t="shared" si="136"/>
        <v>0</v>
      </c>
      <c r="W303" s="133" t="str">
        <f t="shared" si="131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30101070</v>
      </c>
      <c r="B304" s="140" t="s">
        <v>229</v>
      </c>
      <c r="C304" s="495" t="s">
        <v>228</v>
      </c>
      <c r="D304" s="108">
        <v>5.03</v>
      </c>
      <c r="E304" s="108"/>
      <c r="F304" s="127"/>
      <c r="G304" s="128"/>
      <c r="H304" s="490">
        <f t="shared" si="133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4"/>
        <v/>
      </c>
      <c r="N304" s="130">
        <f t="shared" si="135"/>
        <v>0</v>
      </c>
      <c r="O304" s="498"/>
      <c r="P304" s="498"/>
      <c r="Q304" s="498"/>
      <c r="R304" s="498"/>
      <c r="S304" s="498"/>
      <c r="T304" s="498"/>
      <c r="U304" s="498"/>
      <c r="V304" s="132">
        <f t="shared" si="136"/>
        <v>0</v>
      </c>
      <c r="W304" s="133" t="str">
        <f t="shared" si="131"/>
        <v/>
      </c>
      <c r="X304" s="132"/>
      <c r="Y304" s="132"/>
      <c r="Z304" s="132"/>
      <c r="AA304" s="132"/>
    </row>
    <row r="305" spans="1:27" ht="20.100000000000001" hidden="1" customHeight="1">
      <c r="A305" s="299">
        <v>30101071</v>
      </c>
      <c r="B305" s="140" t="s">
        <v>229</v>
      </c>
      <c r="C305" s="495" t="s">
        <v>199</v>
      </c>
      <c r="D305" s="108">
        <v>5.03</v>
      </c>
      <c r="E305" s="108"/>
      <c r="F305" s="127"/>
      <c r="G305" s="128"/>
      <c r="H305" s="490">
        <f t="shared" si="133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4"/>
        <v/>
      </c>
      <c r="N305" s="130">
        <f t="shared" si="135"/>
        <v>0</v>
      </c>
      <c r="O305" s="498"/>
      <c r="P305" s="498"/>
      <c r="Q305" s="498"/>
      <c r="R305" s="498"/>
      <c r="S305" s="498"/>
      <c r="T305" s="498"/>
      <c r="U305" s="498"/>
      <c r="V305" s="132">
        <f t="shared" si="136"/>
        <v>0</v>
      </c>
      <c r="W305" s="133" t="str">
        <f t="shared" si="131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/>
      <c r="G306" s="128"/>
      <c r="H306" s="490">
        <f t="shared" si="133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4"/>
        <v>0</v>
      </c>
      <c r="N306" s="130">
        <f t="shared" si="135"/>
        <v>0</v>
      </c>
      <c r="O306" s="498"/>
      <c r="P306" s="498"/>
      <c r="Q306" s="498"/>
      <c r="R306" s="498"/>
      <c r="S306" s="498"/>
      <c r="T306" s="498"/>
      <c r="U306" s="498"/>
      <c r="V306" s="132">
        <f t="shared" si="136"/>
        <v>0</v>
      </c>
      <c r="W306" s="133" t="str">
        <f t="shared" si="131"/>
        <v/>
      </c>
      <c r="X306" s="132"/>
      <c r="Y306" s="132"/>
      <c r="Z306" s="132"/>
      <c r="AA306" s="132"/>
    </row>
    <row r="307" spans="1:27" ht="20.100000000000001" hidden="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/>
      <c r="G307" s="128"/>
      <c r="H307" s="490">
        <f t="shared" si="133"/>
        <v>0</v>
      </c>
      <c r="I307" s="129"/>
      <c r="J307" s="130" t="str">
        <f t="array" ref="J307">IF(ISERROR(G307/I307),"",G307/I307)</f>
        <v/>
      </c>
      <c r="K307" s="131">
        <f t="array" ref="K307">IF(ISERROR(G307/L307),"",G307/L307)</f>
        <v>0</v>
      </c>
      <c r="L307" s="129">
        <v>25</v>
      </c>
      <c r="M307" s="109">
        <f t="shared" si="134"/>
        <v>0</v>
      </c>
      <c r="N307" s="130">
        <f t="shared" si="135"/>
        <v>0</v>
      </c>
      <c r="O307" s="498"/>
      <c r="P307" s="498"/>
      <c r="Q307" s="498"/>
      <c r="R307" s="498"/>
      <c r="S307" s="498"/>
      <c r="T307" s="498"/>
      <c r="U307" s="498"/>
      <c r="V307" s="132">
        <f t="shared" si="136"/>
        <v>0</v>
      </c>
      <c r="W307" s="133" t="str">
        <f t="shared" si="131"/>
        <v/>
      </c>
      <c r="X307" s="132"/>
      <c r="Y307" s="132"/>
      <c r="Z307" s="132"/>
      <c r="AA307" s="132"/>
    </row>
    <row r="308" spans="1:27" ht="20.100000000000001" customHeight="1">
      <c r="A308" s="578" t="s">
        <v>231</v>
      </c>
      <c r="B308" s="579"/>
      <c r="C308" s="499" t="s">
        <v>202</v>
      </c>
      <c r="D308" s="143"/>
      <c r="E308" s="143"/>
      <c r="F308" s="144"/>
      <c r="G308" s="145">
        <f>SUM(G293:G307)</f>
        <v>450</v>
      </c>
      <c r="H308" s="146">
        <f>SUM(H293:H307)</f>
        <v>2263.5</v>
      </c>
      <c r="I308" s="146">
        <f>SUM(I293:I307)</f>
        <v>44</v>
      </c>
      <c r="J308" s="130">
        <f t="array" ref="J308">IF(ISERROR(G308/I308),"",G308/I308)</f>
        <v>10.227272727272727</v>
      </c>
      <c r="K308" s="146">
        <f>SUM(K293:K307)</f>
        <v>112.5</v>
      </c>
      <c r="L308" s="146"/>
      <c r="M308" s="150">
        <f>SUM(M293:M307)</f>
        <v>-68.5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>
        <f t="shared" si="131"/>
        <v>0</v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hidden="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28"/>
      <c r="H309" s="490">
        <f t="shared" ref="H309:H318" si="137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3" si="138">IF(ISERROR(I309-K309),"",I309-K309)</f>
        <v>0</v>
      </c>
      <c r="N309" s="130">
        <f t="shared" ref="N309:N313" si="139">SUM(O309:U309)</f>
        <v>0</v>
      </c>
      <c r="O309" s="498"/>
      <c r="P309" s="498"/>
      <c r="Q309" s="498"/>
      <c r="R309" s="498"/>
      <c r="S309" s="498"/>
      <c r="T309" s="498"/>
      <c r="U309" s="498"/>
      <c r="V309" s="132">
        <f t="shared" ref="V309:V313" si="140">SUM(X309:AA309)</f>
        <v>0</v>
      </c>
      <c r="W309" s="133" t="str">
        <f t="shared" si="131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28"/>
      <c r="H310" s="490">
        <f t="shared" si="137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8"/>
        <v>0</v>
      </c>
      <c r="N310" s="130">
        <f t="shared" si="139"/>
        <v>0</v>
      </c>
      <c r="O310" s="498"/>
      <c r="P310" s="498"/>
      <c r="Q310" s="498"/>
      <c r="R310" s="498"/>
      <c r="S310" s="498"/>
      <c r="T310" s="498"/>
      <c r="U310" s="498"/>
      <c r="V310" s="132">
        <f t="shared" si="140"/>
        <v>0</v>
      </c>
      <c r="W310" s="133" t="str">
        <f t="shared" si="131"/>
        <v/>
      </c>
      <c r="X310" s="132"/>
      <c r="Y310" s="132"/>
      <c r="Z310" s="132"/>
      <c r="AA310" s="132"/>
    </row>
    <row r="311" spans="1:27" ht="20.100000000000001" hidden="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28"/>
      <c r="H311" s="490">
        <f t="shared" si="137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8"/>
        <v>0</v>
      </c>
      <c r="N311" s="130">
        <f t="shared" si="139"/>
        <v>0</v>
      </c>
      <c r="O311" s="498"/>
      <c r="P311" s="498"/>
      <c r="Q311" s="498"/>
      <c r="R311" s="498"/>
      <c r="S311" s="498"/>
      <c r="T311" s="498"/>
      <c r="U311" s="498"/>
      <c r="V311" s="132">
        <f t="shared" si="140"/>
        <v>0</v>
      </c>
      <c r="W311" s="133" t="str">
        <f t="shared" si="131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28"/>
      <c r="H312" s="490">
        <f t="shared" si="137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8"/>
        <v>0</v>
      </c>
      <c r="N312" s="130">
        <f t="shared" si="139"/>
        <v>0</v>
      </c>
      <c r="O312" s="498"/>
      <c r="P312" s="498"/>
      <c r="Q312" s="498"/>
      <c r="R312" s="498"/>
      <c r="S312" s="498"/>
      <c r="T312" s="498"/>
      <c r="U312" s="498"/>
      <c r="V312" s="132">
        <f t="shared" si="140"/>
        <v>0</v>
      </c>
      <c r="W312" s="133" t="str">
        <f t="shared" si="131"/>
        <v/>
      </c>
      <c r="X312" s="132"/>
      <c r="Y312" s="132"/>
      <c r="Z312" s="132"/>
      <c r="AA312" s="132"/>
    </row>
    <row r="313" spans="1:27" ht="20.100000000000001" hidden="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28"/>
      <c r="H313" s="490">
        <f t="shared" si="137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38"/>
        <v>0</v>
      </c>
      <c r="N313" s="130">
        <f t="shared" si="139"/>
        <v>0</v>
      </c>
      <c r="O313" s="498"/>
      <c r="P313" s="498"/>
      <c r="Q313" s="498"/>
      <c r="R313" s="498"/>
      <c r="S313" s="498"/>
      <c r="T313" s="498"/>
      <c r="U313" s="498"/>
      <c r="V313" s="132">
        <f t="shared" si="140"/>
        <v>0</v>
      </c>
      <c r="W313" s="133" t="str">
        <f t="shared" si="131"/>
        <v/>
      </c>
      <c r="X313" s="132"/>
      <c r="Y313" s="132"/>
      <c r="Z313" s="132"/>
      <c r="AA313" s="132"/>
    </row>
    <row r="314" spans="1:27" ht="20.100000000000001" hidden="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/>
      <c r="G314" s="128"/>
      <c r="H314" s="490">
        <f t="shared" si="137"/>
        <v>0</v>
      </c>
      <c r="I314" s="129"/>
      <c r="J314" s="130"/>
      <c r="K314" s="131"/>
      <c r="L314" s="129">
        <v>13.5</v>
      </c>
      <c r="M314" s="109"/>
      <c r="N314" s="130"/>
      <c r="O314" s="498"/>
      <c r="P314" s="498"/>
      <c r="Q314" s="498"/>
      <c r="R314" s="498"/>
      <c r="S314" s="498"/>
      <c r="T314" s="498"/>
      <c r="U314" s="498"/>
      <c r="V314" s="132"/>
      <c r="W314" s="133"/>
      <c r="X314" s="132"/>
      <c r="Y314" s="132"/>
      <c r="Z314" s="132"/>
      <c r="AA314" s="132"/>
    </row>
    <row r="315" spans="1:27" ht="20.100000000000001" customHeight="1">
      <c r="A315" s="300">
        <v>30400020</v>
      </c>
      <c r="B315" s="134" t="s">
        <v>439</v>
      </c>
      <c r="C315" s="187" t="s">
        <v>74</v>
      </c>
      <c r="D315" s="108">
        <v>5.03</v>
      </c>
      <c r="E315" s="108"/>
      <c r="F315" s="127">
        <v>42743</v>
      </c>
      <c r="G315" s="128">
        <f>90*7+29</f>
        <v>659</v>
      </c>
      <c r="H315" s="490">
        <f t="shared" si="137"/>
        <v>3314.77</v>
      </c>
      <c r="I315" s="129">
        <f>11.5*4</f>
        <v>46</v>
      </c>
      <c r="J315" s="130">
        <f t="array" ref="J315">IF(ISERROR(G315/I315),"",G315/I315)</f>
        <v>14.326086956521738</v>
      </c>
      <c r="K315" s="131">
        <f t="array" ref="K315">IF(ISERROR(G315/L315),"",G315/L315)</f>
        <v>48.814814814814817</v>
      </c>
      <c r="L315" s="129">
        <v>13.5</v>
      </c>
      <c r="M315" s="109">
        <f t="shared" ref="M315" si="141">IF(ISERROR(I315-K315),"",I315-K315)</f>
        <v>-2.8148148148148167</v>
      </c>
      <c r="N315" s="130"/>
      <c r="O315" s="498"/>
      <c r="P315" s="498"/>
      <c r="Q315" s="498"/>
      <c r="R315" s="498"/>
      <c r="S315" s="498"/>
      <c r="T315" s="498"/>
      <c r="U315" s="498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30400021</v>
      </c>
      <c r="B316" s="134" t="s">
        <v>439</v>
      </c>
      <c r="C316" s="187" t="s">
        <v>53</v>
      </c>
      <c r="D316" s="108">
        <v>5.03</v>
      </c>
      <c r="E316" s="108"/>
      <c r="F316" s="127"/>
      <c r="G316" s="128"/>
      <c r="H316" s="490">
        <f t="shared" si="137"/>
        <v>0</v>
      </c>
      <c r="I316" s="129"/>
      <c r="J316" s="130"/>
      <c r="K316" s="131"/>
      <c r="L316" s="129">
        <v>13.5</v>
      </c>
      <c r="M316" s="109"/>
      <c r="N316" s="130"/>
      <c r="O316" s="498"/>
      <c r="P316" s="498"/>
      <c r="Q316" s="498"/>
      <c r="R316" s="498"/>
      <c r="S316" s="498"/>
      <c r="T316" s="498"/>
      <c r="U316" s="498"/>
      <c r="V316" s="132"/>
      <c r="W316" s="133"/>
      <c r="X316" s="132"/>
      <c r="Y316" s="132"/>
      <c r="Z316" s="132"/>
      <c r="AA316" s="132"/>
    </row>
    <row r="317" spans="1:27" ht="20.100000000000001" hidden="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/>
      <c r="G317" s="128"/>
      <c r="H317" s="490">
        <f t="shared" si="137"/>
        <v>0</v>
      </c>
      <c r="I317" s="129"/>
      <c r="J317" s="130"/>
      <c r="K317" s="131"/>
      <c r="L317" s="129"/>
      <c r="M317" s="109"/>
      <c r="N317" s="130"/>
      <c r="O317" s="498"/>
      <c r="P317" s="498"/>
      <c r="Q317" s="498"/>
      <c r="R317" s="498"/>
      <c r="S317" s="498"/>
      <c r="T317" s="498"/>
      <c r="U317" s="498"/>
      <c r="V317" s="132"/>
      <c r="W317" s="133"/>
      <c r="X317" s="132"/>
      <c r="Y317" s="132"/>
      <c r="Z317" s="132"/>
      <c r="AA317" s="132"/>
    </row>
    <row r="318" spans="1:27" ht="20.100000000000001" hidden="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28"/>
      <c r="H318" s="490">
        <f t="shared" si="137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ref="M318" si="142">IF(ISERROR(I318-K318),"",I318-K318)</f>
        <v>0</v>
      </c>
      <c r="N318" s="130">
        <f t="shared" ref="N318" si="143">SUM(O318:U318)</f>
        <v>0</v>
      </c>
      <c r="O318" s="498"/>
      <c r="P318" s="498"/>
      <c r="Q318" s="498"/>
      <c r="R318" s="498"/>
      <c r="S318" s="498"/>
      <c r="T318" s="498"/>
      <c r="U318" s="498"/>
      <c r="V318" s="132">
        <f t="shared" ref="V318" si="144">SUM(X318:AA318)</f>
        <v>0</v>
      </c>
      <c r="W318" s="133" t="str">
        <f t="shared" ref="W318:W323" si="145">IF(ISERROR(V318/G318),"",V318/G318)</f>
        <v/>
      </c>
      <c r="X318" s="132"/>
      <c r="Y318" s="132"/>
      <c r="Z318" s="132"/>
      <c r="AA318" s="132"/>
    </row>
    <row r="319" spans="1:27" ht="20.100000000000001" customHeight="1">
      <c r="A319" s="578" t="s">
        <v>234</v>
      </c>
      <c r="B319" s="579"/>
      <c r="C319" s="499" t="s">
        <v>202</v>
      </c>
      <c r="D319" s="143"/>
      <c r="E319" s="143"/>
      <c r="F319" s="144"/>
      <c r="G319" s="145">
        <f>SUM(G309:G318)</f>
        <v>659</v>
      </c>
      <c r="H319" s="146">
        <f>SUM(H309:H318)</f>
        <v>3314.77</v>
      </c>
      <c r="I319" s="146">
        <f>SUM(I309:I318)</f>
        <v>46</v>
      </c>
      <c r="J319" s="130">
        <f t="array" ref="J319">IF(ISERROR(G319/I319),"",G319/I319)</f>
        <v>14.326086956521738</v>
      </c>
      <c r="K319" s="146">
        <f>SUM(K309:K318)</f>
        <v>48.814814814814817</v>
      </c>
      <c r="L319" s="147"/>
      <c r="M319" s="150">
        <f>SUM(M309:M318)</f>
        <v>-2.8148148148148167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>
        <f t="shared" si="145"/>
        <v>0</v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hidden="1" customHeight="1">
      <c r="A320" s="299">
        <v>30700013</v>
      </c>
      <c r="B320" s="141" t="s">
        <v>235</v>
      </c>
      <c r="C320" s="496"/>
      <c r="D320" s="108">
        <v>3.65</v>
      </c>
      <c r="E320" s="108"/>
      <c r="F320" s="153"/>
      <c r="G320" s="128"/>
      <c r="H320" s="490">
        <f t="shared" ref="H320:H333" si="146">D320*G320</f>
        <v>0</v>
      </c>
      <c r="I320" s="129"/>
      <c r="J320" s="130" t="str">
        <f t="array" ref="J320">IF(ISERROR(G320/I320),"",G320/I320)</f>
        <v/>
      </c>
      <c r="K320" s="490">
        <f t="array" ref="K320">IF(ISERROR(G320/L320),"",G320/L320)</f>
        <v>0</v>
      </c>
      <c r="L320" s="129">
        <v>5</v>
      </c>
      <c r="M320" s="109">
        <f t="shared" ref="M320:M323" si="147">IF(ISERROR(I320-K320),"",I320-K320)</f>
        <v>0</v>
      </c>
      <c r="N320" s="130">
        <f t="shared" ref="N320:N323" si="148">SUM(O320:U320)</f>
        <v>0</v>
      </c>
      <c r="O320" s="498"/>
      <c r="P320" s="498"/>
      <c r="Q320" s="498"/>
      <c r="R320" s="498"/>
      <c r="S320" s="498"/>
      <c r="T320" s="498"/>
      <c r="U320" s="498"/>
      <c r="V320" s="132">
        <f t="shared" ref="V320:V323" si="149">SUM(X320:AA320)</f>
        <v>0</v>
      </c>
      <c r="W320" s="133" t="str">
        <f t="shared" si="145"/>
        <v/>
      </c>
      <c r="X320" s="132"/>
      <c r="Y320" s="132"/>
      <c r="Z320" s="132"/>
      <c r="AA320" s="132"/>
    </row>
    <row r="321" spans="1:27" ht="20.100000000000001" customHeight="1">
      <c r="A321" s="299">
        <v>30700014</v>
      </c>
      <c r="B321" s="141" t="s">
        <v>236</v>
      </c>
      <c r="C321" s="496"/>
      <c r="D321" s="108">
        <v>6.58</v>
      </c>
      <c r="E321" s="108"/>
      <c r="F321" s="127">
        <v>42738</v>
      </c>
      <c r="G321" s="128">
        <f>3+28+36*2+4+36</f>
        <v>143</v>
      </c>
      <c r="H321" s="490">
        <f t="shared" si="146"/>
        <v>940.94</v>
      </c>
      <c r="I321" s="129">
        <v>28</v>
      </c>
      <c r="J321" s="130">
        <f t="array" ref="J321">IF(ISERROR(G321/I321),"",G321/I321)</f>
        <v>5.1071428571428568</v>
      </c>
      <c r="K321" s="131">
        <f t="array" ref="K321">IF(ISERROR(G321/L321),"",G321/L321)</f>
        <v>28.6</v>
      </c>
      <c r="L321" s="129">
        <v>5</v>
      </c>
      <c r="M321" s="109">
        <f t="shared" si="147"/>
        <v>-0.60000000000000142</v>
      </c>
      <c r="N321" s="130">
        <f t="shared" si="148"/>
        <v>0</v>
      </c>
      <c r="O321" s="498"/>
      <c r="P321" s="498"/>
      <c r="Q321" s="498"/>
      <c r="R321" s="498"/>
      <c r="S321" s="498"/>
      <c r="T321" s="498"/>
      <c r="U321" s="498"/>
      <c r="V321" s="132">
        <f t="shared" si="149"/>
        <v>0</v>
      </c>
      <c r="W321" s="133">
        <f t="shared" si="145"/>
        <v>0</v>
      </c>
      <c r="X321" s="132"/>
      <c r="Y321" s="132"/>
      <c r="Z321" s="132"/>
      <c r="AA321" s="132"/>
    </row>
    <row r="322" spans="1:27" ht="20.100000000000001" customHeight="1">
      <c r="A322" s="299">
        <v>30700016</v>
      </c>
      <c r="B322" s="141" t="s">
        <v>237</v>
      </c>
      <c r="C322" s="496"/>
      <c r="D322" s="108">
        <v>7.8</v>
      </c>
      <c r="E322" s="108"/>
      <c r="F322" s="127">
        <v>42738</v>
      </c>
      <c r="G322" s="128">
        <f>28+32*2+31</f>
        <v>123</v>
      </c>
      <c r="H322" s="490">
        <f t="shared" si="146"/>
        <v>959.4</v>
      </c>
      <c r="I322" s="129">
        <v>26</v>
      </c>
      <c r="J322" s="130">
        <f t="array" ref="J322">IF(ISERROR(G322/I322),"",G322/I322)</f>
        <v>4.7307692307692308</v>
      </c>
      <c r="K322" s="131">
        <f t="array" ref="K322">IF(ISERROR(G322/L322),"",G322/L322)</f>
        <v>26.739130434782609</v>
      </c>
      <c r="L322" s="129">
        <v>4.5999999999999996</v>
      </c>
      <c r="M322" s="109">
        <f t="shared" si="147"/>
        <v>-0.73913043478260931</v>
      </c>
      <c r="N322" s="130">
        <f t="shared" si="148"/>
        <v>0</v>
      </c>
      <c r="O322" s="498"/>
      <c r="P322" s="498"/>
      <c r="Q322" s="498"/>
      <c r="R322" s="498"/>
      <c r="S322" s="498"/>
      <c r="T322" s="498"/>
      <c r="U322" s="498"/>
      <c r="V322" s="132">
        <f t="shared" si="149"/>
        <v>0</v>
      </c>
      <c r="W322" s="133">
        <f t="shared" si="145"/>
        <v>0</v>
      </c>
      <c r="X322" s="132"/>
      <c r="Y322" s="132"/>
      <c r="Z322" s="132"/>
      <c r="AA322" s="132"/>
    </row>
    <row r="323" spans="1:27" ht="20.100000000000001" customHeight="1">
      <c r="A323" s="299">
        <v>30700017</v>
      </c>
      <c r="B323" s="141" t="s">
        <v>238</v>
      </c>
      <c r="C323" s="496"/>
      <c r="D323" s="108">
        <v>4.4000000000000004</v>
      </c>
      <c r="E323" s="108"/>
      <c r="F323" s="127">
        <v>42737</v>
      </c>
      <c r="G323" s="128">
        <f>14+25</f>
        <v>39</v>
      </c>
      <c r="H323" s="490">
        <f t="shared" si="146"/>
        <v>171.60000000000002</v>
      </c>
      <c r="I323" s="129">
        <v>6</v>
      </c>
      <c r="J323" s="130">
        <f t="array" ref="J323">IF(ISERROR(G323/I323),"",G323/I323)</f>
        <v>6.5</v>
      </c>
      <c r="K323" s="131">
        <f t="array" ref="K323">IF(ISERROR(G323/L323),"",G323/L323)</f>
        <v>6.7241379310344831</v>
      </c>
      <c r="L323" s="129">
        <v>5.8</v>
      </c>
      <c r="M323" s="109">
        <f t="shared" si="147"/>
        <v>-0.7241379310344831</v>
      </c>
      <c r="N323" s="130">
        <f t="shared" si="148"/>
        <v>0</v>
      </c>
      <c r="O323" s="498"/>
      <c r="P323" s="498"/>
      <c r="Q323" s="498"/>
      <c r="R323" s="498"/>
      <c r="S323" s="498"/>
      <c r="T323" s="498"/>
      <c r="U323" s="498"/>
      <c r="V323" s="132">
        <f t="shared" si="149"/>
        <v>0</v>
      </c>
      <c r="W323" s="133">
        <f t="shared" si="145"/>
        <v>0</v>
      </c>
      <c r="X323" s="132"/>
      <c r="Y323" s="132"/>
      <c r="Z323" s="132"/>
      <c r="AA323" s="132"/>
    </row>
    <row r="324" spans="1:27" ht="20.100000000000001" hidden="1" customHeight="1">
      <c r="A324" s="299">
        <v>30700001</v>
      </c>
      <c r="B324" s="127" t="s">
        <v>359</v>
      </c>
      <c r="C324" s="496"/>
      <c r="D324" s="108"/>
      <c r="E324" s="108"/>
      <c r="F324" s="127"/>
      <c r="G324" s="128"/>
      <c r="H324" s="490">
        <f t="shared" si="146"/>
        <v>0</v>
      </c>
      <c r="I324" s="129"/>
      <c r="J324" s="130"/>
      <c r="K324" s="131"/>
      <c r="L324" s="129">
        <v>6</v>
      </c>
      <c r="M324" s="109"/>
      <c r="N324" s="130"/>
      <c r="O324" s="498"/>
      <c r="P324" s="498"/>
      <c r="Q324" s="498"/>
      <c r="R324" s="498"/>
      <c r="S324" s="498"/>
      <c r="T324" s="498"/>
      <c r="U324" s="498"/>
      <c r="V324" s="132"/>
      <c r="W324" s="133"/>
      <c r="X324" s="132"/>
      <c r="Y324" s="132"/>
      <c r="Z324" s="132"/>
      <c r="AA324" s="132"/>
    </row>
    <row r="325" spans="1:27" ht="20.100000000000001" hidden="1" customHeight="1">
      <c r="A325" s="305"/>
      <c r="B325" s="496" t="s">
        <v>239</v>
      </c>
      <c r="C325" s="496" t="s">
        <v>179</v>
      </c>
      <c r="D325" s="108">
        <v>6.04</v>
      </c>
      <c r="E325" s="108"/>
      <c r="F325" s="127"/>
      <c r="G325" s="128"/>
      <c r="H325" s="490">
        <f t="shared" si="146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6" si="150">IF(ISERROR(I325-K325),"",I325-K325)</f>
        <v>0</v>
      </c>
      <c r="N325" s="130">
        <f t="shared" ref="N325:N326" si="151">SUM(O325:U325)</f>
        <v>0</v>
      </c>
      <c r="O325" s="498"/>
      <c r="P325" s="498"/>
      <c r="Q325" s="498"/>
      <c r="R325" s="498"/>
      <c r="S325" s="498"/>
      <c r="T325" s="498"/>
      <c r="U325" s="498"/>
      <c r="V325" s="132">
        <f t="shared" ref="V325:V326" si="152">SUM(X325:AA325)</f>
        <v>0</v>
      </c>
      <c r="W325" s="133" t="str">
        <f t="shared" ref="W325:W326" si="153">IF(ISERROR(V325/G325),"",V325/G325)</f>
        <v/>
      </c>
      <c r="X325" s="132"/>
      <c r="Y325" s="132"/>
      <c r="Z325" s="132"/>
      <c r="AA325" s="132"/>
    </row>
    <row r="326" spans="1:27" ht="20.100000000000001" hidden="1" customHeight="1">
      <c r="A326" s="305">
        <v>30700019</v>
      </c>
      <c r="B326" s="496" t="s">
        <v>239</v>
      </c>
      <c r="C326" s="496" t="s">
        <v>186</v>
      </c>
      <c r="D326" s="108">
        <v>6.04</v>
      </c>
      <c r="E326" s="108"/>
      <c r="F326" s="127"/>
      <c r="G326" s="128"/>
      <c r="H326" s="490">
        <f t="shared" si="146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50"/>
        <v>0</v>
      </c>
      <c r="N326" s="130">
        <f t="shared" si="151"/>
        <v>0</v>
      </c>
      <c r="O326" s="498"/>
      <c r="P326" s="498"/>
      <c r="Q326" s="498"/>
      <c r="R326" s="498"/>
      <c r="S326" s="498"/>
      <c r="T326" s="498"/>
      <c r="U326" s="498"/>
      <c r="V326" s="132">
        <f t="shared" si="152"/>
        <v>0</v>
      </c>
      <c r="W326" s="133" t="str">
        <f t="shared" si="153"/>
        <v/>
      </c>
      <c r="X326" s="132"/>
      <c r="Y326" s="132"/>
      <c r="Z326" s="132"/>
      <c r="AA326" s="132"/>
    </row>
    <row r="327" spans="1:27" ht="20.100000000000001" hidden="1" customHeight="1">
      <c r="A327" s="305">
        <v>30601015</v>
      </c>
      <c r="B327" s="496" t="s">
        <v>443</v>
      </c>
      <c r="C327" s="496" t="s">
        <v>179</v>
      </c>
      <c r="D327" s="108">
        <v>6</v>
      </c>
      <c r="E327" s="108"/>
      <c r="F327" s="127"/>
      <c r="G327" s="128"/>
      <c r="H327" s="490">
        <f t="shared" si="146"/>
        <v>0</v>
      </c>
      <c r="I327" s="129"/>
      <c r="J327" s="130"/>
      <c r="K327" s="131"/>
      <c r="L327" s="129"/>
      <c r="M327" s="109"/>
      <c r="N327" s="130"/>
      <c r="O327" s="498"/>
      <c r="P327" s="498"/>
      <c r="Q327" s="498"/>
      <c r="R327" s="498"/>
      <c r="S327" s="498"/>
      <c r="T327" s="498"/>
      <c r="U327" s="498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305">
        <v>30101016</v>
      </c>
      <c r="B328" s="496" t="s">
        <v>443</v>
      </c>
      <c r="C328" s="496" t="s">
        <v>60</v>
      </c>
      <c r="D328" s="108">
        <v>6</v>
      </c>
      <c r="E328" s="108"/>
      <c r="F328" s="127"/>
      <c r="G328" s="128"/>
      <c r="H328" s="490">
        <f t="shared" si="146"/>
        <v>0</v>
      </c>
      <c r="I328" s="129"/>
      <c r="J328" s="130"/>
      <c r="K328" s="131">
        <f t="array" ref="K328">IF(ISERROR(G328/L328),"",G328/L328)</f>
        <v>0</v>
      </c>
      <c r="L328" s="129">
        <v>6</v>
      </c>
      <c r="M328" s="109"/>
      <c r="N328" s="130"/>
      <c r="O328" s="498"/>
      <c r="P328" s="498"/>
      <c r="Q328" s="498"/>
      <c r="R328" s="498"/>
      <c r="S328" s="498"/>
      <c r="T328" s="498"/>
      <c r="U328" s="498"/>
      <c r="V328" s="132"/>
      <c r="W328" s="133"/>
      <c r="X328" s="132"/>
      <c r="Y328" s="132"/>
      <c r="Z328" s="132"/>
      <c r="AA328" s="132"/>
    </row>
    <row r="329" spans="1:27" ht="20.100000000000001" hidden="1" customHeight="1">
      <c r="A329" s="299">
        <v>30700018</v>
      </c>
      <c r="B329" s="489" t="s">
        <v>240</v>
      </c>
      <c r="C329" s="126"/>
      <c r="D329" s="108">
        <v>7.3</v>
      </c>
      <c r="E329" s="108"/>
      <c r="F329" s="127"/>
      <c r="G329" s="128"/>
      <c r="H329" s="490">
        <f t="shared" si="146"/>
        <v>0</v>
      </c>
      <c r="I329" s="129"/>
      <c r="J329" s="130"/>
      <c r="K329" s="131"/>
      <c r="L329" s="129"/>
      <c r="M329" s="109"/>
      <c r="N329" s="130"/>
      <c r="O329" s="498"/>
      <c r="P329" s="498"/>
      <c r="Q329" s="498"/>
      <c r="R329" s="498"/>
      <c r="S329" s="498"/>
      <c r="T329" s="498"/>
      <c r="U329" s="498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30700010</v>
      </c>
      <c r="B330" s="489" t="s">
        <v>241</v>
      </c>
      <c r="C330" s="126"/>
      <c r="D330" s="108">
        <f>78*120/1000</f>
        <v>9.36</v>
      </c>
      <c r="E330" s="108"/>
      <c r="F330" s="127"/>
      <c r="G330" s="128"/>
      <c r="H330" s="490">
        <f t="shared" si="146"/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4">SUM(O330:U330)</f>
        <v>0</v>
      </c>
      <c r="O330" s="498"/>
      <c r="P330" s="498"/>
      <c r="Q330" s="498"/>
      <c r="R330" s="498"/>
      <c r="S330" s="498"/>
      <c r="T330" s="498"/>
      <c r="U330" s="498"/>
      <c r="V330" s="132">
        <f t="shared" ref="V330" si="155">SUM(X330:AA330)</f>
        <v>0</v>
      </c>
      <c r="W330" s="133" t="str">
        <f t="shared" ref="W330" si="156">IF(ISERROR(V330/G330),"",V330/G330)</f>
        <v/>
      </c>
      <c r="X330" s="132"/>
      <c r="Y330" s="132"/>
      <c r="Z330" s="132"/>
      <c r="AA330" s="132"/>
    </row>
    <row r="331" spans="1:27" ht="20.100000000000001" hidden="1" customHeight="1">
      <c r="A331" s="299">
        <v>30700015</v>
      </c>
      <c r="B331" s="489" t="s">
        <v>242</v>
      </c>
      <c r="C331" s="126"/>
      <c r="D331" s="108">
        <v>4.5</v>
      </c>
      <c r="E331" s="108"/>
      <c r="F331" s="127"/>
      <c r="G331" s="128"/>
      <c r="H331" s="490">
        <f t="shared" si="146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498"/>
      <c r="P331" s="498"/>
      <c r="Q331" s="498"/>
      <c r="R331" s="498"/>
      <c r="S331" s="498"/>
      <c r="T331" s="498"/>
      <c r="U331" s="498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299">
        <v>30700012</v>
      </c>
      <c r="B332" s="489" t="s">
        <v>243</v>
      </c>
      <c r="C332" s="126"/>
      <c r="D332" s="108">
        <v>4.5</v>
      </c>
      <c r="E332" s="108"/>
      <c r="F332" s="127"/>
      <c r="G332" s="128"/>
      <c r="H332" s="490">
        <f t="shared" si="146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498"/>
      <c r="P332" s="498"/>
      <c r="Q332" s="498"/>
      <c r="R332" s="498"/>
      <c r="S332" s="498"/>
      <c r="T332" s="498"/>
      <c r="U332" s="498"/>
      <c r="V332" s="132"/>
      <c r="W332" s="133"/>
      <c r="X332" s="132"/>
      <c r="Y332" s="132"/>
      <c r="Z332" s="132"/>
      <c r="AA332" s="132"/>
    </row>
    <row r="333" spans="1:27" ht="20.100000000000001" hidden="1" customHeight="1">
      <c r="A333" s="299"/>
      <c r="B333" s="199" t="s">
        <v>438</v>
      </c>
      <c r="C333" s="126"/>
      <c r="D333" s="108">
        <v>4.5</v>
      </c>
      <c r="E333" s="108"/>
      <c r="F333" s="127"/>
      <c r="G333" s="128"/>
      <c r="H333" s="490">
        <f t="shared" si="146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498"/>
      <c r="P333" s="498"/>
      <c r="Q333" s="498"/>
      <c r="R333" s="498"/>
      <c r="S333" s="498"/>
      <c r="T333" s="498"/>
      <c r="U333" s="498"/>
      <c r="V333" s="132"/>
      <c r="W333" s="133"/>
      <c r="X333" s="132"/>
      <c r="Y333" s="132"/>
      <c r="Z333" s="132"/>
      <c r="AA333" s="132"/>
    </row>
    <row r="334" spans="1:27" ht="20.100000000000001" customHeight="1">
      <c r="A334" s="578" t="s">
        <v>244</v>
      </c>
      <c r="B334" s="579"/>
      <c r="C334" s="499" t="s">
        <v>202</v>
      </c>
      <c r="D334" s="143"/>
      <c r="E334" s="143"/>
      <c r="F334" s="144"/>
      <c r="G334" s="145">
        <f>SUM(G320:G333)</f>
        <v>305</v>
      </c>
      <c r="H334" s="146">
        <f>SUM(H320:H330)</f>
        <v>2071.94</v>
      </c>
      <c r="I334" s="146">
        <f>SUM(I320:I333)</f>
        <v>60</v>
      </c>
      <c r="J334" s="130">
        <f t="array" ref="J334">IF(ISERROR(G334/I334),"",G334/I334)</f>
        <v>5.083333333333333</v>
      </c>
      <c r="K334" s="146">
        <f>SUM(K320:K330)</f>
        <v>62.063268365817095</v>
      </c>
      <c r="L334" s="147"/>
      <c r="M334" s="150">
        <f t="shared" ref="M334:AA334" si="157">SUM(M320:M330)</f>
        <v>-2.0632683658170938</v>
      </c>
      <c r="N334" s="146">
        <f t="shared" si="157"/>
        <v>0</v>
      </c>
      <c r="O334" s="148">
        <f t="shared" si="157"/>
        <v>0</v>
      </c>
      <c r="P334" s="148">
        <f t="shared" si="157"/>
        <v>0</v>
      </c>
      <c r="Q334" s="148">
        <f t="shared" si="157"/>
        <v>0</v>
      </c>
      <c r="R334" s="148">
        <f t="shared" si="157"/>
        <v>0</v>
      </c>
      <c r="S334" s="148">
        <f t="shared" si="157"/>
        <v>0</v>
      </c>
      <c r="T334" s="148">
        <f t="shared" si="157"/>
        <v>0</v>
      </c>
      <c r="U334" s="148">
        <f t="shared" si="157"/>
        <v>0</v>
      </c>
      <c r="V334" s="149">
        <f t="shared" si="157"/>
        <v>0</v>
      </c>
      <c r="W334" s="133">
        <f t="shared" si="157"/>
        <v>0</v>
      </c>
      <c r="X334" s="149">
        <f t="shared" si="157"/>
        <v>0</v>
      </c>
      <c r="Y334" s="149">
        <f t="shared" si="157"/>
        <v>0</v>
      </c>
      <c r="Z334" s="149">
        <f t="shared" si="157"/>
        <v>0</v>
      </c>
      <c r="AA334" s="149">
        <f t="shared" si="157"/>
        <v>0</v>
      </c>
    </row>
    <row r="335" spans="1:27" ht="20.100000000000001" customHeight="1">
      <c r="A335" s="580" t="s">
        <v>246</v>
      </c>
      <c r="B335" s="581"/>
      <c r="C335" s="581"/>
      <c r="D335" s="581"/>
      <c r="E335" s="581"/>
      <c r="F335" s="582"/>
      <c r="G335" s="154">
        <f>SUM(G199,G257,G292,G308,G319,G334)</f>
        <v>5578</v>
      </c>
      <c r="H335" s="154">
        <f>SUM(H199,H257,H292,H308,H319,H334)</f>
        <v>28654.350000000006</v>
      </c>
      <c r="I335" s="154">
        <f>SUM(I199,I257,I292,I308,I319,I334)</f>
        <v>370</v>
      </c>
      <c r="J335" s="155">
        <f t="array" ref="J335">IF(ISERROR(G335/I335),"",G335/I335)</f>
        <v>15.075675675675676</v>
      </c>
      <c r="K335" s="154">
        <f>SUM(K199,K257,K292,K308,K319,K334)</f>
        <v>398.4457030890261</v>
      </c>
      <c r="L335" s="155">
        <f>IF(ISERROR(G335/K335),"",G335/K335)</f>
        <v>13.999398052872685</v>
      </c>
      <c r="M335" s="154">
        <f t="shared" ref="M335:AA335" si="158">SUM(M199,M257,M292,M308,M319,M334)</f>
        <v>-28.445703089026097</v>
      </c>
      <c r="N335" s="154">
        <f t="shared" si="158"/>
        <v>0</v>
      </c>
      <c r="O335" s="154">
        <f t="shared" si="158"/>
        <v>0</v>
      </c>
      <c r="P335" s="154">
        <f t="shared" si="158"/>
        <v>0</v>
      </c>
      <c r="Q335" s="154">
        <f t="shared" si="158"/>
        <v>0</v>
      </c>
      <c r="R335" s="154">
        <f t="shared" si="158"/>
        <v>0</v>
      </c>
      <c r="S335" s="154">
        <f t="shared" si="158"/>
        <v>0</v>
      </c>
      <c r="T335" s="154">
        <f t="shared" si="158"/>
        <v>0</v>
      </c>
      <c r="U335" s="154">
        <f t="shared" si="158"/>
        <v>0</v>
      </c>
      <c r="V335" s="154">
        <f t="shared" si="158"/>
        <v>0</v>
      </c>
      <c r="W335" s="154">
        <f t="shared" si="158"/>
        <v>0</v>
      </c>
      <c r="X335" s="154">
        <f t="shared" si="158"/>
        <v>0</v>
      </c>
      <c r="Y335" s="154">
        <f t="shared" si="158"/>
        <v>0</v>
      </c>
      <c r="Z335" s="154">
        <f t="shared" si="158"/>
        <v>0</v>
      </c>
      <c r="AA335" s="154">
        <f t="shared" si="158"/>
        <v>0</v>
      </c>
    </row>
    <row r="336" spans="1:27" ht="20.100000000000001" customHeight="1">
      <c r="A336" s="583" t="s">
        <v>476</v>
      </c>
      <c r="B336" s="492" t="s">
        <v>247</v>
      </c>
      <c r="C336" s="586" t="s">
        <v>248</v>
      </c>
      <c r="D336" s="587"/>
      <c r="E336" s="588" t="s">
        <v>249</v>
      </c>
      <c r="F336" s="588"/>
      <c r="G336" s="591" t="s">
        <v>250</v>
      </c>
      <c r="H336" s="591"/>
      <c r="I336" s="588" t="s">
        <v>251</v>
      </c>
      <c r="J336" s="588"/>
      <c r="K336" s="588" t="s">
        <v>252</v>
      </c>
      <c r="L336" s="588"/>
      <c r="M336" s="588" t="s">
        <v>253</v>
      </c>
      <c r="N336" s="588"/>
      <c r="O336" s="588" t="s">
        <v>254</v>
      </c>
      <c r="P336" s="591" t="s">
        <v>255</v>
      </c>
      <c r="Q336" s="591"/>
      <c r="R336" s="591" t="s">
        <v>252</v>
      </c>
      <c r="S336" s="591"/>
      <c r="T336" s="591" t="s">
        <v>256</v>
      </c>
      <c r="U336" s="591"/>
      <c r="V336" s="591" t="s">
        <v>257</v>
      </c>
      <c r="W336" s="591"/>
      <c r="X336" s="591" t="s">
        <v>252</v>
      </c>
      <c r="Y336" s="591"/>
      <c r="Z336" s="591" t="s">
        <v>256</v>
      </c>
      <c r="AA336" s="591"/>
    </row>
    <row r="337" spans="1:27" ht="20.100000000000001" customHeight="1">
      <c r="A337" s="584"/>
      <c r="B337" s="492" t="s">
        <v>258</v>
      </c>
      <c r="C337" s="626">
        <v>1</v>
      </c>
      <c r="D337" s="627"/>
      <c r="E337" s="590">
        <f>C337*11</f>
        <v>11</v>
      </c>
      <c r="F337" s="590"/>
      <c r="G337" s="591">
        <v>1</v>
      </c>
      <c r="H337" s="591"/>
      <c r="I337" s="590">
        <f>G337*11</f>
        <v>11</v>
      </c>
      <c r="J337" s="590"/>
      <c r="K337" s="590">
        <f>E337-I337</f>
        <v>0</v>
      </c>
      <c r="L337" s="590"/>
      <c r="M337" s="592">
        <f>IF(ISERROR(K337/E337),"",K337/E337)</f>
        <v>0</v>
      </c>
      <c r="N337" s="592"/>
      <c r="O337" s="588"/>
      <c r="P337" s="591" t="s">
        <v>201</v>
      </c>
      <c r="Q337" s="591"/>
      <c r="R337" s="593">
        <f>SUM(O199:U199)</f>
        <v>0</v>
      </c>
      <c r="S337" s="593"/>
      <c r="T337" s="594" t="str">
        <f t="array" ref="T337">IF(ISERROR(R337/R344),"",R337/R344)</f>
        <v/>
      </c>
      <c r="U337" s="594"/>
      <c r="V337" s="591" t="s">
        <v>259</v>
      </c>
      <c r="W337" s="591"/>
      <c r="X337" s="628">
        <f>SUM(P198,P256,P291,P307,P318,P333)</f>
        <v>0</v>
      </c>
      <c r="Y337" s="629"/>
      <c r="Z337" s="594" t="str">
        <f t="array" ref="Z337">IF(ISERROR(X337/X344),"",X337/X344)</f>
        <v/>
      </c>
      <c r="AA337" s="594"/>
    </row>
    <row r="338" spans="1:27" ht="20.100000000000001" customHeight="1">
      <c r="A338" s="584"/>
      <c r="B338" s="492" t="s">
        <v>260</v>
      </c>
      <c r="C338" s="586">
        <v>0</v>
      </c>
      <c r="D338" s="587"/>
      <c r="E338" s="590">
        <f>C338*11</f>
        <v>0</v>
      </c>
      <c r="F338" s="590"/>
      <c r="G338" s="591">
        <v>0</v>
      </c>
      <c r="H338" s="591"/>
      <c r="I338" s="590">
        <f>G338*11</f>
        <v>0</v>
      </c>
      <c r="J338" s="590"/>
      <c r="K338" s="590">
        <f>E338-I338</f>
        <v>0</v>
      </c>
      <c r="L338" s="590"/>
      <c r="M338" s="592" t="str">
        <f>IF(ISERROR(K338/E338),"",K338/E338)</f>
        <v/>
      </c>
      <c r="N338" s="592"/>
      <c r="O338" s="588"/>
      <c r="P338" s="591" t="s">
        <v>216</v>
      </c>
      <c r="Q338" s="591"/>
      <c r="R338" s="593">
        <f>SUM(O257:U257)</f>
        <v>0</v>
      </c>
      <c r="S338" s="593"/>
      <c r="T338" s="594" t="str">
        <f>IF(ISERROR(R338/R344),"",R338/R344)</f>
        <v/>
      </c>
      <c r="U338" s="594"/>
      <c r="V338" s="591" t="s">
        <v>261</v>
      </c>
      <c r="W338" s="591"/>
      <c r="X338" s="628">
        <f>SUM(P199,P257,P292,P308,P319,P334)</f>
        <v>0</v>
      </c>
      <c r="Y338" s="629"/>
      <c r="Z338" s="594" t="str">
        <f>IF(ISERROR(X338/X344),"",X338/X344)</f>
        <v/>
      </c>
      <c r="AA338" s="594"/>
    </row>
    <row r="339" spans="1:27" ht="20.100000000000001" customHeight="1">
      <c r="A339" s="584"/>
      <c r="B339" s="492" t="s">
        <v>262</v>
      </c>
      <c r="C339" s="586">
        <v>0</v>
      </c>
      <c r="D339" s="587"/>
      <c r="E339" s="590">
        <f>C339*8</f>
        <v>0</v>
      </c>
      <c r="F339" s="590"/>
      <c r="G339" s="591">
        <v>1</v>
      </c>
      <c r="H339" s="591"/>
      <c r="I339" s="590">
        <f>G339*8</f>
        <v>8</v>
      </c>
      <c r="J339" s="590"/>
      <c r="K339" s="590">
        <f>E339-I339</f>
        <v>-8</v>
      </c>
      <c r="L339" s="590"/>
      <c r="M339" s="592" t="str">
        <f>IF(ISERROR(K339/E339),"",K339/E339)</f>
        <v/>
      </c>
      <c r="N339" s="592"/>
      <c r="O339" s="588"/>
      <c r="P339" s="591" t="s">
        <v>224</v>
      </c>
      <c r="Q339" s="591"/>
      <c r="R339" s="593">
        <f>SUM(O292:U292)</f>
        <v>0</v>
      </c>
      <c r="S339" s="593"/>
      <c r="T339" s="594" t="str">
        <f>IF(ISERROR(R339/R344),"",R339/R344)</f>
        <v/>
      </c>
      <c r="U339" s="594"/>
      <c r="V339" s="591" t="s">
        <v>263</v>
      </c>
      <c r="W339" s="591"/>
      <c r="X339" s="628">
        <f>SUM(P200,P258,P293,P309,P320,P335)</f>
        <v>0</v>
      </c>
      <c r="Y339" s="629"/>
      <c r="Z339" s="594" t="str">
        <f>IF(ISERROR(X339/X344),"",X339/X344)</f>
        <v/>
      </c>
      <c r="AA339" s="594"/>
    </row>
    <row r="340" spans="1:27" ht="20.100000000000001" customHeight="1">
      <c r="A340" s="584"/>
      <c r="B340" s="492" t="s">
        <v>264</v>
      </c>
      <c r="C340" s="586">
        <v>1</v>
      </c>
      <c r="D340" s="587"/>
      <c r="E340" s="590">
        <f>C340*11</f>
        <v>11</v>
      </c>
      <c r="F340" s="590"/>
      <c r="G340" s="591">
        <v>1</v>
      </c>
      <c r="H340" s="591"/>
      <c r="I340" s="590">
        <f>G340*11</f>
        <v>11</v>
      </c>
      <c r="J340" s="590"/>
      <c r="K340" s="590">
        <f>E340-I340</f>
        <v>0</v>
      </c>
      <c r="L340" s="590"/>
      <c r="M340" s="592">
        <f>IF(ISERROR(K340/E340),"",K340/E340)</f>
        <v>0</v>
      </c>
      <c r="N340" s="592"/>
      <c r="O340" s="588"/>
      <c r="P340" s="591" t="s">
        <v>231</v>
      </c>
      <c r="Q340" s="591"/>
      <c r="R340" s="593">
        <f>SUM(O308:U308)</f>
        <v>0</v>
      </c>
      <c r="S340" s="593"/>
      <c r="T340" s="594" t="str">
        <f>IF(ISERROR(R340/R344),"",R340/R344)</f>
        <v/>
      </c>
      <c r="U340" s="594"/>
      <c r="V340" s="591" t="s">
        <v>265</v>
      </c>
      <c r="W340" s="591"/>
      <c r="X340" s="628">
        <f>SUM(P202,P259,P294,P310,P321,P336)</f>
        <v>0</v>
      </c>
      <c r="Y340" s="629"/>
      <c r="Z340" s="594" t="str">
        <f>IF(ISERROR(X340/X344),"",X340/X344)</f>
        <v/>
      </c>
      <c r="AA340" s="594"/>
    </row>
    <row r="341" spans="1:27" ht="20.100000000000001" customHeight="1">
      <c r="A341" s="585"/>
      <c r="B341" s="492" t="s">
        <v>266</v>
      </c>
      <c r="C341" s="596">
        <f>SUM(C337:D340)</f>
        <v>2</v>
      </c>
      <c r="D341" s="597"/>
      <c r="E341" s="590">
        <f>SUM(E337:F340)</f>
        <v>22</v>
      </c>
      <c r="F341" s="590"/>
      <c r="G341" s="591">
        <f>SUM(G337:H340)</f>
        <v>3</v>
      </c>
      <c r="H341" s="591"/>
      <c r="I341" s="590">
        <f>SUM(I337:J340)</f>
        <v>30</v>
      </c>
      <c r="J341" s="590"/>
      <c r="K341" s="590">
        <f>SUM(K337:L340)</f>
        <v>-8</v>
      </c>
      <c r="L341" s="590"/>
      <c r="M341" s="592">
        <f>IF(ISERROR(K341/E341),"",K341/E341)</f>
        <v>-0.36363636363636365</v>
      </c>
      <c r="N341" s="592"/>
      <c r="O341" s="588"/>
      <c r="P341" s="591" t="s">
        <v>234</v>
      </c>
      <c r="Q341" s="591"/>
      <c r="R341" s="593">
        <f>SUM(O319:U319)</f>
        <v>0</v>
      </c>
      <c r="S341" s="593"/>
      <c r="T341" s="594" t="str">
        <f>IF(ISERROR(R341/R344),"",R341/R344)</f>
        <v/>
      </c>
      <c r="U341" s="594"/>
      <c r="V341" s="591" t="s">
        <v>267</v>
      </c>
      <c r="W341" s="591"/>
      <c r="X341" s="628">
        <f>SUM(P203,P260,P295,P311,P322,P337)</f>
        <v>0</v>
      </c>
      <c r="Y341" s="629"/>
      <c r="Z341" s="594" t="str">
        <f>IF(ISERROR(X341/X344),"",X341/X344)</f>
        <v/>
      </c>
      <c r="AA341" s="594"/>
    </row>
    <row r="342" spans="1:27" ht="20.100000000000001" customHeight="1">
      <c r="A342" s="309" t="s">
        <v>477</v>
      </c>
      <c r="B342" s="492">
        <f>G335</f>
        <v>5578</v>
      </c>
      <c r="C342" s="598" t="s">
        <v>269</v>
      </c>
      <c r="D342" s="599"/>
      <c r="E342" s="591">
        <f>H335</f>
        <v>28654.350000000006</v>
      </c>
      <c r="F342" s="591"/>
      <c r="G342" s="591" t="s">
        <v>270</v>
      </c>
      <c r="H342" s="591"/>
      <c r="I342" s="600">
        <f>L335</f>
        <v>13.999398052872685</v>
      </c>
      <c r="J342" s="600"/>
      <c r="K342" s="588" t="s">
        <v>271</v>
      </c>
      <c r="L342" s="588"/>
      <c r="M342" s="600">
        <f>J335</f>
        <v>15.075675675675676</v>
      </c>
      <c r="N342" s="600"/>
      <c r="O342" s="588"/>
      <c r="P342" s="591" t="s">
        <v>244</v>
      </c>
      <c r="Q342" s="591"/>
      <c r="R342" s="593">
        <f>SUM(O334:U334)</f>
        <v>0</v>
      </c>
      <c r="S342" s="593"/>
      <c r="T342" s="594" t="str">
        <f>IF(ISERROR(R342/R344),"",R342/R344)</f>
        <v/>
      </c>
      <c r="U342" s="594"/>
      <c r="V342" s="591" t="s">
        <v>272</v>
      </c>
      <c r="W342" s="591"/>
      <c r="X342" s="628">
        <f>SUM(P204,P261,P296,P312,P323,P338)</f>
        <v>0</v>
      </c>
      <c r="Y342" s="629"/>
      <c r="Z342" s="594" t="str">
        <f>IF(ISERROR(X342/X344),"",X342/X344)</f>
        <v/>
      </c>
      <c r="AA342" s="594"/>
    </row>
    <row r="343" spans="1:27" ht="20.100000000000001" customHeight="1">
      <c r="A343" s="310" t="s">
        <v>478</v>
      </c>
      <c r="B343" s="492">
        <f>I335+C341</f>
        <v>372</v>
      </c>
      <c r="C343" s="601" t="s">
        <v>251</v>
      </c>
      <c r="D343" s="602"/>
      <c r="E343" s="603">
        <f>K335+I341</f>
        <v>428.4457030890261</v>
      </c>
      <c r="F343" s="603"/>
      <c r="G343" s="591" t="s">
        <v>274</v>
      </c>
      <c r="H343" s="591"/>
      <c r="I343" s="600">
        <f>B343-E343</f>
        <v>-56.445703089026097</v>
      </c>
      <c r="J343" s="600"/>
      <c r="K343" s="588" t="s">
        <v>275</v>
      </c>
      <c r="L343" s="588"/>
      <c r="M343" s="592">
        <f>IF(ISERROR(I343/E343),"",I343/E343)</f>
        <v>-0.13174528926783829</v>
      </c>
      <c r="N343" s="592"/>
      <c r="O343" s="588"/>
      <c r="P343" s="591" t="s">
        <v>245</v>
      </c>
      <c r="Q343" s="591"/>
      <c r="R343" s="593"/>
      <c r="S343" s="593"/>
      <c r="T343" s="594" t="str">
        <f>IF(ISERROR(R343/R344),"",R343/R344)</f>
        <v/>
      </c>
      <c r="U343" s="594"/>
      <c r="V343" s="591" t="s">
        <v>264</v>
      </c>
      <c r="W343" s="591"/>
      <c r="X343" s="628">
        <f>SUM(P205,P262,P297,P313,P324,P339)</f>
        <v>0</v>
      </c>
      <c r="Y343" s="629"/>
      <c r="Z343" s="594" t="str">
        <f>IF(ISERROR(X343/X344),"",X343/X344)</f>
        <v/>
      </c>
      <c r="AA343" s="594"/>
    </row>
    <row r="344" spans="1:27" ht="20.100000000000001" customHeight="1">
      <c r="A344" s="310" t="s">
        <v>479</v>
      </c>
      <c r="B344" s="492">
        <f>N335</f>
        <v>0</v>
      </c>
      <c r="C344" s="601" t="s">
        <v>277</v>
      </c>
      <c r="D344" s="602"/>
      <c r="E344" s="594">
        <f>IF(ISERROR(B344/B343),"",B344/B343)</f>
        <v>0</v>
      </c>
      <c r="F344" s="594"/>
      <c r="G344" s="591" t="s">
        <v>278</v>
      </c>
      <c r="H344" s="591"/>
      <c r="I344" s="588">
        <f>V335</f>
        <v>0</v>
      </c>
      <c r="J344" s="588"/>
      <c r="K344" s="588" t="s">
        <v>279</v>
      </c>
      <c r="L344" s="588"/>
      <c r="M344" s="592">
        <f t="array" ref="M344">IF(ISERROR(I344/B342),"",I344/B342)</f>
        <v>0</v>
      </c>
      <c r="N344" s="592"/>
      <c r="O344" s="588"/>
      <c r="P344" s="591" t="s">
        <v>266</v>
      </c>
      <c r="Q344" s="591"/>
      <c r="R344" s="593">
        <f>SUM(R337:S343)</f>
        <v>0</v>
      </c>
      <c r="S344" s="593"/>
      <c r="T344" s="594"/>
      <c r="U344" s="594"/>
      <c r="V344" s="591" t="s">
        <v>266</v>
      </c>
      <c r="W344" s="591"/>
      <c r="X344" s="595">
        <f>SUM(X337:Y343)</f>
        <v>0</v>
      </c>
      <c r="Y344" s="595"/>
      <c r="Z344" s="594"/>
      <c r="AA344" s="594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4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604" t="s">
        <v>480</v>
      </c>
      <c r="B346" s="607" t="s">
        <v>280</v>
      </c>
      <c r="C346" s="607" t="s">
        <v>281</v>
      </c>
      <c r="D346" s="607" t="s">
        <v>282</v>
      </c>
      <c r="E346" s="610" t="s">
        <v>283</v>
      </c>
      <c r="F346" s="623" t="s">
        <v>284</v>
      </c>
      <c r="G346" s="588" t="s">
        <v>285</v>
      </c>
      <c r="H346" s="588"/>
      <c r="I346" s="607" t="s">
        <v>286</v>
      </c>
      <c r="J346" s="613" t="s">
        <v>271</v>
      </c>
      <c r="K346" s="616" t="s">
        <v>287</v>
      </c>
      <c r="L346" s="607" t="s">
        <v>270</v>
      </c>
      <c r="M346" s="619" t="s">
        <v>288</v>
      </c>
      <c r="N346" s="621" t="s">
        <v>252</v>
      </c>
      <c r="O346" s="588" t="s">
        <v>289</v>
      </c>
      <c r="P346" s="588"/>
      <c r="Q346" s="588"/>
      <c r="R346" s="588"/>
      <c r="S346" s="588"/>
      <c r="T346" s="588"/>
      <c r="U346" s="588"/>
      <c r="V346" s="588" t="s">
        <v>290</v>
      </c>
      <c r="W346" s="621" t="s">
        <v>291</v>
      </c>
      <c r="X346" s="588" t="s">
        <v>292</v>
      </c>
      <c r="Y346" s="588"/>
      <c r="Z346" s="588"/>
      <c r="AA346" s="588"/>
    </row>
    <row r="347" spans="1:27" ht="21.95" customHeight="1">
      <c r="A347" s="605"/>
      <c r="B347" s="608"/>
      <c r="C347" s="608"/>
      <c r="D347" s="608"/>
      <c r="E347" s="611"/>
      <c r="F347" s="624"/>
      <c r="G347" s="588"/>
      <c r="H347" s="588"/>
      <c r="I347" s="608"/>
      <c r="J347" s="614"/>
      <c r="K347" s="617"/>
      <c r="L347" s="608"/>
      <c r="M347" s="620"/>
      <c r="N347" s="621"/>
      <c r="O347" s="588" t="s">
        <v>259</v>
      </c>
      <c r="P347" s="588" t="s">
        <v>261</v>
      </c>
      <c r="Q347" s="588" t="s">
        <v>263</v>
      </c>
      <c r="R347" s="622" t="s">
        <v>265</v>
      </c>
      <c r="S347" s="591" t="s">
        <v>267</v>
      </c>
      <c r="T347" s="588" t="s">
        <v>272</v>
      </c>
      <c r="U347" s="588" t="s">
        <v>264</v>
      </c>
      <c r="V347" s="588"/>
      <c r="W347" s="621"/>
      <c r="X347" s="588" t="s">
        <v>293</v>
      </c>
      <c r="Y347" s="588" t="s">
        <v>294</v>
      </c>
      <c r="Z347" s="588" t="s">
        <v>295</v>
      </c>
      <c r="AA347" s="588" t="s">
        <v>264</v>
      </c>
    </row>
    <row r="348" spans="1:27" ht="21.95" customHeight="1">
      <c r="A348" s="606"/>
      <c r="B348" s="609"/>
      <c r="C348" s="609"/>
      <c r="D348" s="609"/>
      <c r="E348" s="612"/>
      <c r="F348" s="625"/>
      <c r="G348" s="348" t="s">
        <v>546</v>
      </c>
      <c r="H348" s="496" t="s">
        <v>297</v>
      </c>
      <c r="I348" s="609"/>
      <c r="J348" s="615"/>
      <c r="K348" s="618"/>
      <c r="L348" s="609"/>
      <c r="M348" s="620"/>
      <c r="N348" s="621"/>
      <c r="O348" s="588"/>
      <c r="P348" s="588"/>
      <c r="Q348" s="588"/>
      <c r="R348" s="622"/>
      <c r="S348" s="591"/>
      <c r="T348" s="588"/>
      <c r="U348" s="588"/>
      <c r="V348" s="588"/>
      <c r="W348" s="621"/>
      <c r="X348" s="588"/>
      <c r="Y348" s="588"/>
      <c r="Z348" s="588"/>
      <c r="AA348" s="588"/>
    </row>
    <row r="349" spans="1:27" ht="20.100000000000001" hidden="1" customHeight="1">
      <c r="A349" s="299">
        <v>30100030</v>
      </c>
      <c r="B349" s="489" t="s">
        <v>178</v>
      </c>
      <c r="C349" s="126" t="s">
        <v>179</v>
      </c>
      <c r="D349" s="108">
        <v>5.03</v>
      </c>
      <c r="E349" s="108"/>
      <c r="F349" s="127"/>
      <c r="G349" s="128"/>
      <c r="H349" s="490">
        <f t="shared" ref="H349:H369" si="159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58" si="160">IF(ISERROR(I349-K349),"",I349-K349)</f>
        <v>0</v>
      </c>
      <c r="N349" s="130">
        <f t="shared" ref="N349:N354" si="161">SUM(O349:U349)</f>
        <v>0</v>
      </c>
      <c r="O349" s="498"/>
      <c r="P349" s="498"/>
      <c r="Q349" s="498"/>
      <c r="R349" s="498"/>
      <c r="S349" s="498"/>
      <c r="T349" s="498"/>
      <c r="U349" s="498"/>
      <c r="V349" s="132">
        <f t="shared" ref="V349:V354" si="162">SUM(X349:AA349)</f>
        <v>0</v>
      </c>
      <c r="W349" s="133" t="str">
        <f t="shared" ref="W349:W354" si="163">IF(ISERROR(V349/G349),"",V349/G349)</f>
        <v/>
      </c>
      <c r="X349" s="132"/>
      <c r="Y349" s="132"/>
      <c r="Z349" s="132"/>
      <c r="AA349" s="132"/>
    </row>
    <row r="350" spans="1:27" ht="20.100000000000001" hidden="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28"/>
      <c r="H350" s="490">
        <f t="shared" si="159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60"/>
        <v>0</v>
      </c>
      <c r="N350" s="130">
        <f t="shared" si="161"/>
        <v>0</v>
      </c>
      <c r="O350" s="498"/>
      <c r="P350" s="498"/>
      <c r="Q350" s="498"/>
      <c r="R350" s="498"/>
      <c r="S350" s="498"/>
      <c r="T350" s="498"/>
      <c r="U350" s="498"/>
      <c r="V350" s="132">
        <f t="shared" si="162"/>
        <v>0</v>
      </c>
      <c r="W350" s="133" t="str">
        <f t="shared" si="163"/>
        <v/>
      </c>
      <c r="X350" s="132"/>
      <c r="Y350" s="132"/>
      <c r="Z350" s="132"/>
      <c r="AA350" s="132"/>
    </row>
    <row r="351" spans="1:27" ht="20.100000000000001" hidden="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28"/>
      <c r="H351" s="490">
        <f t="shared" si="159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60"/>
        <v>0</v>
      </c>
      <c r="N351" s="130">
        <f t="shared" si="161"/>
        <v>0</v>
      </c>
      <c r="O351" s="498"/>
      <c r="P351" s="498"/>
      <c r="Q351" s="498"/>
      <c r="R351" s="498"/>
      <c r="S351" s="498"/>
      <c r="T351" s="498"/>
      <c r="U351" s="498"/>
      <c r="V351" s="132">
        <f t="shared" si="162"/>
        <v>0</v>
      </c>
      <c r="W351" s="133" t="str">
        <f t="shared" si="163"/>
        <v/>
      </c>
      <c r="X351" s="132"/>
      <c r="Y351" s="132"/>
      <c r="Z351" s="132"/>
      <c r="AA351" s="132"/>
    </row>
    <row r="352" spans="1:27" ht="20.100000000000001" hidden="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28"/>
      <c r="H352" s="490">
        <f t="shared" si="159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60"/>
        <v>0</v>
      </c>
      <c r="N352" s="130">
        <f t="shared" si="161"/>
        <v>0</v>
      </c>
      <c r="O352" s="498"/>
      <c r="P352" s="498"/>
      <c r="Q352" s="498"/>
      <c r="R352" s="498"/>
      <c r="S352" s="498"/>
      <c r="T352" s="498"/>
      <c r="U352" s="498"/>
      <c r="V352" s="132">
        <f t="shared" si="162"/>
        <v>0</v>
      </c>
      <c r="W352" s="133" t="str">
        <f t="shared" si="163"/>
        <v/>
      </c>
      <c r="X352" s="132"/>
      <c r="Y352" s="132"/>
      <c r="Z352" s="132"/>
      <c r="AA352" s="132"/>
    </row>
    <row r="353" spans="1:27" ht="20.100000000000001" hidden="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28"/>
      <c r="H353" s="490">
        <f t="shared" si="159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60"/>
        <v>0</v>
      </c>
      <c r="N353" s="130">
        <f t="shared" si="161"/>
        <v>0</v>
      </c>
      <c r="O353" s="498"/>
      <c r="P353" s="498"/>
      <c r="Q353" s="498"/>
      <c r="R353" s="498"/>
      <c r="S353" s="498"/>
      <c r="T353" s="498"/>
      <c r="U353" s="498"/>
      <c r="V353" s="132">
        <f t="shared" si="162"/>
        <v>0</v>
      </c>
      <c r="W353" s="133" t="str">
        <f t="shared" si="163"/>
        <v/>
      </c>
      <c r="X353" s="132"/>
      <c r="Y353" s="132"/>
      <c r="Z353" s="132"/>
      <c r="AA353" s="132"/>
    </row>
    <row r="354" spans="1:27" ht="20.100000000000001" hidden="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137"/>
      <c r="H354" s="490">
        <f t="shared" si="159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60"/>
        <v>0</v>
      </c>
      <c r="N354" s="130">
        <f t="shared" si="161"/>
        <v>0</v>
      </c>
      <c r="O354" s="498"/>
      <c r="P354" s="498"/>
      <c r="Q354" s="498"/>
      <c r="R354" s="498"/>
      <c r="S354" s="498"/>
      <c r="T354" s="498"/>
      <c r="U354" s="498"/>
      <c r="V354" s="132">
        <f t="shared" si="162"/>
        <v>0</v>
      </c>
      <c r="W354" s="133" t="str">
        <f t="shared" si="163"/>
        <v/>
      </c>
      <c r="X354" s="132"/>
      <c r="Y354" s="132"/>
      <c r="Z354" s="132"/>
      <c r="AA354" s="132"/>
    </row>
    <row r="355" spans="1:27" ht="20.100000000000001" hidden="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28"/>
      <c r="H355" s="490">
        <f t="shared" si="159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60"/>
        <v>0</v>
      </c>
      <c r="N355" s="130"/>
      <c r="O355" s="498"/>
      <c r="P355" s="498"/>
      <c r="Q355" s="498"/>
      <c r="R355" s="498"/>
      <c r="S355" s="498"/>
      <c r="T355" s="498"/>
      <c r="U355" s="498"/>
      <c r="V355" s="132"/>
      <c r="W355" s="133"/>
      <c r="X355" s="132"/>
      <c r="Y355" s="132"/>
      <c r="Z355" s="132"/>
      <c r="AA355" s="132"/>
    </row>
    <row r="356" spans="1:27" ht="20.100000000000001" hidden="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28"/>
      <c r="H356" s="490">
        <f t="shared" si="159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60"/>
        <v>0</v>
      </c>
      <c r="N356" s="130"/>
      <c r="O356" s="498"/>
      <c r="P356" s="498"/>
      <c r="Q356" s="498"/>
      <c r="R356" s="498"/>
      <c r="S356" s="498"/>
      <c r="T356" s="498"/>
      <c r="U356" s="498"/>
      <c r="V356" s="132"/>
      <c r="W356" s="133"/>
      <c r="X356" s="132"/>
      <c r="Y356" s="132"/>
      <c r="Z356" s="132"/>
      <c r="AA356" s="132"/>
    </row>
    <row r="357" spans="1:27" ht="20.100000000000001" hidden="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28"/>
      <c r="H357" s="490">
        <f t="shared" si="159"/>
        <v>0</v>
      </c>
      <c r="I357" s="490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60"/>
        <v>0</v>
      </c>
      <c r="N357" s="130">
        <f>SUM(O357:U357)</f>
        <v>0</v>
      </c>
      <c r="O357" s="498"/>
      <c r="P357" s="498"/>
      <c r="Q357" s="498"/>
      <c r="R357" s="498"/>
      <c r="S357" s="498"/>
      <c r="T357" s="498"/>
      <c r="U357" s="498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hidden="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28"/>
      <c r="H358" s="490">
        <f t="shared" si="159"/>
        <v>0</v>
      </c>
      <c r="I358" s="490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60"/>
        <v>0</v>
      </c>
      <c r="N358" s="130">
        <f>SUM(O358:U358)</f>
        <v>0</v>
      </c>
      <c r="O358" s="498"/>
      <c r="P358" s="498"/>
      <c r="Q358" s="498"/>
      <c r="R358" s="498"/>
      <c r="S358" s="498"/>
      <c r="T358" s="498"/>
      <c r="U358" s="498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hidden="1" customHeight="1">
      <c r="A359" s="302">
        <v>30100063</v>
      </c>
      <c r="B359" s="134" t="s">
        <v>191</v>
      </c>
      <c r="C359" s="126" t="s">
        <v>192</v>
      </c>
      <c r="D359" s="108">
        <v>5.03</v>
      </c>
      <c r="E359" s="108"/>
      <c r="F359" s="126"/>
      <c r="G359" s="128"/>
      <c r="H359" s="490">
        <f t="shared" si="159"/>
        <v>0</v>
      </c>
      <c r="I359" s="490"/>
      <c r="J359" s="130"/>
      <c r="K359" s="131"/>
      <c r="L359" s="129"/>
      <c r="M359" s="109"/>
      <c r="N359" s="130"/>
      <c r="O359" s="498"/>
      <c r="P359" s="498"/>
      <c r="Q359" s="498"/>
      <c r="R359" s="498"/>
      <c r="S359" s="498"/>
      <c r="T359" s="498"/>
      <c r="U359" s="498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30100061</v>
      </c>
      <c r="B360" s="134" t="s">
        <v>191</v>
      </c>
      <c r="C360" s="126" t="s">
        <v>193</v>
      </c>
      <c r="D360" s="108">
        <v>5.03</v>
      </c>
      <c r="E360" s="108"/>
      <c r="F360" s="126"/>
      <c r="G360" s="128"/>
      <c r="H360" s="490">
        <f t="shared" si="159"/>
        <v>0</v>
      </c>
      <c r="I360" s="490"/>
      <c r="J360" s="130"/>
      <c r="K360" s="131"/>
      <c r="L360" s="129"/>
      <c r="M360" s="109"/>
      <c r="N360" s="130"/>
      <c r="O360" s="498"/>
      <c r="P360" s="498"/>
      <c r="Q360" s="498"/>
      <c r="R360" s="498"/>
      <c r="S360" s="498"/>
      <c r="T360" s="498"/>
      <c r="U360" s="498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28"/>
      <c r="H361" s="490">
        <f t="shared" si="159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ref="M361:M369" si="164">IF(ISERROR(I361-K361),"",I361-K361)</f>
        <v>0</v>
      </c>
      <c r="N361" s="130">
        <f t="shared" ref="N361:N363" si="165">SUM(O361:U361)</f>
        <v>0</v>
      </c>
      <c r="O361" s="498"/>
      <c r="P361" s="498"/>
      <c r="Q361" s="498"/>
      <c r="R361" s="498"/>
      <c r="S361" s="498"/>
      <c r="T361" s="498"/>
      <c r="U361" s="498"/>
      <c r="V361" s="132">
        <f t="shared" ref="V361:V363" si="166">SUM(X361:AA361)</f>
        <v>0</v>
      </c>
      <c r="W361" s="133" t="str">
        <f t="shared" ref="W361:W363" si="167">IF(ISERROR(V361/G361),"",V361/G361)</f>
        <v/>
      </c>
      <c r="X361" s="132"/>
      <c r="Y361" s="132"/>
      <c r="Z361" s="132"/>
      <c r="AA361" s="132"/>
    </row>
    <row r="362" spans="1:27" ht="20.100000000000001" hidden="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28"/>
      <c r="H362" s="490">
        <f t="shared" si="159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4"/>
        <v>0</v>
      </c>
      <c r="N362" s="130">
        <f t="shared" si="165"/>
        <v>0</v>
      </c>
      <c r="O362" s="498"/>
      <c r="P362" s="498"/>
      <c r="Q362" s="498"/>
      <c r="R362" s="498"/>
      <c r="S362" s="498"/>
      <c r="T362" s="498"/>
      <c r="U362" s="498"/>
      <c r="V362" s="132">
        <f t="shared" si="166"/>
        <v>0</v>
      </c>
      <c r="W362" s="133" t="str">
        <f t="shared" si="167"/>
        <v/>
      </c>
      <c r="X362" s="132"/>
      <c r="Y362" s="132"/>
      <c r="Z362" s="132"/>
      <c r="AA362" s="132"/>
    </row>
    <row r="363" spans="1:27" ht="20.100000000000001" hidden="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28"/>
      <c r="H363" s="490">
        <f t="shared" si="159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4"/>
        <v>0</v>
      </c>
      <c r="N363" s="130">
        <f t="shared" si="165"/>
        <v>0</v>
      </c>
      <c r="O363" s="498"/>
      <c r="P363" s="498"/>
      <c r="Q363" s="498"/>
      <c r="R363" s="498"/>
      <c r="S363" s="498"/>
      <c r="T363" s="498"/>
      <c r="U363" s="498"/>
      <c r="V363" s="132">
        <f t="shared" si="166"/>
        <v>0</v>
      </c>
      <c r="W363" s="133" t="str">
        <f t="shared" si="167"/>
        <v/>
      </c>
      <c r="X363" s="132"/>
      <c r="Y363" s="132"/>
      <c r="Z363" s="132"/>
      <c r="AA363" s="132"/>
    </row>
    <row r="364" spans="1:27" ht="20.100000000000001" hidden="1" customHeight="1">
      <c r="A364" s="300">
        <v>30100003</v>
      </c>
      <c r="B364" s="141" t="s">
        <v>198</v>
      </c>
      <c r="C364" s="496" t="s">
        <v>190</v>
      </c>
      <c r="D364" s="108">
        <v>4.8</v>
      </c>
      <c r="E364" s="108"/>
      <c r="F364" s="127"/>
      <c r="G364" s="128"/>
      <c r="H364" s="490">
        <f t="shared" si="159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4"/>
        <v>0</v>
      </c>
      <c r="N364" s="130"/>
      <c r="O364" s="498"/>
      <c r="P364" s="498"/>
      <c r="Q364" s="498"/>
      <c r="R364" s="498"/>
      <c r="S364" s="498"/>
      <c r="T364" s="498"/>
      <c r="U364" s="498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30100004</v>
      </c>
      <c r="B365" s="141" t="s">
        <v>198</v>
      </c>
      <c r="C365" s="496" t="s">
        <v>187</v>
      </c>
      <c r="D365" s="108">
        <v>4.8</v>
      </c>
      <c r="E365" s="108"/>
      <c r="F365" s="127"/>
      <c r="G365" s="128"/>
      <c r="H365" s="490">
        <f t="shared" si="159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4"/>
        <v>0</v>
      </c>
      <c r="N365" s="130"/>
      <c r="O365" s="498"/>
      <c r="P365" s="498"/>
      <c r="Q365" s="498"/>
      <c r="R365" s="498"/>
      <c r="S365" s="498"/>
      <c r="T365" s="498"/>
      <c r="U365" s="498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30100006</v>
      </c>
      <c r="B366" s="141" t="s">
        <v>198</v>
      </c>
      <c r="C366" s="496" t="s">
        <v>179</v>
      </c>
      <c r="D366" s="108">
        <v>4.8</v>
      </c>
      <c r="E366" s="108"/>
      <c r="F366" s="127"/>
      <c r="G366" s="128"/>
      <c r="H366" s="490">
        <f t="shared" si="159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4"/>
        <v>0</v>
      </c>
      <c r="N366" s="130"/>
      <c r="O366" s="498"/>
      <c r="P366" s="498"/>
      <c r="Q366" s="498"/>
      <c r="R366" s="498"/>
      <c r="S366" s="498"/>
      <c r="T366" s="498"/>
      <c r="U366" s="498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0">
        <v>30100005</v>
      </c>
      <c r="B367" s="141" t="s">
        <v>198</v>
      </c>
      <c r="C367" s="496" t="s">
        <v>199</v>
      </c>
      <c r="D367" s="108">
        <v>4.8</v>
      </c>
      <c r="E367" s="108"/>
      <c r="F367" s="127"/>
      <c r="G367" s="128"/>
      <c r="H367" s="490">
        <f t="shared" si="159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4"/>
        <v>0</v>
      </c>
      <c r="N367" s="130"/>
      <c r="O367" s="498"/>
      <c r="P367" s="498"/>
      <c r="Q367" s="498"/>
      <c r="R367" s="498"/>
      <c r="S367" s="498"/>
      <c r="T367" s="498"/>
      <c r="U367" s="498"/>
      <c r="V367" s="132"/>
      <c r="W367" s="133"/>
      <c r="X367" s="132"/>
      <c r="Y367" s="132"/>
      <c r="Z367" s="132"/>
      <c r="AA367" s="132"/>
    </row>
    <row r="368" spans="1:27" ht="20.100000000000001" hidden="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28"/>
      <c r="H368" s="490">
        <f t="shared" si="159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4"/>
        <v>0</v>
      </c>
      <c r="N368" s="130">
        <f t="shared" ref="N368:N369" si="168">SUM(O368:U368)</f>
        <v>0</v>
      </c>
      <c r="O368" s="498"/>
      <c r="P368" s="498"/>
      <c r="Q368" s="498"/>
      <c r="R368" s="498"/>
      <c r="S368" s="498"/>
      <c r="T368" s="498"/>
      <c r="U368" s="498"/>
      <c r="V368" s="132">
        <f t="shared" ref="V368:V369" si="169">SUM(X368:AA368)</f>
        <v>0</v>
      </c>
      <c r="W368" s="133" t="str">
        <f t="shared" ref="W368:W369" si="170">IF(ISERROR(V368/G368),"",V368/G368)</f>
        <v/>
      </c>
      <c r="X368" s="132"/>
      <c r="Y368" s="132"/>
      <c r="Z368" s="132"/>
      <c r="AA368" s="132"/>
    </row>
    <row r="369" spans="1:27" ht="20.100000000000001" hidden="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28"/>
      <c r="H369" s="490">
        <f t="shared" si="159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4"/>
        <v>0</v>
      </c>
      <c r="N369" s="130">
        <f t="shared" si="168"/>
        <v>0</v>
      </c>
      <c r="O369" s="498"/>
      <c r="P369" s="498"/>
      <c r="Q369" s="498"/>
      <c r="R369" s="498"/>
      <c r="S369" s="498"/>
      <c r="T369" s="498"/>
      <c r="U369" s="498"/>
      <c r="V369" s="132">
        <f t="shared" si="169"/>
        <v>0</v>
      </c>
      <c r="W369" s="133" t="str">
        <f t="shared" si="170"/>
        <v/>
      </c>
      <c r="X369" s="132"/>
      <c r="Y369" s="132"/>
      <c r="Z369" s="132"/>
      <c r="AA369" s="132"/>
    </row>
    <row r="370" spans="1:27" ht="20.100000000000001" hidden="1" customHeight="1">
      <c r="A370" s="578" t="s">
        <v>201</v>
      </c>
      <c r="B370" s="579"/>
      <c r="C370" s="499" t="s">
        <v>202</v>
      </c>
      <c r="D370" s="143"/>
      <c r="E370" s="143"/>
      <c r="F370" s="144"/>
      <c r="G370" s="145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71">SUM(M349:M369)</f>
        <v>0</v>
      </c>
      <c r="N370" s="146">
        <f t="shared" si="171"/>
        <v>0</v>
      </c>
      <c r="O370" s="148">
        <f t="shared" si="171"/>
        <v>0</v>
      </c>
      <c r="P370" s="148">
        <f t="shared" si="171"/>
        <v>0</v>
      </c>
      <c r="Q370" s="148">
        <f t="shared" si="171"/>
        <v>0</v>
      </c>
      <c r="R370" s="148">
        <f t="shared" si="171"/>
        <v>0</v>
      </c>
      <c r="S370" s="148">
        <f t="shared" si="171"/>
        <v>0</v>
      </c>
      <c r="T370" s="148">
        <f t="shared" si="171"/>
        <v>0</v>
      </c>
      <c r="U370" s="148">
        <f t="shared" si="171"/>
        <v>0</v>
      </c>
      <c r="V370" s="149">
        <f t="shared" si="171"/>
        <v>0</v>
      </c>
      <c r="W370" s="133">
        <f t="shared" si="171"/>
        <v>0</v>
      </c>
      <c r="X370" s="149">
        <f t="shared" si="171"/>
        <v>0</v>
      </c>
      <c r="Y370" s="149">
        <f t="shared" si="171"/>
        <v>0</v>
      </c>
      <c r="Z370" s="149">
        <f t="shared" si="171"/>
        <v>0</v>
      </c>
      <c r="AA370" s="149">
        <f t="shared" si="171"/>
        <v>0</v>
      </c>
    </row>
    <row r="371" spans="1:27" ht="20.100000000000001" hidden="1" customHeight="1">
      <c r="A371" s="300">
        <v>30100012</v>
      </c>
      <c r="B371" s="489" t="s">
        <v>206</v>
      </c>
      <c r="C371" s="126" t="s">
        <v>199</v>
      </c>
      <c r="D371" s="108">
        <v>5.03</v>
      </c>
      <c r="E371" s="108"/>
      <c r="F371" s="127"/>
      <c r="G371" s="128"/>
      <c r="H371" s="490">
        <f t="shared" ref="H371:H427" si="172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" si="173">IF(ISERROR(I371-K371),"",I371-K371)</f>
        <v>0</v>
      </c>
      <c r="N371" s="130">
        <f t="shared" ref="N371" si="174">SUM(O371:U371)</f>
        <v>0</v>
      </c>
      <c r="O371" s="494"/>
      <c r="P371" s="494"/>
      <c r="Q371" s="494"/>
      <c r="R371" s="494"/>
      <c r="S371" s="494"/>
      <c r="T371" s="494"/>
      <c r="U371" s="494"/>
      <c r="V371" s="132">
        <f t="shared" ref="V371" si="175">SUM(X371:AA371)</f>
        <v>0</v>
      </c>
      <c r="W371" s="133" t="str">
        <f t="shared" ref="W371" si="176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30100011</v>
      </c>
      <c r="B372" s="489" t="s">
        <v>425</v>
      </c>
      <c r="C372" s="187" t="s">
        <v>427</v>
      </c>
      <c r="D372" s="108">
        <v>5.03</v>
      </c>
      <c r="E372" s="108"/>
      <c r="F372" s="127"/>
      <c r="G372" s="128"/>
      <c r="H372" s="490">
        <f t="shared" si="172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494"/>
      <c r="P372" s="494"/>
      <c r="Q372" s="494"/>
      <c r="R372" s="494"/>
      <c r="S372" s="494"/>
      <c r="T372" s="494"/>
      <c r="U372" s="494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0">
        <v>30100010</v>
      </c>
      <c r="B373" s="489" t="s">
        <v>206</v>
      </c>
      <c r="C373" s="126" t="s">
        <v>186</v>
      </c>
      <c r="D373" s="108">
        <v>5.03</v>
      </c>
      <c r="E373" s="108"/>
      <c r="F373" s="127"/>
      <c r="G373" s="128"/>
      <c r="H373" s="490">
        <f t="shared" si="172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ref="M373:M408" si="177">IF(ISERROR(I373-K373),"",I373-K373)</f>
        <v>0</v>
      </c>
      <c r="N373" s="130">
        <f t="shared" ref="N373:N375" si="178">SUM(O373:U373)</f>
        <v>0</v>
      </c>
      <c r="O373" s="494"/>
      <c r="P373" s="494"/>
      <c r="Q373" s="494"/>
      <c r="R373" s="494"/>
      <c r="S373" s="494"/>
      <c r="T373" s="494"/>
      <c r="U373" s="494"/>
      <c r="V373" s="132">
        <f t="shared" ref="V373:V375" si="179">SUM(X373:AA373)</f>
        <v>0</v>
      </c>
      <c r="W373" s="133" t="str">
        <f t="shared" ref="W373:W375" si="180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0">
        <v>30100014</v>
      </c>
      <c r="B374" s="489" t="s">
        <v>206</v>
      </c>
      <c r="C374" s="126" t="s">
        <v>203</v>
      </c>
      <c r="D374" s="108">
        <v>5.03</v>
      </c>
      <c r="E374" s="108"/>
      <c r="F374" s="127"/>
      <c r="G374" s="128"/>
      <c r="H374" s="490">
        <f t="shared" si="172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7"/>
        <v>0</v>
      </c>
      <c r="N374" s="130">
        <f t="shared" si="178"/>
        <v>0</v>
      </c>
      <c r="O374" s="494"/>
      <c r="P374" s="494"/>
      <c r="Q374" s="494"/>
      <c r="R374" s="494"/>
      <c r="S374" s="494"/>
      <c r="T374" s="494"/>
      <c r="U374" s="494"/>
      <c r="V374" s="132">
        <f t="shared" si="179"/>
        <v>0</v>
      </c>
      <c r="W374" s="133" t="str">
        <f t="shared" si="180"/>
        <v/>
      </c>
      <c r="X374" s="132"/>
      <c r="Y374" s="132"/>
      <c r="Z374" s="132"/>
      <c r="AA374" s="132"/>
    </row>
    <row r="375" spans="1:27" ht="20.100000000000001" hidden="1" customHeight="1">
      <c r="A375" s="300">
        <v>30100013</v>
      </c>
      <c r="B375" s="489" t="s">
        <v>206</v>
      </c>
      <c r="C375" s="126" t="s">
        <v>207</v>
      </c>
      <c r="D375" s="108">
        <v>5.03</v>
      </c>
      <c r="E375" s="108"/>
      <c r="F375" s="127"/>
      <c r="G375" s="128"/>
      <c r="H375" s="490">
        <f t="shared" si="172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7"/>
        <v>0</v>
      </c>
      <c r="N375" s="130">
        <f t="shared" si="178"/>
        <v>0</v>
      </c>
      <c r="O375" s="494"/>
      <c r="P375" s="494"/>
      <c r="Q375" s="494"/>
      <c r="R375" s="494"/>
      <c r="S375" s="494"/>
      <c r="T375" s="494"/>
      <c r="U375" s="494"/>
      <c r="V375" s="132">
        <f t="shared" si="179"/>
        <v>0</v>
      </c>
      <c r="W375" s="133" t="str">
        <f t="shared" si="180"/>
        <v/>
      </c>
      <c r="X375" s="132"/>
      <c r="Y375" s="132"/>
      <c r="Z375" s="132"/>
      <c r="AA375" s="132"/>
    </row>
    <row r="376" spans="1:27" ht="20.100000000000001" hidden="1" customHeight="1">
      <c r="A376" s="300">
        <v>30100016</v>
      </c>
      <c r="B376" s="489" t="s">
        <v>414</v>
      </c>
      <c r="C376" s="187" t="s">
        <v>415</v>
      </c>
      <c r="D376" s="108"/>
      <c r="E376" s="108"/>
      <c r="F376" s="127"/>
      <c r="G376" s="128"/>
      <c r="H376" s="490">
        <f t="shared" si="172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7"/>
        <v>0</v>
      </c>
      <c r="N376" s="130"/>
      <c r="O376" s="494"/>
      <c r="P376" s="494"/>
      <c r="Q376" s="494"/>
      <c r="R376" s="494"/>
      <c r="S376" s="494"/>
      <c r="T376" s="494"/>
      <c r="U376" s="494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30100017</v>
      </c>
      <c r="B377" s="489" t="s">
        <v>414</v>
      </c>
      <c r="C377" s="187" t="s">
        <v>416</v>
      </c>
      <c r="D377" s="108"/>
      <c r="E377" s="108"/>
      <c r="F377" s="127"/>
      <c r="G377" s="128"/>
      <c r="H377" s="490">
        <f t="shared" si="172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7"/>
        <v>0</v>
      </c>
      <c r="N377" s="130"/>
      <c r="O377" s="494"/>
      <c r="P377" s="494"/>
      <c r="Q377" s="494"/>
      <c r="R377" s="494"/>
      <c r="S377" s="494"/>
      <c r="T377" s="494"/>
      <c r="U377" s="494"/>
      <c r="V377" s="132"/>
      <c r="W377" s="133"/>
      <c r="X377" s="132"/>
      <c r="Y377" s="132"/>
      <c r="Z377" s="132"/>
      <c r="AA377" s="132"/>
    </row>
    <row r="378" spans="1:27" ht="20.100000000000001" hidden="1" customHeight="1">
      <c r="A378" s="300">
        <v>30100015</v>
      </c>
      <c r="B378" s="489" t="s">
        <v>414</v>
      </c>
      <c r="C378" s="187" t="s">
        <v>61</v>
      </c>
      <c r="D378" s="108"/>
      <c r="E378" s="108"/>
      <c r="F378" s="127"/>
      <c r="G378" s="128"/>
      <c r="H378" s="490">
        <f t="shared" si="172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7"/>
        <v>0</v>
      </c>
      <c r="N378" s="130"/>
      <c r="O378" s="494"/>
      <c r="P378" s="494"/>
      <c r="Q378" s="494"/>
      <c r="R378" s="494"/>
      <c r="S378" s="494"/>
      <c r="T378" s="494"/>
      <c r="U378" s="494"/>
      <c r="V378" s="132"/>
      <c r="W378" s="133"/>
      <c r="X378" s="132"/>
      <c r="Y378" s="132"/>
      <c r="Z378" s="132"/>
      <c r="AA378" s="132"/>
    </row>
    <row r="379" spans="1:27" ht="20.100000000000001" hidden="1" customHeight="1">
      <c r="A379" s="300">
        <v>30100027</v>
      </c>
      <c r="B379" s="489" t="s">
        <v>208</v>
      </c>
      <c r="C379" s="126" t="s">
        <v>179</v>
      </c>
      <c r="D379" s="108">
        <v>5.08</v>
      </c>
      <c r="E379" s="108"/>
      <c r="F379" s="127"/>
      <c r="G379" s="128"/>
      <c r="H379" s="490">
        <f t="shared" si="172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7"/>
        <v>0</v>
      </c>
      <c r="N379" s="130">
        <f t="shared" ref="N379:N394" si="181">SUM(O379:U379)</f>
        <v>0</v>
      </c>
      <c r="O379" s="494"/>
      <c r="P379" s="494"/>
      <c r="Q379" s="494"/>
      <c r="R379" s="494"/>
      <c r="S379" s="494"/>
      <c r="T379" s="494"/>
      <c r="U379" s="494"/>
      <c r="V379" s="132">
        <f t="shared" ref="V379:V390" si="182">SUM(X379:AA379)</f>
        <v>0</v>
      </c>
      <c r="W379" s="133" t="str">
        <f t="shared" ref="W379:W390" si="183">IF(ISERROR(V379/G379),"",V379/G379)</f>
        <v/>
      </c>
      <c r="X379" s="132"/>
      <c r="Y379" s="132"/>
      <c r="Z379" s="132"/>
      <c r="AA379" s="132"/>
    </row>
    <row r="380" spans="1:27" ht="20.100000000000001" hidden="1" customHeight="1">
      <c r="A380" s="300">
        <v>30100023</v>
      </c>
      <c r="B380" s="489" t="s">
        <v>208</v>
      </c>
      <c r="C380" s="126" t="s">
        <v>204</v>
      </c>
      <c r="D380" s="108">
        <v>5.08</v>
      </c>
      <c r="E380" s="108"/>
      <c r="F380" s="127"/>
      <c r="G380" s="128"/>
      <c r="H380" s="490">
        <f t="shared" si="172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7"/>
        <v>0</v>
      </c>
      <c r="N380" s="130">
        <f t="shared" si="181"/>
        <v>0</v>
      </c>
      <c r="O380" s="494"/>
      <c r="P380" s="494"/>
      <c r="Q380" s="494"/>
      <c r="R380" s="494"/>
      <c r="S380" s="494"/>
      <c r="T380" s="494"/>
      <c r="U380" s="494"/>
      <c r="V380" s="132">
        <f t="shared" si="182"/>
        <v>0</v>
      </c>
      <c r="W380" s="133" t="str">
        <f t="shared" si="183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30100024</v>
      </c>
      <c r="B381" s="489" t="s">
        <v>208</v>
      </c>
      <c r="C381" s="126" t="s">
        <v>205</v>
      </c>
      <c r="D381" s="108">
        <v>5.08</v>
      </c>
      <c r="E381" s="108"/>
      <c r="F381" s="127"/>
      <c r="G381" s="128"/>
      <c r="H381" s="490">
        <f t="shared" si="172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7"/>
        <v>0</v>
      </c>
      <c r="N381" s="130">
        <f t="shared" si="181"/>
        <v>0</v>
      </c>
      <c r="O381" s="494"/>
      <c r="P381" s="494"/>
      <c r="Q381" s="494"/>
      <c r="R381" s="494"/>
      <c r="S381" s="494"/>
      <c r="T381" s="494"/>
      <c r="U381" s="494"/>
      <c r="V381" s="132">
        <f t="shared" si="182"/>
        <v>0</v>
      </c>
      <c r="W381" s="133" t="str">
        <f t="shared" si="183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30100022</v>
      </c>
      <c r="B382" s="489" t="s">
        <v>208</v>
      </c>
      <c r="C382" s="126" t="s">
        <v>186</v>
      </c>
      <c r="D382" s="108">
        <v>5.08</v>
      </c>
      <c r="E382" s="108"/>
      <c r="F382" s="127"/>
      <c r="G382" s="128"/>
      <c r="H382" s="490">
        <f t="shared" si="172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7"/>
        <v>0</v>
      </c>
      <c r="N382" s="130">
        <f t="shared" si="181"/>
        <v>0</v>
      </c>
      <c r="O382" s="494"/>
      <c r="P382" s="494"/>
      <c r="Q382" s="494"/>
      <c r="R382" s="494"/>
      <c r="S382" s="494"/>
      <c r="T382" s="494"/>
      <c r="U382" s="494"/>
      <c r="V382" s="132">
        <f t="shared" si="182"/>
        <v>0</v>
      </c>
      <c r="W382" s="133" t="str">
        <f t="shared" si="183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30100029</v>
      </c>
      <c r="B383" s="489" t="s">
        <v>208</v>
      </c>
      <c r="C383" s="126" t="s">
        <v>203</v>
      </c>
      <c r="D383" s="108">
        <v>5.08</v>
      </c>
      <c r="E383" s="108"/>
      <c r="F383" s="127"/>
      <c r="G383" s="128"/>
      <c r="H383" s="490">
        <f t="shared" si="172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7"/>
        <v>0</v>
      </c>
      <c r="N383" s="130">
        <f t="shared" si="181"/>
        <v>0</v>
      </c>
      <c r="O383" s="494"/>
      <c r="P383" s="494"/>
      <c r="Q383" s="494"/>
      <c r="R383" s="494"/>
      <c r="S383" s="494"/>
      <c r="T383" s="494"/>
      <c r="U383" s="494"/>
      <c r="V383" s="132">
        <f t="shared" si="182"/>
        <v>0</v>
      </c>
      <c r="W383" s="133" t="str">
        <f t="shared" si="183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30100026</v>
      </c>
      <c r="B384" s="489" t="s">
        <v>208</v>
      </c>
      <c r="C384" s="126" t="s">
        <v>199</v>
      </c>
      <c r="D384" s="108">
        <v>5.08</v>
      </c>
      <c r="E384" s="108"/>
      <c r="F384" s="127"/>
      <c r="G384" s="128"/>
      <c r="H384" s="490">
        <f t="shared" si="172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7"/>
        <v>0</v>
      </c>
      <c r="N384" s="130">
        <f t="shared" si="181"/>
        <v>0</v>
      </c>
      <c r="O384" s="498"/>
      <c r="P384" s="498"/>
      <c r="Q384" s="498"/>
      <c r="R384" s="498"/>
      <c r="S384" s="498"/>
      <c r="T384" s="498"/>
      <c r="U384" s="498"/>
      <c r="V384" s="132">
        <f t="shared" si="182"/>
        <v>0</v>
      </c>
      <c r="W384" s="133" t="str">
        <f t="shared" si="183"/>
        <v/>
      </c>
      <c r="X384" s="132"/>
      <c r="Y384" s="132"/>
      <c r="Z384" s="132"/>
      <c r="AA384" s="132"/>
    </row>
    <row r="385" spans="1:27" ht="20.100000000000001" hidden="1" customHeight="1">
      <c r="A385" s="300">
        <v>30100025</v>
      </c>
      <c r="B385" s="489" t="s">
        <v>208</v>
      </c>
      <c r="C385" s="126" t="s">
        <v>187</v>
      </c>
      <c r="D385" s="108">
        <v>5.08</v>
      </c>
      <c r="E385" s="108"/>
      <c r="F385" s="127"/>
      <c r="G385" s="128"/>
      <c r="H385" s="490">
        <f t="shared" si="172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7"/>
        <v>0</v>
      </c>
      <c r="N385" s="130">
        <f t="shared" si="181"/>
        <v>0</v>
      </c>
      <c r="O385" s="494"/>
      <c r="P385" s="494"/>
      <c r="Q385" s="494"/>
      <c r="R385" s="494"/>
      <c r="S385" s="494"/>
      <c r="T385" s="494"/>
      <c r="U385" s="494"/>
      <c r="V385" s="132">
        <f t="shared" si="182"/>
        <v>0</v>
      </c>
      <c r="W385" s="133" t="str">
        <f t="shared" si="183"/>
        <v/>
      </c>
      <c r="X385" s="132"/>
      <c r="Y385" s="132"/>
      <c r="Z385" s="132"/>
      <c r="AA385" s="132"/>
    </row>
    <row r="386" spans="1:27" ht="20.100000000000001" hidden="1" customHeight="1">
      <c r="A386" s="300">
        <v>30100028</v>
      </c>
      <c r="B386" s="489" t="s">
        <v>208</v>
      </c>
      <c r="C386" s="126" t="s">
        <v>207</v>
      </c>
      <c r="D386" s="108">
        <v>5.08</v>
      </c>
      <c r="E386" s="108"/>
      <c r="F386" s="127"/>
      <c r="G386" s="128"/>
      <c r="H386" s="490">
        <f t="shared" si="172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7"/>
        <v>0</v>
      </c>
      <c r="N386" s="130">
        <f t="shared" si="181"/>
        <v>0</v>
      </c>
      <c r="O386" s="498"/>
      <c r="P386" s="498"/>
      <c r="Q386" s="498"/>
      <c r="R386" s="498"/>
      <c r="S386" s="498"/>
      <c r="T386" s="498"/>
      <c r="U386" s="498"/>
      <c r="V386" s="132">
        <f t="shared" si="182"/>
        <v>0</v>
      </c>
      <c r="W386" s="133" t="str">
        <f t="shared" si="183"/>
        <v/>
      </c>
      <c r="X386" s="132"/>
      <c r="Y386" s="132"/>
      <c r="Z386" s="132"/>
      <c r="AA386" s="132"/>
    </row>
    <row r="387" spans="1:27" ht="20.100000000000001" hidden="1" customHeight="1">
      <c r="A387" s="300">
        <v>30100032</v>
      </c>
      <c r="B387" s="489" t="s">
        <v>209</v>
      </c>
      <c r="C387" s="126" t="s">
        <v>194</v>
      </c>
      <c r="D387" s="108">
        <v>5.03</v>
      </c>
      <c r="E387" s="108"/>
      <c r="F387" s="127"/>
      <c r="G387" s="128"/>
      <c r="H387" s="490">
        <f t="shared" si="172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7"/>
        <v>0</v>
      </c>
      <c r="N387" s="130">
        <f t="shared" si="181"/>
        <v>0</v>
      </c>
      <c r="O387" s="494"/>
      <c r="P387" s="494"/>
      <c r="Q387" s="494"/>
      <c r="R387" s="494"/>
      <c r="S387" s="494"/>
      <c r="T387" s="494"/>
      <c r="U387" s="494"/>
      <c r="V387" s="132">
        <f t="shared" si="182"/>
        <v>0</v>
      </c>
      <c r="W387" s="133" t="str">
        <f t="shared" si="183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30100033</v>
      </c>
      <c r="B388" s="489" t="s">
        <v>209</v>
      </c>
      <c r="C388" s="126" t="s">
        <v>179</v>
      </c>
      <c r="D388" s="108">
        <v>5.03</v>
      </c>
      <c r="E388" s="108"/>
      <c r="F388" s="127"/>
      <c r="G388" s="128"/>
      <c r="H388" s="490">
        <f t="shared" si="172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7"/>
        <v>0</v>
      </c>
      <c r="N388" s="130">
        <f t="shared" si="181"/>
        <v>0</v>
      </c>
      <c r="O388" s="494"/>
      <c r="P388" s="494"/>
      <c r="Q388" s="494"/>
      <c r="R388" s="494"/>
      <c r="S388" s="494"/>
      <c r="T388" s="494"/>
      <c r="U388" s="494"/>
      <c r="V388" s="132">
        <f t="shared" si="182"/>
        <v>0</v>
      </c>
      <c r="W388" s="133" t="str">
        <f t="shared" si="183"/>
        <v/>
      </c>
      <c r="X388" s="132"/>
      <c r="Y388" s="132"/>
      <c r="Z388" s="132"/>
      <c r="AA388" s="132"/>
    </row>
    <row r="389" spans="1:27" ht="20.100000000000001" hidden="1" customHeight="1">
      <c r="A389" s="300">
        <v>30100062</v>
      </c>
      <c r="B389" s="489" t="s">
        <v>209</v>
      </c>
      <c r="C389" s="126" t="s">
        <v>195</v>
      </c>
      <c r="D389" s="108">
        <v>5.03</v>
      </c>
      <c r="E389" s="108"/>
      <c r="F389" s="127"/>
      <c r="G389" s="128"/>
      <c r="H389" s="490">
        <f t="shared" si="172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7"/>
        <v>0</v>
      </c>
      <c r="N389" s="130">
        <f t="shared" si="181"/>
        <v>0</v>
      </c>
      <c r="O389" s="494"/>
      <c r="P389" s="494"/>
      <c r="Q389" s="494"/>
      <c r="R389" s="494"/>
      <c r="S389" s="494"/>
      <c r="T389" s="494"/>
      <c r="U389" s="494"/>
      <c r="V389" s="132">
        <f t="shared" si="182"/>
        <v>0</v>
      </c>
      <c r="W389" s="133" t="str">
        <f t="shared" si="183"/>
        <v/>
      </c>
      <c r="X389" s="132"/>
      <c r="Y389" s="132"/>
      <c r="Z389" s="132"/>
      <c r="AA389" s="132"/>
    </row>
    <row r="390" spans="1:27" ht="20.100000000000001" hidden="1" customHeight="1">
      <c r="A390" s="300">
        <v>30100031</v>
      </c>
      <c r="B390" s="489" t="s">
        <v>209</v>
      </c>
      <c r="C390" s="126" t="s">
        <v>204</v>
      </c>
      <c r="D390" s="108">
        <v>5.03</v>
      </c>
      <c r="E390" s="108"/>
      <c r="F390" s="127"/>
      <c r="G390" s="128"/>
      <c r="H390" s="490">
        <f t="shared" si="172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7"/>
        <v>0</v>
      </c>
      <c r="N390" s="130">
        <f t="shared" si="181"/>
        <v>0</v>
      </c>
      <c r="O390" s="494"/>
      <c r="P390" s="494"/>
      <c r="Q390" s="494"/>
      <c r="R390" s="494"/>
      <c r="S390" s="494"/>
      <c r="T390" s="494"/>
      <c r="U390" s="494"/>
      <c r="V390" s="132">
        <f t="shared" si="182"/>
        <v>0</v>
      </c>
      <c r="W390" s="133" t="str">
        <f t="shared" si="183"/>
        <v/>
      </c>
      <c r="X390" s="132"/>
      <c r="Y390" s="132"/>
      <c r="Z390" s="132"/>
      <c r="AA390" s="132"/>
    </row>
    <row r="391" spans="1:27" ht="20.100000000000001" hidden="1" customHeight="1">
      <c r="A391" s="300">
        <v>30100019</v>
      </c>
      <c r="B391" s="489" t="s">
        <v>382</v>
      </c>
      <c r="C391" s="187" t="s">
        <v>383</v>
      </c>
      <c r="D391" s="108">
        <v>5.03</v>
      </c>
      <c r="E391" s="108"/>
      <c r="F391" s="127"/>
      <c r="G391" s="128"/>
      <c r="H391" s="490">
        <f t="shared" si="172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7"/>
        <v>0</v>
      </c>
      <c r="N391" s="130">
        <f t="shared" si="181"/>
        <v>0</v>
      </c>
      <c r="O391" s="494"/>
      <c r="P391" s="494"/>
      <c r="Q391" s="494"/>
      <c r="R391" s="494"/>
      <c r="S391" s="494"/>
      <c r="T391" s="494"/>
      <c r="U391" s="494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30100020</v>
      </c>
      <c r="B392" s="489" t="s">
        <v>382</v>
      </c>
      <c r="C392" s="187" t="s">
        <v>384</v>
      </c>
      <c r="D392" s="108">
        <v>5.03</v>
      </c>
      <c r="E392" s="108"/>
      <c r="F392" s="127"/>
      <c r="G392" s="128"/>
      <c r="H392" s="490">
        <f t="shared" si="172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7"/>
        <v>0</v>
      </c>
      <c r="N392" s="130">
        <f t="shared" si="181"/>
        <v>0</v>
      </c>
      <c r="O392" s="494"/>
      <c r="P392" s="494"/>
      <c r="Q392" s="494"/>
      <c r="R392" s="494"/>
      <c r="S392" s="494"/>
      <c r="T392" s="494"/>
      <c r="U392" s="494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0">
        <v>30100021</v>
      </c>
      <c r="B393" s="489" t="s">
        <v>382</v>
      </c>
      <c r="C393" s="187" t="s">
        <v>389</v>
      </c>
      <c r="D393" s="108">
        <v>5.03</v>
      </c>
      <c r="E393" s="108"/>
      <c r="F393" s="127"/>
      <c r="G393" s="128"/>
      <c r="H393" s="490">
        <f t="shared" si="172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7"/>
        <v>0</v>
      </c>
      <c r="N393" s="130">
        <f t="shared" si="181"/>
        <v>0</v>
      </c>
      <c r="O393" s="494"/>
      <c r="P393" s="494"/>
      <c r="Q393" s="494"/>
      <c r="R393" s="494"/>
      <c r="S393" s="494"/>
      <c r="T393" s="494"/>
      <c r="U393" s="494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0">
        <v>30100018</v>
      </c>
      <c r="B394" s="489" t="s">
        <v>382</v>
      </c>
      <c r="C394" s="187" t="s">
        <v>391</v>
      </c>
      <c r="D394" s="108">
        <v>5.03</v>
      </c>
      <c r="E394" s="108"/>
      <c r="F394" s="127"/>
      <c r="G394" s="128"/>
      <c r="H394" s="490">
        <f t="shared" si="172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7"/>
        <v>0</v>
      </c>
      <c r="N394" s="130">
        <f t="shared" si="181"/>
        <v>0</v>
      </c>
      <c r="O394" s="494"/>
      <c r="P394" s="494"/>
      <c r="Q394" s="494"/>
      <c r="R394" s="494"/>
      <c r="S394" s="494"/>
      <c r="T394" s="494"/>
      <c r="U394" s="494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30700007</v>
      </c>
      <c r="B395" s="489" t="s">
        <v>418</v>
      </c>
      <c r="C395" s="187" t="s">
        <v>364</v>
      </c>
      <c r="D395" s="108">
        <v>5.03</v>
      </c>
      <c r="E395" s="108"/>
      <c r="F395" s="127"/>
      <c r="G395" s="128"/>
      <c r="H395" s="490">
        <f t="shared" si="172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7"/>
        <v>0</v>
      </c>
      <c r="N395" s="130"/>
      <c r="O395" s="494"/>
      <c r="P395" s="494"/>
      <c r="Q395" s="494"/>
      <c r="R395" s="494"/>
      <c r="S395" s="494"/>
      <c r="T395" s="494"/>
      <c r="U395" s="494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30700006</v>
      </c>
      <c r="B396" s="489" t="s">
        <v>418</v>
      </c>
      <c r="C396" s="187" t="s">
        <v>365</v>
      </c>
      <c r="D396" s="108">
        <v>5.03</v>
      </c>
      <c r="E396" s="108"/>
      <c r="F396" s="127"/>
      <c r="G396" s="128"/>
      <c r="H396" s="490">
        <f t="shared" si="172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7"/>
        <v>0</v>
      </c>
      <c r="N396" s="130"/>
      <c r="O396" s="494"/>
      <c r="P396" s="494"/>
      <c r="Q396" s="494"/>
      <c r="R396" s="494"/>
      <c r="S396" s="494"/>
      <c r="T396" s="494"/>
      <c r="U396" s="494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3">
        <v>30700008</v>
      </c>
      <c r="B397" s="489" t="s">
        <v>418</v>
      </c>
      <c r="C397" s="187" t="s">
        <v>366</v>
      </c>
      <c r="D397" s="108">
        <v>5.03</v>
      </c>
      <c r="E397" s="108"/>
      <c r="F397" s="127"/>
      <c r="G397" s="128"/>
      <c r="H397" s="490">
        <f t="shared" si="172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7"/>
        <v>0</v>
      </c>
      <c r="N397" s="130"/>
      <c r="O397" s="494"/>
      <c r="P397" s="494"/>
      <c r="Q397" s="494"/>
      <c r="R397" s="494"/>
      <c r="S397" s="494"/>
      <c r="T397" s="494"/>
      <c r="U397" s="494"/>
      <c r="V397" s="132"/>
      <c r="W397" s="133"/>
      <c r="X397" s="132"/>
      <c r="Y397" s="132"/>
      <c r="Z397" s="132"/>
      <c r="AA397" s="132"/>
    </row>
    <row r="398" spans="1:27" ht="20.100000000000001" hidden="1" customHeight="1">
      <c r="A398" s="303">
        <v>30700009</v>
      </c>
      <c r="B398" s="489" t="s">
        <v>418</v>
      </c>
      <c r="C398" s="187" t="s">
        <v>367</v>
      </c>
      <c r="D398" s="108">
        <v>5.03</v>
      </c>
      <c r="E398" s="108"/>
      <c r="F398" s="127"/>
      <c r="G398" s="128"/>
      <c r="H398" s="490">
        <f t="shared" si="172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7"/>
        <v>0</v>
      </c>
      <c r="N398" s="130"/>
      <c r="O398" s="494"/>
      <c r="P398" s="494"/>
      <c r="Q398" s="494"/>
      <c r="R398" s="494"/>
      <c r="S398" s="494"/>
      <c r="T398" s="494"/>
      <c r="U398" s="494"/>
      <c r="V398" s="132"/>
      <c r="W398" s="133"/>
      <c r="X398" s="132"/>
      <c r="Y398" s="132"/>
      <c r="Z398" s="132"/>
      <c r="AA398" s="132"/>
    </row>
    <row r="399" spans="1:27" ht="20.100000000000001" hidden="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28"/>
      <c r="H399" s="490">
        <f t="shared" si="172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7"/>
        <v>0</v>
      </c>
      <c r="N399" s="130">
        <f t="shared" ref="N399:N408" si="184">SUM(O399:U399)</f>
        <v>0</v>
      </c>
      <c r="O399" s="498"/>
      <c r="P399" s="498"/>
      <c r="Q399" s="498"/>
      <c r="R399" s="498"/>
      <c r="S399" s="498"/>
      <c r="T399" s="498"/>
      <c r="U399" s="498"/>
      <c r="V399" s="132">
        <f t="shared" ref="V399:V408" si="185">SUM(X399:AA399)</f>
        <v>0</v>
      </c>
      <c r="W399" s="133" t="str">
        <f t="shared" ref="W399:W408" si="186">IF(ISERROR(V399/G399),"",V399/G399)</f>
        <v/>
      </c>
      <c r="X399" s="132"/>
      <c r="Y399" s="132"/>
      <c r="Z399" s="132"/>
      <c r="AA399" s="132"/>
    </row>
    <row r="400" spans="1:27" ht="20.100000000000001" hidden="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28"/>
      <c r="H400" s="490">
        <f t="shared" si="172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77"/>
        <v>0</v>
      </c>
      <c r="N400" s="130">
        <f t="shared" si="184"/>
        <v>0</v>
      </c>
      <c r="O400" s="498"/>
      <c r="P400" s="498"/>
      <c r="Q400" s="498"/>
      <c r="R400" s="498"/>
      <c r="S400" s="498"/>
      <c r="T400" s="498"/>
      <c r="U400" s="498"/>
      <c r="V400" s="132">
        <f t="shared" si="185"/>
        <v>0</v>
      </c>
      <c r="W400" s="133" t="str">
        <f t="shared" si="186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28"/>
      <c r="H401" s="490">
        <f t="shared" si="172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77"/>
        <v>0</v>
      </c>
      <c r="N401" s="130">
        <f t="shared" si="184"/>
        <v>0</v>
      </c>
      <c r="O401" s="498"/>
      <c r="P401" s="498"/>
      <c r="Q401" s="498"/>
      <c r="R401" s="498"/>
      <c r="S401" s="498"/>
      <c r="T401" s="498"/>
      <c r="U401" s="498"/>
      <c r="V401" s="132">
        <f t="shared" si="185"/>
        <v>0</v>
      </c>
      <c r="W401" s="133" t="str">
        <f t="shared" si="186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28"/>
      <c r="H402" s="490">
        <f t="shared" si="172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7"/>
        <v>0</v>
      </c>
      <c r="N402" s="130">
        <f t="shared" si="184"/>
        <v>0</v>
      </c>
      <c r="O402" s="498"/>
      <c r="P402" s="498"/>
      <c r="Q402" s="498"/>
      <c r="R402" s="498"/>
      <c r="S402" s="498"/>
      <c r="T402" s="498"/>
      <c r="U402" s="498"/>
      <c r="V402" s="132">
        <f t="shared" si="185"/>
        <v>0</v>
      </c>
      <c r="W402" s="133" t="str">
        <f t="shared" si="186"/>
        <v/>
      </c>
      <c r="X402" s="132"/>
      <c r="Y402" s="132"/>
      <c r="Z402" s="132"/>
      <c r="AA402" s="132"/>
    </row>
    <row r="403" spans="1:27" ht="20.100000000000001" hidden="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28"/>
      <c r="H403" s="490">
        <f t="shared" si="172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7"/>
        <v>0</v>
      </c>
      <c r="N403" s="130">
        <f t="shared" si="184"/>
        <v>0</v>
      </c>
      <c r="O403" s="498"/>
      <c r="P403" s="498"/>
      <c r="Q403" s="498"/>
      <c r="R403" s="498"/>
      <c r="S403" s="498"/>
      <c r="T403" s="498"/>
      <c r="U403" s="498"/>
      <c r="V403" s="132">
        <f t="shared" si="185"/>
        <v>0</v>
      </c>
      <c r="W403" s="133" t="str">
        <f t="shared" si="186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28"/>
      <c r="H404" s="490">
        <f t="shared" si="172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7"/>
        <v>0</v>
      </c>
      <c r="N404" s="130">
        <f t="shared" si="184"/>
        <v>0</v>
      </c>
      <c r="O404" s="498"/>
      <c r="P404" s="498"/>
      <c r="Q404" s="498"/>
      <c r="R404" s="498"/>
      <c r="S404" s="498"/>
      <c r="T404" s="498"/>
      <c r="U404" s="498"/>
      <c r="V404" s="132">
        <f t="shared" si="185"/>
        <v>0</v>
      </c>
      <c r="W404" s="133" t="str">
        <f t="shared" si="186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28"/>
      <c r="H405" s="490">
        <f t="shared" si="172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7"/>
        <v>0</v>
      </c>
      <c r="N405" s="130">
        <f t="shared" si="184"/>
        <v>0</v>
      </c>
      <c r="O405" s="498"/>
      <c r="P405" s="498"/>
      <c r="Q405" s="498"/>
      <c r="R405" s="498"/>
      <c r="S405" s="498"/>
      <c r="T405" s="498"/>
      <c r="U405" s="498"/>
      <c r="V405" s="132">
        <f t="shared" si="185"/>
        <v>0</v>
      </c>
      <c r="W405" s="133" t="str">
        <f t="shared" si="186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28"/>
      <c r="H406" s="490">
        <f t="shared" si="172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7"/>
        <v>0</v>
      </c>
      <c r="N406" s="130">
        <f t="shared" si="184"/>
        <v>0</v>
      </c>
      <c r="O406" s="498"/>
      <c r="P406" s="498"/>
      <c r="Q406" s="498"/>
      <c r="R406" s="498"/>
      <c r="S406" s="498"/>
      <c r="T406" s="498"/>
      <c r="U406" s="498"/>
      <c r="V406" s="132">
        <f t="shared" si="185"/>
        <v>0</v>
      </c>
      <c r="W406" s="133" t="str">
        <f t="shared" si="186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28"/>
      <c r="H407" s="490">
        <f t="shared" si="172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77"/>
        <v>0</v>
      </c>
      <c r="N407" s="130">
        <f t="shared" si="184"/>
        <v>0</v>
      </c>
      <c r="O407" s="498"/>
      <c r="P407" s="498"/>
      <c r="Q407" s="498"/>
      <c r="R407" s="498"/>
      <c r="S407" s="498"/>
      <c r="T407" s="498"/>
      <c r="U407" s="498"/>
      <c r="V407" s="132">
        <f t="shared" si="185"/>
        <v>0</v>
      </c>
      <c r="W407" s="133" t="str">
        <f t="shared" si="186"/>
        <v/>
      </c>
      <c r="X407" s="132"/>
      <c r="Y407" s="132"/>
      <c r="Z407" s="132"/>
      <c r="AA407" s="132"/>
    </row>
    <row r="408" spans="1:27" ht="20.100000000000001" hidden="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28"/>
      <c r="H408" s="490">
        <f t="shared" si="172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77"/>
        <v>0</v>
      </c>
      <c r="N408" s="130">
        <f t="shared" si="184"/>
        <v>0</v>
      </c>
      <c r="O408" s="498"/>
      <c r="P408" s="498"/>
      <c r="Q408" s="498"/>
      <c r="R408" s="498"/>
      <c r="S408" s="498"/>
      <c r="T408" s="498"/>
      <c r="U408" s="498"/>
      <c r="V408" s="132">
        <f t="shared" si="185"/>
        <v>0</v>
      </c>
      <c r="W408" s="133" t="str">
        <f t="shared" si="186"/>
        <v/>
      </c>
      <c r="X408" s="132"/>
      <c r="Y408" s="132"/>
      <c r="Z408" s="132"/>
      <c r="AA408" s="132"/>
    </row>
    <row r="409" spans="1:27" ht="20.100000000000001" hidden="1" customHeight="1">
      <c r="A409" s="300">
        <v>30100043</v>
      </c>
      <c r="B409" s="134" t="s">
        <v>429</v>
      </c>
      <c r="C409" s="187" t="s">
        <v>427</v>
      </c>
      <c r="D409" s="108">
        <v>50.3</v>
      </c>
      <c r="E409" s="108"/>
      <c r="F409" s="127"/>
      <c r="G409" s="128"/>
      <c r="H409" s="490">
        <f t="shared" si="172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498"/>
      <c r="P409" s="498"/>
      <c r="Q409" s="498"/>
      <c r="R409" s="498"/>
      <c r="S409" s="498"/>
      <c r="T409" s="498"/>
      <c r="U409" s="498"/>
      <c r="V409" s="132"/>
      <c r="W409" s="133"/>
      <c r="X409" s="132"/>
      <c r="Y409" s="132"/>
      <c r="Z409" s="132"/>
      <c r="AA409" s="132"/>
    </row>
    <row r="410" spans="1:27" ht="20.100000000000001" hidden="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28"/>
      <c r="H410" s="490">
        <f t="shared" si="172"/>
        <v>0</v>
      </c>
      <c r="I410" s="129"/>
      <c r="J410" s="130"/>
      <c r="K410" s="131"/>
      <c r="L410" s="129">
        <v>50</v>
      </c>
      <c r="M410" s="109"/>
      <c r="N410" s="130"/>
      <c r="O410" s="498"/>
      <c r="P410" s="498"/>
      <c r="Q410" s="498"/>
      <c r="R410" s="498"/>
      <c r="S410" s="498"/>
      <c r="T410" s="498"/>
      <c r="U410" s="498"/>
      <c r="V410" s="132"/>
      <c r="W410" s="133"/>
      <c r="X410" s="132"/>
      <c r="Y410" s="132"/>
      <c r="Z410" s="132"/>
      <c r="AA410" s="132"/>
    </row>
    <row r="411" spans="1:27" ht="20.100000000000001" hidden="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28"/>
      <c r="H411" s="490">
        <f t="shared" si="172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7">IF(ISERROR(I411-K411),"",I411-K411)</f>
        <v>0</v>
      </c>
      <c r="N411" s="130">
        <f t="shared" ref="N411:N412" si="188">SUM(O411:U411)</f>
        <v>0</v>
      </c>
      <c r="O411" s="498"/>
      <c r="P411" s="498"/>
      <c r="Q411" s="498"/>
      <c r="R411" s="498"/>
      <c r="S411" s="498"/>
      <c r="T411" s="498"/>
      <c r="U411" s="498"/>
      <c r="V411" s="132">
        <f t="shared" ref="V411:V412" si="189">SUM(X411:AA411)</f>
        <v>0</v>
      </c>
      <c r="W411" s="133" t="str">
        <f t="shared" ref="W411:W412" si="190">IF(ISERROR(V411/G411),"",V411/G411)</f>
        <v/>
      </c>
      <c r="X411" s="132"/>
      <c r="Y411" s="132"/>
      <c r="Z411" s="132"/>
      <c r="AA411" s="132"/>
    </row>
    <row r="412" spans="1:27" ht="20.100000000000001" hidden="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28"/>
      <c r="H412" s="490">
        <f t="shared" si="172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7"/>
        <v>0</v>
      </c>
      <c r="N412" s="130">
        <f t="shared" si="188"/>
        <v>0</v>
      </c>
      <c r="O412" s="498"/>
      <c r="P412" s="498"/>
      <c r="Q412" s="498"/>
      <c r="R412" s="498"/>
      <c r="S412" s="498"/>
      <c r="T412" s="498"/>
      <c r="U412" s="498"/>
      <c r="V412" s="132">
        <f t="shared" si="189"/>
        <v>0</v>
      </c>
      <c r="W412" s="133" t="str">
        <f t="shared" si="190"/>
        <v/>
      </c>
      <c r="X412" s="132"/>
      <c r="Y412" s="132"/>
      <c r="Z412" s="132"/>
      <c r="AA412" s="132"/>
    </row>
    <row r="413" spans="1:27" ht="20.100000000000001" hidden="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28"/>
      <c r="H413" s="490">
        <f t="shared" si="172"/>
        <v>0</v>
      </c>
      <c r="I413" s="129"/>
      <c r="J413" s="130"/>
      <c r="K413" s="131"/>
      <c r="L413" s="129"/>
      <c r="M413" s="109"/>
      <c r="N413" s="130"/>
      <c r="O413" s="498"/>
      <c r="P413" s="498"/>
      <c r="Q413" s="498"/>
      <c r="R413" s="498"/>
      <c r="S413" s="498"/>
      <c r="T413" s="498"/>
      <c r="U413" s="498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28"/>
      <c r="H414" s="490">
        <f t="shared" si="172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91">IF(ISERROR(I414-K414),"",I414-K414)</f>
        <v/>
      </c>
      <c r="N414" s="130">
        <f t="shared" ref="N414:N417" si="192">SUM(O414:U414)</f>
        <v>0</v>
      </c>
      <c r="O414" s="498"/>
      <c r="P414" s="498"/>
      <c r="Q414" s="498"/>
      <c r="R414" s="498"/>
      <c r="S414" s="498"/>
      <c r="T414" s="498"/>
      <c r="U414" s="498"/>
      <c r="V414" s="132">
        <f t="shared" ref="V414:V417" si="193">SUM(X414:AA414)</f>
        <v>0</v>
      </c>
      <c r="W414" s="133" t="str">
        <f t="shared" ref="W414:W417" si="194">IF(ISERROR(V414/G414),"",V414/G414)</f>
        <v/>
      </c>
      <c r="X414" s="132"/>
      <c r="Y414" s="132"/>
      <c r="Z414" s="132"/>
      <c r="AA414" s="132"/>
    </row>
    <row r="415" spans="1:27" ht="20.100000000000001" hidden="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28"/>
      <c r="H415" s="490">
        <f t="shared" si="172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1"/>
        <v/>
      </c>
      <c r="N415" s="130">
        <f t="shared" si="192"/>
        <v>0</v>
      </c>
      <c r="O415" s="498"/>
      <c r="P415" s="498"/>
      <c r="Q415" s="498"/>
      <c r="R415" s="498"/>
      <c r="S415" s="498"/>
      <c r="T415" s="498"/>
      <c r="U415" s="498"/>
      <c r="V415" s="132">
        <f t="shared" si="193"/>
        <v>0</v>
      </c>
      <c r="W415" s="133" t="str">
        <f t="shared" si="194"/>
        <v/>
      </c>
      <c r="X415" s="132"/>
      <c r="Y415" s="132"/>
      <c r="Z415" s="132"/>
      <c r="AA415" s="132"/>
    </row>
    <row r="416" spans="1:27" ht="20.100000000000001" hidden="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28"/>
      <c r="H416" s="490">
        <f t="shared" si="172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91"/>
        <v/>
      </c>
      <c r="N416" s="130">
        <f t="shared" si="192"/>
        <v>0</v>
      </c>
      <c r="O416" s="498"/>
      <c r="P416" s="498"/>
      <c r="Q416" s="498"/>
      <c r="R416" s="498"/>
      <c r="S416" s="498"/>
      <c r="T416" s="498"/>
      <c r="U416" s="498"/>
      <c r="V416" s="132">
        <f t="shared" si="193"/>
        <v>0</v>
      </c>
      <c r="W416" s="133" t="str">
        <f t="shared" si="194"/>
        <v/>
      </c>
      <c r="X416" s="132"/>
      <c r="Y416" s="132"/>
      <c r="Z416" s="132"/>
      <c r="AA416" s="132"/>
    </row>
    <row r="417" spans="1:27" ht="20.100000000000001" hidden="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28"/>
      <c r="H417" s="490">
        <f t="shared" si="172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91"/>
        <v/>
      </c>
      <c r="N417" s="130">
        <f t="shared" si="192"/>
        <v>0</v>
      </c>
      <c r="O417" s="498"/>
      <c r="P417" s="498"/>
      <c r="Q417" s="498"/>
      <c r="R417" s="498"/>
      <c r="S417" s="498"/>
      <c r="T417" s="498"/>
      <c r="U417" s="498"/>
      <c r="V417" s="132">
        <f t="shared" si="193"/>
        <v>0</v>
      </c>
      <c r="W417" s="133" t="str">
        <f t="shared" si="194"/>
        <v/>
      </c>
      <c r="X417" s="132"/>
      <c r="Y417" s="132"/>
      <c r="Z417" s="132"/>
      <c r="AA417" s="132"/>
    </row>
    <row r="418" spans="1:27" ht="20.100000000000001" hidden="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28"/>
      <c r="H418" s="490">
        <f t="shared" si="172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1"/>
        <v>0</v>
      </c>
      <c r="N418" s="130"/>
      <c r="O418" s="498"/>
      <c r="P418" s="498"/>
      <c r="Q418" s="498"/>
      <c r="R418" s="498"/>
      <c r="S418" s="498"/>
      <c r="T418" s="498"/>
      <c r="U418" s="498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28"/>
      <c r="H419" s="490">
        <f t="shared" si="172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1"/>
        <v>0</v>
      </c>
      <c r="N419" s="130"/>
      <c r="O419" s="498"/>
      <c r="P419" s="498"/>
      <c r="Q419" s="498"/>
      <c r="R419" s="498"/>
      <c r="S419" s="498"/>
      <c r="T419" s="498"/>
      <c r="U419" s="498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28"/>
      <c r="H420" s="490">
        <f t="shared" si="172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91"/>
        <v>0</v>
      </c>
      <c r="N420" s="130"/>
      <c r="O420" s="498"/>
      <c r="P420" s="498"/>
      <c r="Q420" s="498"/>
      <c r="R420" s="498"/>
      <c r="S420" s="498"/>
      <c r="T420" s="498"/>
      <c r="U420" s="498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28"/>
      <c r="H421" s="490">
        <f t="shared" si="172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91"/>
        <v>0</v>
      </c>
      <c r="N421" s="130"/>
      <c r="O421" s="498"/>
      <c r="P421" s="498"/>
      <c r="Q421" s="498"/>
      <c r="R421" s="498"/>
      <c r="S421" s="498"/>
      <c r="T421" s="498"/>
      <c r="U421" s="498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28"/>
      <c r="H422" s="490">
        <f t="shared" si="172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1"/>
        <v>0</v>
      </c>
      <c r="N422" s="130"/>
      <c r="O422" s="498"/>
      <c r="P422" s="498"/>
      <c r="Q422" s="498"/>
      <c r="R422" s="498"/>
      <c r="S422" s="498"/>
      <c r="T422" s="498"/>
      <c r="U422" s="498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28"/>
      <c r="H423" s="490">
        <f t="shared" si="172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1"/>
        <v>0</v>
      </c>
      <c r="N423" s="130"/>
      <c r="O423" s="498"/>
      <c r="P423" s="498"/>
      <c r="Q423" s="498"/>
      <c r="R423" s="498"/>
      <c r="S423" s="498"/>
      <c r="T423" s="498"/>
      <c r="U423" s="498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28"/>
      <c r="H424" s="490">
        <f t="shared" si="172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1"/>
        <v>0</v>
      </c>
      <c r="N424" s="130"/>
      <c r="O424" s="498"/>
      <c r="P424" s="498"/>
      <c r="Q424" s="498"/>
      <c r="R424" s="498"/>
      <c r="S424" s="498"/>
      <c r="T424" s="498"/>
      <c r="U424" s="498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28"/>
      <c r="H425" s="490">
        <f t="shared" si="172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1"/>
        <v>0</v>
      </c>
      <c r="N425" s="130"/>
      <c r="O425" s="498"/>
      <c r="P425" s="498"/>
      <c r="Q425" s="498"/>
      <c r="R425" s="498"/>
      <c r="S425" s="498"/>
      <c r="T425" s="498"/>
      <c r="U425" s="498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28"/>
      <c r="H426" s="490">
        <f t="shared" si="172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91"/>
        <v>0</v>
      </c>
      <c r="N426" s="130"/>
      <c r="O426" s="498"/>
      <c r="P426" s="498"/>
      <c r="Q426" s="498"/>
      <c r="R426" s="498"/>
      <c r="S426" s="498"/>
      <c r="T426" s="498"/>
      <c r="U426" s="498"/>
      <c r="V426" s="132"/>
      <c r="W426" s="133"/>
      <c r="X426" s="132"/>
      <c r="Y426" s="132"/>
      <c r="Z426" s="132"/>
      <c r="AA426" s="132"/>
    </row>
    <row r="427" spans="1:27" ht="20.100000000000001" hidden="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28"/>
      <c r="H427" s="490">
        <f t="shared" si="172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91"/>
        <v>0</v>
      </c>
      <c r="N427" s="130"/>
      <c r="O427" s="498"/>
      <c r="P427" s="498"/>
      <c r="Q427" s="498"/>
      <c r="R427" s="498"/>
      <c r="S427" s="498"/>
      <c r="T427" s="498"/>
      <c r="U427" s="498"/>
      <c r="V427" s="132"/>
      <c r="W427" s="133"/>
      <c r="X427" s="132"/>
      <c r="Y427" s="132"/>
      <c r="Z427" s="132"/>
      <c r="AA427" s="132"/>
    </row>
    <row r="428" spans="1:27" ht="20.100000000000001" hidden="1" customHeight="1">
      <c r="A428" s="589" t="s">
        <v>216</v>
      </c>
      <c r="B428" s="589"/>
      <c r="C428" s="499" t="s">
        <v>202</v>
      </c>
      <c r="D428" s="143"/>
      <c r="E428" s="143"/>
      <c r="F428" s="144"/>
      <c r="G428" s="145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5">SUM(M371:M427)</f>
        <v>0</v>
      </c>
      <c r="N428" s="146">
        <f t="shared" si="195"/>
        <v>0</v>
      </c>
      <c r="O428" s="148">
        <f t="shared" si="195"/>
        <v>0</v>
      </c>
      <c r="P428" s="148">
        <f t="shared" si="195"/>
        <v>0</v>
      </c>
      <c r="Q428" s="148">
        <f t="shared" si="195"/>
        <v>0</v>
      </c>
      <c r="R428" s="148">
        <f t="shared" si="195"/>
        <v>0</v>
      </c>
      <c r="S428" s="148">
        <f t="shared" si="195"/>
        <v>0</v>
      </c>
      <c r="T428" s="148">
        <f t="shared" si="195"/>
        <v>0</v>
      </c>
      <c r="U428" s="148">
        <f t="shared" si="195"/>
        <v>0</v>
      </c>
      <c r="V428" s="149">
        <f t="shared" si="195"/>
        <v>0</v>
      </c>
      <c r="W428" s="133" t="str">
        <f t="shared" ref="W428:W435" si="196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hidden="1" customHeight="1">
      <c r="A429" s="299">
        <v>30400012</v>
      </c>
      <c r="B429" s="489" t="s">
        <v>217</v>
      </c>
      <c r="C429" s="126" t="s">
        <v>179</v>
      </c>
      <c r="D429" s="108">
        <v>5.03</v>
      </c>
      <c r="E429" s="108"/>
      <c r="F429" s="127"/>
      <c r="G429" s="128"/>
      <c r="H429" s="490">
        <f t="shared" ref="H429:H462" si="197">D429*G429</f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ref="M429:M436" si="198">IF(ISERROR(I429-K429),"",I429-K429)</f>
        <v>0</v>
      </c>
      <c r="N429" s="130">
        <f t="shared" ref="N429:N436" si="199">SUM(O429:U429)</f>
        <v>0</v>
      </c>
      <c r="O429" s="498"/>
      <c r="P429" s="498"/>
      <c r="Q429" s="498"/>
      <c r="R429" s="498"/>
      <c r="S429" s="498"/>
      <c r="T429" s="498"/>
      <c r="U429" s="498"/>
      <c r="V429" s="132">
        <f t="shared" ref="V429:V435" si="200">SUM(X429:AA429)</f>
        <v>0</v>
      </c>
      <c r="W429" s="133" t="str">
        <f t="shared" si="196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30400010</v>
      </c>
      <c r="B430" s="489" t="s">
        <v>217</v>
      </c>
      <c r="C430" s="126" t="s">
        <v>186</v>
      </c>
      <c r="D430" s="108">
        <v>5.03</v>
      </c>
      <c r="E430" s="108"/>
      <c r="F430" s="127"/>
      <c r="G430" s="128"/>
      <c r="H430" s="490">
        <f t="shared" si="197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8.8000000000000007</v>
      </c>
      <c r="M430" s="109">
        <f t="shared" si="198"/>
        <v>0</v>
      </c>
      <c r="N430" s="130">
        <f t="shared" si="199"/>
        <v>0</v>
      </c>
      <c r="O430" s="498"/>
      <c r="P430" s="498"/>
      <c r="Q430" s="498"/>
      <c r="R430" s="498"/>
      <c r="S430" s="498"/>
      <c r="T430" s="498"/>
      <c r="U430" s="498"/>
      <c r="V430" s="132">
        <f t="shared" si="200"/>
        <v>0</v>
      </c>
      <c r="W430" s="133" t="str">
        <f t="shared" si="196"/>
        <v/>
      </c>
      <c r="X430" s="132"/>
      <c r="Y430" s="132"/>
      <c r="Z430" s="132"/>
      <c r="AA430" s="132"/>
    </row>
    <row r="431" spans="1:27" ht="20.100000000000001" customHeight="1">
      <c r="A431" s="299">
        <v>30400011</v>
      </c>
      <c r="B431" s="489" t="s">
        <v>217</v>
      </c>
      <c r="C431" s="126" t="s">
        <v>204</v>
      </c>
      <c r="D431" s="108">
        <v>5.03</v>
      </c>
      <c r="E431" s="108"/>
      <c r="F431" s="127">
        <v>42742</v>
      </c>
      <c r="G431" s="128">
        <f>72*9+63+38+9</f>
        <v>758</v>
      </c>
      <c r="H431" s="490">
        <f t="shared" si="197"/>
        <v>3812.7400000000002</v>
      </c>
      <c r="I431" s="129">
        <f>8+7+8.5+9+10+6*2+5.5+5</f>
        <v>65</v>
      </c>
      <c r="J431" s="130">
        <f t="array" ref="J431">IF(ISERROR(G431/I431),"",G431/I431)</f>
        <v>11.661538461538461</v>
      </c>
      <c r="K431" s="131">
        <f t="array" ref="K431">IF(ISERROR(G431/L431),"",G431/L431)</f>
        <v>86.136363636363626</v>
      </c>
      <c r="L431" s="129">
        <v>8.8000000000000007</v>
      </c>
      <c r="M431" s="109">
        <f t="shared" si="198"/>
        <v>-21.136363636363626</v>
      </c>
      <c r="N431" s="130">
        <f t="shared" si="199"/>
        <v>0</v>
      </c>
      <c r="O431" s="498"/>
      <c r="P431" s="498"/>
      <c r="Q431" s="498"/>
      <c r="R431" s="498"/>
      <c r="S431" s="498"/>
      <c r="T431" s="498"/>
      <c r="U431" s="498"/>
      <c r="V431" s="132">
        <f t="shared" si="200"/>
        <v>0</v>
      </c>
      <c r="W431" s="133">
        <f t="shared" si="196"/>
        <v>0</v>
      </c>
      <c r="X431" s="132"/>
      <c r="Y431" s="132"/>
      <c r="Z431" s="132"/>
      <c r="AA431" s="132"/>
    </row>
    <row r="432" spans="1:27" ht="20.100000000000001" hidden="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28"/>
      <c r="H432" s="490">
        <f t="shared" si="197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8"/>
        <v>0</v>
      </c>
      <c r="N432" s="130">
        <f t="shared" si="199"/>
        <v>0</v>
      </c>
      <c r="O432" s="498"/>
      <c r="P432" s="498"/>
      <c r="Q432" s="498"/>
      <c r="R432" s="498"/>
      <c r="S432" s="498"/>
      <c r="T432" s="498"/>
      <c r="U432" s="498"/>
      <c r="V432" s="132">
        <f t="shared" si="200"/>
        <v>0</v>
      </c>
      <c r="W432" s="133" t="str">
        <f t="shared" si="196"/>
        <v/>
      </c>
      <c r="X432" s="132"/>
      <c r="Y432" s="132"/>
      <c r="Z432" s="132"/>
      <c r="AA432" s="132"/>
    </row>
    <row r="433" spans="1:27" ht="20.10000000000000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>
        <v>42741</v>
      </c>
      <c r="G433" s="128">
        <v>108</v>
      </c>
      <c r="H433" s="490">
        <f t="shared" si="197"/>
        <v>543.24</v>
      </c>
      <c r="I433" s="129">
        <v>12</v>
      </c>
      <c r="J433" s="130">
        <f t="array" ref="J433">IF(ISERROR(G433/I433),"",G433/I433)</f>
        <v>9</v>
      </c>
      <c r="K433" s="131">
        <f t="array" ref="K433">IF(ISERROR(G433/L433),"",G433/L433)</f>
        <v>11.61290322580645</v>
      </c>
      <c r="L433" s="129">
        <v>9.3000000000000007</v>
      </c>
      <c r="M433" s="109">
        <f t="shared" si="198"/>
        <v>0.38709677419354982</v>
      </c>
      <c r="N433" s="130">
        <f t="shared" si="199"/>
        <v>0</v>
      </c>
      <c r="O433" s="498"/>
      <c r="P433" s="498"/>
      <c r="Q433" s="498"/>
      <c r="R433" s="498"/>
      <c r="S433" s="498"/>
      <c r="T433" s="498"/>
      <c r="U433" s="498"/>
      <c r="V433" s="132">
        <f t="shared" si="200"/>
        <v>0</v>
      </c>
      <c r="W433" s="133">
        <f t="shared" si="196"/>
        <v>0</v>
      </c>
      <c r="X433" s="132"/>
      <c r="Y433" s="132"/>
      <c r="Z433" s="132"/>
      <c r="AA433" s="132"/>
    </row>
    <row r="434" spans="1:27" ht="20.100000000000001" hidden="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/>
      <c r="G434" s="128"/>
      <c r="H434" s="490">
        <f t="shared" si="197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9.3000000000000007</v>
      </c>
      <c r="M434" s="109">
        <f t="shared" si="198"/>
        <v>0</v>
      </c>
      <c r="N434" s="130">
        <f t="shared" si="199"/>
        <v>0</v>
      </c>
      <c r="O434" s="498"/>
      <c r="P434" s="498"/>
      <c r="Q434" s="498"/>
      <c r="R434" s="498"/>
      <c r="S434" s="498"/>
      <c r="T434" s="498"/>
      <c r="U434" s="498"/>
      <c r="V434" s="132">
        <f t="shared" si="200"/>
        <v>0</v>
      </c>
      <c r="W434" s="133" t="str">
        <f t="shared" si="196"/>
        <v/>
      </c>
      <c r="X434" s="132"/>
      <c r="Y434" s="132"/>
      <c r="Z434" s="132"/>
      <c r="AA434" s="132"/>
    </row>
    <row r="435" spans="1:27" ht="20.100000000000001" hidden="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/>
      <c r="G435" s="128"/>
      <c r="H435" s="490">
        <f t="shared" si="197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9.3000000000000007</v>
      </c>
      <c r="M435" s="109">
        <f t="shared" si="198"/>
        <v>0</v>
      </c>
      <c r="N435" s="130">
        <f t="shared" si="199"/>
        <v>0</v>
      </c>
      <c r="O435" s="498"/>
      <c r="P435" s="498"/>
      <c r="Q435" s="498"/>
      <c r="R435" s="498"/>
      <c r="S435" s="498"/>
      <c r="T435" s="498"/>
      <c r="U435" s="498"/>
      <c r="V435" s="132">
        <f t="shared" si="200"/>
        <v>0</v>
      </c>
      <c r="W435" s="133" t="str">
        <f t="shared" si="196"/>
        <v/>
      </c>
      <c r="X435" s="132"/>
      <c r="Y435" s="132"/>
      <c r="Z435" s="132"/>
      <c r="AA435" s="132"/>
    </row>
    <row r="436" spans="1:27" ht="20.100000000000001" hidden="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/>
      <c r="G436" s="128"/>
      <c r="H436" s="490">
        <f t="shared" si="197"/>
        <v>0</v>
      </c>
      <c r="I436" s="129"/>
      <c r="J436" s="130"/>
      <c r="K436" s="131">
        <f t="array" ref="K436">IF(ISERROR(G436/L436),"",G436/L436)</f>
        <v>0</v>
      </c>
      <c r="L436" s="129">
        <v>9.3000000000000007</v>
      </c>
      <c r="M436" s="109">
        <f t="shared" si="198"/>
        <v>0</v>
      </c>
      <c r="N436" s="130">
        <f t="shared" si="199"/>
        <v>0</v>
      </c>
      <c r="O436" s="498"/>
      <c r="P436" s="498"/>
      <c r="Q436" s="498"/>
      <c r="R436" s="498"/>
      <c r="S436" s="498"/>
      <c r="T436" s="498"/>
      <c r="U436" s="498"/>
      <c r="V436" s="132"/>
      <c r="W436" s="133"/>
      <c r="X436" s="132"/>
      <c r="Y436" s="132"/>
      <c r="Z436" s="132"/>
      <c r="AA436" s="132"/>
    </row>
    <row r="437" spans="1:27" ht="20.100000000000001" hidden="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28"/>
      <c r="H437" s="490">
        <f t="shared" si="197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498"/>
      <c r="P437" s="498"/>
      <c r="Q437" s="498"/>
      <c r="R437" s="498"/>
      <c r="S437" s="498"/>
      <c r="T437" s="498"/>
      <c r="U437" s="498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28"/>
      <c r="H438" s="490">
        <f t="shared" si="197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498"/>
      <c r="P438" s="498"/>
      <c r="Q438" s="498"/>
      <c r="R438" s="498"/>
      <c r="S438" s="498"/>
      <c r="T438" s="498"/>
      <c r="U438" s="498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28"/>
      <c r="H439" s="490">
        <f t="shared" si="197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498"/>
      <c r="P439" s="498"/>
      <c r="Q439" s="498"/>
      <c r="R439" s="498"/>
      <c r="S439" s="498"/>
      <c r="T439" s="498"/>
      <c r="U439" s="498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28"/>
      <c r="H440" s="490">
        <f t="shared" si="197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498"/>
      <c r="P440" s="498"/>
      <c r="Q440" s="498"/>
      <c r="R440" s="498"/>
      <c r="S440" s="498"/>
      <c r="T440" s="498"/>
      <c r="U440" s="498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hidden="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28"/>
      <c r="H441" s="490">
        <f t="shared" si="197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2" si="201">IF(ISERROR(I441-K441),"",I441-K441)</f>
        <v>0</v>
      </c>
      <c r="N441" s="130">
        <f t="shared" ref="N441:N456" si="202">SUM(O441:U441)</f>
        <v>0</v>
      </c>
      <c r="O441" s="498"/>
      <c r="P441" s="498"/>
      <c r="Q441" s="498"/>
      <c r="R441" s="498"/>
      <c r="S441" s="498"/>
      <c r="T441" s="498"/>
      <c r="U441" s="498"/>
      <c r="V441" s="132">
        <f t="shared" ref="V441:V444" si="203">SUM(X441:AA441)</f>
        <v>0</v>
      </c>
      <c r="W441" s="133" t="str">
        <f t="shared" ref="W441:W448" si="204">IF(ISERROR(V441/G441),"",V441/G441)</f>
        <v/>
      </c>
      <c r="X441" s="132"/>
      <c r="Y441" s="132"/>
      <c r="Z441" s="132"/>
      <c r="AA441" s="132"/>
    </row>
    <row r="442" spans="1:27" ht="20.100000000000001" hidden="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28"/>
      <c r="H442" s="490">
        <f t="shared" si="197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1"/>
        <v/>
      </c>
      <c r="N442" s="130">
        <f t="shared" si="202"/>
        <v>0</v>
      </c>
      <c r="O442" s="498"/>
      <c r="P442" s="498"/>
      <c r="Q442" s="498"/>
      <c r="R442" s="498"/>
      <c r="S442" s="498"/>
      <c r="T442" s="498"/>
      <c r="U442" s="498"/>
      <c r="V442" s="132">
        <f t="shared" si="203"/>
        <v>0</v>
      </c>
      <c r="W442" s="133" t="str">
        <f t="shared" si="204"/>
        <v/>
      </c>
      <c r="X442" s="132"/>
      <c r="Y442" s="132"/>
      <c r="Z442" s="132"/>
      <c r="AA442" s="132"/>
    </row>
    <row r="443" spans="1:27" ht="20.100000000000001" hidden="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28"/>
      <c r="H443" s="490">
        <f t="shared" si="197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201"/>
        <v/>
      </c>
      <c r="N443" s="130">
        <f t="shared" si="202"/>
        <v>0</v>
      </c>
      <c r="O443" s="498"/>
      <c r="P443" s="498"/>
      <c r="Q443" s="498"/>
      <c r="R443" s="498"/>
      <c r="S443" s="498"/>
      <c r="T443" s="498"/>
      <c r="U443" s="498"/>
      <c r="V443" s="132">
        <f t="shared" si="203"/>
        <v>0</v>
      </c>
      <c r="W443" s="133" t="str">
        <f t="shared" si="204"/>
        <v/>
      </c>
      <c r="X443" s="132"/>
      <c r="Y443" s="132"/>
      <c r="Z443" s="132"/>
      <c r="AA443" s="132"/>
    </row>
    <row r="444" spans="1:27" ht="20.100000000000001" hidden="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28"/>
      <c r="H444" s="490">
        <f t="shared" si="197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201"/>
        <v/>
      </c>
      <c r="N444" s="130">
        <f t="shared" si="202"/>
        <v>0</v>
      </c>
      <c r="O444" s="498"/>
      <c r="P444" s="498"/>
      <c r="Q444" s="498"/>
      <c r="R444" s="498"/>
      <c r="S444" s="498"/>
      <c r="T444" s="498"/>
      <c r="U444" s="498"/>
      <c r="V444" s="132">
        <f t="shared" si="203"/>
        <v>0</v>
      </c>
      <c r="W444" s="133" t="str">
        <f t="shared" si="204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30600005</v>
      </c>
      <c r="B445" s="489" t="s">
        <v>222</v>
      </c>
      <c r="C445" s="126" t="s">
        <v>181</v>
      </c>
      <c r="D445" s="108">
        <v>9.36</v>
      </c>
      <c r="E445" s="108"/>
      <c r="F445" s="127"/>
      <c r="G445" s="128"/>
      <c r="H445" s="490">
        <f t="shared" si="197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1"/>
        <v>0</v>
      </c>
      <c r="N445" s="130">
        <f t="shared" si="202"/>
        <v>0</v>
      </c>
      <c r="O445" s="498"/>
      <c r="P445" s="498"/>
      <c r="Q445" s="498"/>
      <c r="R445" s="498"/>
      <c r="S445" s="498"/>
      <c r="T445" s="498"/>
      <c r="U445" s="498"/>
      <c r="V445" s="132">
        <f t="shared" ref="V445:V448" si="205">SUM(X445:AA445)</f>
        <v>0</v>
      </c>
      <c r="W445" s="133" t="str">
        <f t="shared" si="204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30600008</v>
      </c>
      <c r="B446" s="489" t="s">
        <v>222</v>
      </c>
      <c r="C446" s="126" t="s">
        <v>179</v>
      </c>
      <c r="D446" s="108">
        <v>9.36</v>
      </c>
      <c r="E446" s="108"/>
      <c r="F446" s="127"/>
      <c r="G446" s="128"/>
      <c r="H446" s="490">
        <f t="shared" si="197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1"/>
        <v>0</v>
      </c>
      <c r="N446" s="130">
        <f t="shared" si="202"/>
        <v>0</v>
      </c>
      <c r="O446" s="498"/>
      <c r="P446" s="498"/>
      <c r="Q446" s="498"/>
      <c r="R446" s="498"/>
      <c r="S446" s="498"/>
      <c r="T446" s="498"/>
      <c r="U446" s="498"/>
      <c r="V446" s="132">
        <f t="shared" si="205"/>
        <v>0</v>
      </c>
      <c r="W446" s="133" t="str">
        <f t="shared" si="204"/>
        <v/>
      </c>
      <c r="X446" s="132"/>
      <c r="Y446" s="132"/>
      <c r="Z446" s="132"/>
      <c r="AA446" s="132"/>
    </row>
    <row r="447" spans="1:27" ht="20.100000000000001" hidden="1" customHeight="1">
      <c r="A447" s="304">
        <v>30600007</v>
      </c>
      <c r="B447" s="489" t="s">
        <v>222</v>
      </c>
      <c r="C447" s="126" t="s">
        <v>221</v>
      </c>
      <c r="D447" s="108">
        <v>9.36</v>
      </c>
      <c r="E447" s="108"/>
      <c r="F447" s="127"/>
      <c r="G447" s="128"/>
      <c r="H447" s="490">
        <f t="shared" si="197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201"/>
        <v>0</v>
      </c>
      <c r="N447" s="130">
        <f t="shared" si="202"/>
        <v>0</v>
      </c>
      <c r="O447" s="498"/>
      <c r="P447" s="498"/>
      <c r="Q447" s="498"/>
      <c r="R447" s="498"/>
      <c r="S447" s="498"/>
      <c r="T447" s="498"/>
      <c r="U447" s="498"/>
      <c r="V447" s="132">
        <f t="shared" si="205"/>
        <v>0</v>
      </c>
      <c r="W447" s="133" t="str">
        <f t="shared" si="204"/>
        <v/>
      </c>
      <c r="X447" s="132"/>
      <c r="Y447" s="132"/>
      <c r="Z447" s="132"/>
      <c r="AA447" s="132"/>
    </row>
    <row r="448" spans="1:27" ht="20.100000000000001" hidden="1" customHeight="1">
      <c r="A448" s="304">
        <v>30600006</v>
      </c>
      <c r="B448" s="489" t="s">
        <v>222</v>
      </c>
      <c r="C448" s="126" t="s">
        <v>186</v>
      </c>
      <c r="D448" s="108">
        <v>9.36</v>
      </c>
      <c r="E448" s="108"/>
      <c r="F448" s="127"/>
      <c r="G448" s="128"/>
      <c r="H448" s="490">
        <f t="shared" si="197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201"/>
        <v>0</v>
      </c>
      <c r="N448" s="130">
        <f t="shared" si="202"/>
        <v>0</v>
      </c>
      <c r="O448" s="498"/>
      <c r="P448" s="498"/>
      <c r="Q448" s="498"/>
      <c r="R448" s="498"/>
      <c r="S448" s="498"/>
      <c r="T448" s="498"/>
      <c r="U448" s="498"/>
      <c r="V448" s="132">
        <f t="shared" si="205"/>
        <v>0</v>
      </c>
      <c r="W448" s="133" t="str">
        <f t="shared" si="204"/>
        <v/>
      </c>
      <c r="X448" s="132"/>
      <c r="Y448" s="132"/>
      <c r="Z448" s="132"/>
      <c r="AA448" s="132"/>
    </row>
    <row r="449" spans="1:27" ht="20.100000000000001" hidden="1" customHeight="1">
      <c r="A449" s="299">
        <v>30400026</v>
      </c>
      <c r="B449" s="489" t="s">
        <v>393</v>
      </c>
      <c r="C449" s="187" t="s">
        <v>395</v>
      </c>
      <c r="D449" s="108">
        <v>5</v>
      </c>
      <c r="E449" s="108"/>
      <c r="F449" s="127"/>
      <c r="G449" s="128"/>
      <c r="H449" s="490">
        <f t="shared" si="197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1"/>
        <v>0</v>
      </c>
      <c r="N449" s="130">
        <f t="shared" si="202"/>
        <v>0</v>
      </c>
      <c r="O449" s="498"/>
      <c r="P449" s="498"/>
      <c r="Q449" s="498"/>
      <c r="R449" s="498"/>
      <c r="S449" s="498"/>
      <c r="T449" s="498"/>
      <c r="U449" s="498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>
        <v>30400028</v>
      </c>
      <c r="B450" s="489" t="s">
        <v>393</v>
      </c>
      <c r="C450" s="187" t="s">
        <v>402</v>
      </c>
      <c r="D450" s="108">
        <v>5</v>
      </c>
      <c r="E450" s="108"/>
      <c r="F450" s="127"/>
      <c r="G450" s="128"/>
      <c r="H450" s="490">
        <f t="shared" si="197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1"/>
        <v>0</v>
      </c>
      <c r="N450" s="130">
        <f t="shared" si="202"/>
        <v>0</v>
      </c>
      <c r="O450" s="498"/>
      <c r="P450" s="498"/>
      <c r="Q450" s="498"/>
      <c r="R450" s="498"/>
      <c r="S450" s="498"/>
      <c r="T450" s="498"/>
      <c r="U450" s="498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30400027</v>
      </c>
      <c r="B451" s="489" t="s">
        <v>404</v>
      </c>
      <c r="C451" s="187" t="s">
        <v>405</v>
      </c>
      <c r="D451" s="108">
        <v>5</v>
      </c>
      <c r="E451" s="108"/>
      <c r="F451" s="127"/>
      <c r="G451" s="128"/>
      <c r="H451" s="490">
        <f t="shared" si="197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1"/>
        <v>0</v>
      </c>
      <c r="N451" s="130">
        <f t="shared" si="202"/>
        <v>0</v>
      </c>
      <c r="O451" s="498"/>
      <c r="P451" s="498"/>
      <c r="Q451" s="498"/>
      <c r="R451" s="498"/>
      <c r="S451" s="498"/>
      <c r="T451" s="498"/>
      <c r="U451" s="498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/>
      <c r="B452" s="489" t="s">
        <v>342</v>
      </c>
      <c r="C452" s="187" t="s">
        <v>372</v>
      </c>
      <c r="D452" s="108">
        <v>5</v>
      </c>
      <c r="E452" s="108"/>
      <c r="F452" s="127"/>
      <c r="G452" s="128"/>
      <c r="H452" s="490">
        <f t="shared" si="197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1"/>
        <v>0</v>
      </c>
      <c r="N452" s="130">
        <f t="shared" si="202"/>
        <v>0</v>
      </c>
      <c r="O452" s="498"/>
      <c r="P452" s="498"/>
      <c r="Q452" s="498"/>
      <c r="R452" s="498"/>
      <c r="S452" s="498"/>
      <c r="T452" s="498"/>
      <c r="U452" s="498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30600009</v>
      </c>
      <c r="B453" s="489" t="s">
        <v>343</v>
      </c>
      <c r="C453" s="126" t="s">
        <v>345</v>
      </c>
      <c r="D453" s="108">
        <v>5</v>
      </c>
      <c r="E453" s="108"/>
      <c r="F453" s="127"/>
      <c r="G453" s="128"/>
      <c r="H453" s="490">
        <f t="shared" si="197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201"/>
        <v>0</v>
      </c>
      <c r="N453" s="130">
        <f t="shared" si="202"/>
        <v>0</v>
      </c>
      <c r="O453" s="498"/>
      <c r="P453" s="498"/>
      <c r="Q453" s="498"/>
      <c r="R453" s="498"/>
      <c r="S453" s="498"/>
      <c r="T453" s="498"/>
      <c r="U453" s="498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299">
        <v>30600010</v>
      </c>
      <c r="B454" s="489" t="s">
        <v>343</v>
      </c>
      <c r="C454" s="126" t="s">
        <v>347</v>
      </c>
      <c r="D454" s="108">
        <v>5</v>
      </c>
      <c r="E454" s="108"/>
      <c r="F454" s="127"/>
      <c r="G454" s="128"/>
      <c r="H454" s="490">
        <f t="shared" si="197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201"/>
        <v>0</v>
      </c>
      <c r="N454" s="130">
        <f t="shared" si="202"/>
        <v>0</v>
      </c>
      <c r="O454" s="498"/>
      <c r="P454" s="498"/>
      <c r="Q454" s="498"/>
      <c r="R454" s="498"/>
      <c r="S454" s="498"/>
      <c r="T454" s="498"/>
      <c r="U454" s="498"/>
      <c r="V454" s="132"/>
      <c r="W454" s="133"/>
      <c r="X454" s="132"/>
      <c r="Y454" s="132"/>
      <c r="Z454" s="132"/>
      <c r="AA454" s="132"/>
    </row>
    <row r="455" spans="1:27" ht="20.10000000000000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>
        <v>42742</v>
      </c>
      <c r="G455" s="128">
        <f>87+82+20+100</f>
        <v>289</v>
      </c>
      <c r="H455" s="490">
        <f t="shared" si="197"/>
        <v>1462.34</v>
      </c>
      <c r="I455" s="129">
        <f>5.5+6+4*2+2.5</f>
        <v>22</v>
      </c>
      <c r="J455" s="130">
        <f t="array" ref="J455">IF(ISERROR(G455/I455),"",G455/I455)</f>
        <v>13.136363636363637</v>
      </c>
      <c r="K455" s="131">
        <f t="array" ref="K455">IF(ISERROR(G455/L455),"",G455/L455)</f>
        <v>18.64516129032258</v>
      </c>
      <c r="L455" s="129">
        <v>15.5</v>
      </c>
      <c r="M455" s="109">
        <f t="shared" si="201"/>
        <v>3.3548387096774199</v>
      </c>
      <c r="N455" s="130">
        <f t="shared" si="202"/>
        <v>0</v>
      </c>
      <c r="O455" s="498"/>
      <c r="P455" s="498"/>
      <c r="Q455" s="498"/>
      <c r="R455" s="498"/>
      <c r="S455" s="498"/>
      <c r="T455" s="498"/>
      <c r="U455" s="498"/>
      <c r="V455" s="132">
        <f t="shared" ref="V455:V456" si="206">SUM(X455:AA455)</f>
        <v>0</v>
      </c>
      <c r="W455" s="133">
        <f t="shared" ref="W455:W456" si="207">IF(ISERROR(V455/G455),"",V455/G455)</f>
        <v>0</v>
      </c>
      <c r="X455" s="132"/>
      <c r="Y455" s="132"/>
      <c r="Z455" s="132"/>
      <c r="AA455" s="132"/>
    </row>
    <row r="456" spans="1:27" ht="20.100000000000001" hidden="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/>
      <c r="G456" s="128"/>
      <c r="H456" s="490">
        <f t="shared" si="197"/>
        <v>0</v>
      </c>
      <c r="I456" s="129"/>
      <c r="J456" s="130" t="str">
        <f t="array" ref="J456">IF(ISERROR(G456/I456),"",G456/I456)</f>
        <v/>
      </c>
      <c r="K456" s="131">
        <f t="array" ref="K456">IF(ISERROR(G456/L456),"",G456/L456)</f>
        <v>0</v>
      </c>
      <c r="L456" s="129">
        <v>15.5</v>
      </c>
      <c r="M456" s="109">
        <f t="shared" si="201"/>
        <v>0</v>
      </c>
      <c r="N456" s="130">
        <f t="shared" si="202"/>
        <v>0</v>
      </c>
      <c r="O456" s="498"/>
      <c r="P456" s="498"/>
      <c r="Q456" s="498"/>
      <c r="R456" s="498"/>
      <c r="S456" s="498"/>
      <c r="T456" s="498"/>
      <c r="U456" s="498"/>
      <c r="V456" s="132">
        <f t="shared" si="206"/>
        <v>0</v>
      </c>
      <c r="W456" s="133" t="str">
        <f t="shared" si="207"/>
        <v/>
      </c>
      <c r="X456" s="132"/>
      <c r="Y456" s="132"/>
      <c r="Z456" s="132"/>
      <c r="AA456" s="132"/>
    </row>
    <row r="457" spans="1:27" ht="20.100000000000001" hidden="1" customHeight="1">
      <c r="A457" s="299">
        <v>30400004</v>
      </c>
      <c r="B457" s="151" t="s">
        <v>419</v>
      </c>
      <c r="C457" s="187" t="s">
        <v>73</v>
      </c>
      <c r="D457" s="108"/>
      <c r="E457" s="108"/>
      <c r="F457" s="127"/>
      <c r="G457" s="128"/>
      <c r="H457" s="490">
        <f t="shared" si="197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1"/>
        <v>0</v>
      </c>
      <c r="N457" s="130"/>
      <c r="O457" s="498"/>
      <c r="P457" s="498"/>
      <c r="Q457" s="498"/>
      <c r="R457" s="498"/>
      <c r="S457" s="498"/>
      <c r="T457" s="498"/>
      <c r="U457" s="498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28"/>
      <c r="H458" s="490">
        <f t="shared" si="197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201"/>
        <v>0</v>
      </c>
      <c r="N458" s="130"/>
      <c r="O458" s="498"/>
      <c r="P458" s="498"/>
      <c r="Q458" s="498"/>
      <c r="R458" s="498"/>
      <c r="S458" s="498"/>
      <c r="T458" s="498"/>
      <c r="U458" s="498"/>
      <c r="V458" s="132"/>
      <c r="W458" s="133"/>
      <c r="X458" s="132"/>
      <c r="Y458" s="132"/>
      <c r="Z458" s="132"/>
      <c r="AA458" s="132"/>
    </row>
    <row r="459" spans="1:27" ht="20.100000000000001" hidden="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28"/>
      <c r="H459" s="490">
        <f t="shared" si="197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201"/>
        <v>0</v>
      </c>
      <c r="N459" s="130"/>
      <c r="O459" s="498"/>
      <c r="P459" s="498"/>
      <c r="Q459" s="498"/>
      <c r="R459" s="498"/>
      <c r="S459" s="498"/>
      <c r="T459" s="498"/>
      <c r="U459" s="498"/>
      <c r="V459" s="132"/>
      <c r="W459" s="133"/>
      <c r="X459" s="132"/>
      <c r="Y459" s="132"/>
      <c r="Z459" s="132"/>
      <c r="AA459" s="132"/>
    </row>
    <row r="460" spans="1:27" ht="20.100000000000001" hidden="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28"/>
      <c r="H460" s="490">
        <f t="shared" si="197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201"/>
        <v>0</v>
      </c>
      <c r="N460" s="130">
        <f t="shared" ref="N460:N462" si="208">SUM(O460:U460)</f>
        <v>0</v>
      </c>
      <c r="O460" s="498"/>
      <c r="P460" s="498"/>
      <c r="Q460" s="498"/>
      <c r="R460" s="498"/>
      <c r="S460" s="498"/>
      <c r="T460" s="498"/>
      <c r="U460" s="498"/>
      <c r="V460" s="132">
        <f t="shared" ref="V460:V462" si="209">SUM(X460:AA460)</f>
        <v>0</v>
      </c>
      <c r="W460" s="133" t="str">
        <f t="shared" ref="W460:W484" si="210">IF(ISERROR(V460/G460),"",V460/G460)</f>
        <v/>
      </c>
      <c r="X460" s="132"/>
      <c r="Y460" s="132"/>
      <c r="Z460" s="132"/>
      <c r="AA460" s="132"/>
    </row>
    <row r="461" spans="1:27" ht="20.100000000000001" hidden="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28"/>
      <c r="H461" s="490">
        <f t="shared" si="197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si="201"/>
        <v>0</v>
      </c>
      <c r="N461" s="130">
        <f t="shared" si="208"/>
        <v>0</v>
      </c>
      <c r="O461" s="498"/>
      <c r="P461" s="498"/>
      <c r="Q461" s="498"/>
      <c r="R461" s="498"/>
      <c r="S461" s="498"/>
      <c r="T461" s="498"/>
      <c r="U461" s="498"/>
      <c r="V461" s="132">
        <f t="shared" si="209"/>
        <v>0</v>
      </c>
      <c r="W461" s="133" t="str">
        <f t="shared" si="210"/>
        <v/>
      </c>
      <c r="X461" s="132"/>
      <c r="Y461" s="132"/>
      <c r="Z461" s="132"/>
      <c r="AA461" s="132"/>
    </row>
    <row r="462" spans="1:27" ht="20.100000000000001" hidden="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28"/>
      <c r="H462" s="490">
        <f t="shared" si="197"/>
        <v>0</v>
      </c>
      <c r="I462" s="129"/>
      <c r="J462" s="130" t="str">
        <f t="array" ref="J462">IF(ISERROR(G462/I462),"",G462/I462)</f>
        <v/>
      </c>
      <c r="K462" s="490">
        <f t="array" ref="K462">IF(ISERROR(G462/L462),"",G462/L462)</f>
        <v>0</v>
      </c>
      <c r="L462" s="129">
        <v>9</v>
      </c>
      <c r="M462" s="109">
        <f t="shared" si="201"/>
        <v>0</v>
      </c>
      <c r="N462" s="130">
        <f t="shared" si="208"/>
        <v>0</v>
      </c>
      <c r="O462" s="498"/>
      <c r="P462" s="498"/>
      <c r="Q462" s="498"/>
      <c r="R462" s="498"/>
      <c r="S462" s="498"/>
      <c r="T462" s="498"/>
      <c r="U462" s="498"/>
      <c r="V462" s="132">
        <f t="shared" si="209"/>
        <v>0</v>
      </c>
      <c r="W462" s="133" t="str">
        <f t="shared" si="210"/>
        <v/>
      </c>
      <c r="X462" s="132"/>
      <c r="Y462" s="132"/>
      <c r="Z462" s="132"/>
      <c r="AA462" s="132"/>
    </row>
    <row r="463" spans="1:27" ht="20.100000000000001" customHeight="1">
      <c r="A463" s="578" t="s">
        <v>224</v>
      </c>
      <c r="B463" s="579"/>
      <c r="C463" s="499" t="s">
        <v>202</v>
      </c>
      <c r="D463" s="143"/>
      <c r="E463" s="143"/>
      <c r="F463" s="144"/>
      <c r="G463" s="145">
        <f>SUM(G429:G462)</f>
        <v>1155</v>
      </c>
      <c r="H463" s="146">
        <f>SUM(H429:H462)</f>
        <v>5818.3200000000006</v>
      </c>
      <c r="I463" s="146">
        <f>SUM(I429:I462)</f>
        <v>99</v>
      </c>
      <c r="J463" s="130">
        <f t="array" ref="J463">IF(ISERROR(G463/I463),"",G463/I463)</f>
        <v>11.666666666666666</v>
      </c>
      <c r="K463" s="146">
        <f>SUM(K429:K462)</f>
        <v>116.39442815249265</v>
      </c>
      <c r="L463" s="147"/>
      <c r="M463" s="150">
        <f t="shared" ref="M463:V463" si="211">SUM(M429:M462)</f>
        <v>-17.394428152492655</v>
      </c>
      <c r="N463" s="146">
        <f t="shared" si="211"/>
        <v>0</v>
      </c>
      <c r="O463" s="148">
        <f t="shared" si="211"/>
        <v>0</v>
      </c>
      <c r="P463" s="148">
        <f t="shared" si="211"/>
        <v>0</v>
      </c>
      <c r="Q463" s="148">
        <f t="shared" si="211"/>
        <v>0</v>
      </c>
      <c r="R463" s="148">
        <f t="shared" si="211"/>
        <v>0</v>
      </c>
      <c r="S463" s="148">
        <f t="shared" si="211"/>
        <v>0</v>
      </c>
      <c r="T463" s="148">
        <f t="shared" si="211"/>
        <v>0</v>
      </c>
      <c r="U463" s="148">
        <f t="shared" si="211"/>
        <v>0</v>
      </c>
      <c r="V463" s="149">
        <f t="shared" si="211"/>
        <v>0</v>
      </c>
      <c r="W463" s="133">
        <f t="shared" si="210"/>
        <v>0</v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hidden="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28"/>
      <c r="H464" s="490">
        <f t="shared" ref="H464:H478" si="212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8" si="213">IF(ISERROR(I464-K464),"",I464-K464)</f>
        <v>0</v>
      </c>
      <c r="N464" s="130">
        <f t="shared" ref="N464:N478" si="214">SUM(O464:U464)</f>
        <v>0</v>
      </c>
      <c r="O464" s="498"/>
      <c r="P464" s="498"/>
      <c r="Q464" s="498"/>
      <c r="R464" s="498"/>
      <c r="S464" s="498"/>
      <c r="T464" s="498"/>
      <c r="U464" s="498"/>
      <c r="V464" s="132">
        <f t="shared" ref="V464:V478" si="215">SUM(X464:AA464)</f>
        <v>0</v>
      </c>
      <c r="W464" s="133" t="str">
        <f t="shared" si="210"/>
        <v/>
      </c>
      <c r="X464" s="132"/>
      <c r="Y464" s="132"/>
      <c r="Z464" s="132"/>
      <c r="AA464" s="132"/>
    </row>
    <row r="465" spans="1:27" ht="20.100000000000001" hidden="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28"/>
      <c r="H465" s="490">
        <f t="shared" si="212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3"/>
        <v>0</v>
      </c>
      <c r="N465" s="130">
        <f t="shared" si="214"/>
        <v>0</v>
      </c>
      <c r="O465" s="498"/>
      <c r="P465" s="498"/>
      <c r="Q465" s="498"/>
      <c r="R465" s="498"/>
      <c r="S465" s="498"/>
      <c r="T465" s="498"/>
      <c r="U465" s="498"/>
      <c r="V465" s="132">
        <f t="shared" si="215"/>
        <v>0</v>
      </c>
      <c r="W465" s="133" t="str">
        <f t="shared" si="210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28"/>
      <c r="H466" s="490">
        <f t="shared" si="212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3"/>
        <v>0</v>
      </c>
      <c r="N466" s="130">
        <f t="shared" si="214"/>
        <v>0</v>
      </c>
      <c r="O466" s="498"/>
      <c r="P466" s="498"/>
      <c r="Q466" s="498"/>
      <c r="R466" s="498"/>
      <c r="S466" s="498"/>
      <c r="T466" s="498"/>
      <c r="U466" s="498"/>
      <c r="V466" s="132">
        <f t="shared" si="215"/>
        <v>0</v>
      </c>
      <c r="W466" s="133" t="str">
        <f t="shared" si="210"/>
        <v/>
      </c>
      <c r="X466" s="132"/>
      <c r="Y466" s="132"/>
      <c r="Z466" s="132"/>
      <c r="AA466" s="132"/>
    </row>
    <row r="467" spans="1:27" ht="20.100000000000001" hidden="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28"/>
      <c r="H467" s="490">
        <f t="shared" si="212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3"/>
        <v>0</v>
      </c>
      <c r="N467" s="130">
        <f t="shared" si="214"/>
        <v>0</v>
      </c>
      <c r="O467" s="498"/>
      <c r="P467" s="498"/>
      <c r="Q467" s="498"/>
      <c r="R467" s="498"/>
      <c r="S467" s="498"/>
      <c r="T467" s="498"/>
      <c r="U467" s="498"/>
      <c r="V467" s="132">
        <f t="shared" si="215"/>
        <v>0</v>
      </c>
      <c r="W467" s="133" t="str">
        <f t="shared" si="210"/>
        <v/>
      </c>
      <c r="X467" s="132"/>
      <c r="Y467" s="132"/>
      <c r="Z467" s="132"/>
      <c r="AA467" s="132"/>
    </row>
    <row r="468" spans="1:27" ht="20.100000000000001" hidden="1" customHeight="1">
      <c r="A468" s="299">
        <v>30100054</v>
      </c>
      <c r="B468" s="140" t="s">
        <v>227</v>
      </c>
      <c r="C468" s="495" t="s">
        <v>203</v>
      </c>
      <c r="D468" s="108">
        <v>5.03</v>
      </c>
      <c r="E468" s="108"/>
      <c r="F468" s="127"/>
      <c r="G468" s="128"/>
      <c r="H468" s="490">
        <f t="shared" si="212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3"/>
        <v>0</v>
      </c>
      <c r="N468" s="130">
        <f t="shared" si="214"/>
        <v>0</v>
      </c>
      <c r="O468" s="498"/>
      <c r="P468" s="498"/>
      <c r="Q468" s="498"/>
      <c r="R468" s="498"/>
      <c r="S468" s="498"/>
      <c r="T468" s="498"/>
      <c r="U468" s="498"/>
      <c r="V468" s="132">
        <f t="shared" si="215"/>
        <v>0</v>
      </c>
      <c r="W468" s="133" t="str">
        <f t="shared" si="210"/>
        <v/>
      </c>
      <c r="X468" s="132"/>
      <c r="Y468" s="132"/>
      <c r="Z468" s="132"/>
      <c r="AA468" s="132"/>
    </row>
    <row r="469" spans="1:27" ht="20.100000000000001" hidden="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28"/>
      <c r="H469" s="490">
        <f t="shared" si="212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3"/>
        <v>0</v>
      </c>
      <c r="N469" s="130">
        <f t="shared" si="214"/>
        <v>0</v>
      </c>
      <c r="O469" s="498"/>
      <c r="P469" s="498"/>
      <c r="Q469" s="498"/>
      <c r="R469" s="498"/>
      <c r="S469" s="498"/>
      <c r="T469" s="498"/>
      <c r="U469" s="498"/>
      <c r="V469" s="132">
        <f t="shared" si="215"/>
        <v>0</v>
      </c>
      <c r="W469" s="133" t="str">
        <f t="shared" si="210"/>
        <v/>
      </c>
      <c r="X469" s="132"/>
      <c r="Y469" s="132"/>
      <c r="Z469" s="132"/>
      <c r="AA469" s="132"/>
    </row>
    <row r="470" spans="1:27" ht="20.100000000000001" hidden="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28"/>
      <c r="H470" s="490">
        <f t="shared" si="212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3"/>
        <v>0</v>
      </c>
      <c r="N470" s="130">
        <f t="shared" si="214"/>
        <v>0</v>
      </c>
      <c r="O470" s="498"/>
      <c r="P470" s="498"/>
      <c r="Q470" s="498"/>
      <c r="R470" s="498"/>
      <c r="S470" s="498"/>
      <c r="T470" s="498"/>
      <c r="U470" s="498"/>
      <c r="V470" s="132">
        <f t="shared" si="215"/>
        <v>0</v>
      </c>
      <c r="W470" s="133" t="str">
        <f t="shared" si="210"/>
        <v/>
      </c>
      <c r="X470" s="132"/>
      <c r="Y470" s="132"/>
      <c r="Z470" s="132"/>
      <c r="AA470" s="132"/>
    </row>
    <row r="471" spans="1:27" ht="20.100000000000001" hidden="1" customHeight="1">
      <c r="A471" s="299"/>
      <c r="B471" s="140" t="s">
        <v>227</v>
      </c>
      <c r="C471" s="495" t="s">
        <v>228</v>
      </c>
      <c r="D471" s="108">
        <v>5.03</v>
      </c>
      <c r="E471" s="108"/>
      <c r="F471" s="127"/>
      <c r="G471" s="128"/>
      <c r="H471" s="490">
        <f t="shared" si="212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3"/>
        <v>0</v>
      </c>
      <c r="N471" s="130">
        <f t="shared" si="214"/>
        <v>0</v>
      </c>
      <c r="O471" s="498"/>
      <c r="P471" s="498"/>
      <c r="Q471" s="498"/>
      <c r="R471" s="498"/>
      <c r="S471" s="498"/>
      <c r="T471" s="498"/>
      <c r="U471" s="498"/>
      <c r="V471" s="132">
        <f t="shared" si="215"/>
        <v>0</v>
      </c>
      <c r="W471" s="133" t="str">
        <f t="shared" si="210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30101067</v>
      </c>
      <c r="B472" s="140" t="s">
        <v>229</v>
      </c>
      <c r="C472" s="495" t="s">
        <v>212</v>
      </c>
      <c r="D472" s="108">
        <v>5.03</v>
      </c>
      <c r="E472" s="108"/>
      <c r="F472" s="127"/>
      <c r="G472" s="128"/>
      <c r="H472" s="490">
        <f t="shared" si="212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3"/>
        <v/>
      </c>
      <c r="N472" s="130">
        <f t="shared" si="214"/>
        <v>0</v>
      </c>
      <c r="O472" s="498"/>
      <c r="P472" s="498"/>
      <c r="Q472" s="498"/>
      <c r="R472" s="498"/>
      <c r="S472" s="498"/>
      <c r="T472" s="498"/>
      <c r="U472" s="498"/>
      <c r="V472" s="132">
        <f t="shared" si="215"/>
        <v>0</v>
      </c>
      <c r="W472" s="133" t="str">
        <f t="shared" si="210"/>
        <v/>
      </c>
      <c r="X472" s="132"/>
      <c r="Y472" s="132"/>
      <c r="Z472" s="132"/>
      <c r="AA472" s="132"/>
    </row>
    <row r="473" spans="1:27" ht="20.100000000000001" hidden="1" customHeight="1">
      <c r="A473" s="299">
        <v>30101068</v>
      </c>
      <c r="B473" s="140" t="s">
        <v>229</v>
      </c>
      <c r="C473" s="495" t="s">
        <v>203</v>
      </c>
      <c r="D473" s="108">
        <v>5.03</v>
      </c>
      <c r="E473" s="108"/>
      <c r="F473" s="127"/>
      <c r="G473" s="128"/>
      <c r="H473" s="490">
        <f t="shared" si="212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3"/>
        <v/>
      </c>
      <c r="N473" s="130">
        <f t="shared" si="214"/>
        <v>0</v>
      </c>
      <c r="O473" s="498"/>
      <c r="P473" s="498"/>
      <c r="Q473" s="498"/>
      <c r="R473" s="498"/>
      <c r="S473" s="498"/>
      <c r="T473" s="498"/>
      <c r="U473" s="498"/>
      <c r="V473" s="132">
        <f t="shared" si="215"/>
        <v>0</v>
      </c>
      <c r="W473" s="133" t="str">
        <f t="shared" si="210"/>
        <v/>
      </c>
      <c r="X473" s="132"/>
      <c r="Y473" s="132"/>
      <c r="Z473" s="132"/>
      <c r="AA473" s="132"/>
    </row>
    <row r="474" spans="1:27" ht="20.100000000000001" hidden="1" customHeight="1">
      <c r="A474" s="299">
        <v>30101069</v>
      </c>
      <c r="B474" s="140" t="s">
        <v>229</v>
      </c>
      <c r="C474" s="495" t="s">
        <v>186</v>
      </c>
      <c r="D474" s="108">
        <v>5.03</v>
      </c>
      <c r="E474" s="108"/>
      <c r="F474" s="127"/>
      <c r="G474" s="128"/>
      <c r="H474" s="490">
        <f t="shared" si="212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3"/>
        <v/>
      </c>
      <c r="N474" s="130">
        <f t="shared" si="214"/>
        <v>0</v>
      </c>
      <c r="O474" s="498"/>
      <c r="P474" s="498"/>
      <c r="Q474" s="498"/>
      <c r="R474" s="498"/>
      <c r="S474" s="498"/>
      <c r="T474" s="498"/>
      <c r="U474" s="498"/>
      <c r="V474" s="132">
        <f t="shared" si="215"/>
        <v>0</v>
      </c>
      <c r="W474" s="133" t="str">
        <f t="shared" si="210"/>
        <v/>
      </c>
      <c r="X474" s="132"/>
      <c r="Y474" s="132"/>
      <c r="Z474" s="132"/>
      <c r="AA474" s="132"/>
    </row>
    <row r="475" spans="1:27" ht="20.100000000000001" hidden="1" customHeight="1">
      <c r="A475" s="299">
        <v>30101070</v>
      </c>
      <c r="B475" s="140" t="s">
        <v>229</v>
      </c>
      <c r="C475" s="495" t="s">
        <v>228</v>
      </c>
      <c r="D475" s="108">
        <v>5.03</v>
      </c>
      <c r="E475" s="108"/>
      <c r="F475" s="127"/>
      <c r="G475" s="128"/>
      <c r="H475" s="490">
        <f t="shared" si="212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3"/>
        <v/>
      </c>
      <c r="N475" s="130">
        <f t="shared" si="214"/>
        <v>0</v>
      </c>
      <c r="O475" s="498"/>
      <c r="P475" s="498"/>
      <c r="Q475" s="498"/>
      <c r="R475" s="498"/>
      <c r="S475" s="498"/>
      <c r="T475" s="498"/>
      <c r="U475" s="498"/>
      <c r="V475" s="132">
        <f t="shared" si="215"/>
        <v>0</v>
      </c>
      <c r="W475" s="133" t="str">
        <f t="shared" si="210"/>
        <v/>
      </c>
      <c r="X475" s="132"/>
      <c r="Y475" s="132"/>
      <c r="Z475" s="132"/>
      <c r="AA475" s="132"/>
    </row>
    <row r="476" spans="1:27" ht="20.100000000000001" hidden="1" customHeight="1">
      <c r="A476" s="299">
        <v>30101071</v>
      </c>
      <c r="B476" s="140" t="s">
        <v>229</v>
      </c>
      <c r="C476" s="495" t="s">
        <v>199</v>
      </c>
      <c r="D476" s="108">
        <v>5.03</v>
      </c>
      <c r="E476" s="108"/>
      <c r="F476" s="127"/>
      <c r="G476" s="128"/>
      <c r="H476" s="490">
        <f t="shared" si="212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3"/>
        <v/>
      </c>
      <c r="N476" s="130">
        <f t="shared" si="214"/>
        <v>0</v>
      </c>
      <c r="O476" s="498"/>
      <c r="P476" s="498"/>
      <c r="Q476" s="498"/>
      <c r="R476" s="498"/>
      <c r="S476" s="498"/>
      <c r="T476" s="498"/>
      <c r="U476" s="498"/>
      <c r="V476" s="132">
        <f t="shared" si="215"/>
        <v>0</v>
      </c>
      <c r="W476" s="133" t="str">
        <f t="shared" si="210"/>
        <v/>
      </c>
      <c r="X476" s="132"/>
      <c r="Y476" s="132"/>
      <c r="Z476" s="132"/>
      <c r="AA476" s="132"/>
    </row>
    <row r="477" spans="1:27" ht="20.100000000000001" hidden="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28"/>
      <c r="H477" s="490">
        <f t="shared" si="212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si="213"/>
        <v>0</v>
      </c>
      <c r="N477" s="130">
        <f t="shared" si="214"/>
        <v>0</v>
      </c>
      <c r="O477" s="498"/>
      <c r="P477" s="498"/>
      <c r="Q477" s="498"/>
      <c r="R477" s="498"/>
      <c r="S477" s="498"/>
      <c r="T477" s="498"/>
      <c r="U477" s="498"/>
      <c r="V477" s="132">
        <f t="shared" si="215"/>
        <v>0</v>
      </c>
      <c r="W477" s="133" t="str">
        <f t="shared" si="210"/>
        <v/>
      </c>
      <c r="X477" s="132"/>
      <c r="Y477" s="132"/>
      <c r="Z477" s="132"/>
      <c r="AA477" s="132"/>
    </row>
    <row r="478" spans="1:27" ht="20.100000000000001" hidden="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28"/>
      <c r="H478" s="490">
        <f t="shared" si="212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3"/>
        <v>0</v>
      </c>
      <c r="N478" s="130">
        <f t="shared" si="214"/>
        <v>0</v>
      </c>
      <c r="O478" s="498"/>
      <c r="P478" s="498"/>
      <c r="Q478" s="498"/>
      <c r="R478" s="498"/>
      <c r="S478" s="498"/>
      <c r="T478" s="498"/>
      <c r="U478" s="498"/>
      <c r="V478" s="132">
        <f t="shared" si="215"/>
        <v>0</v>
      </c>
      <c r="W478" s="133" t="str">
        <f t="shared" si="210"/>
        <v/>
      </c>
      <c r="X478" s="132"/>
      <c r="Y478" s="132"/>
      <c r="Z478" s="132"/>
      <c r="AA478" s="132"/>
    </row>
    <row r="479" spans="1:27" ht="20.100000000000001" hidden="1" customHeight="1">
      <c r="A479" s="578" t="s">
        <v>231</v>
      </c>
      <c r="B479" s="579"/>
      <c r="C479" s="499" t="s">
        <v>202</v>
      </c>
      <c r="D479" s="143"/>
      <c r="E479" s="143"/>
      <c r="F479" s="144"/>
      <c r="G479" s="145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10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hidden="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28"/>
      <c r="H480" s="490">
        <f t="shared" ref="H480:H489" si="216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4" si="217">IF(ISERROR(I480-K480),"",I480-K480)</f>
        <v>0</v>
      </c>
      <c r="N480" s="130">
        <f t="shared" ref="N480:N484" si="218">SUM(O480:U480)</f>
        <v>0</v>
      </c>
      <c r="O480" s="498"/>
      <c r="P480" s="498"/>
      <c r="Q480" s="498"/>
      <c r="R480" s="498"/>
      <c r="S480" s="498"/>
      <c r="T480" s="498"/>
      <c r="U480" s="498"/>
      <c r="V480" s="132">
        <f t="shared" ref="V480:V484" si="219">SUM(X480:AA480)</f>
        <v>0</v>
      </c>
      <c r="W480" s="133" t="str">
        <f t="shared" si="210"/>
        <v/>
      </c>
      <c r="X480" s="132"/>
      <c r="Y480" s="132"/>
      <c r="Z480" s="132"/>
      <c r="AA480" s="132"/>
    </row>
    <row r="481" spans="1:27" ht="20.100000000000001" hidden="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28"/>
      <c r="H481" s="490">
        <f t="shared" si="216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7"/>
        <v>0</v>
      </c>
      <c r="N481" s="130">
        <f t="shared" si="218"/>
        <v>0</v>
      </c>
      <c r="O481" s="498"/>
      <c r="P481" s="498"/>
      <c r="Q481" s="498"/>
      <c r="R481" s="498"/>
      <c r="S481" s="498"/>
      <c r="T481" s="498"/>
      <c r="U481" s="498"/>
      <c r="V481" s="132">
        <f t="shared" si="219"/>
        <v>0</v>
      </c>
      <c r="W481" s="133" t="str">
        <f t="shared" si="210"/>
        <v/>
      </c>
      <c r="X481" s="132"/>
      <c r="Y481" s="132"/>
      <c r="Z481" s="132"/>
      <c r="AA481" s="132"/>
    </row>
    <row r="482" spans="1:27" ht="20.100000000000001" hidden="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28"/>
      <c r="H482" s="490">
        <f t="shared" si="216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7"/>
        <v>0</v>
      </c>
      <c r="N482" s="130">
        <f t="shared" si="218"/>
        <v>0</v>
      </c>
      <c r="O482" s="498"/>
      <c r="P482" s="498"/>
      <c r="Q482" s="498"/>
      <c r="R482" s="498"/>
      <c r="S482" s="498"/>
      <c r="T482" s="498"/>
      <c r="U482" s="498"/>
      <c r="V482" s="132">
        <f t="shared" si="219"/>
        <v>0</v>
      </c>
      <c r="W482" s="133" t="str">
        <f t="shared" si="210"/>
        <v/>
      </c>
      <c r="X482" s="132"/>
      <c r="Y482" s="132"/>
      <c r="Z482" s="132"/>
      <c r="AA482" s="132"/>
    </row>
    <row r="483" spans="1:27" ht="20.100000000000001" hidden="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28"/>
      <c r="H483" s="490">
        <f t="shared" si="216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17"/>
        <v>0</v>
      </c>
      <c r="N483" s="130">
        <f t="shared" si="218"/>
        <v>0</v>
      </c>
      <c r="O483" s="498"/>
      <c r="P483" s="498"/>
      <c r="Q483" s="498"/>
      <c r="R483" s="498"/>
      <c r="S483" s="498"/>
      <c r="T483" s="498"/>
      <c r="U483" s="498"/>
      <c r="V483" s="132">
        <f t="shared" si="219"/>
        <v>0</v>
      </c>
      <c r="W483" s="133" t="str">
        <f t="shared" si="210"/>
        <v/>
      </c>
      <c r="X483" s="132"/>
      <c r="Y483" s="132"/>
      <c r="Z483" s="132"/>
      <c r="AA483" s="132"/>
    </row>
    <row r="484" spans="1:27" ht="20.100000000000001" hidden="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28"/>
      <c r="H484" s="490">
        <f t="shared" si="216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17"/>
        <v>0</v>
      </c>
      <c r="N484" s="130">
        <f t="shared" si="218"/>
        <v>0</v>
      </c>
      <c r="O484" s="498"/>
      <c r="P484" s="498"/>
      <c r="Q484" s="498"/>
      <c r="R484" s="498"/>
      <c r="S484" s="498"/>
      <c r="T484" s="498"/>
      <c r="U484" s="498"/>
      <c r="V484" s="132">
        <f t="shared" si="219"/>
        <v>0</v>
      </c>
      <c r="W484" s="133" t="str">
        <f t="shared" si="210"/>
        <v/>
      </c>
      <c r="X484" s="132"/>
      <c r="Y484" s="132"/>
      <c r="Z484" s="132"/>
      <c r="AA484" s="132"/>
    </row>
    <row r="485" spans="1:27" ht="20.100000000000001" hidden="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28"/>
      <c r="H485" s="490">
        <f t="shared" si="216"/>
        <v>0</v>
      </c>
      <c r="I485" s="129"/>
      <c r="J485" s="130"/>
      <c r="K485" s="131"/>
      <c r="L485" s="129">
        <v>13.5</v>
      </c>
      <c r="M485" s="109"/>
      <c r="N485" s="130"/>
      <c r="O485" s="498"/>
      <c r="P485" s="498"/>
      <c r="Q485" s="498"/>
      <c r="R485" s="498"/>
      <c r="S485" s="498"/>
      <c r="T485" s="498"/>
      <c r="U485" s="498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30400020</v>
      </c>
      <c r="B486" s="134" t="s">
        <v>439</v>
      </c>
      <c r="C486" s="187" t="s">
        <v>74</v>
      </c>
      <c r="D486" s="108">
        <v>5.04</v>
      </c>
      <c r="E486" s="108"/>
      <c r="F486" s="127"/>
      <c r="G486" s="128"/>
      <c r="H486" s="490">
        <f t="shared" si="216"/>
        <v>0</v>
      </c>
      <c r="I486" s="129"/>
      <c r="J486" s="130"/>
      <c r="K486" s="131"/>
      <c r="L486" s="129">
        <v>13.5</v>
      </c>
      <c r="M486" s="109"/>
      <c r="N486" s="130"/>
      <c r="O486" s="498"/>
      <c r="P486" s="498"/>
      <c r="Q486" s="498"/>
      <c r="R486" s="498"/>
      <c r="S486" s="498"/>
      <c r="T486" s="498"/>
      <c r="U486" s="498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0">
        <v>30400021</v>
      </c>
      <c r="B487" s="134" t="s">
        <v>439</v>
      </c>
      <c r="C487" s="187" t="s">
        <v>53</v>
      </c>
      <c r="D487" s="108">
        <v>5.04</v>
      </c>
      <c r="E487" s="108"/>
      <c r="F487" s="127"/>
      <c r="G487" s="128"/>
      <c r="H487" s="490">
        <f t="shared" si="216"/>
        <v>0</v>
      </c>
      <c r="I487" s="129"/>
      <c r="J487" s="130"/>
      <c r="K487" s="131"/>
      <c r="L487" s="129">
        <v>13.5</v>
      </c>
      <c r="M487" s="109"/>
      <c r="N487" s="130"/>
      <c r="O487" s="498"/>
      <c r="P487" s="498"/>
      <c r="Q487" s="498"/>
      <c r="R487" s="498"/>
      <c r="S487" s="498"/>
      <c r="T487" s="498"/>
      <c r="U487" s="498"/>
      <c r="V487" s="132"/>
      <c r="W487" s="133"/>
      <c r="X487" s="132"/>
      <c r="Y487" s="132"/>
      <c r="Z487" s="132"/>
      <c r="AA487" s="132"/>
    </row>
    <row r="488" spans="1:27" ht="20.100000000000001" hidden="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28"/>
      <c r="H488" s="490">
        <f t="shared" si="216"/>
        <v>0</v>
      </c>
      <c r="I488" s="129"/>
      <c r="J488" s="130"/>
      <c r="K488" s="131"/>
      <c r="L488" s="129">
        <v>13.5</v>
      </c>
      <c r="M488" s="109"/>
      <c r="N488" s="130"/>
      <c r="O488" s="498"/>
      <c r="P488" s="498"/>
      <c r="Q488" s="498"/>
      <c r="R488" s="498"/>
      <c r="S488" s="498"/>
      <c r="T488" s="498"/>
      <c r="U488" s="498"/>
      <c r="V488" s="132"/>
      <c r="W488" s="133"/>
      <c r="X488" s="132"/>
      <c r="Y488" s="132"/>
      <c r="Z488" s="132"/>
      <c r="AA488" s="132"/>
    </row>
    <row r="489" spans="1:27" ht="20.100000000000001" hidden="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28"/>
      <c r="H489" s="490">
        <f t="shared" si="216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ref="M489" si="220">IF(ISERROR(I489-K489),"",I489-K489)</f>
        <v>0</v>
      </c>
      <c r="N489" s="130">
        <f t="shared" ref="N489" si="221">SUM(O489:U489)</f>
        <v>0</v>
      </c>
      <c r="O489" s="498"/>
      <c r="P489" s="498"/>
      <c r="Q489" s="498"/>
      <c r="R489" s="498"/>
      <c r="S489" s="498"/>
      <c r="T489" s="498"/>
      <c r="U489" s="498"/>
      <c r="V489" s="132">
        <f t="shared" ref="V489" si="222">SUM(X489:AA489)</f>
        <v>0</v>
      </c>
      <c r="W489" s="133" t="str">
        <f t="shared" ref="W489:W494" si="223">IF(ISERROR(V489/G489),"",V489/G489)</f>
        <v/>
      </c>
      <c r="X489" s="132"/>
      <c r="Y489" s="132"/>
      <c r="Z489" s="132"/>
      <c r="AA489" s="132"/>
    </row>
    <row r="490" spans="1:27" ht="20.100000000000001" hidden="1" customHeight="1">
      <c r="A490" s="578" t="s">
        <v>234</v>
      </c>
      <c r="B490" s="579"/>
      <c r="C490" s="499" t="s">
        <v>202</v>
      </c>
      <c r="D490" s="143"/>
      <c r="E490" s="143"/>
      <c r="F490" s="144"/>
      <c r="G490" s="145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3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hidden="1" customHeight="1">
      <c r="A491" s="299">
        <v>30700013</v>
      </c>
      <c r="B491" s="141" t="s">
        <v>235</v>
      </c>
      <c r="C491" s="496"/>
      <c r="D491" s="108">
        <v>3.65</v>
      </c>
      <c r="E491" s="108"/>
      <c r="F491" s="153"/>
      <c r="G491" s="128"/>
      <c r="H491" s="490">
        <f t="shared" ref="H491:H505" si="224">D491*G491</f>
        <v>0</v>
      </c>
      <c r="I491" s="129"/>
      <c r="J491" s="130" t="str">
        <f t="array" ref="J491">IF(ISERROR(G491/I491),"",G491/I491)</f>
        <v/>
      </c>
      <c r="K491" s="490">
        <f t="array" ref="K491">IF(ISERROR(G491/L491),"",G491/L491)</f>
        <v>0</v>
      </c>
      <c r="L491" s="129">
        <v>5</v>
      </c>
      <c r="M491" s="109">
        <f t="shared" ref="M491:M494" si="225">IF(ISERROR(I491-K491),"",I491-K491)</f>
        <v>0</v>
      </c>
      <c r="N491" s="130">
        <f t="shared" ref="N491:N494" si="226">SUM(O491:U491)</f>
        <v>0</v>
      </c>
      <c r="O491" s="498"/>
      <c r="P491" s="498"/>
      <c r="Q491" s="498"/>
      <c r="R491" s="498"/>
      <c r="S491" s="498"/>
      <c r="T491" s="498"/>
      <c r="U491" s="498"/>
      <c r="V491" s="132">
        <f t="shared" ref="V491:V494" si="227">SUM(X491:AA491)</f>
        <v>0</v>
      </c>
      <c r="W491" s="133" t="str">
        <f t="shared" si="223"/>
        <v/>
      </c>
      <c r="X491" s="132"/>
      <c r="Y491" s="132"/>
      <c r="Z491" s="132"/>
      <c r="AA491" s="132"/>
    </row>
    <row r="492" spans="1:27" ht="20.100000000000001" hidden="1" customHeight="1">
      <c r="A492" s="299">
        <v>30700014</v>
      </c>
      <c r="B492" s="141" t="s">
        <v>236</v>
      </c>
      <c r="C492" s="496"/>
      <c r="D492" s="108">
        <v>6.58</v>
      </c>
      <c r="E492" s="108"/>
      <c r="F492" s="127"/>
      <c r="G492" s="128"/>
      <c r="H492" s="490">
        <f t="shared" si="224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5"/>
        <v>0</v>
      </c>
      <c r="N492" s="130">
        <f t="shared" si="226"/>
        <v>0</v>
      </c>
      <c r="O492" s="498"/>
      <c r="P492" s="498"/>
      <c r="Q492" s="498"/>
      <c r="R492" s="498"/>
      <c r="S492" s="498"/>
      <c r="T492" s="498"/>
      <c r="U492" s="498"/>
      <c r="V492" s="132">
        <f t="shared" si="227"/>
        <v>0</v>
      </c>
      <c r="W492" s="133" t="str">
        <f t="shared" si="223"/>
        <v/>
      </c>
      <c r="X492" s="132"/>
      <c r="Y492" s="132"/>
      <c r="Z492" s="132"/>
      <c r="AA492" s="132"/>
    </row>
    <row r="493" spans="1:27" ht="20.100000000000001" hidden="1" customHeight="1">
      <c r="A493" s="299">
        <v>30700016</v>
      </c>
      <c r="B493" s="141" t="s">
        <v>237</v>
      </c>
      <c r="C493" s="496"/>
      <c r="D493" s="108">
        <v>7.8</v>
      </c>
      <c r="E493" s="108"/>
      <c r="F493" s="127"/>
      <c r="G493" s="128"/>
      <c r="H493" s="490">
        <f t="shared" si="224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5"/>
        <v>0</v>
      </c>
      <c r="N493" s="130">
        <f t="shared" si="226"/>
        <v>0</v>
      </c>
      <c r="O493" s="498"/>
      <c r="P493" s="498"/>
      <c r="Q493" s="498"/>
      <c r="R493" s="498"/>
      <c r="S493" s="498"/>
      <c r="T493" s="498"/>
      <c r="U493" s="498"/>
      <c r="V493" s="132">
        <f t="shared" si="227"/>
        <v>0</v>
      </c>
      <c r="W493" s="133" t="str">
        <f t="shared" si="223"/>
        <v/>
      </c>
      <c r="X493" s="132"/>
      <c r="Y493" s="132"/>
      <c r="Z493" s="132"/>
      <c r="AA493" s="132"/>
    </row>
    <row r="494" spans="1:27" ht="20.100000000000001" hidden="1" customHeight="1">
      <c r="A494" s="299">
        <v>30700017</v>
      </c>
      <c r="B494" s="141" t="s">
        <v>238</v>
      </c>
      <c r="C494" s="496"/>
      <c r="D494" s="108">
        <v>4.4000000000000004</v>
      </c>
      <c r="E494" s="108"/>
      <c r="F494" s="127"/>
      <c r="G494" s="128"/>
      <c r="H494" s="490">
        <f t="shared" si="224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5"/>
        <v>0</v>
      </c>
      <c r="N494" s="130">
        <f t="shared" si="226"/>
        <v>0</v>
      </c>
      <c r="O494" s="498"/>
      <c r="P494" s="498"/>
      <c r="Q494" s="498"/>
      <c r="R494" s="498"/>
      <c r="S494" s="498"/>
      <c r="T494" s="498"/>
      <c r="U494" s="498"/>
      <c r="V494" s="132">
        <f t="shared" si="227"/>
        <v>0</v>
      </c>
      <c r="W494" s="133" t="str">
        <f t="shared" si="223"/>
        <v/>
      </c>
      <c r="X494" s="132"/>
      <c r="Y494" s="132"/>
      <c r="Z494" s="132"/>
      <c r="AA494" s="132"/>
    </row>
    <row r="495" spans="1:27" ht="20.100000000000001" hidden="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28"/>
      <c r="H495" s="490">
        <f t="shared" si="224"/>
        <v>0</v>
      </c>
      <c r="I495" s="129"/>
      <c r="J495" s="130"/>
      <c r="K495" s="131"/>
      <c r="L495" s="129"/>
      <c r="M495" s="109"/>
      <c r="N495" s="130"/>
      <c r="O495" s="498"/>
      <c r="P495" s="498"/>
      <c r="Q495" s="498"/>
      <c r="R495" s="498"/>
      <c r="S495" s="498"/>
      <c r="T495" s="498"/>
      <c r="U495" s="498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299">
        <v>30700001</v>
      </c>
      <c r="B496" s="127" t="s">
        <v>359</v>
      </c>
      <c r="C496" s="496"/>
      <c r="D496" s="108"/>
      <c r="E496" s="108"/>
      <c r="F496" s="127"/>
      <c r="G496" s="128"/>
      <c r="H496" s="490">
        <f t="shared" si="224"/>
        <v>0</v>
      </c>
      <c r="I496" s="129"/>
      <c r="J496" s="130"/>
      <c r="K496" s="131"/>
      <c r="L496" s="129">
        <v>6</v>
      </c>
      <c r="M496" s="109"/>
      <c r="N496" s="130"/>
      <c r="O496" s="498"/>
      <c r="P496" s="498"/>
      <c r="Q496" s="498"/>
      <c r="R496" s="498"/>
      <c r="S496" s="498"/>
      <c r="T496" s="498"/>
      <c r="U496" s="498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/>
      <c r="B497" s="496" t="s">
        <v>239</v>
      </c>
      <c r="C497" s="496" t="s">
        <v>179</v>
      </c>
      <c r="D497" s="108">
        <v>6.04</v>
      </c>
      <c r="E497" s="108"/>
      <c r="F497" s="127"/>
      <c r="G497" s="128"/>
      <c r="H497" s="490">
        <f t="shared" si="224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498" si="228">IF(ISERROR(I497-K497),"",I497-K497)</f>
        <v>0</v>
      </c>
      <c r="N497" s="130">
        <f t="shared" ref="N497:N498" si="229">SUM(O497:U497)</f>
        <v>0</v>
      </c>
      <c r="O497" s="498"/>
      <c r="P497" s="498"/>
      <c r="Q497" s="498"/>
      <c r="R497" s="498"/>
      <c r="S497" s="498"/>
      <c r="T497" s="498"/>
      <c r="U497" s="498"/>
      <c r="V497" s="132">
        <f t="shared" ref="V497:V498" si="230">SUM(X497:AA497)</f>
        <v>0</v>
      </c>
      <c r="W497" s="133" t="str">
        <f t="shared" ref="W497:W498" si="231">IF(ISERROR(V497/G497),"",V497/G497)</f>
        <v/>
      </c>
      <c r="X497" s="132"/>
      <c r="Y497" s="132"/>
      <c r="Z497" s="132"/>
      <c r="AA497" s="132"/>
    </row>
    <row r="498" spans="1:27" ht="20.100000000000001" hidden="1" customHeight="1">
      <c r="A498" s="305">
        <v>30700019</v>
      </c>
      <c r="B498" s="496" t="s">
        <v>239</v>
      </c>
      <c r="C498" s="496" t="s">
        <v>186</v>
      </c>
      <c r="D498" s="108">
        <v>6.04</v>
      </c>
      <c r="E498" s="108"/>
      <c r="F498" s="127"/>
      <c r="G498" s="128"/>
      <c r="H498" s="490">
        <f t="shared" si="224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8"/>
        <v>0</v>
      </c>
      <c r="N498" s="130">
        <f t="shared" si="229"/>
        <v>0</v>
      </c>
      <c r="O498" s="498"/>
      <c r="P498" s="498"/>
      <c r="Q498" s="498"/>
      <c r="R498" s="498"/>
      <c r="S498" s="498"/>
      <c r="T498" s="498"/>
      <c r="U498" s="498"/>
      <c r="V498" s="132">
        <f t="shared" si="230"/>
        <v>0</v>
      </c>
      <c r="W498" s="133" t="str">
        <f t="shared" si="231"/>
        <v/>
      </c>
      <c r="X498" s="132"/>
      <c r="Y498" s="132"/>
      <c r="Z498" s="132"/>
      <c r="AA498" s="132"/>
    </row>
    <row r="499" spans="1:27" ht="20.100000000000001" hidden="1" customHeight="1">
      <c r="A499" s="305">
        <v>30601015</v>
      </c>
      <c r="B499" s="496" t="s">
        <v>443</v>
      </c>
      <c r="C499" s="496" t="s">
        <v>179</v>
      </c>
      <c r="D499" s="108"/>
      <c r="E499" s="108"/>
      <c r="F499" s="127"/>
      <c r="G499" s="128"/>
      <c r="H499" s="490">
        <f t="shared" si="224"/>
        <v>0</v>
      </c>
      <c r="I499" s="129"/>
      <c r="J499" s="130"/>
      <c r="K499" s="131"/>
      <c r="L499" s="129"/>
      <c r="M499" s="109"/>
      <c r="N499" s="130"/>
      <c r="O499" s="498"/>
      <c r="P499" s="498"/>
      <c r="Q499" s="498"/>
      <c r="R499" s="498"/>
      <c r="S499" s="498"/>
      <c r="T499" s="498"/>
      <c r="U499" s="498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305">
        <v>30101016</v>
      </c>
      <c r="B500" s="496" t="s">
        <v>443</v>
      </c>
      <c r="C500" s="496" t="s">
        <v>186</v>
      </c>
      <c r="D500" s="108"/>
      <c r="E500" s="108"/>
      <c r="F500" s="127"/>
      <c r="G500" s="128"/>
      <c r="H500" s="490">
        <f t="shared" si="224"/>
        <v>0</v>
      </c>
      <c r="I500" s="129"/>
      <c r="J500" s="130"/>
      <c r="K500" s="131"/>
      <c r="L500" s="129"/>
      <c r="M500" s="109"/>
      <c r="N500" s="130"/>
      <c r="O500" s="498"/>
      <c r="P500" s="498"/>
      <c r="Q500" s="498"/>
      <c r="R500" s="498"/>
      <c r="S500" s="498"/>
      <c r="T500" s="498"/>
      <c r="U500" s="498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30700018</v>
      </c>
      <c r="B501" s="489" t="s">
        <v>240</v>
      </c>
      <c r="C501" s="126"/>
      <c r="D501" s="108">
        <v>7.3</v>
      </c>
      <c r="E501" s="108"/>
      <c r="F501" s="127"/>
      <c r="G501" s="128"/>
      <c r="H501" s="490">
        <f t="shared" si="224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ref="M501" si="232">IF(ISERROR(I501-K501),"",I501-K501)</f>
        <v>0</v>
      </c>
      <c r="N501" s="130">
        <f t="shared" ref="N501" si="233">SUM(O501:U501)</f>
        <v>0</v>
      </c>
      <c r="O501" s="498"/>
      <c r="P501" s="498"/>
      <c r="Q501" s="498"/>
      <c r="R501" s="498"/>
      <c r="S501" s="498"/>
      <c r="T501" s="498"/>
      <c r="U501" s="498"/>
      <c r="V501" s="132">
        <f t="shared" ref="V501" si="234">SUM(X501:AA501)</f>
        <v>0</v>
      </c>
      <c r="W501" s="133" t="str">
        <f t="shared" ref="W501" si="235">IF(ISERROR(V501/G501),"",V501/G501)</f>
        <v/>
      </c>
      <c r="X501" s="132"/>
      <c r="Y501" s="132"/>
      <c r="Z501" s="132"/>
      <c r="AA501" s="132"/>
    </row>
    <row r="502" spans="1:27" ht="20.100000000000001" hidden="1" customHeight="1">
      <c r="A502" s="299">
        <v>30700010</v>
      </c>
      <c r="B502" s="489" t="s">
        <v>241</v>
      </c>
      <c r="C502" s="126"/>
      <c r="D502" s="108">
        <f>78*120/1000</f>
        <v>9.36</v>
      </c>
      <c r="E502" s="108"/>
      <c r="F502" s="127"/>
      <c r="G502" s="128"/>
      <c r="H502" s="490">
        <f t="shared" si="224"/>
        <v>0</v>
      </c>
      <c r="I502" s="129"/>
      <c r="J502" s="130"/>
      <c r="K502" s="131"/>
      <c r="L502" s="129"/>
      <c r="M502" s="109"/>
      <c r="N502" s="130"/>
      <c r="O502" s="498"/>
      <c r="P502" s="498"/>
      <c r="Q502" s="498"/>
      <c r="R502" s="498"/>
      <c r="S502" s="498"/>
      <c r="T502" s="498"/>
      <c r="U502" s="498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299">
        <v>30700015</v>
      </c>
      <c r="B503" s="489" t="s">
        <v>242</v>
      </c>
      <c r="C503" s="126"/>
      <c r="D503" s="108">
        <v>4.5</v>
      </c>
      <c r="E503" s="108"/>
      <c r="F503" s="127"/>
      <c r="G503" s="128"/>
      <c r="H503" s="490">
        <f t="shared" si="224"/>
        <v>0</v>
      </c>
      <c r="I503" s="129"/>
      <c r="J503" s="130"/>
      <c r="K503" s="131"/>
      <c r="L503" s="129"/>
      <c r="M503" s="109"/>
      <c r="N503" s="130"/>
      <c r="O503" s="498"/>
      <c r="P503" s="498"/>
      <c r="Q503" s="498"/>
      <c r="R503" s="498"/>
      <c r="S503" s="498"/>
      <c r="T503" s="498"/>
      <c r="U503" s="498"/>
      <c r="V503" s="132"/>
      <c r="W503" s="133"/>
      <c r="X503" s="132"/>
      <c r="Y503" s="132"/>
      <c r="Z503" s="132"/>
      <c r="AA503" s="132"/>
    </row>
    <row r="504" spans="1:27" ht="20.100000000000001" hidden="1" customHeight="1">
      <c r="A504" s="299">
        <v>30700012</v>
      </c>
      <c r="B504" s="489" t="s">
        <v>243</v>
      </c>
      <c r="C504" s="126"/>
      <c r="D504" s="108">
        <v>4.5</v>
      </c>
      <c r="E504" s="108"/>
      <c r="F504" s="127"/>
      <c r="G504" s="128"/>
      <c r="H504" s="490">
        <f t="shared" si="224"/>
        <v>0</v>
      </c>
      <c r="I504" s="129"/>
      <c r="J504" s="130"/>
      <c r="K504" s="131"/>
      <c r="L504" s="129"/>
      <c r="M504" s="109"/>
      <c r="N504" s="130"/>
      <c r="O504" s="498"/>
      <c r="P504" s="498"/>
      <c r="Q504" s="498"/>
      <c r="R504" s="498"/>
      <c r="S504" s="498"/>
      <c r="T504" s="498"/>
      <c r="U504" s="498"/>
      <c r="V504" s="132"/>
      <c r="W504" s="133"/>
      <c r="X504" s="132"/>
      <c r="Y504" s="132"/>
      <c r="Z504" s="132"/>
      <c r="AA504" s="132"/>
    </row>
    <row r="505" spans="1:27" ht="20.100000000000001" hidden="1" customHeight="1">
      <c r="A505" s="299"/>
      <c r="B505" s="489"/>
      <c r="C505" s="126"/>
      <c r="D505" s="108"/>
      <c r="E505" s="108"/>
      <c r="F505" s="127"/>
      <c r="G505" s="128"/>
      <c r="H505" s="490">
        <f t="shared" si="224"/>
        <v>0</v>
      </c>
      <c r="I505" s="129"/>
      <c r="J505" s="130"/>
      <c r="K505" s="131"/>
      <c r="L505" s="129"/>
      <c r="M505" s="109"/>
      <c r="N505" s="130"/>
      <c r="O505" s="498"/>
      <c r="P505" s="498"/>
      <c r="Q505" s="498"/>
      <c r="R505" s="498"/>
      <c r="S505" s="498"/>
      <c r="T505" s="498"/>
      <c r="U505" s="498"/>
      <c r="V505" s="132"/>
      <c r="W505" s="133"/>
      <c r="X505" s="132"/>
      <c r="Y505" s="132"/>
      <c r="Z505" s="132"/>
      <c r="AA505" s="132"/>
    </row>
    <row r="506" spans="1:27" ht="20.100000000000001" hidden="1" customHeight="1">
      <c r="A506" s="578" t="s">
        <v>244</v>
      </c>
      <c r="B506" s="579"/>
      <c r="C506" s="499" t="s">
        <v>202</v>
      </c>
      <c r="D506" s="143"/>
      <c r="E506" s="143"/>
      <c r="F506" s="144"/>
      <c r="G506" s="145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6">SUM(M491:M501)</f>
        <v>0</v>
      </c>
      <c r="N506" s="146">
        <f t="shared" si="236"/>
        <v>0</v>
      </c>
      <c r="O506" s="148">
        <f t="shared" si="236"/>
        <v>0</v>
      </c>
      <c r="P506" s="148">
        <f t="shared" si="236"/>
        <v>0</v>
      </c>
      <c r="Q506" s="148">
        <f t="shared" si="236"/>
        <v>0</v>
      </c>
      <c r="R506" s="148">
        <f t="shared" si="236"/>
        <v>0</v>
      </c>
      <c r="S506" s="148">
        <f t="shared" si="236"/>
        <v>0</v>
      </c>
      <c r="T506" s="148">
        <f t="shared" si="236"/>
        <v>0</v>
      </c>
      <c r="U506" s="148">
        <f t="shared" si="236"/>
        <v>0</v>
      </c>
      <c r="V506" s="149">
        <f t="shared" si="236"/>
        <v>0</v>
      </c>
      <c r="W506" s="133">
        <f t="shared" si="236"/>
        <v>0</v>
      </c>
      <c r="X506" s="149">
        <f t="shared" si="236"/>
        <v>0</v>
      </c>
      <c r="Y506" s="149">
        <f t="shared" si="236"/>
        <v>0</v>
      </c>
      <c r="Z506" s="149">
        <f t="shared" si="236"/>
        <v>0</v>
      </c>
      <c r="AA506" s="149">
        <f t="shared" si="236"/>
        <v>0</v>
      </c>
    </row>
    <row r="507" spans="1:27" ht="20.100000000000001" customHeight="1">
      <c r="A507" s="580" t="s">
        <v>246</v>
      </c>
      <c r="B507" s="581"/>
      <c r="C507" s="581"/>
      <c r="D507" s="581"/>
      <c r="E507" s="581"/>
      <c r="F507" s="582"/>
      <c r="G507" s="154">
        <f>SUM(G370,G428,G463,G479,G490,G506)</f>
        <v>1155</v>
      </c>
      <c r="H507" s="154">
        <f>SUM(H370,H428,H463,H479,H490,H506)</f>
        <v>5818.3200000000006</v>
      </c>
      <c r="I507" s="154">
        <f>SUM(I370,I428,I463,I479,I490,I506)</f>
        <v>99</v>
      </c>
      <c r="J507" s="155">
        <f t="array" ref="J507">IF(ISERROR(G507/I507),"",G507/I507)</f>
        <v>11.666666666666666</v>
      </c>
      <c r="K507" s="154">
        <f>SUM(K370,K428,K463,K479,K490,K506)</f>
        <v>116.39442815249265</v>
      </c>
      <c r="L507" s="155">
        <f>IF(ISERROR(G507/K507),"",G507/K507)</f>
        <v>9.9231554150237482</v>
      </c>
      <c r="M507" s="154">
        <f t="shared" ref="M507:V507" si="237">SUM(M370,M428,M463,M479,M490,M506)</f>
        <v>-17.394428152492655</v>
      </c>
      <c r="N507" s="154">
        <f t="shared" si="237"/>
        <v>0</v>
      </c>
      <c r="O507" s="154">
        <f t="shared" si="237"/>
        <v>0</v>
      </c>
      <c r="P507" s="154">
        <f t="shared" si="237"/>
        <v>0</v>
      </c>
      <c r="Q507" s="154">
        <f t="shared" si="237"/>
        <v>0</v>
      </c>
      <c r="R507" s="154">
        <f t="shared" si="237"/>
        <v>0</v>
      </c>
      <c r="S507" s="154">
        <f t="shared" si="237"/>
        <v>0</v>
      </c>
      <c r="T507" s="154">
        <f t="shared" si="237"/>
        <v>0</v>
      </c>
      <c r="U507" s="154">
        <f t="shared" si="237"/>
        <v>0</v>
      </c>
      <c r="V507" s="154">
        <f t="shared" si="237"/>
        <v>0</v>
      </c>
      <c r="W507" s="156">
        <f t="shared" ref="W507" si="238">IF(ISERROR(V507/G507),"",V507/G507)</f>
        <v>0</v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583" t="s">
        <v>476</v>
      </c>
      <c r="B508" s="492" t="s">
        <v>247</v>
      </c>
      <c r="C508" s="586" t="s">
        <v>248</v>
      </c>
      <c r="D508" s="587"/>
      <c r="E508" s="588" t="s">
        <v>249</v>
      </c>
      <c r="F508" s="588"/>
      <c r="G508" s="591" t="s">
        <v>250</v>
      </c>
      <c r="H508" s="591"/>
      <c r="I508" s="588" t="s">
        <v>251</v>
      </c>
      <c r="J508" s="588"/>
      <c r="K508" s="588" t="s">
        <v>252</v>
      </c>
      <c r="L508" s="588"/>
      <c r="M508" s="588" t="s">
        <v>253</v>
      </c>
      <c r="N508" s="588"/>
      <c r="O508" s="588" t="s">
        <v>254</v>
      </c>
      <c r="P508" s="591" t="s">
        <v>255</v>
      </c>
      <c r="Q508" s="591"/>
      <c r="R508" s="591" t="s">
        <v>252</v>
      </c>
      <c r="S508" s="591"/>
      <c r="T508" s="591" t="s">
        <v>256</v>
      </c>
      <c r="U508" s="591"/>
      <c r="V508" s="591" t="s">
        <v>257</v>
      </c>
      <c r="W508" s="591"/>
      <c r="X508" s="591" t="s">
        <v>252</v>
      </c>
      <c r="Y508" s="591"/>
      <c r="Z508" s="591" t="s">
        <v>256</v>
      </c>
      <c r="AA508" s="591"/>
    </row>
    <row r="509" spans="1:27" ht="20.100000000000001" customHeight="1">
      <c r="A509" s="584"/>
      <c r="B509" s="492" t="s">
        <v>258</v>
      </c>
      <c r="C509" s="586">
        <v>0</v>
      </c>
      <c r="D509" s="587"/>
      <c r="E509" s="590">
        <f>C509*11</f>
        <v>0</v>
      </c>
      <c r="F509" s="590"/>
      <c r="G509" s="591">
        <v>0</v>
      </c>
      <c r="H509" s="591"/>
      <c r="I509" s="590">
        <f>G509*11</f>
        <v>0</v>
      </c>
      <c r="J509" s="590"/>
      <c r="K509" s="590">
        <f>E509-I509</f>
        <v>0</v>
      </c>
      <c r="L509" s="590"/>
      <c r="M509" s="592" t="str">
        <f>IF(ISERROR(K509/E509),"",K509/E509)</f>
        <v/>
      </c>
      <c r="N509" s="592"/>
      <c r="O509" s="588"/>
      <c r="P509" s="591" t="s">
        <v>201</v>
      </c>
      <c r="Q509" s="591"/>
      <c r="R509" s="593">
        <f>SUM(O370:U370)</f>
        <v>0</v>
      </c>
      <c r="S509" s="593"/>
      <c r="T509" s="594" t="str">
        <f t="array" ref="T509">IF(ISERROR(R509/R516),"",R509/R516)</f>
        <v/>
      </c>
      <c r="U509" s="594"/>
      <c r="V509" s="591" t="s">
        <v>259</v>
      </c>
      <c r="W509" s="591"/>
      <c r="X509" s="595">
        <f>SUM(O370,O428,O463,O479,O490,O506)</f>
        <v>0</v>
      </c>
      <c r="Y509" s="595"/>
      <c r="Z509" s="594" t="str">
        <f t="array" ref="Z509">IF(ISERROR(X509/X516),"",X509/X516)</f>
        <v/>
      </c>
      <c r="AA509" s="594"/>
    </row>
    <row r="510" spans="1:27" ht="20.100000000000001" customHeight="1">
      <c r="A510" s="584"/>
      <c r="B510" s="492" t="s">
        <v>260</v>
      </c>
      <c r="C510" s="586">
        <v>0</v>
      </c>
      <c r="D510" s="587"/>
      <c r="E510" s="590">
        <f>C510*11</f>
        <v>0</v>
      </c>
      <c r="F510" s="590"/>
      <c r="G510" s="591">
        <v>0</v>
      </c>
      <c r="H510" s="591"/>
      <c r="I510" s="590">
        <f>G510*11</f>
        <v>0</v>
      </c>
      <c r="J510" s="590"/>
      <c r="K510" s="590">
        <f>E510-I510</f>
        <v>0</v>
      </c>
      <c r="L510" s="590"/>
      <c r="M510" s="592" t="str">
        <f>IF(ISERROR(K510/E510),"",K510/E510)</f>
        <v/>
      </c>
      <c r="N510" s="592"/>
      <c r="O510" s="588"/>
      <c r="P510" s="591" t="s">
        <v>216</v>
      </c>
      <c r="Q510" s="591"/>
      <c r="R510" s="593">
        <f>SUM(O428:U428)</f>
        <v>0</v>
      </c>
      <c r="S510" s="593"/>
      <c r="T510" s="594" t="str">
        <f>IF(ISERROR(R510/R516),"",R510/R516)</f>
        <v/>
      </c>
      <c r="U510" s="594"/>
      <c r="V510" s="591" t="s">
        <v>261</v>
      </c>
      <c r="W510" s="591"/>
      <c r="X510" s="595">
        <f>SUM(O371,O429,O464,O480,O491,O507)</f>
        <v>0</v>
      </c>
      <c r="Y510" s="595"/>
      <c r="Z510" s="594" t="str">
        <f>IF(ISERROR(X510/X516),"",X510/X516)</f>
        <v/>
      </c>
      <c r="AA510" s="594"/>
    </row>
    <row r="511" spans="1:27" ht="20.100000000000001" customHeight="1">
      <c r="A511" s="584"/>
      <c r="B511" s="492" t="s">
        <v>262</v>
      </c>
      <c r="C511" s="586">
        <v>0</v>
      </c>
      <c r="D511" s="587"/>
      <c r="E511" s="590">
        <f>C511*11</f>
        <v>0</v>
      </c>
      <c r="F511" s="590"/>
      <c r="G511" s="591">
        <v>0</v>
      </c>
      <c r="H511" s="591"/>
      <c r="I511" s="590">
        <f>G511*11</f>
        <v>0</v>
      </c>
      <c r="J511" s="590"/>
      <c r="K511" s="590">
        <f>E511-I511</f>
        <v>0</v>
      </c>
      <c r="L511" s="590"/>
      <c r="M511" s="592" t="str">
        <f>IF(ISERROR(K511/E511),"",K511/E511)</f>
        <v/>
      </c>
      <c r="N511" s="592"/>
      <c r="O511" s="588"/>
      <c r="P511" s="591" t="s">
        <v>224</v>
      </c>
      <c r="Q511" s="591"/>
      <c r="R511" s="593">
        <f>SUM(O463:U463)</f>
        <v>0</v>
      </c>
      <c r="S511" s="593"/>
      <c r="T511" s="594" t="str">
        <f>IF(ISERROR(R511/R516),"",R511/R516)</f>
        <v/>
      </c>
      <c r="U511" s="594"/>
      <c r="V511" s="591" t="s">
        <v>263</v>
      </c>
      <c r="W511" s="591"/>
      <c r="X511" s="595">
        <f>SUM(O373,O430,O465,O481,O492,O508)</f>
        <v>0</v>
      </c>
      <c r="Y511" s="595"/>
      <c r="Z511" s="594" t="str">
        <f>IF(ISERROR(X511/X516),"",X511/X516)</f>
        <v/>
      </c>
      <c r="AA511" s="594"/>
    </row>
    <row r="512" spans="1:27" ht="20.100000000000001" customHeight="1">
      <c r="A512" s="584"/>
      <c r="B512" s="492" t="s">
        <v>264</v>
      </c>
      <c r="C512" s="586">
        <v>1</v>
      </c>
      <c r="D512" s="587"/>
      <c r="E512" s="590">
        <f>C512*11</f>
        <v>11</v>
      </c>
      <c r="F512" s="590"/>
      <c r="G512" s="591">
        <v>1</v>
      </c>
      <c r="H512" s="591"/>
      <c r="I512" s="590">
        <f>G512*11</f>
        <v>11</v>
      </c>
      <c r="J512" s="590"/>
      <c r="K512" s="590">
        <f>E512-I512</f>
        <v>0</v>
      </c>
      <c r="L512" s="590"/>
      <c r="M512" s="592">
        <f>IF(ISERROR(K512/E512),"",K512/E512)</f>
        <v>0</v>
      </c>
      <c r="N512" s="592"/>
      <c r="O512" s="588"/>
      <c r="P512" s="591" t="s">
        <v>231</v>
      </c>
      <c r="Q512" s="591"/>
      <c r="R512" s="593">
        <f>SUM(O479:U479)</f>
        <v>0</v>
      </c>
      <c r="S512" s="593"/>
      <c r="T512" s="594" t="str">
        <f>IF(ISERROR(R512/R516),"",R512/R516)</f>
        <v/>
      </c>
      <c r="U512" s="594"/>
      <c r="V512" s="591" t="s">
        <v>265</v>
      </c>
      <c r="W512" s="591"/>
      <c r="X512" s="595">
        <f>SUM(O374,O431,O466,O482,O493,O509)</f>
        <v>0</v>
      </c>
      <c r="Y512" s="595"/>
      <c r="Z512" s="594" t="str">
        <f>IF(ISERROR(X512/X516),"",X512/X516)</f>
        <v/>
      </c>
      <c r="AA512" s="594"/>
    </row>
    <row r="513" spans="1:27" ht="20.100000000000001" customHeight="1">
      <c r="A513" s="585"/>
      <c r="B513" s="492" t="s">
        <v>266</v>
      </c>
      <c r="C513" s="596">
        <f>SUM(C509:D512)</f>
        <v>1</v>
      </c>
      <c r="D513" s="597"/>
      <c r="E513" s="590">
        <f>SUM(E509:F512)</f>
        <v>11</v>
      </c>
      <c r="F513" s="590"/>
      <c r="G513" s="591">
        <f>SUM(G509:H512)</f>
        <v>1</v>
      </c>
      <c r="H513" s="591"/>
      <c r="I513" s="590">
        <f>SUM(I509:J512)</f>
        <v>11</v>
      </c>
      <c r="J513" s="590"/>
      <c r="K513" s="590">
        <f>SUM(K509:L512)</f>
        <v>0</v>
      </c>
      <c r="L513" s="590"/>
      <c r="M513" s="592">
        <f>IF(ISERROR(K513/E513),"",K513/E513)</f>
        <v>0</v>
      </c>
      <c r="N513" s="592"/>
      <c r="O513" s="588"/>
      <c r="P513" s="591" t="s">
        <v>234</v>
      </c>
      <c r="Q513" s="591"/>
      <c r="R513" s="593">
        <f>SUM(O490:U490)</f>
        <v>0</v>
      </c>
      <c r="S513" s="593"/>
      <c r="T513" s="594" t="str">
        <f>IF(ISERROR(R513/R516),"",R513/R516)</f>
        <v/>
      </c>
      <c r="U513" s="594"/>
      <c r="V513" s="591" t="s">
        <v>267</v>
      </c>
      <c r="W513" s="591"/>
      <c r="X513" s="595">
        <f>SUM(O375,O432,O467,O483,O494,O510)</f>
        <v>0</v>
      </c>
      <c r="Y513" s="595"/>
      <c r="Z513" s="594" t="str">
        <f>IF(ISERROR(X513/X516),"",X513/X516)</f>
        <v/>
      </c>
      <c r="AA513" s="594"/>
    </row>
    <row r="514" spans="1:27" ht="20.100000000000001" customHeight="1">
      <c r="A514" s="307" t="s">
        <v>477</v>
      </c>
      <c r="B514" s="492">
        <f>G507</f>
        <v>1155</v>
      </c>
      <c r="C514" s="598" t="s">
        <v>269</v>
      </c>
      <c r="D514" s="599"/>
      <c r="E514" s="591">
        <f>H507</f>
        <v>5818.3200000000006</v>
      </c>
      <c r="F514" s="591"/>
      <c r="G514" s="591" t="s">
        <v>270</v>
      </c>
      <c r="H514" s="591"/>
      <c r="I514" s="600">
        <f>L507</f>
        <v>9.9231554150237482</v>
      </c>
      <c r="J514" s="600"/>
      <c r="K514" s="588" t="s">
        <v>271</v>
      </c>
      <c r="L514" s="588"/>
      <c r="M514" s="600">
        <f>J507</f>
        <v>11.666666666666666</v>
      </c>
      <c r="N514" s="600"/>
      <c r="O514" s="588"/>
      <c r="P514" s="591" t="s">
        <v>244</v>
      </c>
      <c r="Q514" s="591"/>
      <c r="R514" s="593">
        <f>SUM(O506:U506)</f>
        <v>0</v>
      </c>
      <c r="S514" s="593"/>
      <c r="T514" s="594" t="str">
        <f>IF(ISERROR(R514/R516),"",R514/R516)</f>
        <v/>
      </c>
      <c r="U514" s="594"/>
      <c r="V514" s="591" t="s">
        <v>272</v>
      </c>
      <c r="W514" s="591"/>
      <c r="X514" s="595">
        <f>SUM(O376,O433,O468,O484,O495,O511)</f>
        <v>0</v>
      </c>
      <c r="Y514" s="595"/>
      <c r="Z514" s="594" t="str">
        <f>IF(ISERROR(X514/X516),"",X514/X516)</f>
        <v/>
      </c>
      <c r="AA514" s="594"/>
    </row>
    <row r="515" spans="1:27" ht="20.100000000000001" customHeight="1">
      <c r="A515" s="308" t="s">
        <v>478</v>
      </c>
      <c r="B515" s="492">
        <f>I507+C513</f>
        <v>100</v>
      </c>
      <c r="C515" s="601" t="s">
        <v>251</v>
      </c>
      <c r="D515" s="602"/>
      <c r="E515" s="603">
        <f>K507+I513</f>
        <v>127.39442815249265</v>
      </c>
      <c r="F515" s="603"/>
      <c r="G515" s="591" t="s">
        <v>274</v>
      </c>
      <c r="H515" s="591"/>
      <c r="I515" s="600">
        <f>B515-E515</f>
        <v>-27.394428152492651</v>
      </c>
      <c r="J515" s="600"/>
      <c r="K515" s="588" t="s">
        <v>275</v>
      </c>
      <c r="L515" s="588"/>
      <c r="M515" s="592">
        <f>IF(ISERROR(I515/E515),"",I515/E515)</f>
        <v>-0.21503631320281286</v>
      </c>
      <c r="N515" s="592"/>
      <c r="O515" s="588"/>
      <c r="P515" s="591" t="s">
        <v>245</v>
      </c>
      <c r="Q515" s="591"/>
      <c r="R515" s="593"/>
      <c r="S515" s="593"/>
      <c r="T515" s="594" t="str">
        <f>IF(ISERROR(R515/R516),"",R515/R516)</f>
        <v/>
      </c>
      <c r="U515" s="594"/>
      <c r="V515" s="591" t="s">
        <v>264</v>
      </c>
      <c r="W515" s="591"/>
      <c r="X515" s="595">
        <f>SUM(O377,O434,O469,O489,O496,O512)</f>
        <v>0</v>
      </c>
      <c r="Y515" s="595"/>
      <c r="Z515" s="594" t="str">
        <f>IF(ISERROR(X515/X516),"",X515/X516)</f>
        <v/>
      </c>
      <c r="AA515" s="594"/>
    </row>
    <row r="516" spans="1:27" ht="20.100000000000001" customHeight="1">
      <c r="A516" s="308" t="s">
        <v>479</v>
      </c>
      <c r="B516" s="492">
        <f>N507</f>
        <v>0</v>
      </c>
      <c r="C516" s="601" t="s">
        <v>277</v>
      </c>
      <c r="D516" s="602"/>
      <c r="E516" s="594">
        <f>IF(ISERROR(B516/B515),"",B516/B515)</f>
        <v>0</v>
      </c>
      <c r="F516" s="594"/>
      <c r="G516" s="591" t="s">
        <v>278</v>
      </c>
      <c r="H516" s="591"/>
      <c r="I516" s="588">
        <f>V507</f>
        <v>0</v>
      </c>
      <c r="J516" s="588"/>
      <c r="K516" s="588" t="s">
        <v>279</v>
      </c>
      <c r="L516" s="588"/>
      <c r="M516" s="592">
        <f t="array" ref="M516">IF(ISERROR(I516/B514),"",I516/B514)</f>
        <v>0</v>
      </c>
      <c r="N516" s="592"/>
      <c r="O516" s="588"/>
      <c r="P516" s="591" t="s">
        <v>266</v>
      </c>
      <c r="Q516" s="591"/>
      <c r="R516" s="593">
        <f>SUM(R509:S515)</f>
        <v>0</v>
      </c>
      <c r="S516" s="593"/>
      <c r="T516" s="594"/>
      <c r="U516" s="594"/>
      <c r="V516" s="591" t="s">
        <v>266</v>
      </c>
      <c r="W516" s="591"/>
      <c r="X516" s="595">
        <f>SUM(X509:Y515)</f>
        <v>0</v>
      </c>
      <c r="Y516" s="595"/>
      <c r="Z516" s="594"/>
      <c r="AA516" s="594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630" t="str">
        <f>IF(ISERROR(#REF!/#REF!),"",#REF!/#REF!)</f>
        <v/>
      </c>
      <c r="H517" s="630"/>
      <c r="I517" s="630"/>
      <c r="J517" s="125"/>
      <c r="K517" s="160"/>
      <c r="L517" s="122"/>
      <c r="M517" s="122"/>
      <c r="N517" s="630" t="str">
        <f>IF(ISERROR(G517/#REF!),"",G517/#REF!)</f>
        <v/>
      </c>
      <c r="O517" s="630"/>
      <c r="P517" s="630"/>
      <c r="Q517" s="630"/>
      <c r="R517" s="630"/>
      <c r="S517" s="493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6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633" t="s">
        <v>268</v>
      </c>
      <c r="B519" s="633"/>
      <c r="C519" s="586">
        <f>SUM(B171,B342,B514)</f>
        <v>12295</v>
      </c>
      <c r="D519" s="587"/>
      <c r="E519" s="633" t="s">
        <v>269</v>
      </c>
      <c r="F519" s="633"/>
      <c r="G519" s="603">
        <f>SUM(E171,E342,E514)</f>
        <v>62620.400000000009</v>
      </c>
      <c r="H519" s="603"/>
      <c r="I519" s="591" t="s">
        <v>270</v>
      </c>
      <c r="J519" s="633"/>
      <c r="K519" s="586">
        <f>IF(ISERROR(C519/G520),"",C519/G520)</f>
        <v>13.788282825221641</v>
      </c>
      <c r="L519" s="587"/>
      <c r="M519" s="591" t="s">
        <v>271</v>
      </c>
      <c r="N519" s="591"/>
      <c r="O519" s="628">
        <f t="array" ref="O519">IF(ISERROR(C519/C520),"",C519/C520)</f>
        <v>15.844072164948454</v>
      </c>
      <c r="P519" s="629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591" t="s">
        <v>273</v>
      </c>
      <c r="B520" s="591"/>
      <c r="C520" s="586">
        <f>SUM(B172,B343,B515)</f>
        <v>776</v>
      </c>
      <c r="D520" s="587"/>
      <c r="E520" s="591" t="s">
        <v>251</v>
      </c>
      <c r="F520" s="591"/>
      <c r="G520" s="603">
        <f>SUM(E172,E343,E515)</f>
        <v>891.69914454538775</v>
      </c>
      <c r="H520" s="603"/>
      <c r="I520" s="601" t="s">
        <v>274</v>
      </c>
      <c r="J520" s="602"/>
      <c r="K520" s="598">
        <f>C520-G520</f>
        <v>-115.69914454538775</v>
      </c>
      <c r="L520" s="599"/>
      <c r="M520" s="598" t="s">
        <v>275</v>
      </c>
      <c r="N520" s="599"/>
      <c r="O520" s="631">
        <f>IF(ISERROR(K520/C520),"",K520/C520)</f>
        <v>-0.14909683575436566</v>
      </c>
      <c r="P520" s="632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601" t="s">
        <v>276</v>
      </c>
      <c r="B521" s="602"/>
      <c r="C521" s="586">
        <f>SUM(B173,B344,B516)</f>
        <v>0</v>
      </c>
      <c r="D521" s="587"/>
      <c r="E521" s="601" t="s">
        <v>277</v>
      </c>
      <c r="F521" s="602"/>
      <c r="G521" s="594">
        <f>IF(ISERROR(C521/C520),"",C521/C520)</f>
        <v>0</v>
      </c>
      <c r="H521" s="594"/>
      <c r="I521" s="591" t="s">
        <v>278</v>
      </c>
      <c r="J521" s="633"/>
      <c r="K521" s="603">
        <f>SUM(I173,I344,I516)</f>
        <v>0</v>
      </c>
      <c r="L521" s="603"/>
      <c r="M521" s="633" t="s">
        <v>279</v>
      </c>
      <c r="N521" s="633"/>
      <c r="O521" s="631">
        <f t="array" ref="O521">IF(ISERROR(K521/C519),"",K521/C519)</f>
        <v>0</v>
      </c>
      <c r="P521" s="632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347"/>
      <c r="H522" s="168"/>
      <c r="I522" s="493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601" t="s">
        <v>298</v>
      </c>
      <c r="B523" s="602"/>
      <c r="C523" s="601" t="s">
        <v>299</v>
      </c>
      <c r="D523" s="602"/>
      <c r="E523" s="601" t="s">
        <v>256</v>
      </c>
      <c r="F523" s="602"/>
      <c r="G523" s="634" t="s">
        <v>254</v>
      </c>
      <c r="H523" s="635"/>
      <c r="I523" s="601" t="s">
        <v>255</v>
      </c>
      <c r="J523" s="599"/>
      <c r="K523" s="601" t="s">
        <v>300</v>
      </c>
      <c r="L523" s="602"/>
      <c r="M523" s="601" t="s">
        <v>256</v>
      </c>
      <c r="N523" s="602"/>
      <c r="O523" s="591" t="s">
        <v>257</v>
      </c>
      <c r="P523" s="591"/>
      <c r="Q523" s="601" t="s">
        <v>300</v>
      </c>
      <c r="R523" s="602"/>
      <c r="S523" s="601" t="s">
        <v>256</v>
      </c>
      <c r="T523" s="602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640" t="s">
        <v>201</v>
      </c>
      <c r="B524" s="602"/>
      <c r="C524" s="601">
        <f>SUM(G28,G199,G370)</f>
        <v>887</v>
      </c>
      <c r="D524" s="602"/>
      <c r="E524" s="641">
        <f>IF(ISERROR(C524/C530),"",C524/C530)</f>
        <v>7.2143147620984144E-2</v>
      </c>
      <c r="F524" s="642"/>
      <c r="G524" s="636"/>
      <c r="H524" s="637"/>
      <c r="I524" s="643" t="s">
        <v>301</v>
      </c>
      <c r="J524" s="644"/>
      <c r="K524" s="598">
        <f t="shared" ref="K524:K529" si="239">SUM(R166,U337,U509)</f>
        <v>0</v>
      </c>
      <c r="L524" s="599"/>
      <c r="M524" s="641" t="str">
        <f t="array" ref="M524">IF(ISERROR(K524/K530),"",K524/K530)</f>
        <v/>
      </c>
      <c r="N524" s="642"/>
      <c r="O524" s="591" t="s">
        <v>259</v>
      </c>
      <c r="P524" s="591"/>
      <c r="Q524" s="628">
        <f t="shared" ref="Q524:Q529" si="240">SUM(X166,AA337,AA509)</f>
        <v>0</v>
      </c>
      <c r="R524" s="629"/>
      <c r="S524" s="641" t="str">
        <f t="array" ref="S524">IF(ISERROR(Q524/Q530),"",Q524/Q530)</f>
        <v/>
      </c>
      <c r="T524" s="642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640" t="s">
        <v>216</v>
      </c>
      <c r="B525" s="602"/>
      <c r="C525" s="601">
        <f>SUM(G86,G257,G428)</f>
        <v>5665</v>
      </c>
      <c r="D525" s="602"/>
      <c r="E525" s="641">
        <f>IF(ISERROR(C525/C530),"",C525/C530)</f>
        <v>0.46075640504270027</v>
      </c>
      <c r="F525" s="642"/>
      <c r="G525" s="636"/>
      <c r="H525" s="637"/>
      <c r="I525" s="643" t="s">
        <v>302</v>
      </c>
      <c r="J525" s="644"/>
      <c r="K525" s="598">
        <f t="shared" si="239"/>
        <v>0</v>
      </c>
      <c r="L525" s="599"/>
      <c r="M525" s="641" t="str">
        <f>IF(ISERROR(K525/K530),"",K525/K530)</f>
        <v/>
      </c>
      <c r="N525" s="642"/>
      <c r="O525" s="591" t="s">
        <v>261</v>
      </c>
      <c r="P525" s="591"/>
      <c r="Q525" s="628">
        <f t="shared" si="240"/>
        <v>0</v>
      </c>
      <c r="R525" s="629"/>
      <c r="S525" s="641" t="str">
        <f>IF(ISERROR(Q525/Q530),"",Q525/Q530)</f>
        <v/>
      </c>
      <c r="T525" s="642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640" t="s">
        <v>224</v>
      </c>
      <c r="B526" s="602"/>
      <c r="C526" s="601">
        <f>SUM(G121,G292,G463)</f>
        <v>2503</v>
      </c>
      <c r="D526" s="602"/>
      <c r="E526" s="641">
        <f>IF(ISERROR(C526/C530),"",C526/C530)</f>
        <v>0.20357869052460351</v>
      </c>
      <c r="F526" s="642"/>
      <c r="G526" s="636"/>
      <c r="H526" s="637"/>
      <c r="I526" s="643" t="s">
        <v>303</v>
      </c>
      <c r="J526" s="644"/>
      <c r="K526" s="598">
        <f t="shared" si="239"/>
        <v>0</v>
      </c>
      <c r="L526" s="599"/>
      <c r="M526" s="641" t="str">
        <f>IF(ISERROR(K526/K530),"",K526/K530)</f>
        <v/>
      </c>
      <c r="N526" s="642"/>
      <c r="O526" s="591" t="s">
        <v>263</v>
      </c>
      <c r="P526" s="591"/>
      <c r="Q526" s="628">
        <f t="shared" si="240"/>
        <v>0</v>
      </c>
      <c r="R526" s="629"/>
      <c r="S526" s="641" t="str">
        <f>IF(ISERROR(Q526/Q530),"",Q526/Q530)</f>
        <v/>
      </c>
      <c r="T526" s="642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640" t="s">
        <v>231</v>
      </c>
      <c r="B527" s="602"/>
      <c r="C527" s="601">
        <f>SUM(G137,G308,G479)</f>
        <v>1612</v>
      </c>
      <c r="D527" s="602"/>
      <c r="E527" s="641">
        <f>IF(ISERROR(C527/C530),"",C527/C530)</f>
        <v>0.13111020740138268</v>
      </c>
      <c r="F527" s="642"/>
      <c r="G527" s="636"/>
      <c r="H527" s="637"/>
      <c r="I527" s="643" t="s">
        <v>304</v>
      </c>
      <c r="J527" s="644"/>
      <c r="K527" s="598">
        <f t="shared" si="239"/>
        <v>0</v>
      </c>
      <c r="L527" s="599"/>
      <c r="M527" s="641" t="str">
        <f>IF(ISERROR(K527/K530),"",K527/K530)</f>
        <v/>
      </c>
      <c r="N527" s="642"/>
      <c r="O527" s="591" t="s">
        <v>305</v>
      </c>
      <c r="P527" s="591"/>
      <c r="Q527" s="628">
        <f t="shared" si="240"/>
        <v>0</v>
      </c>
      <c r="R527" s="629"/>
      <c r="S527" s="641" t="str">
        <f>IF(ISERROR(Q527/Q530),"",Q527/Q530)</f>
        <v/>
      </c>
      <c r="T527" s="642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640" t="s">
        <v>234</v>
      </c>
      <c r="B528" s="602"/>
      <c r="C528" s="601">
        <f>SUM(G148,G319,G490)</f>
        <v>1254</v>
      </c>
      <c r="D528" s="602"/>
      <c r="E528" s="641">
        <f>IF(ISERROR(C528/C530),"",C528/C530)</f>
        <v>0.10199267995119968</v>
      </c>
      <c r="F528" s="642"/>
      <c r="G528" s="636"/>
      <c r="H528" s="637"/>
      <c r="I528" s="643" t="s">
        <v>306</v>
      </c>
      <c r="J528" s="644"/>
      <c r="K528" s="598">
        <f t="shared" si="239"/>
        <v>0</v>
      </c>
      <c r="L528" s="599"/>
      <c r="M528" s="641" t="str">
        <f>IF(ISERROR(K528/K530),"",K528/K530)</f>
        <v/>
      </c>
      <c r="N528" s="642"/>
      <c r="O528" s="591" t="s">
        <v>267</v>
      </c>
      <c r="P528" s="591"/>
      <c r="Q528" s="628">
        <f t="shared" si="240"/>
        <v>0</v>
      </c>
      <c r="R528" s="629"/>
      <c r="S528" s="641" t="str">
        <f>IF(ISERROR(Q528/Q530),"",Q528/Q530)</f>
        <v/>
      </c>
      <c r="T528" s="642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640" t="s">
        <v>244</v>
      </c>
      <c r="B529" s="602"/>
      <c r="C529" s="601">
        <f>SUM(G163,G334,G506)</f>
        <v>374</v>
      </c>
      <c r="D529" s="602"/>
      <c r="E529" s="641">
        <f>IF(ISERROR(C529/C530),"",C529/C530)</f>
        <v>3.0418869459129728E-2</v>
      </c>
      <c r="F529" s="642"/>
      <c r="G529" s="636"/>
      <c r="H529" s="637"/>
      <c r="I529" s="643" t="s">
        <v>307</v>
      </c>
      <c r="J529" s="644"/>
      <c r="K529" s="598">
        <f t="shared" si="239"/>
        <v>0</v>
      </c>
      <c r="L529" s="599"/>
      <c r="M529" s="641" t="str">
        <f>IF(ISERROR(K529/K530),"",K529/K530)</f>
        <v/>
      </c>
      <c r="N529" s="642"/>
      <c r="O529" s="591" t="s">
        <v>272</v>
      </c>
      <c r="P529" s="591"/>
      <c r="Q529" s="628">
        <f t="shared" si="240"/>
        <v>0</v>
      </c>
      <c r="R529" s="629"/>
      <c r="S529" s="641" t="str">
        <f>IF(ISERROR(Q529/Q530),"",Q529/Q530)</f>
        <v/>
      </c>
      <c r="T529" s="642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601" t="s">
        <v>266</v>
      </c>
      <c r="B530" s="602"/>
      <c r="C530" s="601">
        <f>SUM(C524:C529)</f>
        <v>12295</v>
      </c>
      <c r="D530" s="602"/>
      <c r="E530" s="641">
        <f>SUM(E524:F529)</f>
        <v>1</v>
      </c>
      <c r="F530" s="642"/>
      <c r="G530" s="638"/>
      <c r="H530" s="639"/>
      <c r="I530" s="601" t="s">
        <v>266</v>
      </c>
      <c r="J530" s="599"/>
      <c r="K530" s="598">
        <f>SUM(R173,U344,U516)</f>
        <v>0</v>
      </c>
      <c r="L530" s="599"/>
      <c r="M530" s="641"/>
      <c r="N530" s="642"/>
      <c r="O530" s="591" t="s">
        <v>266</v>
      </c>
      <c r="P530" s="591"/>
      <c r="Q530" s="628">
        <f>SUM(Q524:R529)</f>
        <v>0</v>
      </c>
      <c r="R530" s="629"/>
      <c r="S530" s="641">
        <f>SUM(S524:T529)</f>
        <v>0</v>
      </c>
      <c r="T530" s="642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172"/>
      <c r="D531" s="172"/>
      <c r="E531" s="172"/>
      <c r="F531" s="172"/>
      <c r="G531" s="173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643" t="s">
        <v>308</v>
      </c>
      <c r="B532" s="597"/>
      <c r="C532" s="496" t="s">
        <v>309</v>
      </c>
      <c r="D532" s="496" t="s">
        <v>310</v>
      </c>
      <c r="E532" s="496" t="s">
        <v>311</v>
      </c>
      <c r="F532" s="496" t="s">
        <v>312</v>
      </c>
      <c r="G532" s="348" t="s">
        <v>313</v>
      </c>
      <c r="H532" s="129" t="s">
        <v>314</v>
      </c>
      <c r="I532" s="129" t="s">
        <v>315</v>
      </c>
      <c r="J532" s="129" t="s">
        <v>316</v>
      </c>
      <c r="K532" s="498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490" t="s">
        <v>322</v>
      </c>
      <c r="Q532" s="129" t="s">
        <v>323</v>
      </c>
      <c r="R532" s="109" t="s">
        <v>324</v>
      </c>
      <c r="S532" s="496" t="s">
        <v>325</v>
      </c>
      <c r="T532" s="496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645" t="s">
        <v>327</v>
      </c>
      <c r="B533" s="646"/>
      <c r="C533" s="106">
        <f>D533+E533+F533-G533-O533-P533</f>
        <v>46</v>
      </c>
      <c r="D533" s="106">
        <f>+'8'!C533</f>
        <v>46</v>
      </c>
      <c r="E533" s="106"/>
      <c r="F533" s="106"/>
      <c r="G533" s="107"/>
      <c r="H533" s="106"/>
      <c r="I533" s="106"/>
      <c r="J533" s="106">
        <f>C533-H533-I533</f>
        <v>46</v>
      </c>
      <c r="K533" s="106"/>
      <c r="L533" s="106"/>
      <c r="M533" s="106"/>
      <c r="N533" s="106"/>
      <c r="O533" s="106"/>
      <c r="P533" s="108"/>
      <c r="Q533" s="106">
        <f>J533-K533-L533</f>
        <v>46</v>
      </c>
      <c r="R533" s="109">
        <f>Q533*11-M533-N533</f>
        <v>506</v>
      </c>
      <c r="S533" s="497">
        <f t="array" ref="S533">IF(ISERROR(Q533/J533),"",Q533/J533)</f>
        <v>1</v>
      </c>
      <c r="T533" s="497">
        <f t="array" ref="T533">IF(ISERROR((O533:P533)/C533),"",SUM(O533:P533)/C533)</f>
        <v>0</v>
      </c>
      <c r="X533" s="116"/>
      <c r="Y533" s="116"/>
      <c r="Z533" s="159"/>
      <c r="AA533" s="159"/>
    </row>
    <row r="534" spans="1:27" ht="20.100000000000001" customHeight="1">
      <c r="A534" s="645" t="s">
        <v>328</v>
      </c>
      <c r="B534" s="646"/>
      <c r="C534" s="106">
        <f>D534+E534+F534-G534-O534-P534</f>
        <v>44</v>
      </c>
      <c r="D534" s="106">
        <f>+'8'!C534</f>
        <v>44</v>
      </c>
      <c r="E534" s="110"/>
      <c r="F534" s="110"/>
      <c r="G534" s="107"/>
      <c r="H534" s="106"/>
      <c r="I534" s="106"/>
      <c r="J534" s="106">
        <f>C534-H534-I534</f>
        <v>44</v>
      </c>
      <c r="K534" s="106">
        <v>1</v>
      </c>
      <c r="L534" s="106"/>
      <c r="M534" s="106"/>
      <c r="N534" s="106"/>
      <c r="O534" s="110"/>
      <c r="P534" s="111"/>
      <c r="Q534" s="106">
        <f>J534-K534-L534</f>
        <v>43</v>
      </c>
      <c r="R534" s="109">
        <f>Q534*11-M534-N534</f>
        <v>473</v>
      </c>
      <c r="S534" s="497">
        <f t="array" ref="S534">IF(ISERROR(Q534/J534),"",Q534/J534)</f>
        <v>0.97727272727272729</v>
      </c>
      <c r="T534" s="497">
        <f t="array" ref="T534">IF(ISERROR((O534:P534)/C534),"",SUM(O534:P534)/C534)</f>
        <v>0</v>
      </c>
      <c r="X534" s="116"/>
      <c r="Y534" s="116"/>
      <c r="Z534" s="159"/>
      <c r="AA534" s="159"/>
    </row>
    <row r="535" spans="1:27" ht="20.100000000000001" customHeight="1">
      <c r="A535" s="645" t="s">
        <v>329</v>
      </c>
      <c r="B535" s="646"/>
      <c r="C535" s="106">
        <f>D535+E535+F535-G535-O535-P535</f>
        <v>10</v>
      </c>
      <c r="D535" s="106">
        <f>+'8'!C535</f>
        <v>10</v>
      </c>
      <c r="E535" s="110"/>
      <c r="F535" s="110"/>
      <c r="G535" s="107"/>
      <c r="H535" s="106"/>
      <c r="I535" s="106"/>
      <c r="J535" s="106">
        <f>C535-H535-I535</f>
        <v>10</v>
      </c>
      <c r="K535" s="106"/>
      <c r="L535" s="106"/>
      <c r="M535" s="106"/>
      <c r="N535" s="106"/>
      <c r="O535" s="110"/>
      <c r="P535" s="111"/>
      <c r="Q535" s="106">
        <f>J535-K535-L535</f>
        <v>10</v>
      </c>
      <c r="R535" s="109">
        <f>Q535*11-M535-N535</f>
        <v>110</v>
      </c>
      <c r="S535" s="497">
        <f t="array" ref="S535">IF(ISERROR(Q535/J535),"",Q535/J535)</f>
        <v>1</v>
      </c>
      <c r="T535" s="497">
        <f t="array" ref="T535">IF(ISERROR((O535:P535)/C535),"",SUM(O535:P535)/C535)</f>
        <v>0</v>
      </c>
      <c r="V535" s="179"/>
      <c r="X535" s="116"/>
      <c r="Y535" s="116"/>
      <c r="Z535" s="159"/>
      <c r="AA535" s="159"/>
    </row>
    <row r="536" spans="1:27" ht="20.100000000000001" customHeight="1">
      <c r="A536" s="647" t="s">
        <v>330</v>
      </c>
      <c r="B536" s="648"/>
      <c r="C536" s="112">
        <f>SUM(C533:C535)</f>
        <v>100</v>
      </c>
      <c r="D536" s="112">
        <f t="shared" ref="D536:N536" si="241">SUM(D533:D535)</f>
        <v>100</v>
      </c>
      <c r="E536" s="112">
        <f t="shared" si="241"/>
        <v>0</v>
      </c>
      <c r="F536" s="112">
        <f t="shared" si="241"/>
        <v>0</v>
      </c>
      <c r="G536" s="113">
        <f t="shared" si="241"/>
        <v>0</v>
      </c>
      <c r="H536" s="112">
        <f t="shared" si="241"/>
        <v>0</v>
      </c>
      <c r="I536" s="112">
        <f t="shared" si="241"/>
        <v>0</v>
      </c>
      <c r="J536" s="112">
        <f t="shared" si="241"/>
        <v>100</v>
      </c>
      <c r="K536" s="112">
        <f t="shared" si="241"/>
        <v>1</v>
      </c>
      <c r="L536" s="112">
        <f t="shared" si="241"/>
        <v>0</v>
      </c>
      <c r="M536" s="112">
        <f t="shared" si="241"/>
        <v>0</v>
      </c>
      <c r="N536" s="112">
        <f t="shared" si="241"/>
        <v>0</v>
      </c>
      <c r="O536" s="112">
        <f>SUM(O533:O535)</f>
        <v>0</v>
      </c>
      <c r="P536" s="112">
        <f>SUM(P533:P535)</f>
        <v>0</v>
      </c>
      <c r="Q536" s="112">
        <f>SUM(Q533:Q535)</f>
        <v>99</v>
      </c>
      <c r="R536" s="114">
        <f>SUM(R533:R535)</f>
        <v>1089</v>
      </c>
      <c r="S536" s="115">
        <f t="array" ref="S536">IF(ISERROR(Q536/J536),"",Q536/J536)</f>
        <v>0.99</v>
      </c>
      <c r="T536" s="115">
        <f t="array" ref="T536">IF(ISERROR((O536:P536)/C536),"",SUM(O536:P536)/C536)</f>
        <v>0</v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7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7"/>
      <c r="H538" s="116"/>
      <c r="I538" s="118" t="s">
        <v>332</v>
      </c>
      <c r="J538" s="198" t="s">
        <v>447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54" spans="2:2">
      <c r="B554" s="121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16" activePane="bottomRight" state="frozen"/>
      <selection activeCell="E487" sqref="E487"/>
      <selection pane="topRight" activeCell="E487" sqref="E487"/>
      <selection pane="bottomLeft" activeCell="E487" sqref="E487"/>
      <selection pane="bottomRight" activeCell="G112" sqref="G112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55" t="s">
        <v>413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55"/>
      <c r="M1" s="555"/>
      <c r="N1" s="555"/>
      <c r="O1" s="555"/>
      <c r="P1" s="555"/>
      <c r="Q1" s="555"/>
      <c r="R1" s="555"/>
      <c r="S1" s="555"/>
      <c r="T1" s="555"/>
      <c r="U1" s="555"/>
      <c r="V1" s="555"/>
      <c r="W1" s="555"/>
      <c r="X1" s="555"/>
      <c r="Y1" s="555"/>
      <c r="Z1" s="555"/>
      <c r="AA1" s="555"/>
    </row>
    <row r="2" spans="1:27" ht="18.75">
      <c r="A2" s="556"/>
      <c r="B2" s="556"/>
      <c r="C2" s="556"/>
      <c r="D2" s="556"/>
      <c r="E2" s="556"/>
      <c r="F2" s="556"/>
      <c r="G2" s="556"/>
      <c r="H2" s="556"/>
      <c r="I2" s="556"/>
      <c r="J2" s="556"/>
      <c r="K2" s="556"/>
      <c r="L2" s="556"/>
      <c r="M2" s="556"/>
      <c r="N2" s="556"/>
      <c r="O2" s="556"/>
      <c r="P2" s="556"/>
      <c r="Q2" s="556"/>
      <c r="R2" s="556"/>
      <c r="S2" s="556"/>
      <c r="T2" s="556"/>
      <c r="U2" s="556"/>
      <c r="V2" s="556"/>
      <c r="W2" s="556"/>
      <c r="X2" s="556"/>
      <c r="Y2" s="556"/>
      <c r="Z2" s="556"/>
      <c r="AA2" s="556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57" t="s">
        <v>12</v>
      </c>
      <c r="B4" s="557" t="s">
        <v>25</v>
      </c>
      <c r="C4" s="557" t="s">
        <v>26</v>
      </c>
      <c r="D4" s="557" t="s">
        <v>27</v>
      </c>
      <c r="E4" s="560" t="s">
        <v>28</v>
      </c>
      <c r="F4" s="563" t="s">
        <v>29</v>
      </c>
      <c r="G4" s="566" t="s">
        <v>30</v>
      </c>
      <c r="H4" s="566"/>
      <c r="I4" s="557" t="s">
        <v>31</v>
      </c>
      <c r="J4" s="569" t="s">
        <v>32</v>
      </c>
      <c r="K4" s="572" t="s">
        <v>33</v>
      </c>
      <c r="L4" s="557" t="s">
        <v>34</v>
      </c>
      <c r="M4" s="575" t="s">
        <v>35</v>
      </c>
      <c r="N4" s="577" t="s">
        <v>36</v>
      </c>
      <c r="O4" s="566" t="s">
        <v>37</v>
      </c>
      <c r="P4" s="566"/>
      <c r="Q4" s="566"/>
      <c r="R4" s="566"/>
      <c r="S4" s="566"/>
      <c r="T4" s="566"/>
      <c r="U4" s="566"/>
      <c r="V4" s="566" t="s">
        <v>38</v>
      </c>
      <c r="W4" s="577" t="s">
        <v>39</v>
      </c>
      <c r="X4" s="566" t="s">
        <v>40</v>
      </c>
      <c r="Y4" s="566"/>
      <c r="Z4" s="566"/>
      <c r="AA4" s="566"/>
    </row>
    <row r="5" spans="1:27" s="104" customFormat="1" ht="15" customHeight="1">
      <c r="A5" s="558"/>
      <c r="B5" s="558"/>
      <c r="C5" s="558"/>
      <c r="D5" s="558"/>
      <c r="E5" s="561"/>
      <c r="F5" s="564"/>
      <c r="G5" s="566"/>
      <c r="H5" s="566"/>
      <c r="I5" s="558"/>
      <c r="J5" s="570"/>
      <c r="K5" s="573"/>
      <c r="L5" s="558"/>
      <c r="M5" s="576"/>
      <c r="N5" s="577"/>
      <c r="O5" s="566" t="s">
        <v>41</v>
      </c>
      <c r="P5" s="566" t="s">
        <v>42</v>
      </c>
      <c r="Q5" s="566" t="s">
        <v>43</v>
      </c>
      <c r="R5" s="567" t="s">
        <v>44</v>
      </c>
      <c r="S5" s="568" t="s">
        <v>45</v>
      </c>
      <c r="T5" s="566" t="s">
        <v>46</v>
      </c>
      <c r="U5" s="566" t="s">
        <v>47</v>
      </c>
      <c r="V5" s="566"/>
      <c r="W5" s="577"/>
      <c r="X5" s="566" t="s">
        <v>13</v>
      </c>
      <c r="Y5" s="566" t="s">
        <v>48</v>
      </c>
      <c r="Z5" s="566" t="s">
        <v>49</v>
      </c>
      <c r="AA5" s="566" t="s">
        <v>47</v>
      </c>
    </row>
    <row r="6" spans="1:27" s="104" customFormat="1" ht="27.75" customHeight="1">
      <c r="A6" s="559"/>
      <c r="B6" s="559"/>
      <c r="C6" s="559"/>
      <c r="D6" s="559"/>
      <c r="E6" s="562"/>
      <c r="F6" s="565"/>
      <c r="G6" s="350" t="s">
        <v>50</v>
      </c>
      <c r="H6" s="514" t="s">
        <v>51</v>
      </c>
      <c r="I6" s="559"/>
      <c r="J6" s="571"/>
      <c r="K6" s="574"/>
      <c r="L6" s="559"/>
      <c r="M6" s="576"/>
      <c r="N6" s="577"/>
      <c r="O6" s="566"/>
      <c r="P6" s="566"/>
      <c r="Q6" s="566"/>
      <c r="R6" s="567"/>
      <c r="S6" s="568"/>
      <c r="T6" s="566"/>
      <c r="U6" s="566"/>
      <c r="V6" s="566"/>
      <c r="W6" s="577"/>
      <c r="X6" s="566"/>
      <c r="Y6" s="566"/>
      <c r="Z6" s="566"/>
      <c r="AA6" s="566"/>
    </row>
    <row r="7" spans="1:27" ht="20.100000000000001" hidden="1" customHeight="1">
      <c r="A7" s="299">
        <v>30100030</v>
      </c>
      <c r="B7" s="503" t="s">
        <v>178</v>
      </c>
      <c r="C7" s="126" t="s">
        <v>179</v>
      </c>
      <c r="D7" s="108">
        <v>5.03</v>
      </c>
      <c r="E7" s="108"/>
      <c r="F7" s="127"/>
      <c r="G7" s="128"/>
      <c r="H7" s="504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512"/>
      <c r="P7" s="512"/>
      <c r="Q7" s="512"/>
      <c r="R7" s="512"/>
      <c r="S7" s="512"/>
      <c r="T7" s="512"/>
      <c r="U7" s="512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504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512"/>
      <c r="Q8" s="512"/>
      <c r="R8" s="512"/>
      <c r="S8" s="512"/>
      <c r="T8" s="512"/>
      <c r="U8" s="512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504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512"/>
      <c r="P9" s="512"/>
      <c r="Q9" s="512"/>
      <c r="R9" s="512"/>
      <c r="S9" s="512"/>
      <c r="T9" s="512"/>
      <c r="U9" s="512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504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512"/>
      <c r="P10" s="512"/>
      <c r="Q10" s="512"/>
      <c r="R10" s="512"/>
      <c r="S10" s="512"/>
      <c r="T10" s="512"/>
      <c r="U10" s="512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504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512"/>
      <c r="P11" s="512"/>
      <c r="Q11" s="512"/>
      <c r="R11" s="512"/>
      <c r="S11" s="512"/>
      <c r="T11" s="512"/>
      <c r="U11" s="512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504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512"/>
      <c r="P12" s="512"/>
      <c r="Q12" s="512"/>
      <c r="R12" s="512"/>
      <c r="S12" s="512"/>
      <c r="T12" s="512"/>
      <c r="U12" s="512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504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512"/>
      <c r="P13" s="512"/>
      <c r="Q13" s="512"/>
      <c r="R13" s="512"/>
      <c r="S13" s="512"/>
      <c r="T13" s="512"/>
      <c r="U13" s="512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504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512"/>
      <c r="P14" s="512"/>
      <c r="Q14" s="512"/>
      <c r="R14" s="512"/>
      <c r="S14" s="512"/>
      <c r="T14" s="512"/>
      <c r="U14" s="512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504">
        <f t="shared" si="0"/>
        <v>0</v>
      </c>
      <c r="I15" s="504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512"/>
      <c r="P15" s="512"/>
      <c r="Q15" s="512"/>
      <c r="R15" s="512"/>
      <c r="S15" s="512"/>
      <c r="T15" s="512"/>
      <c r="U15" s="512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39">
        <v>42744</v>
      </c>
      <c r="G16" s="128">
        <f>91+100*2</f>
        <v>291</v>
      </c>
      <c r="H16" s="504">
        <f t="shared" si="0"/>
        <v>1466.64</v>
      </c>
      <c r="I16" s="504">
        <f>4*5</f>
        <v>20</v>
      </c>
      <c r="J16" s="130">
        <f t="array" ref="J16">IF(ISERROR(G16/I16),"",G16/I16)</f>
        <v>14.55</v>
      </c>
      <c r="K16" s="131">
        <f t="array" ref="K16">IF(ISERROR(G16/L16),"",G16/L16)</f>
        <v>17.117647058823529</v>
      </c>
      <c r="L16" s="129">
        <v>17</v>
      </c>
      <c r="M16" s="109">
        <f t="shared" si="1"/>
        <v>2.882352941176471</v>
      </c>
      <c r="N16" s="130">
        <f t="shared" si="4"/>
        <v>0</v>
      </c>
      <c r="O16" s="512"/>
      <c r="P16" s="512"/>
      <c r="Q16" s="512"/>
      <c r="R16" s="512"/>
      <c r="S16" s="512"/>
      <c r="T16" s="512"/>
      <c r="U16" s="512"/>
      <c r="V16" s="132">
        <f>SUM(X16:AA16)</f>
        <v>0</v>
      </c>
      <c r="W16" s="133">
        <f>IF(ISERROR(V16/G16),"",V16/G16)</f>
        <v>0</v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504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512"/>
      <c r="P17" s="512"/>
      <c r="Q17" s="512"/>
      <c r="R17" s="512"/>
      <c r="S17" s="512"/>
      <c r="T17" s="512"/>
      <c r="U17" s="512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504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512"/>
      <c r="P18" s="512"/>
      <c r="Q18" s="512"/>
      <c r="R18" s="512"/>
      <c r="S18" s="512"/>
      <c r="T18" s="512"/>
      <c r="U18" s="512"/>
      <c r="V18" s="132"/>
      <c r="W18" s="133"/>
      <c r="X18" s="132"/>
      <c r="Y18" s="132"/>
      <c r="Z18" s="132"/>
      <c r="AA18" s="132"/>
    </row>
    <row r="19" spans="1:27" s="351" customFormat="1" ht="20.10000000000000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>
        <v>42744</v>
      </c>
      <c r="G19" s="128">
        <f>90*3+68</f>
        <v>338</v>
      </c>
      <c r="H19" s="504">
        <f t="shared" si="0"/>
        <v>1710.28</v>
      </c>
      <c r="I19" s="129">
        <f>2.5*5</f>
        <v>12.5</v>
      </c>
      <c r="J19" s="130">
        <f t="array" ref="J19">IF(ISERROR(G19/I19),"",G19/I19)</f>
        <v>27.04</v>
      </c>
      <c r="K19" s="131">
        <f t="array" ref="K19">IF(ISERROR(G19/L19),"",G19/L19)</f>
        <v>17.789473684210527</v>
      </c>
      <c r="L19" s="129">
        <v>19</v>
      </c>
      <c r="M19" s="109">
        <f t="shared" si="1"/>
        <v>-5.2894736842105274</v>
      </c>
      <c r="N19" s="129">
        <f t="shared" si="4"/>
        <v>0</v>
      </c>
      <c r="O19" s="512"/>
      <c r="P19" s="512"/>
      <c r="Q19" s="512"/>
      <c r="R19" s="512"/>
      <c r="S19" s="512"/>
      <c r="T19" s="512"/>
      <c r="U19" s="512"/>
      <c r="V19" s="132">
        <f t="shared" ref="V19:V21" si="5">SUM(X19:AA19)</f>
        <v>0</v>
      </c>
      <c r="W19" s="505">
        <f t="shared" ref="W19:W21" si="6">IF(ISERROR(V19/G19),"",V19/G19)</f>
        <v>0</v>
      </c>
      <c r="X19" s="132"/>
      <c r="Y19" s="132"/>
      <c r="Z19" s="132"/>
      <c r="AA19" s="132"/>
    </row>
    <row r="20" spans="1:27" ht="20.10000000000000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>
        <v>42745</v>
      </c>
      <c r="G20" s="128">
        <f>100*7</f>
        <v>700</v>
      </c>
      <c r="H20" s="504">
        <f t="shared" si="0"/>
        <v>3563</v>
      </c>
      <c r="I20" s="129">
        <f>6*5</f>
        <v>30</v>
      </c>
      <c r="J20" s="130">
        <f t="array" ref="J20">IF(ISERROR(G20/I20),"",G20/I20)</f>
        <v>23.333333333333332</v>
      </c>
      <c r="K20" s="131">
        <f t="array" ref="K20">IF(ISERROR(G20/L20),"",G20/L20)</f>
        <v>30.434782608695652</v>
      </c>
      <c r="L20" s="129">
        <v>23</v>
      </c>
      <c r="M20" s="109">
        <f t="shared" si="1"/>
        <v>-0.43478260869565233</v>
      </c>
      <c r="N20" s="130">
        <f t="shared" si="4"/>
        <v>0</v>
      </c>
      <c r="O20" s="512"/>
      <c r="P20" s="512"/>
      <c r="Q20" s="512"/>
      <c r="R20" s="512"/>
      <c r="S20" s="512"/>
      <c r="T20" s="512"/>
      <c r="U20" s="512"/>
      <c r="V20" s="132">
        <f t="shared" si="5"/>
        <v>0</v>
      </c>
      <c r="W20" s="133">
        <f t="shared" si="6"/>
        <v>0</v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504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512"/>
      <c r="P21" s="512"/>
      <c r="Q21" s="512"/>
      <c r="R21" s="512"/>
      <c r="S21" s="512"/>
      <c r="T21" s="512"/>
      <c r="U21" s="512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510" t="s">
        <v>190</v>
      </c>
      <c r="D22" s="108">
        <v>4.8</v>
      </c>
      <c r="E22" s="108"/>
      <c r="F22" s="127"/>
      <c r="G22" s="128"/>
      <c r="H22" s="504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512"/>
      <c r="P22" s="512"/>
      <c r="Q22" s="512"/>
      <c r="R22" s="512"/>
      <c r="S22" s="512"/>
      <c r="T22" s="512"/>
      <c r="U22" s="512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510" t="s">
        <v>187</v>
      </c>
      <c r="D23" s="108">
        <v>4.8</v>
      </c>
      <c r="E23" s="108"/>
      <c r="F23" s="127"/>
      <c r="G23" s="128"/>
      <c r="H23" s="504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512"/>
      <c r="P23" s="512"/>
      <c r="Q23" s="512"/>
      <c r="R23" s="512"/>
      <c r="S23" s="512"/>
      <c r="T23" s="512"/>
      <c r="U23" s="512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510" t="s">
        <v>179</v>
      </c>
      <c r="D24" s="108">
        <v>4.8</v>
      </c>
      <c r="E24" s="108"/>
      <c r="F24" s="127"/>
      <c r="G24" s="128"/>
      <c r="H24" s="504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512"/>
      <c r="P24" s="512"/>
      <c r="Q24" s="512"/>
      <c r="R24" s="512"/>
      <c r="S24" s="512"/>
      <c r="T24" s="512"/>
      <c r="U24" s="512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510" t="s">
        <v>199</v>
      </c>
      <c r="D25" s="108">
        <v>4.8</v>
      </c>
      <c r="E25" s="108"/>
      <c r="F25" s="127"/>
      <c r="G25" s="128"/>
      <c r="H25" s="504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512"/>
      <c r="P25" s="512"/>
      <c r="Q25" s="512"/>
      <c r="R25" s="512"/>
      <c r="S25" s="512"/>
      <c r="T25" s="512"/>
      <c r="U25" s="512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504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512"/>
      <c r="P26" s="512"/>
      <c r="Q26" s="512"/>
      <c r="R26" s="512"/>
      <c r="S26" s="512"/>
      <c r="T26" s="512"/>
      <c r="U26" s="512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504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512"/>
      <c r="P27" s="512"/>
      <c r="Q27" s="512"/>
      <c r="R27" s="512"/>
      <c r="S27" s="512"/>
      <c r="T27" s="512"/>
      <c r="U27" s="512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578" t="s">
        <v>201</v>
      </c>
      <c r="B28" s="579"/>
      <c r="C28" s="513" t="s">
        <v>202</v>
      </c>
      <c r="D28" s="143"/>
      <c r="E28" s="143"/>
      <c r="F28" s="144"/>
      <c r="G28" s="145">
        <f>SUM(G7:G27)</f>
        <v>1329</v>
      </c>
      <c r="H28" s="146">
        <f>SUM(H7:H27)</f>
        <v>6739.92</v>
      </c>
      <c r="I28" s="146">
        <f>SUM(I7:I27)</f>
        <v>62.5</v>
      </c>
      <c r="J28" s="130">
        <f t="array" ref="J28">IF(ISERROR(G28/I28),"",G28/I28)</f>
        <v>21.263999999999999</v>
      </c>
      <c r="K28" s="146">
        <f>SUM(K7:K27)</f>
        <v>65.341903351729712</v>
      </c>
      <c r="L28" s="147"/>
      <c r="M28" s="146">
        <f t="shared" ref="M28:V28" si="10">SUM(M7:M27)</f>
        <v>-2.8419033517297088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503" t="s">
        <v>206</v>
      </c>
      <c r="C29" s="126" t="s">
        <v>199</v>
      </c>
      <c r="D29" s="108">
        <v>5.03</v>
      </c>
      <c r="E29" s="108"/>
      <c r="F29" s="127"/>
      <c r="G29" s="128"/>
      <c r="H29" s="504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508"/>
      <c r="P29" s="508"/>
      <c r="Q29" s="508"/>
      <c r="R29" s="508"/>
      <c r="S29" s="508"/>
      <c r="T29" s="508"/>
      <c r="U29" s="508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customHeight="1">
      <c r="A30" s="300">
        <v>30100011</v>
      </c>
      <c r="B30" s="503" t="s">
        <v>425</v>
      </c>
      <c r="C30" s="187" t="s">
        <v>427</v>
      </c>
      <c r="D30" s="108">
        <v>5.03</v>
      </c>
      <c r="E30" s="108"/>
      <c r="F30" s="127">
        <v>42743</v>
      </c>
      <c r="G30" s="128">
        <v>109</v>
      </c>
      <c r="H30" s="504">
        <f t="shared" si="11"/>
        <v>548.27</v>
      </c>
      <c r="I30" s="129">
        <f>1*2</f>
        <v>2</v>
      </c>
      <c r="J30" s="130">
        <f t="array" ref="J30">IF(ISERROR(G30/I30),"",G30/I30)</f>
        <v>54.5</v>
      </c>
      <c r="K30" s="131">
        <f t="array" ref="K30">IF(ISERROR(G30/L30),"",G30/L30)</f>
        <v>2.0961538461538463</v>
      </c>
      <c r="L30" s="129">
        <v>52</v>
      </c>
      <c r="M30" s="109">
        <f t="shared" ref="M30:M33" si="15">IF(ISERROR(I30-K30),"",I30-K30)</f>
        <v>-9.6153846153846256E-2</v>
      </c>
      <c r="N30" s="130"/>
      <c r="O30" s="508"/>
      <c r="P30" s="508"/>
      <c r="Q30" s="508"/>
      <c r="R30" s="508"/>
      <c r="S30" s="508"/>
      <c r="T30" s="508"/>
      <c r="U30" s="508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503" t="s">
        <v>206</v>
      </c>
      <c r="C31" s="126" t="s">
        <v>186</v>
      </c>
      <c r="D31" s="108">
        <v>5.03</v>
      </c>
      <c r="E31" s="108"/>
      <c r="F31" s="127"/>
      <c r="G31" s="128"/>
      <c r="H31" s="504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si="15"/>
        <v>0</v>
      </c>
      <c r="N31" s="130">
        <f t="shared" ref="N31:N33" si="16">SUM(O31:U31)</f>
        <v>0</v>
      </c>
      <c r="O31" s="508"/>
      <c r="P31" s="508"/>
      <c r="Q31" s="508"/>
      <c r="R31" s="508"/>
      <c r="S31" s="508"/>
      <c r="T31" s="508"/>
      <c r="U31" s="508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customHeight="1">
      <c r="A32" s="300">
        <v>30100014</v>
      </c>
      <c r="B32" s="503" t="s">
        <v>206</v>
      </c>
      <c r="C32" s="126" t="s">
        <v>203</v>
      </c>
      <c r="D32" s="108">
        <v>5.03</v>
      </c>
      <c r="E32" s="108"/>
      <c r="F32" s="127">
        <v>42743</v>
      </c>
      <c r="G32" s="128">
        <f>108*7+101+7+108*4+80</f>
        <v>1376</v>
      </c>
      <c r="H32" s="504">
        <f t="shared" si="11"/>
        <v>6921.2800000000007</v>
      </c>
      <c r="I32" s="129">
        <f>10*2</f>
        <v>20</v>
      </c>
      <c r="J32" s="130">
        <f t="array" ref="J32">IF(ISERROR(G32/I32),"",G32/I32)</f>
        <v>68.8</v>
      </c>
      <c r="K32" s="131">
        <f t="array" ref="K32">IF(ISERROR(G32/L32),"",G32/L32)</f>
        <v>26.46153846153846</v>
      </c>
      <c r="L32" s="129">
        <v>52</v>
      </c>
      <c r="M32" s="109">
        <f t="shared" si="15"/>
        <v>-6.4615384615384599</v>
      </c>
      <c r="N32" s="130">
        <f t="shared" si="16"/>
        <v>0</v>
      </c>
      <c r="O32" s="508"/>
      <c r="P32" s="508"/>
      <c r="Q32" s="508"/>
      <c r="R32" s="508"/>
      <c r="S32" s="508"/>
      <c r="T32" s="508"/>
      <c r="U32" s="508"/>
      <c r="V32" s="132">
        <f t="shared" si="17"/>
        <v>0</v>
      </c>
      <c r="W32" s="133">
        <f t="shared" si="18"/>
        <v>0</v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503" t="s">
        <v>206</v>
      </c>
      <c r="C33" s="126" t="s">
        <v>207</v>
      </c>
      <c r="D33" s="108">
        <v>5.03</v>
      </c>
      <c r="E33" s="108"/>
      <c r="F33" s="127"/>
      <c r="G33" s="128"/>
      <c r="H33" s="504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508"/>
      <c r="P33" s="508"/>
      <c r="Q33" s="508"/>
      <c r="R33" s="508"/>
      <c r="S33" s="508"/>
      <c r="T33" s="508"/>
      <c r="U33" s="508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503" t="s">
        <v>414</v>
      </c>
      <c r="C34" s="187" t="s">
        <v>415</v>
      </c>
      <c r="D34" s="108">
        <v>5.03</v>
      </c>
      <c r="E34" s="108"/>
      <c r="F34" s="127"/>
      <c r="G34" s="128"/>
      <c r="H34" s="504">
        <f t="shared" si="11"/>
        <v>0</v>
      </c>
      <c r="I34" s="129"/>
      <c r="J34" s="130"/>
      <c r="K34" s="131"/>
      <c r="L34" s="129">
        <v>52</v>
      </c>
      <c r="M34" s="109"/>
      <c r="N34" s="130"/>
      <c r="O34" s="508"/>
      <c r="P34" s="508"/>
      <c r="Q34" s="508"/>
      <c r="R34" s="508"/>
      <c r="S34" s="508"/>
      <c r="T34" s="508"/>
      <c r="U34" s="508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503" t="s">
        <v>414</v>
      </c>
      <c r="C35" s="187" t="s">
        <v>416</v>
      </c>
      <c r="D35" s="108">
        <v>5.03</v>
      </c>
      <c r="E35" s="108"/>
      <c r="F35" s="127"/>
      <c r="G35" s="128"/>
      <c r="H35" s="504">
        <f t="shared" si="11"/>
        <v>0</v>
      </c>
      <c r="I35" s="129"/>
      <c r="J35" s="130"/>
      <c r="K35" s="131"/>
      <c r="L35" s="129">
        <v>52</v>
      </c>
      <c r="M35" s="109"/>
      <c r="N35" s="130"/>
      <c r="O35" s="508"/>
      <c r="P35" s="508"/>
      <c r="Q35" s="508"/>
      <c r="R35" s="508"/>
      <c r="S35" s="508"/>
      <c r="T35" s="508"/>
      <c r="U35" s="508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503" t="s">
        <v>414</v>
      </c>
      <c r="C36" s="187" t="s">
        <v>61</v>
      </c>
      <c r="D36" s="108">
        <v>5.03</v>
      </c>
      <c r="E36" s="108"/>
      <c r="F36" s="127"/>
      <c r="G36" s="128"/>
      <c r="H36" s="504">
        <f t="shared" si="11"/>
        <v>0</v>
      </c>
      <c r="I36" s="129"/>
      <c r="J36" s="130"/>
      <c r="K36" s="131"/>
      <c r="L36" s="129">
        <v>52</v>
      </c>
      <c r="M36" s="109"/>
      <c r="N36" s="130"/>
      <c r="O36" s="508"/>
      <c r="P36" s="508"/>
      <c r="Q36" s="508"/>
      <c r="R36" s="508"/>
      <c r="S36" s="508"/>
      <c r="T36" s="508"/>
      <c r="U36" s="508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503" t="s">
        <v>208</v>
      </c>
      <c r="C37" s="126" t="s">
        <v>179</v>
      </c>
      <c r="D37" s="108">
        <v>5.08</v>
      </c>
      <c r="E37" s="108"/>
      <c r="F37" s="127"/>
      <c r="G37" s="128"/>
      <c r="H37" s="504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508"/>
      <c r="P37" s="508"/>
      <c r="Q37" s="508"/>
      <c r="R37" s="508"/>
      <c r="S37" s="508"/>
      <c r="T37" s="508"/>
      <c r="U37" s="508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503" t="s">
        <v>208</v>
      </c>
      <c r="C38" s="126" t="s">
        <v>204</v>
      </c>
      <c r="D38" s="108">
        <v>5.08</v>
      </c>
      <c r="E38" s="108"/>
      <c r="F38" s="127"/>
      <c r="G38" s="128"/>
      <c r="H38" s="504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508"/>
      <c r="P38" s="508"/>
      <c r="Q38" s="508"/>
      <c r="R38" s="508"/>
      <c r="S38" s="508"/>
      <c r="T38" s="508"/>
      <c r="U38" s="508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503" t="s">
        <v>208</v>
      </c>
      <c r="C39" s="126" t="s">
        <v>205</v>
      </c>
      <c r="D39" s="108">
        <v>5.08</v>
      </c>
      <c r="E39" s="108"/>
      <c r="F39" s="127"/>
      <c r="G39" s="128"/>
      <c r="H39" s="504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508"/>
      <c r="P39" s="508"/>
      <c r="Q39" s="508"/>
      <c r="R39" s="508"/>
      <c r="S39" s="508"/>
      <c r="T39" s="508"/>
      <c r="U39" s="508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customHeight="1">
      <c r="A40" s="300">
        <v>30100022</v>
      </c>
      <c r="B40" s="503" t="s">
        <v>208</v>
      </c>
      <c r="C40" s="126" t="s">
        <v>186</v>
      </c>
      <c r="D40" s="108">
        <v>5.08</v>
      </c>
      <c r="E40" s="108"/>
      <c r="F40" s="127">
        <v>42745</v>
      </c>
      <c r="G40" s="128">
        <f>108*5+108+108*2</f>
        <v>864</v>
      </c>
      <c r="H40" s="504">
        <f t="shared" si="11"/>
        <v>4389.12</v>
      </c>
      <c r="I40" s="129">
        <f>11*3</f>
        <v>33</v>
      </c>
      <c r="J40" s="130">
        <f t="array" ref="J40">IF(ISERROR(G40/I40),"",G40/I40)</f>
        <v>26.181818181818183</v>
      </c>
      <c r="K40" s="131">
        <f t="array" ref="K40">IF(ISERROR(G40/L40),"",G40/L40)</f>
        <v>41.142857142857146</v>
      </c>
      <c r="L40" s="129">
        <v>21</v>
      </c>
      <c r="M40" s="109">
        <f t="shared" si="19"/>
        <v>-8.1428571428571459</v>
      </c>
      <c r="N40" s="130">
        <f t="shared" si="20"/>
        <v>0</v>
      </c>
      <c r="O40" s="508"/>
      <c r="P40" s="508"/>
      <c r="Q40" s="508"/>
      <c r="R40" s="508"/>
      <c r="S40" s="508"/>
      <c r="T40" s="508"/>
      <c r="U40" s="508"/>
      <c r="V40" s="132">
        <f t="shared" si="21"/>
        <v>0</v>
      </c>
      <c r="W40" s="133">
        <f t="shared" si="22"/>
        <v>0</v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503" t="s">
        <v>208</v>
      </c>
      <c r="C41" s="126" t="s">
        <v>203</v>
      </c>
      <c r="D41" s="108">
        <v>5.08</v>
      </c>
      <c r="E41" s="108"/>
      <c r="F41" s="127"/>
      <c r="G41" s="128"/>
      <c r="H41" s="504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508"/>
      <c r="P41" s="508"/>
      <c r="Q41" s="508"/>
      <c r="R41" s="508"/>
      <c r="S41" s="508"/>
      <c r="T41" s="508"/>
      <c r="U41" s="508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503" t="s">
        <v>208</v>
      </c>
      <c r="C42" s="126" t="s">
        <v>199</v>
      </c>
      <c r="D42" s="108">
        <v>5.08</v>
      </c>
      <c r="E42" s="108"/>
      <c r="F42" s="127"/>
      <c r="G42" s="128"/>
      <c r="H42" s="504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512"/>
      <c r="P42" s="512"/>
      <c r="Q42" s="512"/>
      <c r="R42" s="512"/>
      <c r="S42" s="512"/>
      <c r="T42" s="512"/>
      <c r="U42" s="512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503" t="s">
        <v>208</v>
      </c>
      <c r="C43" s="126" t="s">
        <v>187</v>
      </c>
      <c r="D43" s="108">
        <v>5.08</v>
      </c>
      <c r="E43" s="108"/>
      <c r="F43" s="127"/>
      <c r="G43" s="128"/>
      <c r="H43" s="504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508"/>
      <c r="P43" s="508"/>
      <c r="Q43" s="508"/>
      <c r="R43" s="508"/>
      <c r="S43" s="508"/>
      <c r="T43" s="508"/>
      <c r="U43" s="508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503" t="s">
        <v>208</v>
      </c>
      <c r="C44" s="126" t="s">
        <v>207</v>
      </c>
      <c r="D44" s="108">
        <v>5.08</v>
      </c>
      <c r="E44" s="108"/>
      <c r="F44" s="127"/>
      <c r="G44" s="128"/>
      <c r="H44" s="504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512"/>
      <c r="P44" s="512"/>
      <c r="Q44" s="512"/>
      <c r="R44" s="512"/>
      <c r="S44" s="512"/>
      <c r="T44" s="512"/>
      <c r="U44" s="512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503" t="s">
        <v>209</v>
      </c>
      <c r="C45" s="126" t="s">
        <v>194</v>
      </c>
      <c r="D45" s="108">
        <v>5.03</v>
      </c>
      <c r="E45" s="108"/>
      <c r="F45" s="127"/>
      <c r="G45" s="128"/>
      <c r="H45" s="504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508"/>
      <c r="P45" s="508"/>
      <c r="Q45" s="508"/>
      <c r="R45" s="508"/>
      <c r="S45" s="508"/>
      <c r="T45" s="508"/>
      <c r="U45" s="508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503" t="s">
        <v>209</v>
      </c>
      <c r="C46" s="126" t="s">
        <v>179</v>
      </c>
      <c r="D46" s="108">
        <v>5.03</v>
      </c>
      <c r="E46" s="108"/>
      <c r="F46" s="127"/>
      <c r="G46" s="128"/>
      <c r="H46" s="504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508"/>
      <c r="P46" s="508"/>
      <c r="Q46" s="508"/>
      <c r="R46" s="508"/>
      <c r="S46" s="508"/>
      <c r="T46" s="508"/>
      <c r="U46" s="508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503" t="s">
        <v>209</v>
      </c>
      <c r="C47" s="126" t="s">
        <v>195</v>
      </c>
      <c r="D47" s="108">
        <v>5.03</v>
      </c>
      <c r="E47" s="108"/>
      <c r="F47" s="127"/>
      <c r="G47" s="128"/>
      <c r="H47" s="504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508"/>
      <c r="P47" s="508"/>
      <c r="Q47" s="508"/>
      <c r="R47" s="508"/>
      <c r="S47" s="508"/>
      <c r="T47" s="508"/>
      <c r="U47" s="508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503" t="s">
        <v>209</v>
      </c>
      <c r="C48" s="126" t="s">
        <v>204</v>
      </c>
      <c r="D48" s="108">
        <v>5.03</v>
      </c>
      <c r="E48" s="108"/>
      <c r="F48" s="127"/>
      <c r="G48" s="128"/>
      <c r="H48" s="504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508"/>
      <c r="P48" s="508"/>
      <c r="Q48" s="508"/>
      <c r="R48" s="508"/>
      <c r="S48" s="508"/>
      <c r="T48" s="508"/>
      <c r="U48" s="508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503" t="s">
        <v>382</v>
      </c>
      <c r="C49" s="187" t="s">
        <v>383</v>
      </c>
      <c r="D49" s="108">
        <v>5.03</v>
      </c>
      <c r="E49" s="108"/>
      <c r="F49" s="127"/>
      <c r="G49" s="128"/>
      <c r="H49" s="504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508"/>
      <c r="P49" s="508"/>
      <c r="Q49" s="508"/>
      <c r="R49" s="508"/>
      <c r="S49" s="508"/>
      <c r="T49" s="508"/>
      <c r="U49" s="508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503" t="s">
        <v>382</v>
      </c>
      <c r="C50" s="187" t="s">
        <v>384</v>
      </c>
      <c r="D50" s="108">
        <v>5.03</v>
      </c>
      <c r="E50" s="108"/>
      <c r="F50" s="127"/>
      <c r="G50" s="128"/>
      <c r="H50" s="504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508"/>
      <c r="P50" s="508"/>
      <c r="Q50" s="508"/>
      <c r="R50" s="508"/>
      <c r="S50" s="508"/>
      <c r="T50" s="508"/>
      <c r="U50" s="508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503" t="s">
        <v>382</v>
      </c>
      <c r="C51" s="187" t="s">
        <v>389</v>
      </c>
      <c r="D51" s="108">
        <v>5.03</v>
      </c>
      <c r="E51" s="108"/>
      <c r="F51" s="127"/>
      <c r="G51" s="128"/>
      <c r="H51" s="504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508"/>
      <c r="P51" s="508"/>
      <c r="Q51" s="508"/>
      <c r="R51" s="508"/>
      <c r="S51" s="508"/>
      <c r="T51" s="508"/>
      <c r="U51" s="508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503" t="s">
        <v>382</v>
      </c>
      <c r="C52" s="187" t="s">
        <v>391</v>
      </c>
      <c r="D52" s="108">
        <v>5.03</v>
      </c>
      <c r="E52" s="108"/>
      <c r="F52" s="127"/>
      <c r="G52" s="128"/>
      <c r="H52" s="504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508"/>
      <c r="P52" s="508"/>
      <c r="Q52" s="508"/>
      <c r="R52" s="508"/>
      <c r="S52" s="508"/>
      <c r="T52" s="508"/>
      <c r="U52" s="508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503" t="s">
        <v>418</v>
      </c>
      <c r="C53" s="187" t="s">
        <v>364</v>
      </c>
      <c r="D53" s="108">
        <v>5.03</v>
      </c>
      <c r="E53" s="108"/>
      <c r="F53" s="127"/>
      <c r="G53" s="128"/>
      <c r="H53" s="504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508"/>
      <c r="P53" s="508"/>
      <c r="Q53" s="508"/>
      <c r="R53" s="508"/>
      <c r="S53" s="508"/>
      <c r="T53" s="508"/>
      <c r="U53" s="508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503" t="s">
        <v>418</v>
      </c>
      <c r="C54" s="187" t="s">
        <v>365</v>
      </c>
      <c r="D54" s="108">
        <v>5.03</v>
      </c>
      <c r="E54" s="108"/>
      <c r="F54" s="127"/>
      <c r="G54" s="128"/>
      <c r="H54" s="504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508"/>
      <c r="P54" s="508"/>
      <c r="Q54" s="508"/>
      <c r="R54" s="508"/>
      <c r="S54" s="508"/>
      <c r="T54" s="508"/>
      <c r="U54" s="508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503" t="s">
        <v>418</v>
      </c>
      <c r="C55" s="187" t="s">
        <v>366</v>
      </c>
      <c r="D55" s="108">
        <v>5.03</v>
      </c>
      <c r="E55" s="108"/>
      <c r="F55" s="127"/>
      <c r="G55" s="128"/>
      <c r="H55" s="504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508"/>
      <c r="P55" s="508"/>
      <c r="Q55" s="508"/>
      <c r="R55" s="508"/>
      <c r="S55" s="508"/>
      <c r="T55" s="508"/>
      <c r="U55" s="508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503" t="s">
        <v>418</v>
      </c>
      <c r="C56" s="187" t="s">
        <v>367</v>
      </c>
      <c r="D56" s="108">
        <v>5.03</v>
      </c>
      <c r="E56" s="108"/>
      <c r="F56" s="127"/>
      <c r="G56" s="128"/>
      <c r="H56" s="504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508"/>
      <c r="P56" s="508"/>
      <c r="Q56" s="508"/>
      <c r="R56" s="508"/>
      <c r="S56" s="508"/>
      <c r="T56" s="508"/>
      <c r="U56" s="508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504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512"/>
      <c r="P57" s="512"/>
      <c r="Q57" s="512"/>
      <c r="R57" s="512"/>
      <c r="S57" s="512"/>
      <c r="T57" s="512"/>
      <c r="U57" s="512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504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512"/>
      <c r="P58" s="512"/>
      <c r="Q58" s="512"/>
      <c r="R58" s="512"/>
      <c r="S58" s="512"/>
      <c r="T58" s="512"/>
      <c r="U58" s="512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504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512"/>
      <c r="P59" s="512"/>
      <c r="Q59" s="512"/>
      <c r="R59" s="512"/>
      <c r="S59" s="512"/>
      <c r="T59" s="512"/>
      <c r="U59" s="512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504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512"/>
      <c r="P60" s="512"/>
      <c r="Q60" s="512"/>
      <c r="R60" s="512"/>
      <c r="S60" s="512"/>
      <c r="T60" s="512"/>
      <c r="U60" s="512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504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512"/>
      <c r="P61" s="512"/>
      <c r="Q61" s="512"/>
      <c r="R61" s="512"/>
      <c r="S61" s="512"/>
      <c r="T61" s="512"/>
      <c r="U61" s="512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504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512"/>
      <c r="P62" s="512"/>
      <c r="Q62" s="512"/>
      <c r="R62" s="512"/>
      <c r="S62" s="512"/>
      <c r="T62" s="512"/>
      <c r="U62" s="512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504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512"/>
      <c r="P63" s="512"/>
      <c r="Q63" s="512"/>
      <c r="R63" s="512"/>
      <c r="S63" s="512"/>
      <c r="T63" s="512"/>
      <c r="U63" s="512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504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512"/>
      <c r="P64" s="512"/>
      <c r="Q64" s="512"/>
      <c r="R64" s="512"/>
      <c r="S64" s="512"/>
      <c r="T64" s="512"/>
      <c r="U64" s="512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>
        <v>42744</v>
      </c>
      <c r="G65" s="128">
        <f>90*8+80-90</f>
        <v>710</v>
      </c>
      <c r="H65" s="504">
        <f t="shared" si="11"/>
        <v>3571.3</v>
      </c>
      <c r="I65" s="129">
        <v>11</v>
      </c>
      <c r="J65" s="130">
        <f t="array" ref="J65">IF(ISERROR(G65/I65),"",G65/I65)</f>
        <v>64.545454545454547</v>
      </c>
      <c r="K65" s="131">
        <f t="array" ref="K65">IF(ISERROR(G65/L65),"",G65/L65)</f>
        <v>14.2</v>
      </c>
      <c r="L65" s="129">
        <v>50</v>
      </c>
      <c r="M65" s="109">
        <f t="shared" si="19"/>
        <v>-3.1999999999999993</v>
      </c>
      <c r="N65" s="130">
        <f t="shared" si="23"/>
        <v>0</v>
      </c>
      <c r="O65" s="512"/>
      <c r="P65" s="512"/>
      <c r="Q65" s="512"/>
      <c r="R65" s="512"/>
      <c r="S65" s="512"/>
      <c r="T65" s="512"/>
      <c r="U65" s="512"/>
      <c r="V65" s="132">
        <f t="shared" si="24"/>
        <v>0</v>
      </c>
      <c r="W65" s="133">
        <f t="shared" si="25"/>
        <v>0</v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504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512"/>
      <c r="P66" s="512"/>
      <c r="Q66" s="512"/>
      <c r="R66" s="512"/>
      <c r="S66" s="512"/>
      <c r="T66" s="512"/>
      <c r="U66" s="512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504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512"/>
      <c r="P67" s="512"/>
      <c r="Q67" s="512"/>
      <c r="R67" s="512"/>
      <c r="S67" s="512"/>
      <c r="T67" s="512"/>
      <c r="U67" s="512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504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512"/>
      <c r="P68" s="512"/>
      <c r="Q68" s="512"/>
      <c r="R68" s="512"/>
      <c r="S68" s="512"/>
      <c r="T68" s="512"/>
      <c r="U68" s="512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504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512"/>
      <c r="P69" s="512"/>
      <c r="Q69" s="512"/>
      <c r="R69" s="512"/>
      <c r="S69" s="512"/>
      <c r="T69" s="512"/>
      <c r="U69" s="512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504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512"/>
      <c r="P70" s="512"/>
      <c r="Q70" s="512"/>
      <c r="R70" s="512"/>
      <c r="S70" s="512"/>
      <c r="T70" s="512"/>
      <c r="U70" s="512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504">
        <f t="shared" si="11"/>
        <v>0</v>
      </c>
      <c r="I71" s="129"/>
      <c r="J71" s="130"/>
      <c r="K71" s="131"/>
      <c r="L71" s="129"/>
      <c r="M71" s="109"/>
      <c r="N71" s="130"/>
      <c r="O71" s="512"/>
      <c r="P71" s="512"/>
      <c r="Q71" s="512"/>
      <c r="R71" s="512"/>
      <c r="S71" s="512"/>
      <c r="T71" s="512"/>
      <c r="U71" s="512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504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512"/>
      <c r="P72" s="512"/>
      <c r="Q72" s="512"/>
      <c r="R72" s="512"/>
      <c r="S72" s="512"/>
      <c r="T72" s="512"/>
      <c r="U72" s="512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504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512"/>
      <c r="P73" s="512"/>
      <c r="Q73" s="512"/>
      <c r="R73" s="512"/>
      <c r="S73" s="512"/>
      <c r="T73" s="512"/>
      <c r="U73" s="512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504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512"/>
      <c r="P74" s="512"/>
      <c r="Q74" s="512"/>
      <c r="R74" s="512"/>
      <c r="S74" s="512"/>
      <c r="T74" s="512"/>
      <c r="U74" s="512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504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512"/>
      <c r="P75" s="512"/>
      <c r="Q75" s="512"/>
      <c r="R75" s="512"/>
      <c r="S75" s="512"/>
      <c r="T75" s="512"/>
      <c r="U75" s="512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504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512"/>
      <c r="P76" s="512"/>
      <c r="Q76" s="512"/>
      <c r="R76" s="512"/>
      <c r="S76" s="512"/>
      <c r="T76" s="512"/>
      <c r="U76" s="512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504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512"/>
      <c r="P77" s="512"/>
      <c r="Q77" s="512"/>
      <c r="R77" s="512"/>
      <c r="S77" s="512"/>
      <c r="T77" s="512"/>
      <c r="U77" s="512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504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512"/>
      <c r="P78" s="512"/>
      <c r="Q78" s="512"/>
      <c r="R78" s="512"/>
      <c r="S78" s="512"/>
      <c r="T78" s="512"/>
      <c r="U78" s="512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504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512"/>
      <c r="P79" s="512"/>
      <c r="Q79" s="512"/>
      <c r="R79" s="512"/>
      <c r="S79" s="512"/>
      <c r="T79" s="512"/>
      <c r="U79" s="512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504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512"/>
      <c r="P80" s="512"/>
      <c r="Q80" s="512"/>
      <c r="R80" s="512"/>
      <c r="S80" s="512"/>
      <c r="T80" s="512"/>
      <c r="U80" s="512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504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512"/>
      <c r="P81" s="512"/>
      <c r="Q81" s="512"/>
      <c r="R81" s="512"/>
      <c r="S81" s="512"/>
      <c r="T81" s="512"/>
      <c r="U81" s="512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504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512"/>
      <c r="P82" s="512"/>
      <c r="Q82" s="512"/>
      <c r="R82" s="512"/>
      <c r="S82" s="512"/>
      <c r="T82" s="512"/>
      <c r="U82" s="512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504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512"/>
      <c r="P83" s="512"/>
      <c r="Q83" s="512"/>
      <c r="R83" s="512"/>
      <c r="S83" s="512"/>
      <c r="T83" s="512"/>
      <c r="U83" s="512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504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512"/>
      <c r="P84" s="512"/>
      <c r="Q84" s="512"/>
      <c r="R84" s="512"/>
      <c r="S84" s="512"/>
      <c r="T84" s="512"/>
      <c r="U84" s="512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504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512"/>
      <c r="P85" s="512"/>
      <c r="Q85" s="512"/>
      <c r="R85" s="512"/>
      <c r="S85" s="512"/>
      <c r="T85" s="512"/>
      <c r="U85" s="512"/>
      <c r="V85" s="132"/>
      <c r="W85" s="133"/>
      <c r="X85" s="132"/>
      <c r="Y85" s="132"/>
      <c r="Z85" s="132"/>
      <c r="AA85" s="132"/>
    </row>
    <row r="86" spans="1:27" ht="20.100000000000001" customHeight="1">
      <c r="A86" s="589" t="s">
        <v>216</v>
      </c>
      <c r="B86" s="589"/>
      <c r="C86" s="513" t="s">
        <v>202</v>
      </c>
      <c r="D86" s="143"/>
      <c r="E86" s="143"/>
      <c r="F86" s="144"/>
      <c r="G86" s="145">
        <f>SUM(G29:G85)</f>
        <v>3059</v>
      </c>
      <c r="H86" s="146">
        <f>SUM(H29:H85)</f>
        <v>15429.970000000001</v>
      </c>
      <c r="I86" s="146">
        <f>SUM(I29:I85)</f>
        <v>66</v>
      </c>
      <c r="J86" s="130">
        <f t="array" ref="J86">IF(ISERROR(G86/I86),"",G86/I86)</f>
        <v>46.348484848484851</v>
      </c>
      <c r="K86" s="146">
        <f>SUM(K29:K85)</f>
        <v>83.900549450549462</v>
      </c>
      <c r="L86" s="147"/>
      <c r="M86" s="150">
        <f t="shared" ref="M86:V86" si="34">SUM(M29:M85)</f>
        <v>-17.900549450549452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503" t="s">
        <v>217</v>
      </c>
      <c r="C87" s="126" t="s">
        <v>179</v>
      </c>
      <c r="D87" s="108">
        <v>5.03</v>
      </c>
      <c r="E87" s="108"/>
      <c r="F87" s="127"/>
      <c r="G87" s="128"/>
      <c r="H87" s="504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6" si="37">IF(ISERROR(I87-K87),"",I87-K87)</f>
        <v>0</v>
      </c>
      <c r="N87" s="130">
        <f t="shared" ref="N87:N93" si="38">SUM(O87:U87)</f>
        <v>0</v>
      </c>
      <c r="O87" s="512"/>
      <c r="P87" s="512"/>
      <c r="Q87" s="512"/>
      <c r="R87" s="512"/>
      <c r="S87" s="512"/>
      <c r="T87" s="512"/>
      <c r="U87" s="512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503" t="s">
        <v>217</v>
      </c>
      <c r="C88" s="126" t="s">
        <v>186</v>
      </c>
      <c r="D88" s="108">
        <v>5.03</v>
      </c>
      <c r="E88" s="108"/>
      <c r="F88" s="127"/>
      <c r="G88" s="128"/>
      <c r="H88" s="504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512"/>
      <c r="P88" s="512"/>
      <c r="Q88" s="512"/>
      <c r="R88" s="512"/>
      <c r="S88" s="512"/>
      <c r="T88" s="512"/>
      <c r="U88" s="512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503" t="s">
        <v>217</v>
      </c>
      <c r="C89" s="126" t="s">
        <v>204</v>
      </c>
      <c r="D89" s="108">
        <v>5.03</v>
      </c>
      <c r="E89" s="108"/>
      <c r="F89" s="127"/>
      <c r="G89" s="128"/>
      <c r="H89" s="504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512"/>
      <c r="P89" s="512"/>
      <c r="Q89" s="512"/>
      <c r="R89" s="512"/>
      <c r="S89" s="512"/>
      <c r="T89" s="512"/>
      <c r="U89" s="512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504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512"/>
      <c r="P90" s="512"/>
      <c r="Q90" s="512"/>
      <c r="R90" s="512"/>
      <c r="S90" s="512"/>
      <c r="T90" s="512"/>
      <c r="U90" s="512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504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512"/>
      <c r="P91" s="512"/>
      <c r="Q91" s="512"/>
      <c r="R91" s="512"/>
      <c r="S91" s="512"/>
      <c r="T91" s="512"/>
      <c r="U91" s="512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504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512"/>
      <c r="P92" s="512"/>
      <c r="Q92" s="512"/>
      <c r="R92" s="512"/>
      <c r="S92" s="512"/>
      <c r="T92" s="512"/>
      <c r="U92" s="512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504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512"/>
      <c r="P93" s="512"/>
      <c r="Q93" s="512"/>
      <c r="R93" s="512"/>
      <c r="S93" s="512"/>
      <c r="T93" s="512"/>
      <c r="U93" s="512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504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512"/>
      <c r="P94" s="512"/>
      <c r="Q94" s="512"/>
      <c r="R94" s="512"/>
      <c r="S94" s="512"/>
      <c r="T94" s="512"/>
      <c r="U94" s="512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504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512"/>
      <c r="P95" s="512"/>
      <c r="Q95" s="512"/>
      <c r="R95" s="512"/>
      <c r="S95" s="512"/>
      <c r="T95" s="512"/>
      <c r="U95" s="512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504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512"/>
      <c r="P96" s="512"/>
      <c r="Q96" s="512"/>
      <c r="R96" s="512"/>
      <c r="S96" s="512"/>
      <c r="T96" s="512"/>
      <c r="U96" s="512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504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512"/>
      <c r="P97" s="512"/>
      <c r="Q97" s="512"/>
      <c r="R97" s="512"/>
      <c r="S97" s="512"/>
      <c r="T97" s="512"/>
      <c r="U97" s="512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504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512"/>
      <c r="P98" s="512"/>
      <c r="Q98" s="512"/>
      <c r="R98" s="512"/>
      <c r="S98" s="512"/>
      <c r="T98" s="512"/>
      <c r="U98" s="512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504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512"/>
      <c r="P99" s="512"/>
      <c r="Q99" s="512"/>
      <c r="R99" s="512"/>
      <c r="S99" s="512"/>
      <c r="T99" s="512"/>
      <c r="U99" s="512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504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512"/>
      <c r="P100" s="512"/>
      <c r="Q100" s="512"/>
      <c r="R100" s="512"/>
      <c r="S100" s="512"/>
      <c r="T100" s="512"/>
      <c r="U100" s="512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504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512"/>
      <c r="P101" s="512"/>
      <c r="Q101" s="512"/>
      <c r="R101" s="512"/>
      <c r="S101" s="512"/>
      <c r="T101" s="512"/>
      <c r="U101" s="512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504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512"/>
      <c r="P102" s="512"/>
      <c r="Q102" s="512"/>
      <c r="R102" s="512"/>
      <c r="S102" s="512"/>
      <c r="T102" s="512"/>
      <c r="U102" s="512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503" t="s">
        <v>222</v>
      </c>
      <c r="C103" s="126" t="s">
        <v>181</v>
      </c>
      <c r="D103" s="108">
        <v>10.199999999999999</v>
      </c>
      <c r="E103" s="108"/>
      <c r="F103" s="127"/>
      <c r="G103" s="128"/>
      <c r="H103" s="504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512"/>
      <c r="P103" s="512"/>
      <c r="Q103" s="512"/>
      <c r="R103" s="512"/>
      <c r="S103" s="512"/>
      <c r="T103" s="512"/>
      <c r="U103" s="512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503" t="s">
        <v>222</v>
      </c>
      <c r="C104" s="126" t="s">
        <v>179</v>
      </c>
      <c r="D104" s="108">
        <v>10.199999999999999</v>
      </c>
      <c r="E104" s="108"/>
      <c r="F104" s="127"/>
      <c r="G104" s="128"/>
      <c r="H104" s="504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512"/>
      <c r="P104" s="512"/>
      <c r="Q104" s="512"/>
      <c r="R104" s="512"/>
      <c r="S104" s="512"/>
      <c r="T104" s="512"/>
      <c r="U104" s="512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503" t="s">
        <v>222</v>
      </c>
      <c r="C105" s="126" t="s">
        <v>221</v>
      </c>
      <c r="D105" s="108">
        <v>10.199999999999999</v>
      </c>
      <c r="E105" s="108"/>
      <c r="F105" s="127"/>
      <c r="G105" s="128"/>
      <c r="H105" s="504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512"/>
      <c r="P105" s="512"/>
      <c r="Q105" s="512"/>
      <c r="R105" s="512"/>
      <c r="S105" s="512"/>
      <c r="T105" s="512"/>
      <c r="U105" s="512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503" t="s">
        <v>222</v>
      </c>
      <c r="C106" s="126" t="s">
        <v>186</v>
      </c>
      <c r="D106" s="108">
        <v>10.199999999999999</v>
      </c>
      <c r="E106" s="108"/>
      <c r="F106" s="127"/>
      <c r="G106" s="128"/>
      <c r="H106" s="504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512"/>
      <c r="P106" s="512"/>
      <c r="Q106" s="512"/>
      <c r="R106" s="512"/>
      <c r="S106" s="512"/>
      <c r="T106" s="512"/>
      <c r="U106" s="512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503" t="s">
        <v>393</v>
      </c>
      <c r="C107" s="187" t="s">
        <v>395</v>
      </c>
      <c r="D107" s="108">
        <v>5</v>
      </c>
      <c r="E107" s="108"/>
      <c r="F107" s="127"/>
      <c r="G107" s="128"/>
      <c r="H107" s="504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512"/>
      <c r="P107" s="512"/>
      <c r="Q107" s="512"/>
      <c r="R107" s="512"/>
      <c r="S107" s="512"/>
      <c r="T107" s="512"/>
      <c r="U107" s="512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503" t="s">
        <v>393</v>
      </c>
      <c r="C108" s="187" t="s">
        <v>402</v>
      </c>
      <c r="D108" s="108">
        <v>5</v>
      </c>
      <c r="E108" s="108"/>
      <c r="F108" s="127"/>
      <c r="G108" s="128"/>
      <c r="H108" s="504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512"/>
      <c r="P108" s="512"/>
      <c r="Q108" s="512"/>
      <c r="R108" s="512"/>
      <c r="S108" s="512"/>
      <c r="T108" s="512"/>
      <c r="U108" s="512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503" t="s">
        <v>404</v>
      </c>
      <c r="C109" s="187" t="s">
        <v>405</v>
      </c>
      <c r="D109" s="108">
        <v>5</v>
      </c>
      <c r="E109" s="108"/>
      <c r="F109" s="127"/>
      <c r="G109" s="128"/>
      <c r="H109" s="504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512"/>
      <c r="P109" s="512"/>
      <c r="Q109" s="512"/>
      <c r="R109" s="512"/>
      <c r="S109" s="512"/>
      <c r="T109" s="512"/>
      <c r="U109" s="512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503" t="s">
        <v>492</v>
      </c>
      <c r="C110" s="187" t="s">
        <v>372</v>
      </c>
      <c r="D110" s="108">
        <v>5</v>
      </c>
      <c r="E110" s="108"/>
      <c r="F110" s="127"/>
      <c r="G110" s="128"/>
      <c r="H110" s="504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512"/>
      <c r="P110" s="512"/>
      <c r="Q110" s="512"/>
      <c r="R110" s="512"/>
      <c r="S110" s="512"/>
      <c r="T110" s="512"/>
      <c r="U110" s="512"/>
      <c r="V110" s="132"/>
      <c r="W110" s="133"/>
      <c r="X110" s="132"/>
      <c r="Y110" s="132"/>
      <c r="Z110" s="132"/>
      <c r="AA110" s="132"/>
    </row>
    <row r="111" spans="1:27" ht="20.100000000000001" customHeight="1">
      <c r="A111" s="299">
        <v>30600009</v>
      </c>
      <c r="B111" s="503" t="s">
        <v>343</v>
      </c>
      <c r="C111" s="126" t="s">
        <v>345</v>
      </c>
      <c r="D111" s="108">
        <v>5</v>
      </c>
      <c r="E111" s="108"/>
      <c r="F111" s="127">
        <v>42743</v>
      </c>
      <c r="G111" s="128">
        <f>81+90*4+68+90+50</f>
        <v>649</v>
      </c>
      <c r="H111" s="504">
        <f t="shared" si="36"/>
        <v>3245</v>
      </c>
      <c r="I111" s="129">
        <f>11*8+4.5*2+2*2</f>
        <v>101</v>
      </c>
      <c r="J111" s="130">
        <f t="array" ref="J111">IF(ISERROR(G111/I111),"",G111/I111)</f>
        <v>6.4257425742574261</v>
      </c>
      <c r="K111" s="131">
        <f t="array" ref="K111">IF(ISERROR(G111/L111),"",G111/L111)</f>
        <v>129.80000000000001</v>
      </c>
      <c r="L111" s="129">
        <v>5</v>
      </c>
      <c r="M111" s="109">
        <f t="shared" si="37"/>
        <v>-28.800000000000011</v>
      </c>
      <c r="N111" s="130">
        <f t="shared" si="40"/>
        <v>0</v>
      </c>
      <c r="O111" s="512"/>
      <c r="P111" s="512"/>
      <c r="Q111" s="512"/>
      <c r="R111" s="512"/>
      <c r="S111" s="512"/>
      <c r="T111" s="512"/>
      <c r="U111" s="512"/>
      <c r="V111" s="132"/>
      <c r="W111" s="133"/>
      <c r="X111" s="132"/>
      <c r="Y111" s="132"/>
      <c r="Z111" s="132"/>
      <c r="AA111" s="132"/>
    </row>
    <row r="112" spans="1:27" ht="20.100000000000001" customHeight="1">
      <c r="A112" s="299">
        <v>30600010</v>
      </c>
      <c r="B112" s="503" t="s">
        <v>343</v>
      </c>
      <c r="C112" s="126" t="s">
        <v>347</v>
      </c>
      <c r="D112" s="108">
        <v>5</v>
      </c>
      <c r="E112" s="108"/>
      <c r="F112" s="127">
        <v>42743</v>
      </c>
      <c r="G112" s="128">
        <f>90+22+58-75</f>
        <v>95</v>
      </c>
      <c r="H112" s="504">
        <f t="shared" si="36"/>
        <v>475</v>
      </c>
      <c r="I112" s="129">
        <f>3*4+3*3</f>
        <v>21</v>
      </c>
      <c r="J112" s="130">
        <f t="array" ref="J112">IF(ISERROR(G112/I112),"",G112/I112)</f>
        <v>4.5238095238095237</v>
      </c>
      <c r="K112" s="131">
        <f t="array" ref="K112">IF(ISERROR(G112/L112),"",G112/L112)</f>
        <v>19</v>
      </c>
      <c r="L112" s="129">
        <v>5</v>
      </c>
      <c r="M112" s="109">
        <f t="shared" si="37"/>
        <v>2</v>
      </c>
      <c r="N112" s="130">
        <f t="shared" si="40"/>
        <v>0</v>
      </c>
      <c r="O112" s="512"/>
      <c r="P112" s="512"/>
      <c r="Q112" s="512"/>
      <c r="R112" s="512"/>
      <c r="S112" s="512"/>
      <c r="T112" s="512"/>
      <c r="U112" s="512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504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512"/>
      <c r="P113" s="512"/>
      <c r="Q113" s="512"/>
      <c r="R113" s="512"/>
      <c r="S113" s="512"/>
      <c r="T113" s="512"/>
      <c r="U113" s="512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504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512"/>
      <c r="P114" s="512"/>
      <c r="Q114" s="512"/>
      <c r="R114" s="512"/>
      <c r="S114" s="512"/>
      <c r="T114" s="512"/>
      <c r="U114" s="512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504">
        <f t="shared" si="36"/>
        <v>0</v>
      </c>
      <c r="I115" s="129"/>
      <c r="J115" s="130" t="str">
        <f t="array" ref="J115">IF(ISERROR(G115/I115),"",G115/I115)</f>
        <v/>
      </c>
      <c r="K115" s="131">
        <f t="array" ref="K115">IF(ISERROR(G115/L115),"",G115/L115)</f>
        <v>0</v>
      </c>
      <c r="L115" s="129">
        <v>24</v>
      </c>
      <c r="M115" s="109"/>
      <c r="N115" s="130"/>
      <c r="O115" s="512"/>
      <c r="P115" s="512"/>
      <c r="Q115" s="512"/>
      <c r="R115" s="512"/>
      <c r="S115" s="512"/>
      <c r="T115" s="512"/>
      <c r="U115" s="512"/>
      <c r="V115" s="132"/>
      <c r="W115" s="133"/>
      <c r="X115" s="132"/>
      <c r="Y115" s="132"/>
      <c r="Z115" s="132"/>
      <c r="AA115" s="132"/>
    </row>
    <row r="116" spans="1:27" ht="20.10000000000000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>
        <v>42740</v>
      </c>
      <c r="G116" s="128">
        <v>87</v>
      </c>
      <c r="H116" s="504">
        <f t="shared" si="36"/>
        <v>435</v>
      </c>
      <c r="I116" s="129">
        <f>3.5*2</f>
        <v>7</v>
      </c>
      <c r="J116" s="130">
        <f t="array" ref="J116">IF(ISERROR(G116/I116),"",G116/I116)</f>
        <v>12.428571428571429</v>
      </c>
      <c r="K116" s="131">
        <f t="array" ref="K116">IF(ISERROR(G116/L116),"",G116/L116)</f>
        <v>3.625</v>
      </c>
      <c r="L116" s="129">
        <v>24</v>
      </c>
      <c r="M116" s="109">
        <f t="shared" si="37"/>
        <v>3.375</v>
      </c>
      <c r="N116" s="130"/>
      <c r="O116" s="512"/>
      <c r="P116" s="512"/>
      <c r="Q116" s="512"/>
      <c r="R116" s="512"/>
      <c r="S116" s="512"/>
      <c r="T116" s="512"/>
      <c r="U116" s="512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504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512"/>
      <c r="P117" s="512"/>
      <c r="Q117" s="512"/>
      <c r="R117" s="512"/>
      <c r="S117" s="512"/>
      <c r="T117" s="512"/>
      <c r="U117" s="512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504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512"/>
      <c r="P118" s="512"/>
      <c r="Q118" s="512"/>
      <c r="R118" s="512"/>
      <c r="S118" s="512"/>
      <c r="T118" s="512"/>
      <c r="U118" s="512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504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512"/>
      <c r="P119" s="512"/>
      <c r="Q119" s="512"/>
      <c r="R119" s="512"/>
      <c r="S119" s="512"/>
      <c r="T119" s="512"/>
      <c r="U119" s="512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504">
        <f t="shared" si="36"/>
        <v>0</v>
      </c>
      <c r="I120" s="129"/>
      <c r="J120" s="130" t="str">
        <f t="array" ref="J120">IF(ISERROR(G120/I120),"",G120/I120)</f>
        <v/>
      </c>
      <c r="K120" s="504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512"/>
      <c r="P120" s="512"/>
      <c r="Q120" s="512"/>
      <c r="R120" s="512"/>
      <c r="S120" s="512"/>
      <c r="T120" s="512"/>
      <c r="U120" s="512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578" t="s">
        <v>224</v>
      </c>
      <c r="B121" s="579"/>
      <c r="C121" s="513" t="s">
        <v>202</v>
      </c>
      <c r="D121" s="143"/>
      <c r="E121" s="143"/>
      <c r="F121" s="144"/>
      <c r="G121" s="145">
        <f>SUM(G87:G120)</f>
        <v>831</v>
      </c>
      <c r="H121" s="146">
        <f>SUM(H87:H120)</f>
        <v>4155</v>
      </c>
      <c r="I121" s="146">
        <f>SUM(I87:I120)</f>
        <v>129</v>
      </c>
      <c r="J121" s="130">
        <f t="array" ref="J121">IF(ISERROR(G121/I121),"",G121/I121)</f>
        <v>6.441860465116279</v>
      </c>
      <c r="K121" s="146">
        <f>SUM(K87:K120)</f>
        <v>152.42500000000001</v>
      </c>
      <c r="L121" s="147"/>
      <c r="M121" s="150">
        <f t="shared" ref="M121:V121" si="50">SUM(M87:M120)</f>
        <v>-23.425000000000011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504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512"/>
      <c r="P122" s="512"/>
      <c r="Q122" s="512"/>
      <c r="R122" s="512"/>
      <c r="S122" s="512"/>
      <c r="T122" s="512"/>
      <c r="U122" s="512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504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512"/>
      <c r="P123" s="512"/>
      <c r="Q123" s="512"/>
      <c r="R123" s="512"/>
      <c r="S123" s="512"/>
      <c r="T123" s="512"/>
      <c r="U123" s="512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504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512"/>
      <c r="P124" s="512"/>
      <c r="Q124" s="512"/>
      <c r="R124" s="512"/>
      <c r="S124" s="512"/>
      <c r="T124" s="512"/>
      <c r="U124" s="512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504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512"/>
      <c r="P125" s="512"/>
      <c r="Q125" s="512"/>
      <c r="R125" s="512"/>
      <c r="S125" s="512"/>
      <c r="T125" s="512"/>
      <c r="U125" s="512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customHeight="1">
      <c r="A126" s="299">
        <v>30100054</v>
      </c>
      <c r="B126" s="140" t="s">
        <v>227</v>
      </c>
      <c r="C126" s="509" t="s">
        <v>203</v>
      </c>
      <c r="D126" s="108">
        <v>5.03</v>
      </c>
      <c r="E126" s="108"/>
      <c r="F126" s="127">
        <v>42744</v>
      </c>
      <c r="G126" s="128">
        <f>100*4+64</f>
        <v>464</v>
      </c>
      <c r="H126" s="504">
        <f t="shared" si="51"/>
        <v>2333.92</v>
      </c>
      <c r="I126" s="129">
        <f>8.5*3</f>
        <v>25.5</v>
      </c>
      <c r="J126" s="130">
        <f t="array" ref="J126">IF(ISERROR(G126/I126),"",G126/I126)</f>
        <v>18.196078431372548</v>
      </c>
      <c r="K126" s="131">
        <f t="array" ref="K126">IF(ISERROR(G126/L126),"",G126/L126)</f>
        <v>116</v>
      </c>
      <c r="L126" s="129">
        <v>4</v>
      </c>
      <c r="M126" s="109">
        <f t="shared" si="52"/>
        <v>-90.5</v>
      </c>
      <c r="N126" s="130">
        <f t="shared" si="53"/>
        <v>0</v>
      </c>
      <c r="O126" s="512"/>
      <c r="P126" s="512"/>
      <c r="Q126" s="512"/>
      <c r="R126" s="512"/>
      <c r="S126" s="512"/>
      <c r="T126" s="512"/>
      <c r="U126" s="512"/>
      <c r="V126" s="132">
        <f t="shared" si="54"/>
        <v>0</v>
      </c>
      <c r="W126" s="133">
        <f t="shared" si="49"/>
        <v>0</v>
      </c>
      <c r="X126" s="132"/>
      <c r="Y126" s="132"/>
      <c r="Z126" s="132"/>
      <c r="AA126" s="132"/>
    </row>
    <row r="127" spans="1:27" ht="20.10000000000000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>
        <v>42744</v>
      </c>
      <c r="G127" s="128">
        <v>84</v>
      </c>
      <c r="H127" s="504">
        <f t="shared" si="51"/>
        <v>422.52000000000004</v>
      </c>
      <c r="I127" s="129">
        <f>2.5*3</f>
        <v>7.5</v>
      </c>
      <c r="J127" s="130">
        <f t="array" ref="J127">IF(ISERROR(G127/I127),"",G127/I127)</f>
        <v>11.2</v>
      </c>
      <c r="K127" s="131">
        <f t="array" ref="K127">IF(ISERROR(G127/L127),"",G127/L127)</f>
        <v>21</v>
      </c>
      <c r="L127" s="129">
        <v>4</v>
      </c>
      <c r="M127" s="109">
        <f t="shared" si="52"/>
        <v>-13.5</v>
      </c>
      <c r="N127" s="130">
        <f t="shared" si="53"/>
        <v>0</v>
      </c>
      <c r="O127" s="512"/>
      <c r="P127" s="512"/>
      <c r="Q127" s="512"/>
      <c r="R127" s="512"/>
      <c r="S127" s="512"/>
      <c r="T127" s="512"/>
      <c r="U127" s="512"/>
      <c r="V127" s="132">
        <f t="shared" si="54"/>
        <v>0</v>
      </c>
      <c r="W127" s="133">
        <f t="shared" si="49"/>
        <v>0</v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504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512"/>
      <c r="P128" s="512"/>
      <c r="Q128" s="512"/>
      <c r="R128" s="512"/>
      <c r="S128" s="512"/>
      <c r="T128" s="512"/>
      <c r="U128" s="512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509" t="s">
        <v>228</v>
      </c>
      <c r="D129" s="108">
        <v>5.03</v>
      </c>
      <c r="E129" s="108"/>
      <c r="F129" s="127"/>
      <c r="G129" s="128"/>
      <c r="H129" s="504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512"/>
      <c r="P129" s="512"/>
      <c r="Q129" s="512"/>
      <c r="R129" s="512"/>
      <c r="S129" s="512"/>
      <c r="T129" s="512"/>
      <c r="U129" s="512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509" t="s">
        <v>212</v>
      </c>
      <c r="D130" s="108">
        <v>5.03</v>
      </c>
      <c r="E130" s="108"/>
      <c r="F130" s="127"/>
      <c r="G130" s="128"/>
      <c r="H130" s="504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512"/>
      <c r="P130" s="512"/>
      <c r="Q130" s="512"/>
      <c r="R130" s="512"/>
      <c r="S130" s="512"/>
      <c r="T130" s="512"/>
      <c r="U130" s="512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509" t="s">
        <v>203</v>
      </c>
      <c r="D131" s="108">
        <v>5.03</v>
      </c>
      <c r="E131" s="108"/>
      <c r="F131" s="127"/>
      <c r="G131" s="128"/>
      <c r="H131" s="504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512"/>
      <c r="P131" s="512"/>
      <c r="Q131" s="512"/>
      <c r="R131" s="512"/>
      <c r="S131" s="512"/>
      <c r="T131" s="512"/>
      <c r="U131" s="512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509" t="s">
        <v>186</v>
      </c>
      <c r="D132" s="108">
        <v>5.03</v>
      </c>
      <c r="E132" s="108"/>
      <c r="F132" s="127"/>
      <c r="G132" s="128"/>
      <c r="H132" s="504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512"/>
      <c r="P132" s="512"/>
      <c r="Q132" s="512"/>
      <c r="R132" s="512"/>
      <c r="S132" s="512"/>
      <c r="T132" s="512"/>
      <c r="U132" s="512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509" t="s">
        <v>228</v>
      </c>
      <c r="D133" s="108">
        <v>5.03</v>
      </c>
      <c r="E133" s="108"/>
      <c r="F133" s="127"/>
      <c r="G133" s="128"/>
      <c r="H133" s="504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512"/>
      <c r="P133" s="512"/>
      <c r="Q133" s="512"/>
      <c r="R133" s="512"/>
      <c r="S133" s="512"/>
      <c r="T133" s="512"/>
      <c r="U133" s="512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509" t="s">
        <v>199</v>
      </c>
      <c r="D134" s="108">
        <v>5.03</v>
      </c>
      <c r="E134" s="108"/>
      <c r="F134" s="127"/>
      <c r="G134" s="128"/>
      <c r="H134" s="504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512"/>
      <c r="P134" s="512"/>
      <c r="Q134" s="512"/>
      <c r="R134" s="512"/>
      <c r="S134" s="512"/>
      <c r="T134" s="512"/>
      <c r="U134" s="512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504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512"/>
      <c r="P135" s="512"/>
      <c r="Q135" s="512"/>
      <c r="R135" s="512"/>
      <c r="S135" s="512"/>
      <c r="T135" s="512"/>
      <c r="U135" s="512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504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512"/>
      <c r="P136" s="512"/>
      <c r="Q136" s="512"/>
      <c r="R136" s="512"/>
      <c r="S136" s="512"/>
      <c r="T136" s="512"/>
      <c r="U136" s="512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customHeight="1">
      <c r="A137" s="578" t="s">
        <v>231</v>
      </c>
      <c r="B137" s="579"/>
      <c r="C137" s="513" t="s">
        <v>202</v>
      </c>
      <c r="D137" s="143"/>
      <c r="E137" s="143"/>
      <c r="F137" s="144"/>
      <c r="G137" s="145">
        <f>SUM(G122:G136)</f>
        <v>548</v>
      </c>
      <c r="H137" s="146">
        <f>SUM(H122:H136)</f>
        <v>2756.44</v>
      </c>
      <c r="I137" s="146">
        <f>SUM(I122:I136)</f>
        <v>33</v>
      </c>
      <c r="J137" s="130">
        <f t="array" ref="J137">IF(ISERROR(G137/I137),"",G137/I137)</f>
        <v>16.606060606060606</v>
      </c>
      <c r="K137" s="146">
        <f>SUM(K122:K136)</f>
        <v>137</v>
      </c>
      <c r="L137" s="147"/>
      <c r="M137" s="150">
        <f>SUM(M122:M136)</f>
        <v>-104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49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504">
        <f t="shared" ref="H138:H147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512"/>
      <c r="P138" s="512"/>
      <c r="Q138" s="512"/>
      <c r="R138" s="512"/>
      <c r="S138" s="512"/>
      <c r="T138" s="512"/>
      <c r="U138" s="512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504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512"/>
      <c r="P139" s="512"/>
      <c r="Q139" s="512"/>
      <c r="R139" s="512"/>
      <c r="S139" s="512"/>
      <c r="T139" s="512"/>
      <c r="U139" s="512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504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512"/>
      <c r="P140" s="512"/>
      <c r="Q140" s="512"/>
      <c r="R140" s="512"/>
      <c r="S140" s="512"/>
      <c r="T140" s="512"/>
      <c r="U140" s="512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504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512"/>
      <c r="P141" s="512"/>
      <c r="Q141" s="512"/>
      <c r="R141" s="512"/>
      <c r="S141" s="512"/>
      <c r="T141" s="512"/>
      <c r="U141" s="512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504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512"/>
      <c r="P142" s="512"/>
      <c r="Q142" s="512"/>
      <c r="R142" s="512"/>
      <c r="S142" s="512"/>
      <c r="T142" s="512"/>
      <c r="U142" s="512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504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512"/>
      <c r="P143" s="512"/>
      <c r="Q143" s="512"/>
      <c r="R143" s="512"/>
      <c r="S143" s="512"/>
      <c r="T143" s="512"/>
      <c r="U143" s="512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>
        <v>42743</v>
      </c>
      <c r="G144" s="128">
        <f>90+52</f>
        <v>142</v>
      </c>
      <c r="H144" s="504">
        <f t="shared" si="55"/>
        <v>715.68</v>
      </c>
      <c r="I144" s="129">
        <f>3*4</f>
        <v>12</v>
      </c>
      <c r="J144" s="130">
        <f t="array" ref="J144">IF(ISERROR(G144/I144),"",G144/I144)</f>
        <v>11.833333333333334</v>
      </c>
      <c r="K144" s="131">
        <f t="array" ref="K144">IF(ISERROR(G144/L144),"",G144/L144)</f>
        <v>10.518518518518519</v>
      </c>
      <c r="L144" s="129">
        <v>13.5</v>
      </c>
      <c r="M144" s="109">
        <f t="shared" ref="M144" si="59">IF(ISERROR(I144-K144),"",I144-K144)</f>
        <v>1.481481481481481</v>
      </c>
      <c r="N144" s="130"/>
      <c r="O144" s="512"/>
      <c r="P144" s="512"/>
      <c r="Q144" s="512"/>
      <c r="R144" s="512"/>
      <c r="S144" s="512"/>
      <c r="T144" s="512"/>
      <c r="U144" s="512"/>
      <c r="V144" s="132"/>
      <c r="W144" s="133"/>
      <c r="X144" s="132"/>
      <c r="Y144" s="132"/>
      <c r="Z144" s="132"/>
      <c r="AA144" s="132"/>
    </row>
    <row r="145" spans="1:27" ht="20.100000000000001" hidden="1" customHeight="1">
      <c r="A145" s="300">
        <v>30400021</v>
      </c>
      <c r="B145" s="134" t="s">
        <v>439</v>
      </c>
      <c r="C145" s="187" t="s">
        <v>53</v>
      </c>
      <c r="D145" s="108">
        <v>5.04</v>
      </c>
      <c r="E145" s="108"/>
      <c r="F145" s="127"/>
      <c r="G145" s="128"/>
      <c r="H145" s="504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512"/>
      <c r="P145" s="512"/>
      <c r="Q145" s="512"/>
      <c r="R145" s="512"/>
      <c r="S145" s="512"/>
      <c r="T145" s="512"/>
      <c r="U145" s="512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/>
      <c r="G146" s="128"/>
      <c r="H146" s="504">
        <f t="shared" si="55"/>
        <v>0</v>
      </c>
      <c r="I146" s="129"/>
      <c r="J146" s="130"/>
      <c r="K146" s="131">
        <f t="array" ref="K146">IF(ISERROR(G146/L146),"",G146/L146)</f>
        <v>0</v>
      </c>
      <c r="L146" s="129">
        <v>13.5</v>
      </c>
      <c r="M146" s="109"/>
      <c r="N146" s="130"/>
      <c r="O146" s="512"/>
      <c r="P146" s="512"/>
      <c r="Q146" s="512"/>
      <c r="R146" s="512"/>
      <c r="S146" s="512"/>
      <c r="T146" s="512"/>
      <c r="U146" s="512"/>
      <c r="V146" s="132"/>
      <c r="W146" s="133"/>
      <c r="X146" s="132"/>
      <c r="Y146" s="132"/>
      <c r="Z146" s="132"/>
      <c r="AA146" s="132"/>
    </row>
    <row r="147" spans="1:27" ht="20.100000000000001" hidden="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28"/>
      <c r="H147" s="504">
        <f t="shared" si="55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ref="M147" si="60">IF(ISERROR(I147-K147),"",I147-K147)</f>
        <v>0</v>
      </c>
      <c r="N147" s="130">
        <f t="shared" ref="N147" si="61">SUM(O147:U147)</f>
        <v>0</v>
      </c>
      <c r="O147" s="512"/>
      <c r="P147" s="512"/>
      <c r="Q147" s="512"/>
      <c r="R147" s="512"/>
      <c r="S147" s="512"/>
      <c r="T147" s="512"/>
      <c r="U147" s="512"/>
      <c r="V147" s="132">
        <f t="shared" ref="V147" si="62">SUM(X147:AA147)</f>
        <v>0</v>
      </c>
      <c r="W147" s="133" t="str">
        <f t="shared" ref="W147:W152" si="63">IF(ISERROR(V147/G147),"",V147/G147)</f>
        <v/>
      </c>
      <c r="X147" s="132"/>
      <c r="Y147" s="132"/>
      <c r="Z147" s="132"/>
      <c r="AA147" s="132"/>
    </row>
    <row r="148" spans="1:27" ht="20.100000000000001" customHeight="1">
      <c r="A148" s="578" t="s">
        <v>234</v>
      </c>
      <c r="B148" s="579"/>
      <c r="C148" s="513" t="s">
        <v>202</v>
      </c>
      <c r="D148" s="143"/>
      <c r="E148" s="143"/>
      <c r="F148" s="144"/>
      <c r="G148" s="145">
        <f>SUM(G138:G147)</f>
        <v>142</v>
      </c>
      <c r="H148" s="146">
        <f>SUM(H138:H147)</f>
        <v>715.68</v>
      </c>
      <c r="I148" s="146">
        <f>SUM(I138:I147)</f>
        <v>12</v>
      </c>
      <c r="J148" s="130">
        <f t="array" ref="J148">IF(ISERROR(G148/I148),"",G148/I148)</f>
        <v>11.833333333333334</v>
      </c>
      <c r="K148" s="146">
        <f>SUM(K138:K147)</f>
        <v>10.518518518518519</v>
      </c>
      <c r="L148" s="147"/>
      <c r="M148" s="150">
        <f>SUM(M138:M147)</f>
        <v>1.481481481481481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>
        <f t="shared" si="63"/>
        <v>0</v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hidden="1" customHeight="1">
      <c r="A149" s="299">
        <v>30700013</v>
      </c>
      <c r="B149" s="298" t="s">
        <v>103</v>
      </c>
      <c r="C149" s="510"/>
      <c r="D149" s="108">
        <v>3.65</v>
      </c>
      <c r="E149" s="108"/>
      <c r="F149" s="153"/>
      <c r="G149" s="128"/>
      <c r="H149" s="504">
        <f t="shared" ref="H149:H162" si="64">D149*G149</f>
        <v>0</v>
      </c>
      <c r="I149" s="129"/>
      <c r="J149" s="130" t="str">
        <f t="array" ref="J149">IF(ISERROR(G149/I149),"",G149/I149)</f>
        <v/>
      </c>
      <c r="K149" s="504">
        <f t="array" ref="K149">IF(ISERROR(G149/L149),"",G149/L149)</f>
        <v>0</v>
      </c>
      <c r="L149" s="129">
        <v>5</v>
      </c>
      <c r="M149" s="109">
        <f t="shared" ref="M149:M152" si="65">IF(ISERROR(I149-K149),"",I149-K149)</f>
        <v>0</v>
      </c>
      <c r="N149" s="130">
        <f t="shared" ref="N149:N152" si="66">SUM(O149:U149)</f>
        <v>0</v>
      </c>
      <c r="O149" s="512"/>
      <c r="P149" s="512"/>
      <c r="Q149" s="512"/>
      <c r="R149" s="512"/>
      <c r="S149" s="512"/>
      <c r="T149" s="512"/>
      <c r="U149" s="512"/>
      <c r="V149" s="132">
        <f t="shared" ref="V149:V152" si="67">SUM(X149:AA149)</f>
        <v>0</v>
      </c>
      <c r="W149" s="133" t="str">
        <f t="shared" si="63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30700014</v>
      </c>
      <c r="B150" s="141" t="s">
        <v>236</v>
      </c>
      <c r="C150" s="510"/>
      <c r="D150" s="108">
        <v>6.58</v>
      </c>
      <c r="E150" s="108"/>
      <c r="F150" s="127"/>
      <c r="G150" s="128"/>
      <c r="H150" s="504">
        <f t="shared" si="64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5</v>
      </c>
      <c r="M150" s="109">
        <f t="shared" si="65"/>
        <v>0</v>
      </c>
      <c r="N150" s="130">
        <f t="shared" si="66"/>
        <v>0</v>
      </c>
      <c r="O150" s="512"/>
      <c r="P150" s="512"/>
      <c r="Q150" s="512"/>
      <c r="R150" s="512"/>
      <c r="S150" s="512"/>
      <c r="T150" s="512"/>
      <c r="U150" s="512"/>
      <c r="V150" s="132">
        <f t="shared" si="67"/>
        <v>0</v>
      </c>
      <c r="W150" s="133" t="str">
        <f t="shared" si="63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30700016</v>
      </c>
      <c r="B151" s="141" t="s">
        <v>237</v>
      </c>
      <c r="C151" s="510"/>
      <c r="D151" s="108">
        <v>7.8</v>
      </c>
      <c r="E151" s="108"/>
      <c r="F151" s="127"/>
      <c r="G151" s="128"/>
      <c r="H151" s="504">
        <f t="shared" si="64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4.5999999999999996</v>
      </c>
      <c r="M151" s="109">
        <f t="shared" si="65"/>
        <v>0</v>
      </c>
      <c r="N151" s="130">
        <f t="shared" si="66"/>
        <v>0</v>
      </c>
      <c r="O151" s="512"/>
      <c r="P151" s="512"/>
      <c r="Q151" s="512"/>
      <c r="R151" s="512"/>
      <c r="S151" s="512"/>
      <c r="T151" s="512"/>
      <c r="U151" s="512"/>
      <c r="V151" s="132">
        <f t="shared" si="67"/>
        <v>0</v>
      </c>
      <c r="W151" s="133" t="str">
        <f t="shared" si="63"/>
        <v/>
      </c>
      <c r="X151" s="132"/>
      <c r="Y151" s="132"/>
      <c r="Z151" s="132"/>
      <c r="AA151" s="132"/>
    </row>
    <row r="152" spans="1:27" ht="20.100000000000001" hidden="1" customHeight="1">
      <c r="A152" s="299">
        <v>30700017</v>
      </c>
      <c r="B152" s="141" t="s">
        <v>238</v>
      </c>
      <c r="C152" s="510"/>
      <c r="D152" s="108">
        <v>4.4000000000000004</v>
      </c>
      <c r="E152" s="108"/>
      <c r="F152" s="127"/>
      <c r="G152" s="128"/>
      <c r="H152" s="504">
        <f t="shared" si="64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5.8</v>
      </c>
      <c r="M152" s="109">
        <f t="shared" si="65"/>
        <v>0</v>
      </c>
      <c r="N152" s="130">
        <f t="shared" si="66"/>
        <v>0</v>
      </c>
      <c r="O152" s="512"/>
      <c r="P152" s="512"/>
      <c r="Q152" s="512"/>
      <c r="R152" s="512"/>
      <c r="S152" s="512"/>
      <c r="T152" s="512"/>
      <c r="U152" s="512"/>
      <c r="V152" s="132">
        <f t="shared" si="67"/>
        <v>0</v>
      </c>
      <c r="W152" s="133" t="str">
        <f t="shared" si="63"/>
        <v/>
      </c>
      <c r="X152" s="132"/>
      <c r="Y152" s="132"/>
      <c r="Z152" s="132"/>
      <c r="AA152" s="132"/>
    </row>
    <row r="153" spans="1:27" ht="20.100000000000001" hidden="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28"/>
      <c r="H153" s="504">
        <f t="shared" si="64"/>
        <v>0</v>
      </c>
      <c r="I153" s="129"/>
      <c r="J153" s="130"/>
      <c r="K153" s="131"/>
      <c r="L153" s="129">
        <v>6</v>
      </c>
      <c r="M153" s="109"/>
      <c r="N153" s="130"/>
      <c r="O153" s="512"/>
      <c r="P153" s="512"/>
      <c r="Q153" s="512"/>
      <c r="R153" s="512"/>
      <c r="S153" s="512"/>
      <c r="T153" s="512"/>
      <c r="U153" s="512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5"/>
      <c r="B154" s="510" t="s">
        <v>239</v>
      </c>
      <c r="C154" s="510" t="s">
        <v>179</v>
      </c>
      <c r="D154" s="108">
        <v>6.04</v>
      </c>
      <c r="E154" s="108"/>
      <c r="F154" s="127"/>
      <c r="G154" s="128"/>
      <c r="H154" s="504">
        <f t="shared" si="64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5" si="68">IF(ISERROR(I154-K154),"",I154-K154)</f>
        <v>0</v>
      </c>
      <c r="N154" s="130">
        <f t="shared" ref="N154:N155" si="69">SUM(O154:U154)</f>
        <v>0</v>
      </c>
      <c r="O154" s="512"/>
      <c r="P154" s="512"/>
      <c r="Q154" s="512"/>
      <c r="R154" s="512"/>
      <c r="S154" s="512"/>
      <c r="T154" s="512"/>
      <c r="U154" s="512"/>
      <c r="V154" s="132">
        <f t="shared" ref="V154:V155" si="70">SUM(X154:AA154)</f>
        <v>0</v>
      </c>
      <c r="W154" s="133" t="str">
        <f t="shared" ref="W154:W155" si="71">IF(ISERROR(V154/G154),"",V154/G154)</f>
        <v/>
      </c>
      <c r="X154" s="132"/>
      <c r="Y154" s="132"/>
      <c r="Z154" s="132"/>
      <c r="AA154" s="132"/>
    </row>
    <row r="155" spans="1:27" ht="20.100000000000001" hidden="1" customHeight="1">
      <c r="A155" s="305">
        <v>30700019</v>
      </c>
      <c r="B155" s="510" t="s">
        <v>239</v>
      </c>
      <c r="C155" s="510" t="s">
        <v>186</v>
      </c>
      <c r="D155" s="108">
        <v>6.04</v>
      </c>
      <c r="E155" s="108"/>
      <c r="F155" s="127"/>
      <c r="G155" s="128"/>
      <c r="H155" s="504">
        <f t="shared" si="64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8"/>
        <v>0</v>
      </c>
      <c r="N155" s="130">
        <f t="shared" si="69"/>
        <v>0</v>
      </c>
      <c r="O155" s="512"/>
      <c r="P155" s="512"/>
      <c r="Q155" s="512"/>
      <c r="R155" s="512"/>
      <c r="S155" s="512"/>
      <c r="T155" s="512"/>
      <c r="U155" s="512"/>
      <c r="V155" s="132">
        <f t="shared" si="70"/>
        <v>0</v>
      </c>
      <c r="W155" s="133" t="str">
        <f t="shared" si="71"/>
        <v/>
      </c>
      <c r="X155" s="132"/>
      <c r="Y155" s="132"/>
      <c r="Z155" s="132"/>
      <c r="AA155" s="132"/>
    </row>
    <row r="156" spans="1:27" ht="20.100000000000001" hidden="1" customHeight="1">
      <c r="A156" s="305">
        <v>30601015</v>
      </c>
      <c r="B156" s="510" t="s">
        <v>443</v>
      </c>
      <c r="C156" s="510" t="s">
        <v>179</v>
      </c>
      <c r="D156" s="108">
        <v>6</v>
      </c>
      <c r="E156" s="108"/>
      <c r="F156" s="127"/>
      <c r="G156" s="128"/>
      <c r="H156" s="504">
        <f t="shared" si="64"/>
        <v>0</v>
      </c>
      <c r="I156" s="129"/>
      <c r="J156" s="130"/>
      <c r="K156" s="131"/>
      <c r="L156" s="129"/>
      <c r="M156" s="109"/>
      <c r="N156" s="130"/>
      <c r="O156" s="512"/>
      <c r="P156" s="512"/>
      <c r="Q156" s="512"/>
      <c r="R156" s="512"/>
      <c r="S156" s="512"/>
      <c r="T156" s="512"/>
      <c r="U156" s="512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305">
        <v>30101016</v>
      </c>
      <c r="B157" s="510" t="s">
        <v>443</v>
      </c>
      <c r="C157" s="510" t="s">
        <v>60</v>
      </c>
      <c r="D157" s="108">
        <v>6</v>
      </c>
      <c r="E157" s="108"/>
      <c r="F157" s="127"/>
      <c r="G157" s="128"/>
      <c r="H157" s="504">
        <f t="shared" si="64"/>
        <v>0</v>
      </c>
      <c r="I157" s="129"/>
      <c r="J157" s="130"/>
      <c r="K157" s="131"/>
      <c r="L157" s="129">
        <v>6</v>
      </c>
      <c r="M157" s="109"/>
      <c r="N157" s="130"/>
      <c r="O157" s="512"/>
      <c r="P157" s="512"/>
      <c r="Q157" s="512"/>
      <c r="R157" s="512"/>
      <c r="S157" s="512"/>
      <c r="T157" s="512"/>
      <c r="U157" s="512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299">
        <v>30700018</v>
      </c>
      <c r="B158" s="503" t="s">
        <v>240</v>
      </c>
      <c r="C158" s="126"/>
      <c r="D158" s="108">
        <v>7.3</v>
      </c>
      <c r="E158" s="108"/>
      <c r="F158" s="127"/>
      <c r="G158" s="128"/>
      <c r="H158" s="504">
        <f t="shared" si="64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2">IF(ISERROR(I158-K158),"",I158-K158)</f>
        <v/>
      </c>
      <c r="N158" s="130">
        <f t="shared" ref="N158:N159" si="73">SUM(O158:U158)</f>
        <v>0</v>
      </c>
      <c r="O158" s="512"/>
      <c r="P158" s="512"/>
      <c r="Q158" s="512"/>
      <c r="R158" s="512"/>
      <c r="S158" s="512"/>
      <c r="T158" s="512"/>
      <c r="U158" s="512"/>
      <c r="V158" s="132">
        <f t="shared" ref="V158:V159" si="74">SUM(X158:AA158)</f>
        <v>0</v>
      </c>
      <c r="W158" s="133" t="str">
        <f t="shared" ref="W158:W159" si="75">IF(ISERROR(V158/G158),"",V158/G158)</f>
        <v/>
      </c>
      <c r="X158" s="132"/>
      <c r="Y158" s="132"/>
      <c r="Z158" s="132"/>
      <c r="AA158" s="132"/>
    </row>
    <row r="159" spans="1:27" ht="20.100000000000001" hidden="1" customHeight="1">
      <c r="A159" s="299">
        <v>30700010</v>
      </c>
      <c r="B159" s="503" t="s">
        <v>241</v>
      </c>
      <c r="C159" s="126"/>
      <c r="D159" s="108">
        <f>78*120/1000</f>
        <v>9.36</v>
      </c>
      <c r="E159" s="108"/>
      <c r="F159" s="127"/>
      <c r="G159" s="128"/>
      <c r="H159" s="504">
        <f t="shared" si="64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3"/>
        <v>0</v>
      </c>
      <c r="O159" s="512"/>
      <c r="P159" s="512"/>
      <c r="Q159" s="512"/>
      <c r="R159" s="512"/>
      <c r="S159" s="512"/>
      <c r="T159" s="512"/>
      <c r="U159" s="512"/>
      <c r="V159" s="132">
        <f t="shared" si="74"/>
        <v>0</v>
      </c>
      <c r="W159" s="133" t="str">
        <f t="shared" si="75"/>
        <v/>
      </c>
      <c r="X159" s="132"/>
      <c r="Y159" s="132"/>
      <c r="Z159" s="132"/>
      <c r="AA159" s="132"/>
    </row>
    <row r="160" spans="1:27" ht="20.100000000000001" hidden="1" customHeight="1">
      <c r="A160" s="299">
        <v>30700015</v>
      </c>
      <c r="B160" s="503" t="s">
        <v>242</v>
      </c>
      <c r="C160" s="126"/>
      <c r="D160" s="108">
        <v>4.5</v>
      </c>
      <c r="E160" s="108"/>
      <c r="F160" s="127"/>
      <c r="G160" s="128"/>
      <c r="H160" s="504">
        <f t="shared" si="64"/>
        <v>0</v>
      </c>
      <c r="I160" s="129"/>
      <c r="J160" s="130"/>
      <c r="K160" s="131"/>
      <c r="L160" s="129"/>
      <c r="M160" s="109"/>
      <c r="N160" s="130"/>
      <c r="O160" s="512"/>
      <c r="P160" s="512"/>
      <c r="Q160" s="512"/>
      <c r="R160" s="512"/>
      <c r="S160" s="512"/>
      <c r="T160" s="512"/>
      <c r="U160" s="512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299">
        <v>30700012</v>
      </c>
      <c r="B161" s="503" t="s">
        <v>243</v>
      </c>
      <c r="C161" s="126"/>
      <c r="D161" s="108">
        <v>4.5</v>
      </c>
      <c r="E161" s="108"/>
      <c r="F161" s="127"/>
      <c r="G161" s="128"/>
      <c r="H161" s="504">
        <f t="shared" si="64"/>
        <v>0</v>
      </c>
      <c r="I161" s="129"/>
      <c r="J161" s="130"/>
      <c r="K161" s="131"/>
      <c r="L161" s="129"/>
      <c r="M161" s="109"/>
      <c r="N161" s="130"/>
      <c r="O161" s="512"/>
      <c r="P161" s="512"/>
      <c r="Q161" s="512"/>
      <c r="R161" s="512"/>
      <c r="S161" s="512"/>
      <c r="T161" s="512"/>
      <c r="U161" s="512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306">
        <v>30101063</v>
      </c>
      <c r="B162" s="254" t="s">
        <v>436</v>
      </c>
      <c r="C162" s="126"/>
      <c r="D162" s="108">
        <v>5.03</v>
      </c>
      <c r="E162" s="108"/>
      <c r="F162" s="127"/>
      <c r="G162" s="128"/>
      <c r="H162" s="504">
        <f t="shared" si="64"/>
        <v>0</v>
      </c>
      <c r="I162" s="129"/>
      <c r="J162" s="130"/>
      <c r="K162" s="131"/>
      <c r="L162" s="129"/>
      <c r="M162" s="109"/>
      <c r="N162" s="130"/>
      <c r="O162" s="512"/>
      <c r="P162" s="512"/>
      <c r="Q162" s="512"/>
      <c r="R162" s="512"/>
      <c r="S162" s="512"/>
      <c r="T162" s="512"/>
      <c r="U162" s="512"/>
      <c r="V162" s="132"/>
      <c r="W162" s="133"/>
      <c r="X162" s="132"/>
      <c r="Y162" s="132"/>
      <c r="Z162" s="132"/>
      <c r="AA162" s="132"/>
    </row>
    <row r="163" spans="1:27" ht="20.100000000000001" hidden="1" customHeight="1">
      <c r="A163" s="578" t="s">
        <v>244</v>
      </c>
      <c r="B163" s="579"/>
      <c r="C163" s="513" t="s">
        <v>202</v>
      </c>
      <c r="D163" s="143"/>
      <c r="E163" s="143"/>
      <c r="F163" s="144"/>
      <c r="G163" s="145">
        <f>SUM(G149:G161)</f>
        <v>0</v>
      </c>
      <c r="H163" s="146">
        <f>SUM(H149:H159)</f>
        <v>0</v>
      </c>
      <c r="I163" s="146">
        <f>SUM(I149:I161)</f>
        <v>0</v>
      </c>
      <c r="J163" s="130" t="str">
        <f t="array" ref="J163">IF(ISERROR(G163/I163),"",G163/I163)</f>
        <v/>
      </c>
      <c r="K163" s="146">
        <f>SUM(K149:K159)</f>
        <v>0</v>
      </c>
      <c r="L163" s="147"/>
      <c r="M163" s="150">
        <f t="shared" ref="M163:V163" si="76">SUM(M149:M159)</f>
        <v>0</v>
      </c>
      <c r="N163" s="146">
        <f t="shared" si="76"/>
        <v>0</v>
      </c>
      <c r="O163" s="148">
        <f t="shared" si="76"/>
        <v>0</v>
      </c>
      <c r="P163" s="148">
        <f t="shared" si="76"/>
        <v>0</v>
      </c>
      <c r="Q163" s="148">
        <f t="shared" si="76"/>
        <v>0</v>
      </c>
      <c r="R163" s="148">
        <f t="shared" si="76"/>
        <v>0</v>
      </c>
      <c r="S163" s="148">
        <f t="shared" si="76"/>
        <v>0</v>
      </c>
      <c r="T163" s="148">
        <f t="shared" si="76"/>
        <v>0</v>
      </c>
      <c r="U163" s="148">
        <f t="shared" si="76"/>
        <v>0</v>
      </c>
      <c r="V163" s="149">
        <f t="shared" si="76"/>
        <v>0</v>
      </c>
      <c r="W163" s="133" t="str">
        <f>IF(ISERROR(V163/G163),"",V163/G163)</f>
        <v/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580" t="s">
        <v>246</v>
      </c>
      <c r="B164" s="581"/>
      <c r="C164" s="581"/>
      <c r="D164" s="581"/>
      <c r="E164" s="581"/>
      <c r="F164" s="582"/>
      <c r="G164" s="154">
        <f>SUM(G28,G86,G121,G137,G148,G163)</f>
        <v>5909</v>
      </c>
      <c r="H164" s="154">
        <f>SUM(H28,H86,H121,H137,H148,H163)</f>
        <v>29797.01</v>
      </c>
      <c r="I164" s="154">
        <f>SUM(I28,I86,I121,I137,I148,I163)</f>
        <v>302.5</v>
      </c>
      <c r="J164" s="155">
        <f t="array" ref="J164">IF(ISERROR(G164/I164),"",G164/I164)</f>
        <v>19.533884297520661</v>
      </c>
      <c r="K164" s="154">
        <f>SUM(K28,K86,K121,K137,K148,K163)</f>
        <v>449.18597132079771</v>
      </c>
      <c r="L164" s="155">
        <f>IF(ISERROR(G164/K164),"",G164/K164)</f>
        <v>13.154907715895552</v>
      </c>
      <c r="M164" s="154">
        <f t="shared" ref="M164:AA164" si="77">SUM(M28,M86,M121,M137,M148,M163)</f>
        <v>-146.68597132079771</v>
      </c>
      <c r="N164" s="154">
        <f t="shared" si="77"/>
        <v>0</v>
      </c>
      <c r="O164" s="154">
        <f t="shared" si="77"/>
        <v>0</v>
      </c>
      <c r="P164" s="154">
        <f t="shared" si="77"/>
        <v>0</v>
      </c>
      <c r="Q164" s="154">
        <f t="shared" si="77"/>
        <v>0</v>
      </c>
      <c r="R164" s="154">
        <f t="shared" si="77"/>
        <v>0</v>
      </c>
      <c r="S164" s="154">
        <f t="shared" si="77"/>
        <v>0</v>
      </c>
      <c r="T164" s="154">
        <f t="shared" si="77"/>
        <v>0</v>
      </c>
      <c r="U164" s="154">
        <f t="shared" si="77"/>
        <v>0</v>
      </c>
      <c r="V164" s="154">
        <f t="shared" si="77"/>
        <v>0</v>
      </c>
      <c r="W164" s="154">
        <f t="shared" si="77"/>
        <v>0</v>
      </c>
      <c r="X164" s="154">
        <f t="shared" si="77"/>
        <v>0</v>
      </c>
      <c r="Y164" s="154">
        <f t="shared" si="77"/>
        <v>0</v>
      </c>
      <c r="Z164" s="154">
        <f t="shared" si="77"/>
        <v>0</v>
      </c>
      <c r="AA164" s="154">
        <f t="shared" si="77"/>
        <v>0</v>
      </c>
    </row>
    <row r="165" spans="1:27" ht="20.100000000000001" customHeight="1">
      <c r="A165" s="583" t="s">
        <v>476</v>
      </c>
      <c r="B165" s="506" t="s">
        <v>247</v>
      </c>
      <c r="C165" s="586" t="s">
        <v>248</v>
      </c>
      <c r="D165" s="587"/>
      <c r="E165" s="588" t="s">
        <v>249</v>
      </c>
      <c r="F165" s="588"/>
      <c r="G165" s="591" t="s">
        <v>250</v>
      </c>
      <c r="H165" s="591"/>
      <c r="I165" s="588" t="s">
        <v>251</v>
      </c>
      <c r="J165" s="588"/>
      <c r="K165" s="588" t="s">
        <v>252</v>
      </c>
      <c r="L165" s="588"/>
      <c r="M165" s="588" t="s">
        <v>253</v>
      </c>
      <c r="N165" s="588"/>
      <c r="O165" s="588" t="s">
        <v>254</v>
      </c>
      <c r="P165" s="591" t="s">
        <v>255</v>
      </c>
      <c r="Q165" s="591"/>
      <c r="R165" s="591" t="s">
        <v>252</v>
      </c>
      <c r="S165" s="591"/>
      <c r="T165" s="591" t="s">
        <v>256</v>
      </c>
      <c r="U165" s="591"/>
      <c r="V165" s="591" t="s">
        <v>257</v>
      </c>
      <c r="W165" s="591"/>
      <c r="X165" s="591" t="s">
        <v>252</v>
      </c>
      <c r="Y165" s="591"/>
      <c r="Z165" s="591" t="s">
        <v>256</v>
      </c>
      <c r="AA165" s="591"/>
    </row>
    <row r="166" spans="1:27" ht="20.100000000000001" customHeight="1">
      <c r="A166" s="584"/>
      <c r="B166" s="506" t="s">
        <v>258</v>
      </c>
      <c r="C166" s="586">
        <v>1</v>
      </c>
      <c r="D166" s="587"/>
      <c r="E166" s="590">
        <f>C166*11</f>
        <v>11</v>
      </c>
      <c r="F166" s="590"/>
      <c r="G166" s="591">
        <v>1</v>
      </c>
      <c r="H166" s="591"/>
      <c r="I166" s="590">
        <f>G166*11</f>
        <v>11</v>
      </c>
      <c r="J166" s="590"/>
      <c r="K166" s="590">
        <f>E166-I166</f>
        <v>0</v>
      </c>
      <c r="L166" s="590"/>
      <c r="M166" s="592">
        <f>IF(ISERROR(K166/E166),"",K166/E166)</f>
        <v>0</v>
      </c>
      <c r="N166" s="592"/>
      <c r="O166" s="588"/>
      <c r="P166" s="591" t="s">
        <v>201</v>
      </c>
      <c r="Q166" s="591"/>
      <c r="R166" s="593">
        <f>SUM(O28:U28)</f>
        <v>0</v>
      </c>
      <c r="S166" s="593"/>
      <c r="T166" s="594" t="str">
        <f t="array" ref="T166">IF(ISERROR(R166/R173),"",R166/R173)</f>
        <v/>
      </c>
      <c r="U166" s="594"/>
      <c r="V166" s="591" t="s">
        <v>259</v>
      </c>
      <c r="W166" s="591"/>
      <c r="X166" s="595">
        <f>SUM(P27,P85,P120,P136,P147,P161)</f>
        <v>0</v>
      </c>
      <c r="Y166" s="595"/>
      <c r="Z166" s="594" t="str">
        <f t="array" ref="Z166">IF(ISERROR(X166/X173),"",X166/X173)</f>
        <v/>
      </c>
      <c r="AA166" s="594"/>
    </row>
    <row r="167" spans="1:27" ht="20.100000000000001" customHeight="1">
      <c r="A167" s="584"/>
      <c r="B167" s="506" t="s">
        <v>260</v>
      </c>
      <c r="C167" s="586">
        <v>1</v>
      </c>
      <c r="D167" s="587"/>
      <c r="E167" s="590">
        <f>C167*11</f>
        <v>11</v>
      </c>
      <c r="F167" s="590"/>
      <c r="G167" s="591">
        <v>1</v>
      </c>
      <c r="H167" s="591"/>
      <c r="I167" s="590">
        <f>G167*11</f>
        <v>11</v>
      </c>
      <c r="J167" s="590"/>
      <c r="K167" s="590">
        <f>E167-I167</f>
        <v>0</v>
      </c>
      <c r="L167" s="590"/>
      <c r="M167" s="592">
        <f>IF(ISERROR(K167/E167),"",K167/E167)</f>
        <v>0</v>
      </c>
      <c r="N167" s="592"/>
      <c r="O167" s="588"/>
      <c r="P167" s="591" t="s">
        <v>216</v>
      </c>
      <c r="Q167" s="591"/>
      <c r="R167" s="593">
        <f>SUM(O86:U86)</f>
        <v>0</v>
      </c>
      <c r="S167" s="593"/>
      <c r="T167" s="594" t="str">
        <f>IF(ISERROR(R167/R173),"",R167/R173)</f>
        <v/>
      </c>
      <c r="U167" s="594"/>
      <c r="V167" s="591" t="s">
        <v>261</v>
      </c>
      <c r="W167" s="591"/>
      <c r="X167" s="595">
        <f>SUM(P28,P86,P121,P137,P148,P163)</f>
        <v>0</v>
      </c>
      <c r="Y167" s="595"/>
      <c r="Z167" s="594" t="str">
        <f>IF(ISERROR(X167/X173),"",X167/X173)</f>
        <v/>
      </c>
      <c r="AA167" s="594"/>
    </row>
    <row r="168" spans="1:27" ht="20.100000000000001" customHeight="1">
      <c r="A168" s="584"/>
      <c r="B168" s="506" t="s">
        <v>262</v>
      </c>
      <c r="C168" s="586">
        <v>1</v>
      </c>
      <c r="D168" s="587"/>
      <c r="E168" s="590">
        <f>C168*8</f>
        <v>8</v>
      </c>
      <c r="F168" s="590"/>
      <c r="G168" s="591">
        <v>1</v>
      </c>
      <c r="H168" s="591"/>
      <c r="I168" s="590">
        <f>G168*8</f>
        <v>8</v>
      </c>
      <c r="J168" s="590"/>
      <c r="K168" s="590">
        <f>E168-I168</f>
        <v>0</v>
      </c>
      <c r="L168" s="590"/>
      <c r="M168" s="592">
        <f>IF(ISERROR(K168/E168),"",K168/E168)</f>
        <v>0</v>
      </c>
      <c r="N168" s="592"/>
      <c r="O168" s="588"/>
      <c r="P168" s="591" t="s">
        <v>224</v>
      </c>
      <c r="Q168" s="591"/>
      <c r="R168" s="593">
        <f>SUM(O121:U121)</f>
        <v>0</v>
      </c>
      <c r="S168" s="593"/>
      <c r="T168" s="594" t="str">
        <f>IF(ISERROR(R168/R173),"",R168/R173)</f>
        <v/>
      </c>
      <c r="U168" s="594"/>
      <c r="V168" s="591" t="s">
        <v>263</v>
      </c>
      <c r="W168" s="591"/>
      <c r="X168" s="595">
        <f>SUM(P29,P87,P122,P138,P149,P164)</f>
        <v>0</v>
      </c>
      <c r="Y168" s="595"/>
      <c r="Z168" s="594" t="str">
        <f>IF(ISERROR(X168/X173),"",X168/X173)</f>
        <v/>
      </c>
      <c r="AA168" s="594"/>
    </row>
    <row r="169" spans="1:27" ht="20.100000000000001" customHeight="1">
      <c r="A169" s="584"/>
      <c r="B169" s="506" t="s">
        <v>264</v>
      </c>
      <c r="C169" s="586">
        <v>1</v>
      </c>
      <c r="D169" s="587"/>
      <c r="E169" s="590">
        <f>C169*11</f>
        <v>11</v>
      </c>
      <c r="F169" s="590"/>
      <c r="G169" s="591">
        <v>1</v>
      </c>
      <c r="H169" s="591"/>
      <c r="I169" s="590">
        <f>G169*11</f>
        <v>11</v>
      </c>
      <c r="J169" s="590"/>
      <c r="K169" s="590">
        <f>E169-I169</f>
        <v>0</v>
      </c>
      <c r="L169" s="590"/>
      <c r="M169" s="592">
        <f>IF(ISERROR(K169/E169),"",K169/E169)</f>
        <v>0</v>
      </c>
      <c r="N169" s="592"/>
      <c r="O169" s="588"/>
      <c r="P169" s="591" t="s">
        <v>231</v>
      </c>
      <c r="Q169" s="591"/>
      <c r="R169" s="593">
        <f>SUM(O137:U137)</f>
        <v>0</v>
      </c>
      <c r="S169" s="593"/>
      <c r="T169" s="594" t="str">
        <f>IF(ISERROR(R169/R173),"",R169/R173)</f>
        <v/>
      </c>
      <c r="U169" s="594"/>
      <c r="V169" s="591" t="s">
        <v>265</v>
      </c>
      <c r="W169" s="591"/>
      <c r="X169" s="595">
        <f>SUM(P31,P88,P123,P139,P150,P165)</f>
        <v>0</v>
      </c>
      <c r="Y169" s="595"/>
      <c r="Z169" s="594" t="str">
        <f>IF(ISERROR(X169/X173),"",X169/X173)</f>
        <v/>
      </c>
      <c r="AA169" s="594"/>
    </row>
    <row r="170" spans="1:27" ht="20.100000000000001" customHeight="1">
      <c r="A170" s="585"/>
      <c r="B170" s="506" t="s">
        <v>266</v>
      </c>
      <c r="C170" s="596">
        <f>SUM(C166:D169)</f>
        <v>4</v>
      </c>
      <c r="D170" s="597"/>
      <c r="E170" s="590">
        <f>SUM(E166:F169)</f>
        <v>41</v>
      </c>
      <c r="F170" s="590"/>
      <c r="G170" s="591">
        <f>SUM(G166:H169)</f>
        <v>4</v>
      </c>
      <c r="H170" s="591"/>
      <c r="I170" s="590">
        <f>SUM(I166:J169)</f>
        <v>41</v>
      </c>
      <c r="J170" s="590"/>
      <c r="K170" s="590">
        <f>SUM(K166:L169)</f>
        <v>0</v>
      </c>
      <c r="L170" s="590"/>
      <c r="M170" s="592">
        <f>IF(ISERROR(K170/E170),"",K170/E170)</f>
        <v>0</v>
      </c>
      <c r="N170" s="592"/>
      <c r="O170" s="588"/>
      <c r="P170" s="591" t="s">
        <v>234</v>
      </c>
      <c r="Q170" s="591"/>
      <c r="R170" s="593">
        <f>SUM(O148:U148)</f>
        <v>0</v>
      </c>
      <c r="S170" s="593"/>
      <c r="T170" s="594" t="str">
        <f>IF(ISERROR(R170/R173),"",R170/R173)</f>
        <v/>
      </c>
      <c r="U170" s="594"/>
      <c r="V170" s="591" t="s">
        <v>267</v>
      </c>
      <c r="W170" s="591"/>
      <c r="X170" s="595">
        <f>SUM(P32,P89,P124,P140,P151,P166)</f>
        <v>0</v>
      </c>
      <c r="Y170" s="595"/>
      <c r="Z170" s="594" t="str">
        <f>IF(ISERROR(X170/X173),"",X170/X173)</f>
        <v/>
      </c>
      <c r="AA170" s="594"/>
    </row>
    <row r="171" spans="1:27" ht="20.100000000000001" customHeight="1">
      <c r="A171" s="307" t="s">
        <v>477</v>
      </c>
      <c r="B171" s="506">
        <f>G164</f>
        <v>5909</v>
      </c>
      <c r="C171" s="598" t="s">
        <v>269</v>
      </c>
      <c r="D171" s="599"/>
      <c r="E171" s="591">
        <f>H164</f>
        <v>29797.01</v>
      </c>
      <c r="F171" s="591"/>
      <c r="G171" s="591" t="s">
        <v>270</v>
      </c>
      <c r="H171" s="591"/>
      <c r="I171" s="600">
        <f>L164</f>
        <v>13.154907715895552</v>
      </c>
      <c r="J171" s="600"/>
      <c r="K171" s="588" t="s">
        <v>271</v>
      </c>
      <c r="L171" s="588"/>
      <c r="M171" s="600">
        <f>J164</f>
        <v>19.533884297520661</v>
      </c>
      <c r="N171" s="600"/>
      <c r="O171" s="588"/>
      <c r="P171" s="591" t="s">
        <v>244</v>
      </c>
      <c r="Q171" s="591"/>
      <c r="R171" s="593">
        <f>SUM(O163:U163)</f>
        <v>0</v>
      </c>
      <c r="S171" s="593"/>
      <c r="T171" s="594" t="str">
        <f>IF(ISERROR(R171/R173),"",R171/R173)</f>
        <v/>
      </c>
      <c r="U171" s="594"/>
      <c r="V171" s="591" t="s">
        <v>272</v>
      </c>
      <c r="W171" s="591"/>
      <c r="X171" s="595">
        <f>SUM(P33,P90,P125,P141,P152,P167)</f>
        <v>0</v>
      </c>
      <c r="Y171" s="595"/>
      <c r="Z171" s="594" t="str">
        <f>IF(ISERROR(X171/X173),"",X171/X173)</f>
        <v/>
      </c>
      <c r="AA171" s="594"/>
    </row>
    <row r="172" spans="1:27" ht="20.100000000000001" customHeight="1">
      <c r="A172" s="308" t="s">
        <v>478</v>
      </c>
      <c r="B172" s="506">
        <f>I164+C170</f>
        <v>306.5</v>
      </c>
      <c r="C172" s="601" t="s">
        <v>251</v>
      </c>
      <c r="D172" s="602"/>
      <c r="E172" s="603">
        <f>K164+I170</f>
        <v>490.18597132079771</v>
      </c>
      <c r="F172" s="603"/>
      <c r="G172" s="591" t="s">
        <v>274</v>
      </c>
      <c r="H172" s="591"/>
      <c r="I172" s="600">
        <f>B172-E172</f>
        <v>-183.68597132079771</v>
      </c>
      <c r="J172" s="600"/>
      <c r="K172" s="588" t="s">
        <v>275</v>
      </c>
      <c r="L172" s="588"/>
      <c r="M172" s="592">
        <f>IF(ISERROR(I172/E172),"",I172/E172)</f>
        <v>-0.37472710780738788</v>
      </c>
      <c r="N172" s="592"/>
      <c r="O172" s="588"/>
      <c r="P172" s="591" t="s">
        <v>245</v>
      </c>
      <c r="Q172" s="591"/>
      <c r="R172" s="593"/>
      <c r="S172" s="593"/>
      <c r="T172" s="594" t="str">
        <f>IF(ISERROR(R172/R173),"",R172/R173)</f>
        <v/>
      </c>
      <c r="U172" s="594"/>
      <c r="V172" s="591" t="s">
        <v>264</v>
      </c>
      <c r="W172" s="591"/>
      <c r="X172" s="595"/>
      <c r="Y172" s="595"/>
      <c r="Z172" s="594" t="str">
        <f>IF(ISERROR(X172/X173),"",X172/X173)</f>
        <v/>
      </c>
      <c r="AA172" s="594"/>
    </row>
    <row r="173" spans="1:27" ht="20.100000000000001" customHeight="1">
      <c r="A173" s="308" t="s">
        <v>479</v>
      </c>
      <c r="B173" s="506">
        <f>N164</f>
        <v>0</v>
      </c>
      <c r="C173" s="601" t="s">
        <v>277</v>
      </c>
      <c r="D173" s="602"/>
      <c r="E173" s="594">
        <f>IF(ISERROR(B173/B172),"",B173/B172)</f>
        <v>0</v>
      </c>
      <c r="F173" s="594"/>
      <c r="G173" s="591" t="s">
        <v>278</v>
      </c>
      <c r="H173" s="591"/>
      <c r="I173" s="588">
        <f>V164</f>
        <v>0</v>
      </c>
      <c r="J173" s="588"/>
      <c r="K173" s="588" t="s">
        <v>279</v>
      </c>
      <c r="L173" s="588"/>
      <c r="M173" s="592">
        <f t="array" ref="M173">IF(ISERROR(I173/B171),"",I173/B171)</f>
        <v>0</v>
      </c>
      <c r="N173" s="592"/>
      <c r="O173" s="588"/>
      <c r="P173" s="591" t="s">
        <v>266</v>
      </c>
      <c r="Q173" s="591"/>
      <c r="R173" s="593">
        <f>SUM(R166:S172)</f>
        <v>0</v>
      </c>
      <c r="S173" s="593"/>
      <c r="T173" s="594"/>
      <c r="U173" s="594"/>
      <c r="V173" s="591" t="s">
        <v>266</v>
      </c>
      <c r="W173" s="591"/>
      <c r="X173" s="595">
        <f>SUM(X166:Y172)</f>
        <v>0</v>
      </c>
      <c r="Y173" s="595"/>
      <c r="Z173" s="594"/>
      <c r="AA173" s="594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4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604" t="s">
        <v>480</v>
      </c>
      <c r="B175" s="607" t="s">
        <v>280</v>
      </c>
      <c r="C175" s="607" t="s">
        <v>281</v>
      </c>
      <c r="D175" s="607" t="s">
        <v>282</v>
      </c>
      <c r="E175" s="610" t="s">
        <v>283</v>
      </c>
      <c r="F175" s="623" t="s">
        <v>284</v>
      </c>
      <c r="G175" s="588" t="s">
        <v>285</v>
      </c>
      <c r="H175" s="588"/>
      <c r="I175" s="607" t="s">
        <v>286</v>
      </c>
      <c r="J175" s="613" t="s">
        <v>271</v>
      </c>
      <c r="K175" s="616" t="s">
        <v>287</v>
      </c>
      <c r="L175" s="607" t="s">
        <v>270</v>
      </c>
      <c r="M175" s="619" t="s">
        <v>288</v>
      </c>
      <c r="N175" s="621" t="s">
        <v>252</v>
      </c>
      <c r="O175" s="588" t="s">
        <v>289</v>
      </c>
      <c r="P175" s="588"/>
      <c r="Q175" s="588"/>
      <c r="R175" s="588"/>
      <c r="S175" s="588"/>
      <c r="T175" s="588"/>
      <c r="U175" s="588"/>
      <c r="V175" s="588" t="s">
        <v>290</v>
      </c>
      <c r="W175" s="621" t="s">
        <v>291</v>
      </c>
      <c r="X175" s="588" t="s">
        <v>292</v>
      </c>
      <c r="Y175" s="588"/>
      <c r="Z175" s="588"/>
      <c r="AA175" s="588"/>
    </row>
    <row r="176" spans="1:27" ht="21.95" customHeight="1">
      <c r="A176" s="605"/>
      <c r="B176" s="608"/>
      <c r="C176" s="608"/>
      <c r="D176" s="608"/>
      <c r="E176" s="611"/>
      <c r="F176" s="624"/>
      <c r="G176" s="588"/>
      <c r="H176" s="588"/>
      <c r="I176" s="608"/>
      <c r="J176" s="614"/>
      <c r="K176" s="617"/>
      <c r="L176" s="608"/>
      <c r="M176" s="620"/>
      <c r="N176" s="621"/>
      <c r="O176" s="588" t="s">
        <v>259</v>
      </c>
      <c r="P176" s="588" t="s">
        <v>261</v>
      </c>
      <c r="Q176" s="588" t="s">
        <v>263</v>
      </c>
      <c r="R176" s="622" t="s">
        <v>265</v>
      </c>
      <c r="S176" s="591" t="s">
        <v>267</v>
      </c>
      <c r="T176" s="588" t="s">
        <v>272</v>
      </c>
      <c r="U176" s="588" t="s">
        <v>264</v>
      </c>
      <c r="V176" s="588"/>
      <c r="W176" s="621"/>
      <c r="X176" s="588" t="s">
        <v>293</v>
      </c>
      <c r="Y176" s="588" t="s">
        <v>294</v>
      </c>
      <c r="Z176" s="588" t="s">
        <v>295</v>
      </c>
      <c r="AA176" s="588" t="s">
        <v>264</v>
      </c>
    </row>
    <row r="177" spans="1:27" ht="21.95" customHeight="1">
      <c r="A177" s="606"/>
      <c r="B177" s="609"/>
      <c r="C177" s="609"/>
      <c r="D177" s="609"/>
      <c r="E177" s="612"/>
      <c r="F177" s="625"/>
      <c r="G177" s="348" t="s">
        <v>296</v>
      </c>
      <c r="H177" s="510" t="s">
        <v>297</v>
      </c>
      <c r="I177" s="609"/>
      <c r="J177" s="615"/>
      <c r="K177" s="618"/>
      <c r="L177" s="609"/>
      <c r="M177" s="620"/>
      <c r="N177" s="621"/>
      <c r="O177" s="588"/>
      <c r="P177" s="588"/>
      <c r="Q177" s="588"/>
      <c r="R177" s="622"/>
      <c r="S177" s="591"/>
      <c r="T177" s="588"/>
      <c r="U177" s="588"/>
      <c r="V177" s="588"/>
      <c r="W177" s="621"/>
      <c r="X177" s="588"/>
      <c r="Y177" s="588"/>
      <c r="Z177" s="588"/>
      <c r="AA177" s="588"/>
    </row>
    <row r="178" spans="1:27" ht="20.100000000000001" hidden="1" customHeight="1">
      <c r="A178" s="299">
        <v>30100030</v>
      </c>
      <c r="B178" s="503" t="s">
        <v>178</v>
      </c>
      <c r="C178" s="126" t="s">
        <v>179</v>
      </c>
      <c r="D178" s="108">
        <v>5.03</v>
      </c>
      <c r="E178" s="108"/>
      <c r="F178" s="127"/>
      <c r="G178" s="128"/>
      <c r="H178" s="504">
        <f t="shared" ref="H178:H187" si="78">D178*G178</f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16</v>
      </c>
      <c r="M178" s="109">
        <f t="shared" ref="M178:M187" si="79">IF(ISERROR(I178-K178),"",I178-K178)</f>
        <v>0</v>
      </c>
      <c r="N178" s="130">
        <f>SUM(O178:U178)</f>
        <v>0</v>
      </c>
      <c r="O178" s="512"/>
      <c r="P178" s="512"/>
      <c r="Q178" s="512"/>
      <c r="R178" s="512"/>
      <c r="S178" s="512"/>
      <c r="T178" s="512"/>
      <c r="U178" s="512"/>
      <c r="V178" s="132">
        <f t="shared" ref="V178:V183" si="80">SUM(X178:AA178)</f>
        <v>0</v>
      </c>
      <c r="W178" s="133" t="str">
        <f t="shared" ref="W178:W183" si="81">IF(ISERROR(V178/G178),"",V178/G178)</f>
        <v/>
      </c>
      <c r="X178" s="132"/>
      <c r="Y178" s="132"/>
      <c r="Z178" s="132"/>
      <c r="AA178" s="132"/>
    </row>
    <row r="179" spans="1:27" ht="20.100000000000001" hidden="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28"/>
      <c r="H179" s="504">
        <f t="shared" si="78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9"/>
        <v>0</v>
      </c>
      <c r="N179" s="130">
        <f t="shared" ref="N179:N187" si="82">SUM(O179:U179)</f>
        <v>0</v>
      </c>
      <c r="O179" s="512"/>
      <c r="P179" s="512"/>
      <c r="Q179" s="512"/>
      <c r="R179" s="512"/>
      <c r="S179" s="512"/>
      <c r="T179" s="512"/>
      <c r="U179" s="512"/>
      <c r="V179" s="132">
        <f t="shared" si="80"/>
        <v>0</v>
      </c>
      <c r="W179" s="133" t="str">
        <f t="shared" si="81"/>
        <v/>
      </c>
      <c r="X179" s="132"/>
      <c r="Y179" s="132"/>
      <c r="Z179" s="132"/>
      <c r="AA179" s="132"/>
    </row>
    <row r="180" spans="1:27" ht="20.100000000000001" hidden="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28"/>
      <c r="H180" s="504">
        <f t="shared" si="78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9"/>
        <v>0</v>
      </c>
      <c r="N180" s="130">
        <f t="shared" si="82"/>
        <v>0</v>
      </c>
      <c r="O180" s="512"/>
      <c r="P180" s="512"/>
      <c r="Q180" s="512"/>
      <c r="R180" s="512"/>
      <c r="S180" s="512"/>
      <c r="T180" s="512"/>
      <c r="U180" s="512"/>
      <c r="V180" s="132">
        <f t="shared" si="80"/>
        <v>0</v>
      </c>
      <c r="W180" s="133" t="str">
        <f t="shared" si="81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/>
      <c r="G181" s="128"/>
      <c r="H181" s="504">
        <f t="shared" si="78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19</v>
      </c>
      <c r="M181" s="109">
        <f t="shared" si="79"/>
        <v>0</v>
      </c>
      <c r="N181" s="130">
        <f t="shared" si="82"/>
        <v>0</v>
      </c>
      <c r="O181" s="512"/>
      <c r="P181" s="512"/>
      <c r="Q181" s="512"/>
      <c r="R181" s="512"/>
      <c r="S181" s="512"/>
      <c r="T181" s="512"/>
      <c r="U181" s="512"/>
      <c r="V181" s="132">
        <f t="shared" si="80"/>
        <v>0</v>
      </c>
      <c r="W181" s="133" t="str">
        <f t="shared" si="81"/>
        <v/>
      </c>
      <c r="X181" s="132"/>
      <c r="Y181" s="132"/>
      <c r="Z181" s="132"/>
      <c r="AA181" s="132"/>
    </row>
    <row r="182" spans="1:27" ht="20.100000000000001" hidden="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/>
      <c r="G182" s="128"/>
      <c r="H182" s="504">
        <f t="shared" si="78"/>
        <v>0</v>
      </c>
      <c r="I182" s="129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20</v>
      </c>
      <c r="M182" s="109">
        <f t="shared" si="79"/>
        <v>0</v>
      </c>
      <c r="N182" s="130">
        <f t="shared" si="82"/>
        <v>0</v>
      </c>
      <c r="O182" s="512"/>
      <c r="P182" s="512"/>
      <c r="Q182" s="512"/>
      <c r="R182" s="512"/>
      <c r="S182" s="512"/>
      <c r="T182" s="512"/>
      <c r="U182" s="512"/>
      <c r="V182" s="132">
        <f t="shared" si="80"/>
        <v>0</v>
      </c>
      <c r="W182" s="133" t="str">
        <f t="shared" si="81"/>
        <v/>
      </c>
      <c r="X182" s="132"/>
      <c r="Y182" s="132"/>
      <c r="Z182" s="132"/>
      <c r="AA182" s="132"/>
    </row>
    <row r="183" spans="1:27" ht="20.100000000000001" hidden="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58"/>
      <c r="G183" s="137"/>
      <c r="H183" s="504">
        <f t="shared" si="78"/>
        <v>0</v>
      </c>
      <c r="I183" s="138"/>
      <c r="J183" s="130" t="str">
        <f t="array" ref="J183">IF(ISERROR(G183/I183),"",G183/I183)</f>
        <v/>
      </c>
      <c r="K183" s="131">
        <f t="array" ref="K183">IF(ISERROR(G183/L183),"",G183/L183)</f>
        <v>0</v>
      </c>
      <c r="L183" s="129">
        <v>19</v>
      </c>
      <c r="M183" s="109">
        <f t="shared" si="79"/>
        <v>0</v>
      </c>
      <c r="N183" s="130">
        <f t="shared" si="82"/>
        <v>0</v>
      </c>
      <c r="O183" s="512"/>
      <c r="P183" s="512"/>
      <c r="Q183" s="512"/>
      <c r="R183" s="512"/>
      <c r="S183" s="512"/>
      <c r="T183" s="512"/>
      <c r="U183" s="512"/>
      <c r="V183" s="132">
        <f t="shared" si="80"/>
        <v>0</v>
      </c>
      <c r="W183" s="133" t="str">
        <f t="shared" si="81"/>
        <v/>
      </c>
      <c r="X183" s="132"/>
      <c r="Y183" s="132"/>
      <c r="Z183" s="132"/>
      <c r="AA183" s="132"/>
    </row>
    <row r="184" spans="1:27" ht="20.100000000000001" hidden="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/>
      <c r="G184" s="128"/>
      <c r="H184" s="504">
        <f t="shared" si="78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9"/>
        <v>0</v>
      </c>
      <c r="N184" s="130">
        <f t="shared" si="82"/>
        <v>0</v>
      </c>
      <c r="O184" s="512"/>
      <c r="P184" s="512"/>
      <c r="Q184" s="512"/>
      <c r="R184" s="512"/>
      <c r="S184" s="512"/>
      <c r="T184" s="512"/>
      <c r="U184" s="512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28"/>
      <c r="H185" s="504">
        <f t="shared" si="78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79"/>
        <v>0</v>
      </c>
      <c r="N185" s="130">
        <f t="shared" si="82"/>
        <v>0</v>
      </c>
      <c r="O185" s="512"/>
      <c r="P185" s="512"/>
      <c r="Q185" s="512"/>
      <c r="R185" s="512"/>
      <c r="S185" s="512"/>
      <c r="T185" s="512"/>
      <c r="U185" s="512"/>
      <c r="V185" s="132"/>
      <c r="W185" s="133"/>
      <c r="X185" s="132"/>
      <c r="Y185" s="132"/>
      <c r="Z185" s="132"/>
      <c r="AA185" s="132"/>
    </row>
    <row r="186" spans="1:27" ht="20.100000000000001" hidden="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/>
      <c r="G186" s="128"/>
      <c r="H186" s="504">
        <f t="shared" si="78"/>
        <v>0</v>
      </c>
      <c r="I186" s="504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9"/>
        <v>0</v>
      </c>
      <c r="N186" s="130">
        <f t="shared" si="82"/>
        <v>0</v>
      </c>
      <c r="O186" s="512"/>
      <c r="P186" s="512"/>
      <c r="Q186" s="512"/>
      <c r="R186" s="512"/>
      <c r="S186" s="512"/>
      <c r="T186" s="512"/>
      <c r="U186" s="512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>
        <v>42744</v>
      </c>
      <c r="G187" s="128">
        <f>2+23+77-100</f>
        <v>2</v>
      </c>
      <c r="H187" s="504">
        <f t="shared" si="78"/>
        <v>10.08</v>
      </c>
      <c r="I187" s="504">
        <f>1*5</f>
        <v>5</v>
      </c>
      <c r="J187" s="130">
        <f t="array" ref="J187">IF(ISERROR(G187/I187),"",G187/I187)</f>
        <v>0.4</v>
      </c>
      <c r="K187" s="131">
        <f t="array" ref="K187">IF(ISERROR(G187/L187),"",G187/L187)</f>
        <v>0.11764705882352941</v>
      </c>
      <c r="L187" s="129">
        <v>17</v>
      </c>
      <c r="M187" s="109">
        <f t="shared" si="79"/>
        <v>4.882352941176471</v>
      </c>
      <c r="N187" s="130">
        <f t="shared" si="82"/>
        <v>0</v>
      </c>
      <c r="O187" s="512"/>
      <c r="P187" s="512"/>
      <c r="Q187" s="512"/>
      <c r="R187" s="512"/>
      <c r="S187" s="512"/>
      <c r="T187" s="512"/>
      <c r="U187" s="512"/>
      <c r="V187" s="132">
        <f>SUM(X187:AA187)</f>
        <v>0</v>
      </c>
      <c r="W187" s="133">
        <f>IF(ISERROR(V187/G187),"",V187/G187)</f>
        <v>0</v>
      </c>
      <c r="X187" s="132"/>
      <c r="Y187" s="132"/>
      <c r="Z187" s="132"/>
      <c r="AA187" s="132"/>
    </row>
    <row r="188" spans="1:27" ht="20.100000000000001" hidden="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28"/>
      <c r="H188" s="504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512"/>
      <c r="P188" s="512"/>
      <c r="Q188" s="512"/>
      <c r="R188" s="512"/>
      <c r="S188" s="512"/>
      <c r="T188" s="512"/>
      <c r="U188" s="512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28"/>
      <c r="H189" s="504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512"/>
      <c r="P189" s="512"/>
      <c r="Q189" s="512"/>
      <c r="R189" s="512"/>
      <c r="S189" s="512"/>
      <c r="T189" s="512"/>
      <c r="U189" s="512"/>
      <c r="V189" s="132"/>
      <c r="W189" s="133"/>
      <c r="X189" s="132"/>
      <c r="Y189" s="132"/>
      <c r="Z189" s="132"/>
      <c r="AA189" s="132"/>
    </row>
    <row r="190" spans="1:27" ht="20.10000000000000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F190" s="127">
        <v>42744</v>
      </c>
      <c r="G190" s="128">
        <f>90*7+38+90</f>
        <v>758</v>
      </c>
      <c r="H190" s="504">
        <f t="shared" ref="H190:H198" si="83">D190*G190</f>
        <v>3835.4799999999996</v>
      </c>
      <c r="I190" s="129">
        <v>40</v>
      </c>
      <c r="J190" s="130">
        <f t="array" ref="J190">IF(ISERROR(G190/I190),"",G190/I190)</f>
        <v>18.95</v>
      </c>
      <c r="K190" s="131">
        <f t="array" ref="K190">IF(ISERROR(G190/L190),"",G190/L190)</f>
        <v>39.89473684210526</v>
      </c>
      <c r="L190" s="129">
        <v>19</v>
      </c>
      <c r="M190" s="109">
        <f t="shared" ref="M190:M198" si="84">IF(ISERROR(I190-K190),"",I190-K190)</f>
        <v>0.10526315789473983</v>
      </c>
      <c r="N190" s="130">
        <f t="shared" ref="N190:N192" si="85">SUM(O190:U190)</f>
        <v>0</v>
      </c>
      <c r="O190" s="512"/>
      <c r="P190" s="512"/>
      <c r="Q190" s="512"/>
      <c r="R190" s="512"/>
      <c r="S190" s="512"/>
      <c r="T190" s="512"/>
      <c r="U190" s="512"/>
      <c r="V190" s="132">
        <f t="shared" ref="V190:V192" si="86">SUM(X190:AA190)</f>
        <v>0</v>
      </c>
      <c r="W190" s="133">
        <f t="shared" ref="W190:W192" si="87">IF(ISERROR(V190/G190),"",V190/G190)</f>
        <v>0</v>
      </c>
      <c r="X190" s="132"/>
      <c r="Y190" s="132"/>
      <c r="Z190" s="132"/>
      <c r="AA190" s="132"/>
    </row>
    <row r="191" spans="1:27" ht="20.10000000000000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27">
        <v>42745</v>
      </c>
      <c r="G191" s="128">
        <f>100*2+89+3</f>
        <v>292</v>
      </c>
      <c r="H191" s="504">
        <f t="shared" si="83"/>
        <v>1486.28</v>
      </c>
      <c r="I191" s="129">
        <f>8*5</f>
        <v>40</v>
      </c>
      <c r="J191" s="130">
        <f t="array" ref="J191">IF(ISERROR(G191/I191),"",G191/I191)</f>
        <v>7.3</v>
      </c>
      <c r="K191" s="131">
        <f t="array" ref="K191">IF(ISERROR(G191/L191),"",G191/L191)</f>
        <v>12.695652173913043</v>
      </c>
      <c r="L191" s="129">
        <v>23</v>
      </c>
      <c r="M191" s="109">
        <f t="shared" si="84"/>
        <v>27.304347826086957</v>
      </c>
      <c r="N191" s="130">
        <f t="shared" si="85"/>
        <v>0</v>
      </c>
      <c r="O191" s="512"/>
      <c r="P191" s="512"/>
      <c r="Q191" s="512"/>
      <c r="R191" s="512"/>
      <c r="S191" s="512"/>
      <c r="T191" s="512"/>
      <c r="U191" s="512"/>
      <c r="V191" s="132">
        <f t="shared" si="86"/>
        <v>0</v>
      </c>
      <c r="W191" s="133">
        <f t="shared" si="87"/>
        <v>0</v>
      </c>
      <c r="X191" s="132"/>
      <c r="Y191" s="132"/>
      <c r="Z191" s="132"/>
      <c r="AA191" s="132"/>
    </row>
    <row r="192" spans="1:27" ht="20.100000000000001" hidden="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/>
      <c r="G192" s="128"/>
      <c r="H192" s="504">
        <f t="shared" si="83"/>
        <v>0</v>
      </c>
      <c r="I192" s="129"/>
      <c r="J192" s="130" t="str">
        <f t="array" ref="J192">IF(ISERROR(G192/I192),"",G192/I192)</f>
        <v/>
      </c>
      <c r="K192" s="131">
        <f t="array" ref="K192">IF(ISERROR(G192/L192),"",G192/L192)</f>
        <v>0</v>
      </c>
      <c r="L192" s="129">
        <v>23</v>
      </c>
      <c r="M192" s="109">
        <f t="shared" si="84"/>
        <v>0</v>
      </c>
      <c r="N192" s="130">
        <f t="shared" si="85"/>
        <v>0</v>
      </c>
      <c r="O192" s="512"/>
      <c r="P192" s="512"/>
      <c r="Q192" s="512"/>
      <c r="R192" s="512"/>
      <c r="S192" s="512"/>
      <c r="T192" s="512"/>
      <c r="U192" s="512"/>
      <c r="V192" s="132">
        <f t="shared" si="86"/>
        <v>0</v>
      </c>
      <c r="W192" s="133" t="str">
        <f t="shared" si="87"/>
        <v/>
      </c>
      <c r="X192" s="132"/>
      <c r="Y192" s="132"/>
      <c r="Z192" s="132"/>
      <c r="AA192" s="132"/>
    </row>
    <row r="193" spans="1:27" ht="20.100000000000001" hidden="1" customHeight="1">
      <c r="A193" s="300">
        <v>30100003</v>
      </c>
      <c r="B193" s="141" t="s">
        <v>198</v>
      </c>
      <c r="C193" s="510" t="s">
        <v>190</v>
      </c>
      <c r="D193" s="108">
        <v>4.8</v>
      </c>
      <c r="E193" s="108"/>
      <c r="F193" s="127"/>
      <c r="G193" s="128"/>
      <c r="H193" s="504">
        <f t="shared" si="83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4"/>
        <v>0</v>
      </c>
      <c r="N193" s="130"/>
      <c r="O193" s="512"/>
      <c r="P193" s="512"/>
      <c r="Q193" s="512"/>
      <c r="R193" s="512"/>
      <c r="S193" s="512"/>
      <c r="T193" s="512"/>
      <c r="U193" s="512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30100004</v>
      </c>
      <c r="B194" s="141" t="s">
        <v>198</v>
      </c>
      <c r="C194" s="510" t="s">
        <v>187</v>
      </c>
      <c r="D194" s="108">
        <v>4.8</v>
      </c>
      <c r="E194" s="108"/>
      <c r="F194" s="127"/>
      <c r="G194" s="128"/>
      <c r="H194" s="504">
        <f t="shared" si="83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4"/>
        <v>0</v>
      </c>
      <c r="N194" s="130"/>
      <c r="O194" s="512"/>
      <c r="P194" s="512"/>
      <c r="Q194" s="512"/>
      <c r="R194" s="512"/>
      <c r="S194" s="512"/>
      <c r="T194" s="512"/>
      <c r="U194" s="512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30100006</v>
      </c>
      <c r="B195" s="141" t="s">
        <v>198</v>
      </c>
      <c r="C195" s="510" t="s">
        <v>179</v>
      </c>
      <c r="D195" s="108">
        <v>4.8</v>
      </c>
      <c r="E195" s="108"/>
      <c r="F195" s="127"/>
      <c r="G195" s="128"/>
      <c r="H195" s="504">
        <f t="shared" si="83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4"/>
        <v>0</v>
      </c>
      <c r="N195" s="130"/>
      <c r="O195" s="512"/>
      <c r="P195" s="512"/>
      <c r="Q195" s="512"/>
      <c r="R195" s="512"/>
      <c r="S195" s="512"/>
      <c r="T195" s="512"/>
      <c r="U195" s="512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30100005</v>
      </c>
      <c r="B196" s="141" t="s">
        <v>198</v>
      </c>
      <c r="C196" s="510" t="s">
        <v>199</v>
      </c>
      <c r="D196" s="108">
        <v>4.8</v>
      </c>
      <c r="E196" s="108"/>
      <c r="F196" s="127"/>
      <c r="G196" s="128"/>
      <c r="H196" s="504">
        <f t="shared" si="83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4"/>
        <v>0</v>
      </c>
      <c r="N196" s="130"/>
      <c r="O196" s="512"/>
      <c r="P196" s="512"/>
      <c r="Q196" s="512"/>
      <c r="R196" s="512"/>
      <c r="S196" s="512"/>
      <c r="T196" s="512"/>
      <c r="U196" s="512"/>
      <c r="V196" s="132"/>
      <c r="W196" s="133"/>
      <c r="X196" s="132"/>
      <c r="Y196" s="132"/>
      <c r="Z196" s="132"/>
      <c r="AA196" s="132"/>
    </row>
    <row r="197" spans="1:27" ht="20.100000000000001" hidden="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/>
      <c r="G197" s="128"/>
      <c r="H197" s="504">
        <f t="shared" si="83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4"/>
        <v>0</v>
      </c>
      <c r="N197" s="130">
        <f t="shared" ref="N197:N198" si="88">SUM(O197:U197)</f>
        <v>0</v>
      </c>
      <c r="O197" s="512"/>
      <c r="P197" s="512"/>
      <c r="Q197" s="512"/>
      <c r="R197" s="512"/>
      <c r="S197" s="512"/>
      <c r="T197" s="512"/>
      <c r="U197" s="512"/>
      <c r="V197" s="132">
        <f t="shared" ref="V197:V198" si="89">SUM(X197:AA197)</f>
        <v>0</v>
      </c>
      <c r="W197" s="133" t="str">
        <f t="shared" ref="W197:W198" si="90">IF(ISERROR(V197/G197),"",V197/G197)</f>
        <v/>
      </c>
      <c r="X197" s="132"/>
      <c r="Y197" s="132"/>
      <c r="Z197" s="132"/>
      <c r="AA197" s="132"/>
    </row>
    <row r="198" spans="1:27" ht="20.10000000000000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27">
        <v>42745</v>
      </c>
      <c r="G198" s="128">
        <f>100*8+41</f>
        <v>841</v>
      </c>
      <c r="H198" s="504">
        <f t="shared" si="83"/>
        <v>4196.59</v>
      </c>
      <c r="I198" s="129">
        <f>8*5</f>
        <v>40</v>
      </c>
      <c r="J198" s="130">
        <f t="array" ref="J198">IF(ISERROR(G198/I198),"",G198/I198)</f>
        <v>21.024999999999999</v>
      </c>
      <c r="K198" s="131">
        <f t="array" ref="K198">IF(ISERROR(G198/L198),"",G198/L198)</f>
        <v>35.787234042553195</v>
      </c>
      <c r="L198" s="129">
        <v>23.5</v>
      </c>
      <c r="M198" s="109">
        <f t="shared" si="84"/>
        <v>4.2127659574468055</v>
      </c>
      <c r="N198" s="130">
        <f t="shared" si="88"/>
        <v>0</v>
      </c>
      <c r="O198" s="512"/>
      <c r="P198" s="512"/>
      <c r="Q198" s="512"/>
      <c r="R198" s="512"/>
      <c r="S198" s="512"/>
      <c r="T198" s="512"/>
      <c r="U198" s="512"/>
      <c r="V198" s="132">
        <f t="shared" si="89"/>
        <v>0</v>
      </c>
      <c r="W198" s="133">
        <f t="shared" si="90"/>
        <v>0</v>
      </c>
      <c r="X198" s="132"/>
      <c r="Y198" s="132"/>
      <c r="Z198" s="132"/>
      <c r="AA198" s="132"/>
    </row>
    <row r="199" spans="1:27" ht="20.100000000000001" customHeight="1">
      <c r="A199" s="578" t="s">
        <v>201</v>
      </c>
      <c r="B199" s="579"/>
      <c r="C199" s="513" t="s">
        <v>202</v>
      </c>
      <c r="D199" s="143"/>
      <c r="E199" s="143"/>
      <c r="F199" s="144"/>
      <c r="G199" s="145">
        <f>SUM(G178:G198)</f>
        <v>1893</v>
      </c>
      <c r="H199" s="146">
        <f>SUM(H178:H198)</f>
        <v>9528.43</v>
      </c>
      <c r="I199" s="146">
        <f>SUM(I178:I198)</f>
        <v>125</v>
      </c>
      <c r="J199" s="130">
        <f t="array" ref="J199">IF(ISERROR(G199/I199),"",G199/I199)</f>
        <v>15.144</v>
      </c>
      <c r="K199" s="146">
        <f>SUM(K178:K198)</f>
        <v>88.495270117395023</v>
      </c>
      <c r="L199" s="147"/>
      <c r="M199" s="150">
        <f t="shared" ref="M199:AA199" si="91">SUM(M178:M198)</f>
        <v>36.504729882604977</v>
      </c>
      <c r="N199" s="146">
        <f t="shared" si="91"/>
        <v>0</v>
      </c>
      <c r="O199" s="148">
        <f t="shared" si="91"/>
        <v>0</v>
      </c>
      <c r="P199" s="148">
        <f t="shared" si="91"/>
        <v>0</v>
      </c>
      <c r="Q199" s="148">
        <f t="shared" si="91"/>
        <v>0</v>
      </c>
      <c r="R199" s="148">
        <f t="shared" si="91"/>
        <v>0</v>
      </c>
      <c r="S199" s="148">
        <f t="shared" si="91"/>
        <v>0</v>
      </c>
      <c r="T199" s="148">
        <f t="shared" si="91"/>
        <v>0</v>
      </c>
      <c r="U199" s="148">
        <f t="shared" si="91"/>
        <v>0</v>
      </c>
      <c r="V199" s="149">
        <f t="shared" si="91"/>
        <v>0</v>
      </c>
      <c r="W199" s="133">
        <f t="shared" si="91"/>
        <v>0</v>
      </c>
      <c r="X199" s="149">
        <f t="shared" si="91"/>
        <v>0</v>
      </c>
      <c r="Y199" s="149">
        <f t="shared" si="91"/>
        <v>0</v>
      </c>
      <c r="Z199" s="149">
        <f t="shared" si="91"/>
        <v>0</v>
      </c>
      <c r="AA199" s="149">
        <f t="shared" si="91"/>
        <v>0</v>
      </c>
    </row>
    <row r="200" spans="1:27" ht="20.100000000000001" hidden="1" customHeight="1">
      <c r="A200" s="300">
        <v>30100012</v>
      </c>
      <c r="B200" s="503" t="s">
        <v>206</v>
      </c>
      <c r="C200" s="126" t="s">
        <v>199</v>
      </c>
      <c r="D200" s="108">
        <v>5.03</v>
      </c>
      <c r="E200" s="108"/>
      <c r="F200" s="127"/>
      <c r="G200" s="128"/>
      <c r="H200" s="504">
        <f t="shared" ref="H200:H256" si="92">D200*G200</f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 t="shared" ref="M200:M201" si="93">IF(ISERROR(I200-K200),"",I200-K200)</f>
        <v>0</v>
      </c>
      <c r="N200" s="130">
        <f t="shared" ref="N200" si="94">SUM(O200:U200)</f>
        <v>0</v>
      </c>
      <c r="O200" s="508"/>
      <c r="P200" s="508"/>
      <c r="Q200" s="508"/>
      <c r="R200" s="508"/>
      <c r="S200" s="508"/>
      <c r="T200" s="508"/>
      <c r="U200" s="508"/>
      <c r="V200" s="132">
        <f t="shared" ref="V200" si="95">SUM(X200:AA200)</f>
        <v>0</v>
      </c>
      <c r="W200" s="133" t="str">
        <f t="shared" ref="W200" si="96">IF(ISERROR(V200/G200),"",V200/G200)</f>
        <v/>
      </c>
      <c r="X200" s="132"/>
      <c r="Y200" s="132"/>
      <c r="Z200" s="132"/>
      <c r="AA200" s="132"/>
    </row>
    <row r="201" spans="1:27" ht="20.100000000000001" customHeight="1">
      <c r="A201" s="300">
        <v>30100011</v>
      </c>
      <c r="B201" s="503" t="s">
        <v>425</v>
      </c>
      <c r="C201" s="187" t="s">
        <v>427</v>
      </c>
      <c r="D201" s="108">
        <v>5.03</v>
      </c>
      <c r="E201" s="108"/>
      <c r="F201" s="127">
        <v>42743</v>
      </c>
      <c r="G201" s="128">
        <f>108*9</f>
        <v>972</v>
      </c>
      <c r="H201" s="504">
        <f t="shared" si="92"/>
        <v>4889.16</v>
      </c>
      <c r="I201" s="129">
        <v>10</v>
      </c>
      <c r="J201" s="130">
        <f t="array" ref="J201">IF(ISERROR(G201/I201),"",G201/I201)</f>
        <v>97.2</v>
      </c>
      <c r="K201" s="131">
        <f t="array" ref="K201">IF(ISERROR(G201/L201),"",G201/L201)</f>
        <v>18.692307692307693</v>
      </c>
      <c r="L201" s="129">
        <v>52</v>
      </c>
      <c r="M201" s="109">
        <f t="shared" si="93"/>
        <v>-8.6923076923076934</v>
      </c>
      <c r="N201" s="130"/>
      <c r="O201" s="508"/>
      <c r="P201" s="508"/>
      <c r="Q201" s="508"/>
      <c r="R201" s="508"/>
      <c r="S201" s="508"/>
      <c r="T201" s="508"/>
      <c r="U201" s="508"/>
      <c r="V201" s="132"/>
      <c r="W201" s="133"/>
      <c r="X201" s="132"/>
      <c r="Y201" s="132"/>
      <c r="Z201" s="132"/>
      <c r="AA201" s="132"/>
    </row>
    <row r="202" spans="1:27" ht="20.100000000000001" hidden="1" customHeight="1">
      <c r="A202" s="300">
        <v>30100010</v>
      </c>
      <c r="B202" s="503" t="s">
        <v>206</v>
      </c>
      <c r="C202" s="126" t="s">
        <v>186</v>
      </c>
      <c r="D202" s="108">
        <v>5.03</v>
      </c>
      <c r="E202" s="108"/>
      <c r="F202" s="127"/>
      <c r="G202" s="128"/>
      <c r="H202" s="504">
        <f t="shared" si="92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 t="shared" ref="M202" si="97">IF(ISERROR(I202-K202),"",I202-K202)</f>
        <v>0</v>
      </c>
      <c r="N202" s="130">
        <f t="shared" ref="N202:N204" si="98">SUM(O202:U202)</f>
        <v>0</v>
      </c>
      <c r="O202" s="508"/>
      <c r="P202" s="508"/>
      <c r="Q202" s="508"/>
      <c r="R202" s="508"/>
      <c r="S202" s="508"/>
      <c r="T202" s="508"/>
      <c r="U202" s="508"/>
      <c r="V202" s="132">
        <f t="shared" ref="V202:V204" si="99">SUM(X202:AA202)</f>
        <v>0</v>
      </c>
      <c r="W202" s="133" t="str">
        <f t="shared" ref="W202:W204" si="100">IF(ISERROR(V202/G202),"",V202/G202)</f>
        <v/>
      </c>
      <c r="X202" s="132"/>
      <c r="Y202" s="132"/>
      <c r="Z202" s="132"/>
      <c r="AA202" s="132"/>
    </row>
    <row r="203" spans="1:27" ht="20.100000000000001" hidden="1" customHeight="1">
      <c r="A203" s="300">
        <v>30100014</v>
      </c>
      <c r="B203" s="503" t="s">
        <v>206</v>
      </c>
      <c r="C203" s="126" t="s">
        <v>203</v>
      </c>
      <c r="D203" s="108">
        <v>5.03</v>
      </c>
      <c r="E203" s="108"/>
      <c r="F203" s="127"/>
      <c r="G203" s="128"/>
      <c r="H203" s="504">
        <f t="shared" si="92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>IF(ISERROR(I203-K203),"",I203-K203)</f>
        <v>0</v>
      </c>
      <c r="N203" s="130">
        <f t="shared" si="98"/>
        <v>0</v>
      </c>
      <c r="O203" s="508"/>
      <c r="P203" s="508"/>
      <c r="Q203" s="508"/>
      <c r="R203" s="508"/>
      <c r="S203" s="508"/>
      <c r="T203" s="508"/>
      <c r="U203" s="508"/>
      <c r="V203" s="132">
        <f t="shared" si="99"/>
        <v>0</v>
      </c>
      <c r="W203" s="133" t="str">
        <f t="shared" si="100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30100013</v>
      </c>
      <c r="B204" s="503" t="s">
        <v>206</v>
      </c>
      <c r="C204" s="126" t="s">
        <v>207</v>
      </c>
      <c r="D204" s="108">
        <v>5.03</v>
      </c>
      <c r="E204" s="108"/>
      <c r="F204" s="127"/>
      <c r="G204" s="128"/>
      <c r="H204" s="504">
        <f t="shared" si="92"/>
        <v>0</v>
      </c>
      <c r="I204" s="129"/>
      <c r="J204" s="130" t="str">
        <f t="array" ref="J204">IF(ISERROR(G204/I204),"",G204/I204)</f>
        <v/>
      </c>
      <c r="K204" s="131">
        <f t="array" ref="K204">IF(ISERROR(G204/L204),"",G204/L204)</f>
        <v>0</v>
      </c>
      <c r="L204" s="129">
        <v>52</v>
      </c>
      <c r="M204" s="109">
        <f t="shared" ref="M204" si="101">IF(ISERROR(I204-K204),"",I204-K204)</f>
        <v>0</v>
      </c>
      <c r="N204" s="130">
        <f t="shared" si="98"/>
        <v>0</v>
      </c>
      <c r="O204" s="508"/>
      <c r="P204" s="508"/>
      <c r="Q204" s="508"/>
      <c r="R204" s="508"/>
      <c r="S204" s="508"/>
      <c r="T204" s="508"/>
      <c r="U204" s="508"/>
      <c r="V204" s="132">
        <f t="shared" si="99"/>
        <v>0</v>
      </c>
      <c r="W204" s="133" t="str">
        <f t="shared" si="100"/>
        <v/>
      </c>
      <c r="X204" s="132"/>
      <c r="Y204" s="132"/>
      <c r="Z204" s="132"/>
      <c r="AA204" s="132"/>
    </row>
    <row r="205" spans="1:27" ht="20.100000000000001" hidden="1" customHeight="1">
      <c r="A205" s="300">
        <v>30100016</v>
      </c>
      <c r="B205" s="503" t="s">
        <v>414</v>
      </c>
      <c r="C205" s="187" t="s">
        <v>415</v>
      </c>
      <c r="D205" s="108">
        <v>5.03</v>
      </c>
      <c r="E205" s="108"/>
      <c r="F205" s="127"/>
      <c r="G205" s="128"/>
      <c r="H205" s="504">
        <f t="shared" si="92"/>
        <v>0</v>
      </c>
      <c r="I205" s="129"/>
      <c r="J205" s="130"/>
      <c r="K205" s="131"/>
      <c r="L205" s="129">
        <v>52</v>
      </c>
      <c r="M205" s="109"/>
      <c r="N205" s="130"/>
      <c r="O205" s="508"/>
      <c r="P205" s="508"/>
      <c r="Q205" s="508"/>
      <c r="R205" s="508"/>
      <c r="S205" s="508"/>
      <c r="T205" s="508"/>
      <c r="U205" s="508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30100017</v>
      </c>
      <c r="B206" s="503" t="s">
        <v>414</v>
      </c>
      <c r="C206" s="187" t="s">
        <v>416</v>
      </c>
      <c r="D206" s="108">
        <v>5.03</v>
      </c>
      <c r="E206" s="108"/>
      <c r="F206" s="127"/>
      <c r="G206" s="128"/>
      <c r="H206" s="504">
        <f t="shared" si="92"/>
        <v>0</v>
      </c>
      <c r="I206" s="129"/>
      <c r="J206" s="130"/>
      <c r="K206" s="131"/>
      <c r="L206" s="129">
        <v>52</v>
      </c>
      <c r="M206" s="109"/>
      <c r="N206" s="130"/>
      <c r="O206" s="508"/>
      <c r="P206" s="508"/>
      <c r="Q206" s="508"/>
      <c r="R206" s="508"/>
      <c r="S206" s="508"/>
      <c r="T206" s="508"/>
      <c r="U206" s="508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30100015</v>
      </c>
      <c r="B207" s="503" t="s">
        <v>414</v>
      </c>
      <c r="C207" s="187" t="s">
        <v>61</v>
      </c>
      <c r="D207" s="108">
        <v>5.03</v>
      </c>
      <c r="E207" s="108"/>
      <c r="F207" s="127"/>
      <c r="G207" s="128"/>
      <c r="H207" s="504">
        <f t="shared" si="92"/>
        <v>0</v>
      </c>
      <c r="I207" s="129"/>
      <c r="J207" s="130"/>
      <c r="K207" s="131"/>
      <c r="L207" s="129">
        <v>52</v>
      </c>
      <c r="M207" s="109"/>
      <c r="N207" s="130"/>
      <c r="O207" s="508"/>
      <c r="P207" s="508"/>
      <c r="Q207" s="508"/>
      <c r="R207" s="508"/>
      <c r="S207" s="508"/>
      <c r="T207" s="508"/>
      <c r="U207" s="508"/>
      <c r="V207" s="132"/>
      <c r="W207" s="133"/>
      <c r="X207" s="132"/>
      <c r="Y207" s="132"/>
      <c r="Z207" s="132"/>
      <c r="AA207" s="132"/>
    </row>
    <row r="208" spans="1:27" ht="20.100000000000001" hidden="1" customHeight="1">
      <c r="A208" s="300">
        <v>30100027</v>
      </c>
      <c r="B208" s="503" t="s">
        <v>208</v>
      </c>
      <c r="C208" s="126" t="s">
        <v>179</v>
      </c>
      <c r="D208" s="108">
        <v>5.08</v>
      </c>
      <c r="E208" s="108"/>
      <c r="F208" s="127"/>
      <c r="G208" s="128"/>
      <c r="H208" s="504">
        <f t="shared" si="92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ref="M208:M238" si="102">IF(ISERROR(I208-K208),"",I208-K208)</f>
        <v>0</v>
      </c>
      <c r="N208" s="130">
        <f t="shared" ref="N208:N237" si="103">SUM(O208:U208)</f>
        <v>0</v>
      </c>
      <c r="O208" s="508"/>
      <c r="P208" s="508"/>
      <c r="Q208" s="508"/>
      <c r="R208" s="508"/>
      <c r="S208" s="508"/>
      <c r="T208" s="508"/>
      <c r="U208" s="508"/>
      <c r="V208" s="132">
        <f t="shared" ref="V208:V219" si="104">SUM(X208:AA208)</f>
        <v>0</v>
      </c>
      <c r="W208" s="133" t="str">
        <f t="shared" ref="W208:W219" si="105">IF(ISERROR(V208/G208),"",V208/G208)</f>
        <v/>
      </c>
      <c r="X208" s="132"/>
      <c r="Y208" s="132"/>
      <c r="Z208" s="132"/>
      <c r="AA208" s="132"/>
    </row>
    <row r="209" spans="1:27" ht="20.100000000000001" hidden="1" customHeight="1">
      <c r="A209" s="300">
        <v>30100023</v>
      </c>
      <c r="B209" s="503" t="s">
        <v>208</v>
      </c>
      <c r="C209" s="126" t="s">
        <v>204</v>
      </c>
      <c r="D209" s="108">
        <v>5.08</v>
      </c>
      <c r="E209" s="108"/>
      <c r="F209" s="127"/>
      <c r="G209" s="128"/>
      <c r="H209" s="504">
        <f t="shared" si="92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2"/>
        <v>0</v>
      </c>
      <c r="N209" s="130">
        <f t="shared" si="103"/>
        <v>0</v>
      </c>
      <c r="O209" s="508"/>
      <c r="P209" s="508"/>
      <c r="Q209" s="508"/>
      <c r="R209" s="508"/>
      <c r="S209" s="508"/>
      <c r="T209" s="508"/>
      <c r="U209" s="508"/>
      <c r="V209" s="132">
        <f t="shared" si="104"/>
        <v>0</v>
      </c>
      <c r="W209" s="133" t="str">
        <f t="shared" si="105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30100024</v>
      </c>
      <c r="B210" s="503" t="s">
        <v>208</v>
      </c>
      <c r="C210" s="126" t="s">
        <v>205</v>
      </c>
      <c r="D210" s="108">
        <v>5.08</v>
      </c>
      <c r="E210" s="108"/>
      <c r="F210" s="127"/>
      <c r="G210" s="128"/>
      <c r="H210" s="504">
        <f t="shared" si="92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2"/>
        <v>0</v>
      </c>
      <c r="N210" s="130">
        <f t="shared" si="103"/>
        <v>0</v>
      </c>
      <c r="O210" s="508"/>
      <c r="P210" s="508"/>
      <c r="Q210" s="508"/>
      <c r="R210" s="508"/>
      <c r="S210" s="508"/>
      <c r="T210" s="508"/>
      <c r="U210" s="508"/>
      <c r="V210" s="132">
        <f t="shared" si="104"/>
        <v>0</v>
      </c>
      <c r="W210" s="133" t="str">
        <f t="shared" si="105"/>
        <v/>
      </c>
      <c r="X210" s="132"/>
      <c r="Y210" s="132"/>
      <c r="Z210" s="132"/>
      <c r="AA210" s="132"/>
    </row>
    <row r="211" spans="1:27" ht="20.100000000000001" customHeight="1">
      <c r="A211" s="300">
        <v>30100022</v>
      </c>
      <c r="B211" s="503" t="s">
        <v>208</v>
      </c>
      <c r="C211" s="126" t="s">
        <v>186</v>
      </c>
      <c r="D211" s="108">
        <v>5.08</v>
      </c>
      <c r="E211" s="108"/>
      <c r="F211" s="127">
        <v>42745</v>
      </c>
      <c r="G211" s="128">
        <f>108*5+60</f>
        <v>600</v>
      </c>
      <c r="H211" s="504">
        <f t="shared" si="92"/>
        <v>3048</v>
      </c>
      <c r="I211" s="129">
        <f>10*3</f>
        <v>30</v>
      </c>
      <c r="J211" s="130">
        <f t="array" ref="J211">IF(ISERROR(G211/I211),"",G211/I211)</f>
        <v>20</v>
      </c>
      <c r="K211" s="131">
        <f t="array" ref="K211">IF(ISERROR(G211/L211),"",G211/L211)</f>
        <v>28.571428571428573</v>
      </c>
      <c r="L211" s="129">
        <v>21</v>
      </c>
      <c r="M211" s="109">
        <f t="shared" si="102"/>
        <v>1.428571428571427</v>
      </c>
      <c r="N211" s="130">
        <f t="shared" si="103"/>
        <v>0</v>
      </c>
      <c r="O211" s="508"/>
      <c r="P211" s="508"/>
      <c r="Q211" s="508"/>
      <c r="R211" s="508"/>
      <c r="S211" s="508"/>
      <c r="T211" s="508"/>
      <c r="U211" s="508"/>
      <c r="V211" s="132">
        <f t="shared" si="104"/>
        <v>0</v>
      </c>
      <c r="W211" s="133">
        <f t="shared" si="105"/>
        <v>0</v>
      </c>
      <c r="X211" s="132"/>
      <c r="Y211" s="132"/>
      <c r="Z211" s="132"/>
      <c r="AA211" s="132"/>
    </row>
    <row r="212" spans="1:27" ht="20.100000000000001" hidden="1" customHeight="1">
      <c r="A212" s="300">
        <v>30100029</v>
      </c>
      <c r="B212" s="503" t="s">
        <v>208</v>
      </c>
      <c r="C212" s="126" t="s">
        <v>203</v>
      </c>
      <c r="D212" s="108">
        <v>5.08</v>
      </c>
      <c r="E212" s="108"/>
      <c r="F212" s="127"/>
      <c r="G212" s="128"/>
      <c r="H212" s="504">
        <f t="shared" si="92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2"/>
        <v>0</v>
      </c>
      <c r="N212" s="130">
        <f t="shared" si="103"/>
        <v>0</v>
      </c>
      <c r="O212" s="508"/>
      <c r="P212" s="508"/>
      <c r="Q212" s="508"/>
      <c r="R212" s="508"/>
      <c r="S212" s="508"/>
      <c r="T212" s="508"/>
      <c r="U212" s="508"/>
      <c r="V212" s="132">
        <f t="shared" si="104"/>
        <v>0</v>
      </c>
      <c r="W212" s="133" t="str">
        <f t="shared" si="105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30100026</v>
      </c>
      <c r="B213" s="503" t="s">
        <v>208</v>
      </c>
      <c r="C213" s="126" t="s">
        <v>199</v>
      </c>
      <c r="D213" s="108">
        <v>5.08</v>
      </c>
      <c r="E213" s="108"/>
      <c r="F213" s="127"/>
      <c r="G213" s="128"/>
      <c r="H213" s="504">
        <f t="shared" si="92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2"/>
        <v>0</v>
      </c>
      <c r="N213" s="130">
        <f t="shared" si="103"/>
        <v>0</v>
      </c>
      <c r="O213" s="512"/>
      <c r="P213" s="512"/>
      <c r="Q213" s="512"/>
      <c r="R213" s="512"/>
      <c r="S213" s="512"/>
      <c r="T213" s="512"/>
      <c r="U213" s="512"/>
      <c r="V213" s="132">
        <f t="shared" si="104"/>
        <v>0</v>
      </c>
      <c r="W213" s="133" t="str">
        <f t="shared" si="105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30100025</v>
      </c>
      <c r="B214" s="503" t="s">
        <v>208</v>
      </c>
      <c r="C214" s="126" t="s">
        <v>187</v>
      </c>
      <c r="D214" s="108">
        <v>5.08</v>
      </c>
      <c r="E214" s="108"/>
      <c r="F214" s="127"/>
      <c r="G214" s="128"/>
      <c r="H214" s="504">
        <f t="shared" si="92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2"/>
        <v>0</v>
      </c>
      <c r="N214" s="130">
        <f t="shared" si="103"/>
        <v>0</v>
      </c>
      <c r="O214" s="508"/>
      <c r="P214" s="508"/>
      <c r="Q214" s="508"/>
      <c r="R214" s="508"/>
      <c r="S214" s="508"/>
      <c r="T214" s="508"/>
      <c r="U214" s="508"/>
      <c r="V214" s="132">
        <f t="shared" si="104"/>
        <v>0</v>
      </c>
      <c r="W214" s="133" t="str">
        <f t="shared" si="105"/>
        <v/>
      </c>
      <c r="X214" s="132"/>
      <c r="Y214" s="132"/>
      <c r="Z214" s="132"/>
      <c r="AA214" s="132"/>
    </row>
    <row r="215" spans="1:27" ht="20.100000000000001" hidden="1" customHeight="1">
      <c r="A215" s="300">
        <v>30100028</v>
      </c>
      <c r="B215" s="503" t="s">
        <v>208</v>
      </c>
      <c r="C215" s="126" t="s">
        <v>207</v>
      </c>
      <c r="D215" s="108">
        <v>5.08</v>
      </c>
      <c r="E215" s="108"/>
      <c r="F215" s="127"/>
      <c r="G215" s="128"/>
      <c r="H215" s="504">
        <f t="shared" si="92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21</v>
      </c>
      <c r="M215" s="109">
        <f t="shared" si="102"/>
        <v>0</v>
      </c>
      <c r="N215" s="130">
        <f t="shared" si="103"/>
        <v>0</v>
      </c>
      <c r="O215" s="512"/>
      <c r="P215" s="512"/>
      <c r="Q215" s="512"/>
      <c r="R215" s="512"/>
      <c r="S215" s="512"/>
      <c r="T215" s="512"/>
      <c r="U215" s="512"/>
      <c r="V215" s="132">
        <f t="shared" si="104"/>
        <v>0</v>
      </c>
      <c r="W215" s="133" t="str">
        <f t="shared" si="105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30100032</v>
      </c>
      <c r="B216" s="503" t="s">
        <v>209</v>
      </c>
      <c r="C216" s="126" t="s">
        <v>194</v>
      </c>
      <c r="D216" s="108">
        <v>5.03</v>
      </c>
      <c r="E216" s="108"/>
      <c r="F216" s="127"/>
      <c r="G216" s="128"/>
      <c r="H216" s="504">
        <f t="shared" si="92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2"/>
        <v>0</v>
      </c>
      <c r="N216" s="130">
        <f t="shared" si="103"/>
        <v>0</v>
      </c>
      <c r="O216" s="508"/>
      <c r="P216" s="508"/>
      <c r="Q216" s="508"/>
      <c r="R216" s="508"/>
      <c r="S216" s="508"/>
      <c r="T216" s="508"/>
      <c r="U216" s="508"/>
      <c r="V216" s="132">
        <f t="shared" si="104"/>
        <v>0</v>
      </c>
      <c r="W216" s="133" t="str">
        <f t="shared" si="105"/>
        <v/>
      </c>
      <c r="X216" s="132"/>
      <c r="Y216" s="132"/>
      <c r="Z216" s="132"/>
      <c r="AA216" s="132"/>
    </row>
    <row r="217" spans="1:27" ht="20.100000000000001" hidden="1" customHeight="1">
      <c r="A217" s="300">
        <v>30100033</v>
      </c>
      <c r="B217" s="503" t="s">
        <v>209</v>
      </c>
      <c r="C217" s="126" t="s">
        <v>179</v>
      </c>
      <c r="D217" s="108">
        <v>5.03</v>
      </c>
      <c r="E217" s="108"/>
      <c r="F217" s="127"/>
      <c r="G217" s="128"/>
      <c r="H217" s="504">
        <f t="shared" si="92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2"/>
        <v>0</v>
      </c>
      <c r="N217" s="130">
        <f t="shared" si="103"/>
        <v>0</v>
      </c>
      <c r="O217" s="508"/>
      <c r="P217" s="508"/>
      <c r="Q217" s="508"/>
      <c r="R217" s="508"/>
      <c r="S217" s="508"/>
      <c r="T217" s="508"/>
      <c r="U217" s="508"/>
      <c r="V217" s="132">
        <f t="shared" si="104"/>
        <v>0</v>
      </c>
      <c r="W217" s="133" t="str">
        <f t="shared" si="105"/>
        <v/>
      </c>
      <c r="X217" s="132"/>
      <c r="Y217" s="132"/>
      <c r="Z217" s="132"/>
      <c r="AA217" s="132"/>
    </row>
    <row r="218" spans="1:27" ht="20.100000000000001" hidden="1" customHeight="1">
      <c r="A218" s="300">
        <v>30100062</v>
      </c>
      <c r="B218" s="503" t="s">
        <v>209</v>
      </c>
      <c r="C218" s="126" t="s">
        <v>195</v>
      </c>
      <c r="D218" s="108">
        <v>5.03</v>
      </c>
      <c r="E218" s="108"/>
      <c r="F218" s="127"/>
      <c r="G218" s="128"/>
      <c r="H218" s="504">
        <f t="shared" si="92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2"/>
        <v>0</v>
      </c>
      <c r="N218" s="130">
        <f t="shared" si="103"/>
        <v>0</v>
      </c>
      <c r="O218" s="508"/>
      <c r="P218" s="508"/>
      <c r="Q218" s="508"/>
      <c r="R218" s="508"/>
      <c r="S218" s="508"/>
      <c r="T218" s="508"/>
      <c r="U218" s="508"/>
      <c r="V218" s="132">
        <f t="shared" si="104"/>
        <v>0</v>
      </c>
      <c r="W218" s="133" t="str">
        <f t="shared" si="105"/>
        <v/>
      </c>
      <c r="X218" s="132"/>
      <c r="Y218" s="132"/>
      <c r="Z218" s="132"/>
      <c r="AA218" s="132"/>
    </row>
    <row r="219" spans="1:27" ht="20.100000000000001" hidden="1" customHeight="1">
      <c r="A219" s="300">
        <v>30100031</v>
      </c>
      <c r="B219" s="503" t="s">
        <v>209</v>
      </c>
      <c r="C219" s="126" t="s">
        <v>204</v>
      </c>
      <c r="D219" s="108">
        <v>5.03</v>
      </c>
      <c r="E219" s="108"/>
      <c r="F219" s="127"/>
      <c r="G219" s="128"/>
      <c r="H219" s="504">
        <f t="shared" si="92"/>
        <v>0</v>
      </c>
      <c r="I219" s="129"/>
      <c r="J219" s="130" t="str">
        <f t="array" ref="J219">IF(ISERROR(G219/I219),"",G219/I219)</f>
        <v/>
      </c>
      <c r="K219" s="131">
        <f t="array" ref="K219">IF(ISERROR(G219/L219),"",G219/L219)</f>
        <v>0</v>
      </c>
      <c r="L219" s="129">
        <v>56</v>
      </c>
      <c r="M219" s="109">
        <f t="shared" si="102"/>
        <v>0</v>
      </c>
      <c r="N219" s="130">
        <f t="shared" si="103"/>
        <v>0</v>
      </c>
      <c r="O219" s="508"/>
      <c r="P219" s="508"/>
      <c r="Q219" s="508"/>
      <c r="R219" s="508"/>
      <c r="S219" s="508"/>
      <c r="T219" s="508"/>
      <c r="U219" s="508"/>
      <c r="V219" s="132">
        <f t="shared" si="104"/>
        <v>0</v>
      </c>
      <c r="W219" s="133" t="str">
        <f t="shared" si="105"/>
        <v/>
      </c>
      <c r="X219" s="132"/>
      <c r="Y219" s="132"/>
      <c r="Z219" s="132"/>
      <c r="AA219" s="132"/>
    </row>
    <row r="220" spans="1:27" ht="20.100000000000001" hidden="1" customHeight="1">
      <c r="A220" s="300">
        <v>30100019</v>
      </c>
      <c r="B220" s="503" t="s">
        <v>382</v>
      </c>
      <c r="C220" s="187" t="s">
        <v>383</v>
      </c>
      <c r="D220" s="108">
        <v>5.03</v>
      </c>
      <c r="E220" s="108"/>
      <c r="F220" s="127"/>
      <c r="G220" s="128"/>
      <c r="H220" s="504">
        <f t="shared" si="92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2"/>
        <v>0</v>
      </c>
      <c r="N220" s="130">
        <f t="shared" si="103"/>
        <v>0</v>
      </c>
      <c r="O220" s="508"/>
      <c r="P220" s="508"/>
      <c r="Q220" s="508"/>
      <c r="R220" s="508"/>
      <c r="S220" s="508"/>
      <c r="T220" s="508"/>
      <c r="U220" s="508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30100020</v>
      </c>
      <c r="B221" s="503" t="s">
        <v>382</v>
      </c>
      <c r="C221" s="187" t="s">
        <v>384</v>
      </c>
      <c r="D221" s="108">
        <v>5.03</v>
      </c>
      <c r="E221" s="108"/>
      <c r="F221" s="127"/>
      <c r="G221" s="128"/>
      <c r="H221" s="504">
        <f t="shared" si="92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2"/>
        <v>0</v>
      </c>
      <c r="N221" s="130">
        <f t="shared" si="103"/>
        <v>0</v>
      </c>
      <c r="O221" s="508"/>
      <c r="P221" s="508"/>
      <c r="Q221" s="508"/>
      <c r="R221" s="508"/>
      <c r="S221" s="508"/>
      <c r="T221" s="508"/>
      <c r="U221" s="508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30100021</v>
      </c>
      <c r="B222" s="503" t="s">
        <v>382</v>
      </c>
      <c r="C222" s="187" t="s">
        <v>389</v>
      </c>
      <c r="D222" s="108">
        <v>5.03</v>
      </c>
      <c r="E222" s="108"/>
      <c r="F222" s="127"/>
      <c r="G222" s="128"/>
      <c r="H222" s="504">
        <f t="shared" si="92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2"/>
        <v>0</v>
      </c>
      <c r="N222" s="130">
        <f t="shared" si="103"/>
        <v>0</v>
      </c>
      <c r="O222" s="508"/>
      <c r="P222" s="508"/>
      <c r="Q222" s="508"/>
      <c r="R222" s="508"/>
      <c r="S222" s="508"/>
      <c r="T222" s="508"/>
      <c r="U222" s="508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0">
        <v>30100018</v>
      </c>
      <c r="B223" s="503" t="s">
        <v>382</v>
      </c>
      <c r="C223" s="187" t="s">
        <v>391</v>
      </c>
      <c r="D223" s="108">
        <v>5.03</v>
      </c>
      <c r="E223" s="108"/>
      <c r="F223" s="127"/>
      <c r="G223" s="128"/>
      <c r="H223" s="504">
        <f t="shared" si="92"/>
        <v>0</v>
      </c>
      <c r="I223" s="129"/>
      <c r="J223" s="130"/>
      <c r="K223" s="131">
        <f t="array" ref="K223">IF(ISERROR(G223/L223),"",G223/L223)</f>
        <v>0</v>
      </c>
      <c r="L223" s="129">
        <v>54</v>
      </c>
      <c r="M223" s="109">
        <f t="shared" si="102"/>
        <v>0</v>
      </c>
      <c r="N223" s="130">
        <f t="shared" si="103"/>
        <v>0</v>
      </c>
      <c r="O223" s="508"/>
      <c r="P223" s="508"/>
      <c r="Q223" s="508"/>
      <c r="R223" s="508"/>
      <c r="S223" s="508"/>
      <c r="T223" s="508"/>
      <c r="U223" s="508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30700007</v>
      </c>
      <c r="B224" s="503" t="s">
        <v>418</v>
      </c>
      <c r="C224" s="187" t="s">
        <v>364</v>
      </c>
      <c r="D224" s="108">
        <v>5.03</v>
      </c>
      <c r="E224" s="108"/>
      <c r="F224" s="127"/>
      <c r="G224" s="128"/>
      <c r="H224" s="504">
        <f t="shared" si="92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2"/>
        <v>0</v>
      </c>
      <c r="N224" s="130">
        <f t="shared" si="103"/>
        <v>0</v>
      </c>
      <c r="O224" s="508"/>
      <c r="P224" s="508"/>
      <c r="Q224" s="508"/>
      <c r="R224" s="508"/>
      <c r="S224" s="508"/>
      <c r="T224" s="508"/>
      <c r="U224" s="508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30700006</v>
      </c>
      <c r="B225" s="503" t="s">
        <v>418</v>
      </c>
      <c r="C225" s="187" t="s">
        <v>365</v>
      </c>
      <c r="D225" s="108">
        <v>5.03</v>
      </c>
      <c r="E225" s="108"/>
      <c r="F225" s="127"/>
      <c r="G225" s="128"/>
      <c r="H225" s="504">
        <f t="shared" si="92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2"/>
        <v>0</v>
      </c>
      <c r="N225" s="130">
        <f t="shared" si="103"/>
        <v>0</v>
      </c>
      <c r="O225" s="508"/>
      <c r="P225" s="508"/>
      <c r="Q225" s="508"/>
      <c r="R225" s="508"/>
      <c r="S225" s="508"/>
      <c r="T225" s="508"/>
      <c r="U225" s="508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30700008</v>
      </c>
      <c r="B226" s="503" t="s">
        <v>418</v>
      </c>
      <c r="C226" s="187" t="s">
        <v>366</v>
      </c>
      <c r="D226" s="108">
        <v>5.03</v>
      </c>
      <c r="E226" s="108"/>
      <c r="F226" s="127"/>
      <c r="G226" s="128"/>
      <c r="H226" s="504">
        <f t="shared" si="92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2"/>
        <v>0</v>
      </c>
      <c r="N226" s="130">
        <f t="shared" si="103"/>
        <v>0</v>
      </c>
      <c r="O226" s="508"/>
      <c r="P226" s="508"/>
      <c r="Q226" s="508"/>
      <c r="R226" s="508"/>
      <c r="S226" s="508"/>
      <c r="T226" s="508"/>
      <c r="U226" s="508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3">
        <v>30700009</v>
      </c>
      <c r="B227" s="503" t="s">
        <v>418</v>
      </c>
      <c r="C227" s="187" t="s">
        <v>367</v>
      </c>
      <c r="D227" s="108">
        <v>5.03</v>
      </c>
      <c r="E227" s="108"/>
      <c r="F227" s="127"/>
      <c r="G227" s="128"/>
      <c r="H227" s="504">
        <f t="shared" si="92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102"/>
        <v>0</v>
      </c>
      <c r="N227" s="130">
        <f t="shared" si="103"/>
        <v>0</v>
      </c>
      <c r="O227" s="508"/>
      <c r="P227" s="508"/>
      <c r="Q227" s="508"/>
      <c r="R227" s="508"/>
      <c r="S227" s="508"/>
      <c r="T227" s="508"/>
      <c r="U227" s="508"/>
      <c r="V227" s="132"/>
      <c r="W227" s="133"/>
      <c r="X227" s="132"/>
      <c r="Y227" s="132"/>
      <c r="Z227" s="132"/>
      <c r="AA227" s="132"/>
    </row>
    <row r="228" spans="1:27" ht="20.100000000000001" hidden="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/>
      <c r="G228" s="128"/>
      <c r="H228" s="504">
        <f t="shared" si="92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2"/>
        <v>0</v>
      </c>
      <c r="N228" s="130">
        <f t="shared" si="103"/>
        <v>0</v>
      </c>
      <c r="O228" s="512"/>
      <c r="P228" s="512"/>
      <c r="Q228" s="512"/>
      <c r="R228" s="512"/>
      <c r="S228" s="512"/>
      <c r="T228" s="512"/>
      <c r="U228" s="512"/>
      <c r="V228" s="132">
        <f t="shared" ref="V228:V237" si="106">SUM(X228:AA228)</f>
        <v>0</v>
      </c>
      <c r="W228" s="133" t="str">
        <f t="shared" ref="W228:W237" si="107">IF(ISERROR(V228/G228),"",V228/G228)</f>
        <v/>
      </c>
      <c r="X228" s="132"/>
      <c r="Y228" s="132"/>
      <c r="Z228" s="132"/>
      <c r="AA228" s="132"/>
    </row>
    <row r="229" spans="1:27" ht="20.100000000000001" hidden="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/>
      <c r="G229" s="128"/>
      <c r="H229" s="504">
        <f t="shared" si="92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2"/>
        <v>0</v>
      </c>
      <c r="N229" s="130">
        <f t="shared" si="103"/>
        <v>0</v>
      </c>
      <c r="O229" s="512"/>
      <c r="P229" s="512"/>
      <c r="Q229" s="512"/>
      <c r="R229" s="512"/>
      <c r="S229" s="512"/>
      <c r="T229" s="512"/>
      <c r="U229" s="512"/>
      <c r="V229" s="132">
        <f t="shared" si="106"/>
        <v>0</v>
      </c>
      <c r="W229" s="133" t="str">
        <f t="shared" si="107"/>
        <v/>
      </c>
      <c r="X229" s="132"/>
      <c r="Y229" s="132"/>
      <c r="Z229" s="132"/>
      <c r="AA229" s="132"/>
    </row>
    <row r="230" spans="1:27" ht="20.100000000000001" hidden="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/>
      <c r="G230" s="128"/>
      <c r="H230" s="504">
        <f t="shared" si="92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40</v>
      </c>
      <c r="M230" s="109">
        <f t="shared" si="102"/>
        <v>0</v>
      </c>
      <c r="N230" s="130">
        <f t="shared" si="103"/>
        <v>0</v>
      </c>
      <c r="O230" s="512"/>
      <c r="P230" s="512"/>
      <c r="Q230" s="512"/>
      <c r="R230" s="512"/>
      <c r="S230" s="512"/>
      <c r="T230" s="512"/>
      <c r="U230" s="512"/>
      <c r="V230" s="132">
        <f t="shared" si="106"/>
        <v>0</v>
      </c>
      <c r="W230" s="133" t="str">
        <f t="shared" si="107"/>
        <v/>
      </c>
      <c r="X230" s="132"/>
      <c r="Y230" s="132"/>
      <c r="Z230" s="132"/>
      <c r="AA230" s="132"/>
    </row>
    <row r="231" spans="1:27" ht="20.100000000000001" hidden="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28"/>
      <c r="H231" s="504">
        <f t="shared" si="92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2"/>
        <v>0</v>
      </c>
      <c r="N231" s="130">
        <f t="shared" si="103"/>
        <v>0</v>
      </c>
      <c r="O231" s="512"/>
      <c r="P231" s="512"/>
      <c r="Q231" s="512"/>
      <c r="R231" s="512"/>
      <c r="S231" s="512"/>
      <c r="T231" s="512"/>
      <c r="U231" s="512"/>
      <c r="V231" s="132">
        <f t="shared" si="106"/>
        <v>0</v>
      </c>
      <c r="W231" s="133" t="str">
        <f t="shared" si="107"/>
        <v/>
      </c>
      <c r="X231" s="132"/>
      <c r="Y231" s="132"/>
      <c r="Z231" s="132"/>
      <c r="AA231" s="132"/>
    </row>
    <row r="232" spans="1:27" ht="20.100000000000001" hidden="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28"/>
      <c r="H232" s="504">
        <f t="shared" si="92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2"/>
        <v>0</v>
      </c>
      <c r="N232" s="130">
        <f t="shared" si="103"/>
        <v>0</v>
      </c>
      <c r="O232" s="512"/>
      <c r="P232" s="512"/>
      <c r="Q232" s="512"/>
      <c r="R232" s="512"/>
      <c r="S232" s="512"/>
      <c r="T232" s="512"/>
      <c r="U232" s="512"/>
      <c r="V232" s="132">
        <f t="shared" si="106"/>
        <v>0</v>
      </c>
      <c r="W232" s="133" t="str">
        <f t="shared" si="107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28"/>
      <c r="H233" s="504">
        <f t="shared" si="92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2"/>
        <v>0</v>
      </c>
      <c r="N233" s="130">
        <f t="shared" si="103"/>
        <v>0</v>
      </c>
      <c r="O233" s="512"/>
      <c r="P233" s="512"/>
      <c r="Q233" s="512"/>
      <c r="R233" s="512"/>
      <c r="S233" s="512"/>
      <c r="T233" s="512"/>
      <c r="U233" s="512"/>
      <c r="V233" s="132">
        <f t="shared" si="106"/>
        <v>0</v>
      </c>
      <c r="W233" s="133" t="str">
        <f t="shared" si="107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28"/>
      <c r="H234" s="504">
        <f t="shared" si="92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2"/>
        <v>0</v>
      </c>
      <c r="N234" s="130">
        <f t="shared" si="103"/>
        <v>0</v>
      </c>
      <c r="O234" s="512"/>
      <c r="P234" s="512"/>
      <c r="Q234" s="512"/>
      <c r="R234" s="512"/>
      <c r="S234" s="512"/>
      <c r="T234" s="512"/>
      <c r="U234" s="512"/>
      <c r="V234" s="132">
        <f t="shared" si="106"/>
        <v>0</v>
      </c>
      <c r="W234" s="133" t="str">
        <f t="shared" si="107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/>
      <c r="G235" s="128"/>
      <c r="H235" s="504">
        <f t="shared" si="92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2"/>
        <v>0</v>
      </c>
      <c r="N235" s="130">
        <f t="shared" si="103"/>
        <v>0</v>
      </c>
      <c r="O235" s="512"/>
      <c r="P235" s="512"/>
      <c r="Q235" s="512"/>
      <c r="R235" s="512"/>
      <c r="S235" s="512"/>
      <c r="T235" s="512"/>
      <c r="U235" s="512"/>
      <c r="V235" s="132">
        <f t="shared" si="106"/>
        <v>0</v>
      </c>
      <c r="W235" s="133" t="str">
        <f t="shared" si="107"/>
        <v/>
      </c>
      <c r="X235" s="132"/>
      <c r="Y235" s="132"/>
      <c r="Z235" s="132"/>
      <c r="AA235" s="132"/>
    </row>
    <row r="236" spans="1:27" ht="20.10000000000000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>
        <v>42744</v>
      </c>
      <c r="G236" s="128">
        <v>91</v>
      </c>
      <c r="H236" s="504">
        <f t="shared" si="92"/>
        <v>457.73</v>
      </c>
      <c r="I236" s="129">
        <v>1</v>
      </c>
      <c r="J236" s="130">
        <f t="array" ref="J236">IF(ISERROR(G236/I236),"",G236/I236)</f>
        <v>91</v>
      </c>
      <c r="K236" s="131">
        <f t="array" ref="K236">IF(ISERROR(G236/L236),"",G236/L236)</f>
        <v>1.82</v>
      </c>
      <c r="L236" s="129">
        <v>50</v>
      </c>
      <c r="M236" s="109">
        <f t="shared" si="102"/>
        <v>-0.82000000000000006</v>
      </c>
      <c r="N236" s="130">
        <f t="shared" si="103"/>
        <v>0</v>
      </c>
      <c r="O236" s="512"/>
      <c r="P236" s="512"/>
      <c r="Q236" s="512"/>
      <c r="R236" s="512"/>
      <c r="S236" s="512"/>
      <c r="T236" s="512"/>
      <c r="U236" s="512"/>
      <c r="V236" s="132">
        <f t="shared" si="106"/>
        <v>0</v>
      </c>
      <c r="W236" s="133">
        <f t="shared" si="107"/>
        <v>0</v>
      </c>
      <c r="X236" s="132"/>
      <c r="Y236" s="132"/>
      <c r="Z236" s="132"/>
      <c r="AA236" s="132"/>
    </row>
    <row r="237" spans="1:27" ht="20.100000000000001" hidden="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/>
      <c r="G237" s="128"/>
      <c r="H237" s="504">
        <f t="shared" si="92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50</v>
      </c>
      <c r="M237" s="109">
        <f t="shared" si="102"/>
        <v>0</v>
      </c>
      <c r="N237" s="130">
        <f t="shared" si="103"/>
        <v>0</v>
      </c>
      <c r="O237" s="512"/>
      <c r="P237" s="512"/>
      <c r="Q237" s="512"/>
      <c r="R237" s="512"/>
      <c r="S237" s="512"/>
      <c r="T237" s="512"/>
      <c r="U237" s="512"/>
      <c r="V237" s="132">
        <f t="shared" si="106"/>
        <v>0</v>
      </c>
      <c r="W237" s="133" t="str">
        <f t="shared" si="107"/>
        <v/>
      </c>
      <c r="X237" s="132"/>
      <c r="Y237" s="132"/>
      <c r="Z237" s="132"/>
      <c r="AA237" s="132"/>
    </row>
    <row r="238" spans="1:27" ht="20.100000000000001" customHeight="1">
      <c r="A238" s="300">
        <v>30100043</v>
      </c>
      <c r="B238" s="134" t="s">
        <v>429</v>
      </c>
      <c r="C238" s="187" t="s">
        <v>427</v>
      </c>
      <c r="D238" s="108">
        <v>5.03</v>
      </c>
      <c r="E238" s="108"/>
      <c r="F238" s="127">
        <v>42744</v>
      </c>
      <c r="G238" s="128">
        <f>90*7+57-90</f>
        <v>597</v>
      </c>
      <c r="H238" s="504">
        <f t="shared" si="92"/>
        <v>3002.9100000000003</v>
      </c>
      <c r="I238" s="129">
        <v>10.5</v>
      </c>
      <c r="J238" s="130">
        <f t="array" ref="J238">IF(ISERROR(G238/I238),"",G238/I238)</f>
        <v>56.857142857142854</v>
      </c>
      <c r="K238" s="131">
        <f t="array" ref="K238">IF(ISERROR(G238/L238),"",G238/L238)</f>
        <v>11.94</v>
      </c>
      <c r="L238" s="129">
        <v>50</v>
      </c>
      <c r="M238" s="109">
        <f t="shared" si="102"/>
        <v>-1.4399999999999995</v>
      </c>
      <c r="N238" s="130"/>
      <c r="O238" s="512"/>
      <c r="P238" s="512"/>
      <c r="Q238" s="512"/>
      <c r="R238" s="512"/>
      <c r="S238" s="512"/>
      <c r="T238" s="512"/>
      <c r="U238" s="512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/>
      <c r="G239" s="128"/>
      <c r="H239" s="504">
        <f t="shared" si="92"/>
        <v>0</v>
      </c>
      <c r="I239" s="129"/>
      <c r="J239" s="130"/>
      <c r="K239" s="131">
        <f t="array" ref="K239">IF(ISERROR(G239/L239),"",G239/L239)</f>
        <v>0</v>
      </c>
      <c r="L239" s="129">
        <v>50</v>
      </c>
      <c r="M239" s="109">
        <f t="shared" ref="M239:M250" si="108">IF(ISERROR(I239-K239),"",I239-K239)</f>
        <v>0</v>
      </c>
      <c r="N239" s="130"/>
      <c r="O239" s="512"/>
      <c r="P239" s="512"/>
      <c r="Q239" s="512"/>
      <c r="R239" s="512"/>
      <c r="S239" s="512"/>
      <c r="T239" s="512"/>
      <c r="U239" s="512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/>
      <c r="G240" s="128"/>
      <c r="H240" s="504">
        <f t="shared" si="92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8"/>
        <v>0</v>
      </c>
      <c r="N240" s="130">
        <f t="shared" ref="N240:N241" si="109">SUM(O240:U240)</f>
        <v>0</v>
      </c>
      <c r="O240" s="512"/>
      <c r="P240" s="512"/>
      <c r="Q240" s="512"/>
      <c r="R240" s="512"/>
      <c r="S240" s="512"/>
      <c r="T240" s="512"/>
      <c r="U240" s="512"/>
      <c r="V240" s="132">
        <f t="shared" ref="V240:V241" si="110">SUM(X240:AA240)</f>
        <v>0</v>
      </c>
      <c r="W240" s="133" t="str">
        <f t="shared" ref="W240:W241" si="111">IF(ISERROR(V240/G240),"",V240/G240)</f>
        <v/>
      </c>
      <c r="X240" s="132"/>
      <c r="Y240" s="132"/>
      <c r="Z240" s="132"/>
      <c r="AA240" s="132"/>
    </row>
    <row r="241" spans="1:27" ht="20.100000000000001" hidden="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/>
      <c r="G241" s="128"/>
      <c r="H241" s="504">
        <f t="shared" si="92"/>
        <v>0</v>
      </c>
      <c r="I241" s="129"/>
      <c r="J241" s="130" t="str">
        <f t="array" ref="J241">IF(ISERROR(G241/I241),"",G241/I241)</f>
        <v/>
      </c>
      <c r="K241" s="131">
        <f t="array" ref="K241">IF(ISERROR(G241/L241),"",G241/L241)</f>
        <v>0</v>
      </c>
      <c r="L241" s="129">
        <v>21.5</v>
      </c>
      <c r="M241" s="109">
        <f t="shared" si="108"/>
        <v>0</v>
      </c>
      <c r="N241" s="130">
        <f t="shared" si="109"/>
        <v>0</v>
      </c>
      <c r="O241" s="512"/>
      <c r="P241" s="512"/>
      <c r="Q241" s="512"/>
      <c r="R241" s="512"/>
      <c r="S241" s="512"/>
      <c r="T241" s="512"/>
      <c r="U241" s="512"/>
      <c r="V241" s="132">
        <f t="shared" si="110"/>
        <v>0</v>
      </c>
      <c r="W241" s="133" t="str">
        <f t="shared" si="111"/>
        <v/>
      </c>
      <c r="X241" s="132"/>
      <c r="Y241" s="132"/>
      <c r="Z241" s="132"/>
      <c r="AA241" s="132"/>
    </row>
    <row r="242" spans="1:27" ht="20.100000000000001" hidden="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28"/>
      <c r="H242" s="504">
        <f t="shared" si="92"/>
        <v>0</v>
      </c>
      <c r="I242" s="129"/>
      <c r="J242" s="130"/>
      <c r="K242" s="131"/>
      <c r="L242" s="129"/>
      <c r="M242" s="109">
        <f t="shared" si="108"/>
        <v>0</v>
      </c>
      <c r="N242" s="130"/>
      <c r="O242" s="512"/>
      <c r="P242" s="512"/>
      <c r="Q242" s="512"/>
      <c r="R242" s="512"/>
      <c r="S242" s="512"/>
      <c r="T242" s="512"/>
      <c r="U242" s="512"/>
      <c r="V242" s="132"/>
      <c r="W242" s="133"/>
      <c r="X242" s="132"/>
      <c r="Y242" s="132"/>
      <c r="Z242" s="132"/>
      <c r="AA242" s="132"/>
    </row>
    <row r="243" spans="1:27" ht="20.100000000000001" hidden="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28"/>
      <c r="H243" s="504">
        <f t="shared" si="92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8"/>
        <v/>
      </c>
      <c r="N243" s="130">
        <f t="shared" ref="N243:N246" si="112">SUM(O243:U243)</f>
        <v>0</v>
      </c>
      <c r="O243" s="512"/>
      <c r="P243" s="512"/>
      <c r="Q243" s="512"/>
      <c r="R243" s="512"/>
      <c r="S243" s="512"/>
      <c r="T243" s="512"/>
      <c r="U243" s="512"/>
      <c r="V243" s="132">
        <f t="shared" ref="V243:V246" si="113">SUM(X243:AA243)</f>
        <v>0</v>
      </c>
      <c r="W243" s="133" t="str">
        <f t="shared" ref="W243:W246" si="114">IF(ISERROR(V243/G243),"",V243/G243)</f>
        <v/>
      </c>
      <c r="X243" s="132"/>
      <c r="Y243" s="132"/>
      <c r="Z243" s="132"/>
      <c r="AA243" s="132"/>
    </row>
    <row r="244" spans="1:27" ht="20.100000000000001" hidden="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28"/>
      <c r="H244" s="504">
        <f t="shared" si="92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8"/>
        <v/>
      </c>
      <c r="N244" s="130">
        <f t="shared" si="112"/>
        <v>0</v>
      </c>
      <c r="O244" s="512"/>
      <c r="P244" s="512"/>
      <c r="Q244" s="512"/>
      <c r="R244" s="512"/>
      <c r="S244" s="512"/>
      <c r="T244" s="512"/>
      <c r="U244" s="512"/>
      <c r="V244" s="132">
        <f t="shared" si="113"/>
        <v>0</v>
      </c>
      <c r="W244" s="133" t="str">
        <f t="shared" si="114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28"/>
      <c r="H245" s="504">
        <f t="shared" si="92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8"/>
        <v/>
      </c>
      <c r="N245" s="130">
        <f t="shared" si="112"/>
        <v>0</v>
      </c>
      <c r="O245" s="512"/>
      <c r="P245" s="512"/>
      <c r="Q245" s="512"/>
      <c r="R245" s="512"/>
      <c r="S245" s="512"/>
      <c r="T245" s="512"/>
      <c r="U245" s="512"/>
      <c r="V245" s="132">
        <f t="shared" si="113"/>
        <v>0</v>
      </c>
      <c r="W245" s="133" t="str">
        <f t="shared" si="114"/>
        <v/>
      </c>
      <c r="X245" s="132"/>
      <c r="Y245" s="132"/>
      <c r="Z245" s="132"/>
      <c r="AA245" s="132"/>
    </row>
    <row r="246" spans="1:27" ht="20.100000000000001" hidden="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28"/>
      <c r="H246" s="504">
        <f t="shared" si="92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8"/>
        <v/>
      </c>
      <c r="N246" s="130">
        <f t="shared" si="112"/>
        <v>0</v>
      </c>
      <c r="O246" s="512"/>
      <c r="P246" s="512"/>
      <c r="Q246" s="512"/>
      <c r="R246" s="512"/>
      <c r="S246" s="512"/>
      <c r="T246" s="512"/>
      <c r="U246" s="512"/>
      <c r="V246" s="132">
        <f t="shared" si="113"/>
        <v>0</v>
      </c>
      <c r="W246" s="133" t="str">
        <f t="shared" si="114"/>
        <v/>
      </c>
      <c r="X246" s="132"/>
      <c r="Y246" s="132"/>
      <c r="Z246" s="132"/>
      <c r="AA246" s="132"/>
    </row>
    <row r="247" spans="1:27" ht="20.100000000000001" hidden="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28"/>
      <c r="H247" s="504">
        <f t="shared" si="92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8"/>
        <v>0</v>
      </c>
      <c r="N247" s="130"/>
      <c r="O247" s="512"/>
      <c r="P247" s="512"/>
      <c r="Q247" s="512"/>
      <c r="R247" s="512"/>
      <c r="S247" s="512"/>
      <c r="T247" s="512"/>
      <c r="U247" s="512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28"/>
      <c r="H248" s="504">
        <f t="shared" si="92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8"/>
        <v>0</v>
      </c>
      <c r="N248" s="130"/>
      <c r="O248" s="512"/>
      <c r="P248" s="512"/>
      <c r="Q248" s="512"/>
      <c r="R248" s="512"/>
      <c r="S248" s="512"/>
      <c r="T248" s="512"/>
      <c r="U248" s="512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28"/>
      <c r="H249" s="504">
        <f t="shared" si="92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8"/>
        <v>0</v>
      </c>
      <c r="N249" s="130"/>
      <c r="O249" s="512"/>
      <c r="P249" s="512"/>
      <c r="Q249" s="512"/>
      <c r="R249" s="512"/>
      <c r="S249" s="512"/>
      <c r="T249" s="512"/>
      <c r="U249" s="512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28"/>
      <c r="H250" s="504">
        <f t="shared" si="92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8"/>
        <v>0</v>
      </c>
      <c r="N250" s="130"/>
      <c r="O250" s="512"/>
      <c r="P250" s="512"/>
      <c r="Q250" s="512"/>
      <c r="R250" s="512"/>
      <c r="S250" s="512"/>
      <c r="T250" s="512"/>
      <c r="U250" s="512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28"/>
      <c r="H251" s="504">
        <f t="shared" si="92"/>
        <v>0</v>
      </c>
      <c r="I251" s="129"/>
      <c r="J251" s="130"/>
      <c r="K251" s="131"/>
      <c r="L251" s="129">
        <v>4</v>
      </c>
      <c r="M251" s="109"/>
      <c r="N251" s="130"/>
      <c r="O251" s="512"/>
      <c r="P251" s="512"/>
      <c r="Q251" s="512"/>
      <c r="R251" s="512"/>
      <c r="S251" s="512"/>
      <c r="T251" s="512"/>
      <c r="U251" s="512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28"/>
      <c r="H252" s="504">
        <f t="shared" si="92"/>
        <v>0</v>
      </c>
      <c r="I252" s="129"/>
      <c r="J252" s="130"/>
      <c r="K252" s="131"/>
      <c r="L252" s="129">
        <v>4</v>
      </c>
      <c r="M252" s="109"/>
      <c r="N252" s="130"/>
      <c r="O252" s="512"/>
      <c r="P252" s="512"/>
      <c r="Q252" s="512"/>
      <c r="R252" s="512"/>
      <c r="S252" s="512"/>
      <c r="T252" s="512"/>
      <c r="U252" s="512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28"/>
      <c r="H253" s="504">
        <f t="shared" si="92"/>
        <v>0</v>
      </c>
      <c r="I253" s="129"/>
      <c r="J253" s="130"/>
      <c r="K253" s="131"/>
      <c r="L253" s="129">
        <v>4</v>
      </c>
      <c r="M253" s="109"/>
      <c r="N253" s="130"/>
      <c r="O253" s="512"/>
      <c r="P253" s="512"/>
      <c r="Q253" s="512"/>
      <c r="R253" s="512"/>
      <c r="S253" s="512"/>
      <c r="T253" s="512"/>
      <c r="U253" s="512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28"/>
      <c r="H254" s="504">
        <f t="shared" si="92"/>
        <v>0</v>
      </c>
      <c r="I254" s="129"/>
      <c r="J254" s="130"/>
      <c r="K254" s="131"/>
      <c r="L254" s="129">
        <v>4</v>
      </c>
      <c r="M254" s="109"/>
      <c r="N254" s="130"/>
      <c r="O254" s="512"/>
      <c r="P254" s="512"/>
      <c r="Q254" s="512"/>
      <c r="R254" s="512"/>
      <c r="S254" s="512"/>
      <c r="T254" s="512"/>
      <c r="U254" s="512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28"/>
      <c r="H255" s="504">
        <f t="shared" si="92"/>
        <v>0</v>
      </c>
      <c r="I255" s="129"/>
      <c r="J255" s="130"/>
      <c r="K255" s="131"/>
      <c r="L255" s="129">
        <v>4</v>
      </c>
      <c r="M255" s="109"/>
      <c r="N255" s="130"/>
      <c r="O255" s="512"/>
      <c r="P255" s="512"/>
      <c r="Q255" s="512"/>
      <c r="R255" s="512"/>
      <c r="S255" s="512"/>
      <c r="T255" s="512"/>
      <c r="U255" s="512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28"/>
      <c r="H256" s="504">
        <f t="shared" si="92"/>
        <v>0</v>
      </c>
      <c r="I256" s="129"/>
      <c r="J256" s="130"/>
      <c r="K256" s="131"/>
      <c r="L256" s="129">
        <v>4</v>
      </c>
      <c r="M256" s="109"/>
      <c r="N256" s="130"/>
      <c r="O256" s="512"/>
      <c r="P256" s="512"/>
      <c r="Q256" s="512"/>
      <c r="R256" s="512"/>
      <c r="S256" s="512"/>
      <c r="T256" s="512"/>
      <c r="U256" s="512"/>
      <c r="V256" s="132"/>
      <c r="W256" s="133"/>
      <c r="X256" s="132"/>
      <c r="Y256" s="132"/>
      <c r="Z256" s="132"/>
      <c r="AA256" s="132"/>
    </row>
    <row r="257" spans="1:27" ht="20.100000000000001" customHeight="1">
      <c r="A257" s="589" t="s">
        <v>216</v>
      </c>
      <c r="B257" s="589"/>
      <c r="C257" s="513" t="s">
        <v>202</v>
      </c>
      <c r="D257" s="143"/>
      <c r="E257" s="143"/>
      <c r="F257" s="144"/>
      <c r="G257" s="145">
        <f>SUM(G200:G256)</f>
        <v>2260</v>
      </c>
      <c r="H257" s="146">
        <f>SUM(H200:H256)</f>
        <v>11397.8</v>
      </c>
      <c r="I257" s="146">
        <f>SUM(I200:I256)</f>
        <v>51.5</v>
      </c>
      <c r="J257" s="130">
        <f t="array" ref="J257">IF(ISERROR(G257/I257),"",G257/I257)</f>
        <v>43.883495145631066</v>
      </c>
      <c r="K257" s="146">
        <f>SUM(K200:K256)</f>
        <v>61.023736263736261</v>
      </c>
      <c r="L257" s="147"/>
      <c r="M257" s="150">
        <f t="shared" ref="M257:V257" si="115">SUM(M200:M256)</f>
        <v>-9.5237362637362661</v>
      </c>
      <c r="N257" s="146">
        <f t="shared" si="115"/>
        <v>0</v>
      </c>
      <c r="O257" s="148">
        <f t="shared" si="115"/>
        <v>0</v>
      </c>
      <c r="P257" s="148">
        <f t="shared" si="115"/>
        <v>0</v>
      </c>
      <c r="Q257" s="148">
        <f t="shared" si="115"/>
        <v>0</v>
      </c>
      <c r="R257" s="148">
        <f t="shared" si="115"/>
        <v>0</v>
      </c>
      <c r="S257" s="148">
        <f t="shared" si="115"/>
        <v>0</v>
      </c>
      <c r="T257" s="148">
        <f t="shared" si="115"/>
        <v>0</v>
      </c>
      <c r="U257" s="148">
        <f t="shared" si="115"/>
        <v>0</v>
      </c>
      <c r="V257" s="149">
        <f t="shared" si="115"/>
        <v>0</v>
      </c>
      <c r="W257" s="133">
        <f t="shared" ref="W257:W264" si="116">IF(ISERROR(V257/G257),"",V257/G257)</f>
        <v>0</v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hidden="1" customHeight="1">
      <c r="A258" s="299">
        <v>30400012</v>
      </c>
      <c r="B258" s="503" t="s">
        <v>217</v>
      </c>
      <c r="C258" s="126" t="s">
        <v>179</v>
      </c>
      <c r="D258" s="108">
        <v>5.03</v>
      </c>
      <c r="E258" s="108"/>
      <c r="F258" s="127"/>
      <c r="G258" s="128"/>
      <c r="H258" s="504">
        <f t="shared" ref="H258:H291" si="117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8">IF(ISERROR(I258-K258),"",I258-K258)</f>
        <v>0</v>
      </c>
      <c r="N258" s="130">
        <f t="shared" ref="N258:N265" si="119">SUM(O258:U258)</f>
        <v>0</v>
      </c>
      <c r="O258" s="512"/>
      <c r="P258" s="512"/>
      <c r="Q258" s="512"/>
      <c r="R258" s="512"/>
      <c r="S258" s="512"/>
      <c r="T258" s="512"/>
      <c r="U258" s="512"/>
      <c r="V258" s="132">
        <f t="shared" ref="V258:V264" si="120">SUM(X258:AA258)</f>
        <v>0</v>
      </c>
      <c r="W258" s="133" t="str">
        <f t="shared" si="116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30400010</v>
      </c>
      <c r="B259" s="503" t="s">
        <v>217</v>
      </c>
      <c r="C259" s="126" t="s">
        <v>186</v>
      </c>
      <c r="D259" s="108">
        <v>5.03</v>
      </c>
      <c r="E259" s="108"/>
      <c r="F259" s="127"/>
      <c r="G259" s="128"/>
      <c r="H259" s="504">
        <f t="shared" si="117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8"/>
        <v>0</v>
      </c>
      <c r="N259" s="130">
        <f t="shared" si="119"/>
        <v>0</v>
      </c>
      <c r="O259" s="512"/>
      <c r="P259" s="512"/>
      <c r="Q259" s="512"/>
      <c r="R259" s="512"/>
      <c r="S259" s="512"/>
      <c r="T259" s="512"/>
      <c r="U259" s="512"/>
      <c r="V259" s="132">
        <f t="shared" si="120"/>
        <v>0</v>
      </c>
      <c r="W259" s="133" t="str">
        <f t="shared" si="116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30400011</v>
      </c>
      <c r="B260" s="503" t="s">
        <v>217</v>
      </c>
      <c r="C260" s="126" t="s">
        <v>204</v>
      </c>
      <c r="D260" s="108">
        <v>5.03</v>
      </c>
      <c r="E260" s="108"/>
      <c r="F260" s="127"/>
      <c r="G260" s="128"/>
      <c r="H260" s="504">
        <f t="shared" si="117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8.8000000000000007</v>
      </c>
      <c r="M260" s="109">
        <f t="shared" si="118"/>
        <v>0</v>
      </c>
      <c r="N260" s="130">
        <f t="shared" si="119"/>
        <v>0</v>
      </c>
      <c r="O260" s="512"/>
      <c r="P260" s="512"/>
      <c r="Q260" s="512"/>
      <c r="R260" s="512"/>
      <c r="S260" s="512"/>
      <c r="T260" s="512"/>
      <c r="U260" s="512"/>
      <c r="V260" s="132">
        <f t="shared" si="120"/>
        <v>0</v>
      </c>
      <c r="W260" s="133" t="str">
        <f t="shared" si="116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28"/>
      <c r="H261" s="504">
        <f t="shared" si="117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8"/>
        <v>0</v>
      </c>
      <c r="N261" s="130">
        <f t="shared" si="119"/>
        <v>0</v>
      </c>
      <c r="O261" s="512"/>
      <c r="P261" s="512"/>
      <c r="Q261" s="512"/>
      <c r="R261" s="512"/>
      <c r="S261" s="512"/>
      <c r="T261" s="512"/>
      <c r="U261" s="512"/>
      <c r="V261" s="132">
        <f t="shared" si="120"/>
        <v>0</v>
      </c>
      <c r="W261" s="133" t="str">
        <f t="shared" si="116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/>
      <c r="G262" s="128"/>
      <c r="H262" s="504">
        <f t="shared" si="117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8"/>
        <v>0</v>
      </c>
      <c r="N262" s="130">
        <f t="shared" si="119"/>
        <v>0</v>
      </c>
      <c r="O262" s="512"/>
      <c r="P262" s="512"/>
      <c r="Q262" s="512"/>
      <c r="R262" s="512"/>
      <c r="S262" s="512"/>
      <c r="T262" s="512"/>
      <c r="U262" s="512"/>
      <c r="V262" s="132">
        <f t="shared" si="120"/>
        <v>0</v>
      </c>
      <c r="W262" s="133" t="str">
        <f t="shared" si="116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/>
      <c r="G263" s="128"/>
      <c r="H263" s="504">
        <f t="shared" si="117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8"/>
        <v>0</v>
      </c>
      <c r="N263" s="130">
        <f t="shared" si="119"/>
        <v>0</v>
      </c>
      <c r="O263" s="512"/>
      <c r="P263" s="512"/>
      <c r="Q263" s="512"/>
      <c r="R263" s="512"/>
      <c r="S263" s="512"/>
      <c r="T263" s="512"/>
      <c r="U263" s="512"/>
      <c r="V263" s="132">
        <f t="shared" si="120"/>
        <v>0</v>
      </c>
      <c r="W263" s="133" t="str">
        <f t="shared" si="116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/>
      <c r="G264" s="128"/>
      <c r="H264" s="504">
        <f t="shared" si="117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9.3000000000000007</v>
      </c>
      <c r="M264" s="109">
        <f t="shared" si="118"/>
        <v>0</v>
      </c>
      <c r="N264" s="130">
        <f t="shared" si="119"/>
        <v>0</v>
      </c>
      <c r="O264" s="512"/>
      <c r="P264" s="512"/>
      <c r="Q264" s="512"/>
      <c r="R264" s="512"/>
      <c r="S264" s="512"/>
      <c r="T264" s="512"/>
      <c r="U264" s="512"/>
      <c r="V264" s="132">
        <f t="shared" si="120"/>
        <v>0</v>
      </c>
      <c r="W264" s="133" t="str">
        <f t="shared" si="116"/>
        <v/>
      </c>
      <c r="X264" s="132"/>
      <c r="Y264" s="132"/>
      <c r="Z264" s="132"/>
      <c r="AA264" s="132"/>
    </row>
    <row r="265" spans="1:27" ht="20.100000000000001" hidden="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/>
      <c r="G265" s="128"/>
      <c r="H265" s="504">
        <f t="shared" si="117"/>
        <v>0</v>
      </c>
      <c r="I265" s="129"/>
      <c r="J265" s="130"/>
      <c r="K265" s="131">
        <f t="array" ref="K265">IF(ISERROR(G265/L265),"",G265/L265)</f>
        <v>0</v>
      </c>
      <c r="L265" s="129">
        <v>9.3000000000000007</v>
      </c>
      <c r="M265" s="109">
        <f t="shared" si="118"/>
        <v>0</v>
      </c>
      <c r="N265" s="130">
        <f t="shared" si="119"/>
        <v>0</v>
      </c>
      <c r="O265" s="512"/>
      <c r="P265" s="512"/>
      <c r="Q265" s="512"/>
      <c r="R265" s="512"/>
      <c r="S265" s="512"/>
      <c r="T265" s="512"/>
      <c r="U265" s="512"/>
      <c r="V265" s="132"/>
      <c r="W265" s="133"/>
      <c r="X265" s="132"/>
      <c r="Y265" s="132"/>
      <c r="Z265" s="132"/>
      <c r="AA265" s="132"/>
    </row>
    <row r="266" spans="1:27" ht="20.100000000000001" hidden="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28"/>
      <c r="H266" s="504">
        <f t="shared" si="117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512"/>
      <c r="P266" s="512"/>
      <c r="Q266" s="512"/>
      <c r="R266" s="512"/>
      <c r="S266" s="512"/>
      <c r="T266" s="512"/>
      <c r="U266" s="512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28"/>
      <c r="H267" s="504">
        <f t="shared" si="117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512"/>
      <c r="P267" s="512"/>
      <c r="Q267" s="512"/>
      <c r="R267" s="512"/>
      <c r="S267" s="512"/>
      <c r="T267" s="512"/>
      <c r="U267" s="512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28"/>
      <c r="H268" s="504">
        <f t="shared" si="117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512"/>
      <c r="P268" s="512"/>
      <c r="Q268" s="512"/>
      <c r="R268" s="512"/>
      <c r="S268" s="512"/>
      <c r="T268" s="512"/>
      <c r="U268" s="512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28"/>
      <c r="H269" s="504">
        <f t="shared" si="117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512"/>
      <c r="P269" s="512"/>
      <c r="Q269" s="512"/>
      <c r="R269" s="512"/>
      <c r="S269" s="512"/>
      <c r="T269" s="512"/>
      <c r="U269" s="512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28"/>
      <c r="H270" s="504">
        <f t="shared" si="117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5" si="121">IF(ISERROR(I270-K270),"",I270-K270)</f>
        <v>0</v>
      </c>
      <c r="N270" s="130">
        <f t="shared" ref="N270:N285" si="122">SUM(O270:U270)</f>
        <v>0</v>
      </c>
      <c r="O270" s="512"/>
      <c r="P270" s="512"/>
      <c r="Q270" s="512"/>
      <c r="R270" s="512"/>
      <c r="S270" s="512"/>
      <c r="T270" s="512"/>
      <c r="U270" s="512"/>
      <c r="V270" s="132">
        <f t="shared" ref="V270:V273" si="123">SUM(X270:AA270)</f>
        <v>0</v>
      </c>
      <c r="W270" s="133" t="str">
        <f t="shared" ref="W270:W277" si="124">IF(ISERROR(V270/G270),"",V270/G270)</f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28"/>
      <c r="H271" s="504">
        <f t="shared" si="117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1"/>
        <v/>
      </c>
      <c r="N271" s="130">
        <f t="shared" si="122"/>
        <v>0</v>
      </c>
      <c r="O271" s="512"/>
      <c r="P271" s="512"/>
      <c r="Q271" s="512"/>
      <c r="R271" s="512"/>
      <c r="S271" s="512"/>
      <c r="T271" s="512"/>
      <c r="U271" s="512"/>
      <c r="V271" s="132">
        <f t="shared" si="123"/>
        <v>0</v>
      </c>
      <c r="W271" s="133" t="str">
        <f t="shared" si="124"/>
        <v/>
      </c>
      <c r="X271" s="132"/>
      <c r="Y271" s="132"/>
      <c r="Z271" s="132"/>
      <c r="AA271" s="132"/>
    </row>
    <row r="272" spans="1:27" ht="20.100000000000001" hidden="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28"/>
      <c r="H272" s="504">
        <f t="shared" si="117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1"/>
        <v/>
      </c>
      <c r="N272" s="130">
        <f t="shared" si="122"/>
        <v>0</v>
      </c>
      <c r="O272" s="512"/>
      <c r="P272" s="512"/>
      <c r="Q272" s="512"/>
      <c r="R272" s="512"/>
      <c r="S272" s="512"/>
      <c r="T272" s="512"/>
      <c r="U272" s="512"/>
      <c r="V272" s="132">
        <f t="shared" si="123"/>
        <v>0</v>
      </c>
      <c r="W272" s="133" t="str">
        <f t="shared" si="124"/>
        <v/>
      </c>
      <c r="X272" s="132"/>
      <c r="Y272" s="132"/>
      <c r="Z272" s="132"/>
      <c r="AA272" s="132"/>
    </row>
    <row r="273" spans="1:27" ht="20.100000000000001" hidden="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28"/>
      <c r="H273" s="504">
        <f t="shared" si="117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21"/>
        <v/>
      </c>
      <c r="N273" s="130">
        <f t="shared" si="122"/>
        <v>0</v>
      </c>
      <c r="O273" s="512"/>
      <c r="P273" s="512"/>
      <c r="Q273" s="512"/>
      <c r="R273" s="512"/>
      <c r="S273" s="512"/>
      <c r="T273" s="512"/>
      <c r="U273" s="512"/>
      <c r="V273" s="132">
        <f t="shared" si="123"/>
        <v>0</v>
      </c>
      <c r="W273" s="133" t="str">
        <f t="shared" si="124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30600005</v>
      </c>
      <c r="B274" s="503" t="s">
        <v>222</v>
      </c>
      <c r="C274" s="126" t="s">
        <v>181</v>
      </c>
      <c r="D274" s="108">
        <v>9.36</v>
      </c>
      <c r="E274" s="108"/>
      <c r="F274" s="127"/>
      <c r="G274" s="128"/>
      <c r="H274" s="504">
        <f t="shared" si="117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1"/>
        <v>0</v>
      </c>
      <c r="N274" s="130">
        <f t="shared" si="122"/>
        <v>0</v>
      </c>
      <c r="O274" s="512"/>
      <c r="P274" s="512"/>
      <c r="Q274" s="512"/>
      <c r="R274" s="512"/>
      <c r="S274" s="512"/>
      <c r="T274" s="512"/>
      <c r="U274" s="512"/>
      <c r="V274" s="132">
        <f t="shared" ref="V274:V277" si="125">SUM(X274:AA274)</f>
        <v>0</v>
      </c>
      <c r="W274" s="133" t="str">
        <f t="shared" si="124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30600008</v>
      </c>
      <c r="B275" s="503" t="s">
        <v>222</v>
      </c>
      <c r="C275" s="126" t="s">
        <v>179</v>
      </c>
      <c r="D275" s="108">
        <v>9.36</v>
      </c>
      <c r="E275" s="108"/>
      <c r="F275" s="127"/>
      <c r="G275" s="128"/>
      <c r="H275" s="504">
        <f t="shared" si="117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1"/>
        <v>0</v>
      </c>
      <c r="N275" s="130">
        <f t="shared" si="122"/>
        <v>0</v>
      </c>
      <c r="O275" s="512"/>
      <c r="P275" s="512"/>
      <c r="Q275" s="512"/>
      <c r="R275" s="512"/>
      <c r="S275" s="512"/>
      <c r="T275" s="512"/>
      <c r="U275" s="512"/>
      <c r="V275" s="132">
        <f t="shared" si="125"/>
        <v>0</v>
      </c>
      <c r="W275" s="133" t="str">
        <f t="shared" si="124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30600007</v>
      </c>
      <c r="B276" s="503" t="s">
        <v>222</v>
      </c>
      <c r="C276" s="126" t="s">
        <v>221</v>
      </c>
      <c r="D276" s="108">
        <v>9.36</v>
      </c>
      <c r="E276" s="108"/>
      <c r="F276" s="127"/>
      <c r="G276" s="128"/>
      <c r="H276" s="504">
        <f t="shared" si="117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1"/>
        <v>0</v>
      </c>
      <c r="N276" s="130">
        <f t="shared" si="122"/>
        <v>0</v>
      </c>
      <c r="O276" s="512"/>
      <c r="P276" s="512"/>
      <c r="Q276" s="512"/>
      <c r="R276" s="512"/>
      <c r="S276" s="512"/>
      <c r="T276" s="512"/>
      <c r="U276" s="512"/>
      <c r="V276" s="132">
        <f t="shared" si="125"/>
        <v>0</v>
      </c>
      <c r="W276" s="133" t="str">
        <f t="shared" si="124"/>
        <v/>
      </c>
      <c r="X276" s="132"/>
      <c r="Y276" s="132"/>
      <c r="Z276" s="132"/>
      <c r="AA276" s="132"/>
    </row>
    <row r="277" spans="1:27" ht="20.100000000000001" hidden="1" customHeight="1">
      <c r="A277" s="304">
        <v>30600006</v>
      </c>
      <c r="B277" s="503" t="s">
        <v>222</v>
      </c>
      <c r="C277" s="126" t="s">
        <v>186</v>
      </c>
      <c r="D277" s="108">
        <v>9.36</v>
      </c>
      <c r="E277" s="108"/>
      <c r="F277" s="127"/>
      <c r="G277" s="128"/>
      <c r="H277" s="504">
        <f t="shared" si="117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21"/>
        <v>0</v>
      </c>
      <c r="N277" s="130">
        <f t="shared" si="122"/>
        <v>0</v>
      </c>
      <c r="O277" s="512"/>
      <c r="P277" s="512"/>
      <c r="Q277" s="512"/>
      <c r="R277" s="512"/>
      <c r="S277" s="512"/>
      <c r="T277" s="512"/>
      <c r="U277" s="512"/>
      <c r="V277" s="132">
        <f t="shared" si="125"/>
        <v>0</v>
      </c>
      <c r="W277" s="133" t="str">
        <f t="shared" si="124"/>
        <v/>
      </c>
      <c r="X277" s="132"/>
      <c r="Y277" s="132"/>
      <c r="Z277" s="132"/>
      <c r="AA277" s="132"/>
    </row>
    <row r="278" spans="1:27" ht="20.100000000000001" hidden="1" customHeight="1">
      <c r="A278" s="299">
        <v>30400026</v>
      </c>
      <c r="B278" s="503" t="s">
        <v>393</v>
      </c>
      <c r="C278" s="187" t="s">
        <v>395</v>
      </c>
      <c r="D278" s="108">
        <v>5</v>
      </c>
      <c r="E278" s="108"/>
      <c r="F278" s="127"/>
      <c r="G278" s="128"/>
      <c r="H278" s="504">
        <f t="shared" si="117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1"/>
        <v>0</v>
      </c>
      <c r="N278" s="130">
        <f t="shared" si="122"/>
        <v>0</v>
      </c>
      <c r="O278" s="512"/>
      <c r="P278" s="512"/>
      <c r="Q278" s="512"/>
      <c r="R278" s="512"/>
      <c r="S278" s="512"/>
      <c r="T278" s="512"/>
      <c r="U278" s="512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30400028</v>
      </c>
      <c r="B279" s="503" t="s">
        <v>393</v>
      </c>
      <c r="C279" s="187" t="s">
        <v>402</v>
      </c>
      <c r="D279" s="108">
        <v>5</v>
      </c>
      <c r="E279" s="108"/>
      <c r="F279" s="127"/>
      <c r="G279" s="128"/>
      <c r="H279" s="504">
        <f t="shared" si="117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1"/>
        <v>0</v>
      </c>
      <c r="N279" s="130">
        <f t="shared" si="122"/>
        <v>0</v>
      </c>
      <c r="O279" s="512"/>
      <c r="P279" s="512"/>
      <c r="Q279" s="512"/>
      <c r="R279" s="512"/>
      <c r="S279" s="512"/>
      <c r="T279" s="512"/>
      <c r="U279" s="512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>
        <v>30400027</v>
      </c>
      <c r="B280" s="503" t="s">
        <v>404</v>
      </c>
      <c r="C280" s="187" t="s">
        <v>405</v>
      </c>
      <c r="D280" s="108">
        <v>5</v>
      </c>
      <c r="E280" s="108"/>
      <c r="F280" s="127"/>
      <c r="G280" s="128"/>
      <c r="H280" s="504">
        <f t="shared" si="117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1"/>
        <v>0</v>
      </c>
      <c r="N280" s="130">
        <f t="shared" si="122"/>
        <v>0</v>
      </c>
      <c r="O280" s="512"/>
      <c r="P280" s="512"/>
      <c r="Q280" s="512"/>
      <c r="R280" s="512"/>
      <c r="S280" s="512"/>
      <c r="T280" s="512"/>
      <c r="U280" s="512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/>
      <c r="B281" s="503" t="s">
        <v>342</v>
      </c>
      <c r="C281" s="187" t="s">
        <v>372</v>
      </c>
      <c r="D281" s="108">
        <v>5</v>
      </c>
      <c r="E281" s="108"/>
      <c r="F281" s="127"/>
      <c r="G281" s="128"/>
      <c r="H281" s="504">
        <f t="shared" si="117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1"/>
        <v>0</v>
      </c>
      <c r="N281" s="130">
        <f t="shared" si="122"/>
        <v>0</v>
      </c>
      <c r="O281" s="512"/>
      <c r="P281" s="512"/>
      <c r="Q281" s="512"/>
      <c r="R281" s="512"/>
      <c r="S281" s="512"/>
      <c r="T281" s="512"/>
      <c r="U281" s="512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30600009</v>
      </c>
      <c r="B282" s="503" t="s">
        <v>343</v>
      </c>
      <c r="C282" s="126" t="s">
        <v>345</v>
      </c>
      <c r="D282" s="108">
        <v>5</v>
      </c>
      <c r="E282" s="108"/>
      <c r="F282" s="127"/>
      <c r="G282" s="128"/>
      <c r="H282" s="504">
        <f t="shared" si="117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1"/>
        <v>0</v>
      </c>
      <c r="N282" s="130">
        <f t="shared" si="122"/>
        <v>0</v>
      </c>
      <c r="O282" s="512"/>
      <c r="P282" s="512"/>
      <c r="Q282" s="512"/>
      <c r="R282" s="512"/>
      <c r="S282" s="512"/>
      <c r="T282" s="512"/>
      <c r="U282" s="512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30600010</v>
      </c>
      <c r="B283" s="503" t="s">
        <v>343</v>
      </c>
      <c r="C283" s="126" t="s">
        <v>347</v>
      </c>
      <c r="D283" s="108">
        <v>5</v>
      </c>
      <c r="E283" s="108"/>
      <c r="F283" s="127"/>
      <c r="G283" s="128"/>
      <c r="H283" s="504">
        <f t="shared" si="117"/>
        <v>0</v>
      </c>
      <c r="I283" s="129"/>
      <c r="J283" s="130"/>
      <c r="K283" s="131">
        <f t="array" ref="K283">IF(ISERROR(G283/L283),"",G283/L283)</f>
        <v>0</v>
      </c>
      <c r="L283" s="129">
        <v>5</v>
      </c>
      <c r="M283" s="109">
        <f t="shared" si="121"/>
        <v>0</v>
      </c>
      <c r="N283" s="130">
        <f t="shared" si="122"/>
        <v>0</v>
      </c>
      <c r="O283" s="512"/>
      <c r="P283" s="512"/>
      <c r="Q283" s="512"/>
      <c r="R283" s="512"/>
      <c r="S283" s="512"/>
      <c r="T283" s="512"/>
      <c r="U283" s="512"/>
      <c r="V283" s="132"/>
      <c r="W283" s="133"/>
      <c r="X283" s="132"/>
      <c r="Y283" s="132"/>
      <c r="Z283" s="132"/>
      <c r="AA283" s="132"/>
    </row>
    <row r="284" spans="1:27" ht="20.100000000000001" hidden="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/>
      <c r="G284" s="128"/>
      <c r="H284" s="504">
        <f t="shared" si="117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1"/>
        <v>0</v>
      </c>
      <c r="N284" s="130">
        <f t="shared" si="122"/>
        <v>0</v>
      </c>
      <c r="O284" s="512"/>
      <c r="P284" s="512"/>
      <c r="Q284" s="512"/>
      <c r="R284" s="512"/>
      <c r="S284" s="512"/>
      <c r="T284" s="512"/>
      <c r="U284" s="512"/>
      <c r="V284" s="132">
        <f t="shared" ref="V284:V285" si="126">SUM(X284:AA284)</f>
        <v>0</v>
      </c>
      <c r="W284" s="133" t="str">
        <f t="shared" ref="W284:W285" si="127">IF(ISERROR(V284/G284),"",V284/G284)</f>
        <v/>
      </c>
      <c r="X284" s="132"/>
      <c r="Y284" s="132"/>
      <c r="Z284" s="132"/>
      <c r="AA284" s="132"/>
    </row>
    <row r="285" spans="1:27" ht="20.100000000000001" hidden="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28"/>
      <c r="H285" s="504">
        <f t="shared" si="117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21"/>
        <v>0</v>
      </c>
      <c r="N285" s="130">
        <f t="shared" si="122"/>
        <v>0</v>
      </c>
      <c r="O285" s="512"/>
      <c r="P285" s="512"/>
      <c r="Q285" s="512"/>
      <c r="R285" s="512"/>
      <c r="S285" s="512"/>
      <c r="T285" s="512"/>
      <c r="U285" s="512"/>
      <c r="V285" s="132">
        <f t="shared" si="126"/>
        <v>0</v>
      </c>
      <c r="W285" s="133" t="str">
        <f t="shared" si="127"/>
        <v/>
      </c>
      <c r="X285" s="132"/>
      <c r="Y285" s="132"/>
      <c r="Z285" s="132"/>
      <c r="AA285" s="132"/>
    </row>
    <row r="286" spans="1:27" ht="20.100000000000001" hidden="1" customHeight="1">
      <c r="A286" s="299">
        <v>30400004</v>
      </c>
      <c r="B286" s="151" t="s">
        <v>419</v>
      </c>
      <c r="C286" s="187" t="s">
        <v>73</v>
      </c>
      <c r="D286" s="108">
        <v>5.03</v>
      </c>
      <c r="E286" s="108"/>
      <c r="F286" s="127"/>
      <c r="G286" s="128"/>
      <c r="H286" s="504">
        <f t="shared" si="117"/>
        <v>0</v>
      </c>
      <c r="I286" s="129"/>
      <c r="J286" s="130"/>
      <c r="K286" s="131"/>
      <c r="L286" s="129">
        <v>24</v>
      </c>
      <c r="M286" s="109"/>
      <c r="N286" s="130"/>
      <c r="O286" s="512"/>
      <c r="P286" s="512"/>
      <c r="Q286" s="512"/>
      <c r="R286" s="512"/>
      <c r="S286" s="512"/>
      <c r="T286" s="512"/>
      <c r="U286" s="512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/>
      <c r="G287" s="128"/>
      <c r="H287" s="504">
        <f t="shared" si="117"/>
        <v>0</v>
      </c>
      <c r="I287" s="129"/>
      <c r="J287" s="130"/>
      <c r="K287" s="131"/>
      <c r="L287" s="129">
        <v>24</v>
      </c>
      <c r="M287" s="109"/>
      <c r="N287" s="130"/>
      <c r="O287" s="512"/>
      <c r="P287" s="512"/>
      <c r="Q287" s="512"/>
      <c r="R287" s="512"/>
      <c r="S287" s="512"/>
      <c r="T287" s="512"/>
      <c r="U287" s="512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/>
      <c r="G288" s="128"/>
      <c r="H288" s="504">
        <f t="shared" si="117"/>
        <v>0</v>
      </c>
      <c r="I288" s="129"/>
      <c r="J288" s="130"/>
      <c r="K288" s="131"/>
      <c r="L288" s="129">
        <v>24</v>
      </c>
      <c r="M288" s="109"/>
      <c r="N288" s="130"/>
      <c r="O288" s="512"/>
      <c r="P288" s="512"/>
      <c r="Q288" s="512"/>
      <c r="R288" s="512"/>
      <c r="S288" s="512"/>
      <c r="T288" s="512"/>
      <c r="U288" s="512"/>
      <c r="V288" s="132"/>
      <c r="W288" s="133"/>
      <c r="X288" s="132"/>
      <c r="Y288" s="132"/>
      <c r="Z288" s="132"/>
      <c r="AA288" s="132"/>
    </row>
    <row r="289" spans="1:27" ht="20.100000000000001" hidden="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/>
      <c r="G289" s="128"/>
      <c r="H289" s="504">
        <f t="shared" si="117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ref="M289:M291" si="128">IF(ISERROR(I289-K289),"",I289-K289)</f>
        <v>0</v>
      </c>
      <c r="N289" s="130">
        <f t="shared" ref="N289:N291" si="129">SUM(O289:U289)</f>
        <v>0</v>
      </c>
      <c r="O289" s="512"/>
      <c r="P289" s="512"/>
      <c r="Q289" s="512"/>
      <c r="R289" s="512"/>
      <c r="S289" s="512"/>
      <c r="T289" s="512"/>
      <c r="U289" s="512"/>
      <c r="V289" s="132">
        <f t="shared" ref="V289:V291" si="130">SUM(X289:AA289)</f>
        <v>0</v>
      </c>
      <c r="W289" s="133" t="str">
        <f t="shared" ref="W289:W313" si="131">IF(ISERROR(V289/G289),"",V289/G289)</f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28"/>
      <c r="H290" s="504">
        <f t="shared" si="117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8"/>
        <v>0</v>
      </c>
      <c r="N290" s="130">
        <f t="shared" si="129"/>
        <v>0</v>
      </c>
      <c r="O290" s="512"/>
      <c r="P290" s="512"/>
      <c r="Q290" s="512"/>
      <c r="R290" s="512"/>
      <c r="S290" s="512"/>
      <c r="T290" s="512"/>
      <c r="U290" s="512"/>
      <c r="V290" s="132">
        <f t="shared" si="130"/>
        <v>0</v>
      </c>
      <c r="W290" s="133" t="str">
        <f t="shared" si="131"/>
        <v/>
      </c>
      <c r="X290" s="132"/>
      <c r="Y290" s="132"/>
      <c r="Z290" s="132"/>
      <c r="AA290" s="132"/>
    </row>
    <row r="291" spans="1:27" ht="20.10000000000000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>
        <v>42745</v>
      </c>
      <c r="G291" s="128">
        <f>100*3+47</f>
        <v>347</v>
      </c>
      <c r="H291" s="504">
        <f t="shared" si="117"/>
        <v>1755.82</v>
      </c>
      <c r="I291" s="129">
        <f>11*5</f>
        <v>55</v>
      </c>
      <c r="J291" s="130">
        <f t="array" ref="J291">IF(ISERROR(G291/I291),"",G291/I291)</f>
        <v>6.3090909090909095</v>
      </c>
      <c r="K291" s="504">
        <f t="array" ref="K291">IF(ISERROR(G291/L291),"",G291/L291)</f>
        <v>38.555555555555557</v>
      </c>
      <c r="L291" s="129">
        <v>9</v>
      </c>
      <c r="M291" s="109">
        <f t="shared" si="128"/>
        <v>16.444444444444443</v>
      </c>
      <c r="N291" s="130">
        <f t="shared" si="129"/>
        <v>0</v>
      </c>
      <c r="O291" s="512"/>
      <c r="P291" s="512"/>
      <c r="Q291" s="512"/>
      <c r="R291" s="512"/>
      <c r="S291" s="512"/>
      <c r="T291" s="512"/>
      <c r="U291" s="512"/>
      <c r="V291" s="132">
        <f t="shared" si="130"/>
        <v>0</v>
      </c>
      <c r="W291" s="133">
        <f t="shared" si="131"/>
        <v>0</v>
      </c>
      <c r="X291" s="132"/>
      <c r="Y291" s="132"/>
      <c r="Z291" s="132"/>
      <c r="AA291" s="132"/>
    </row>
    <row r="292" spans="1:27" ht="20.100000000000001" customHeight="1">
      <c r="A292" s="578" t="s">
        <v>224</v>
      </c>
      <c r="B292" s="579"/>
      <c r="C292" s="513" t="s">
        <v>202</v>
      </c>
      <c r="D292" s="143"/>
      <c r="E292" s="143"/>
      <c r="F292" s="144"/>
      <c r="G292" s="145">
        <f>SUM(G258:G291)</f>
        <v>347</v>
      </c>
      <c r="H292" s="146">
        <f>SUM(H258:H291)</f>
        <v>1755.82</v>
      </c>
      <c r="I292" s="146">
        <f>SUM(I258:I291)</f>
        <v>55</v>
      </c>
      <c r="J292" s="130">
        <f t="array" ref="J292">IF(ISERROR(G292/I292),"",G292/I292)</f>
        <v>6.3090909090909095</v>
      </c>
      <c r="K292" s="146">
        <f>SUM(K258:K291)</f>
        <v>38.555555555555557</v>
      </c>
      <c r="L292" s="147"/>
      <c r="M292" s="150">
        <f t="shared" ref="M292:V292" si="132">SUM(M258:M291)</f>
        <v>16.444444444444443</v>
      </c>
      <c r="N292" s="146">
        <f t="shared" si="132"/>
        <v>0</v>
      </c>
      <c r="O292" s="148">
        <f t="shared" si="132"/>
        <v>0</v>
      </c>
      <c r="P292" s="148">
        <f t="shared" si="132"/>
        <v>0</v>
      </c>
      <c r="Q292" s="148">
        <f t="shared" si="132"/>
        <v>0</v>
      </c>
      <c r="R292" s="148">
        <f t="shared" si="132"/>
        <v>0</v>
      </c>
      <c r="S292" s="148">
        <f t="shared" si="132"/>
        <v>0</v>
      </c>
      <c r="T292" s="148">
        <f t="shared" si="132"/>
        <v>0</v>
      </c>
      <c r="U292" s="148">
        <f t="shared" si="132"/>
        <v>0</v>
      </c>
      <c r="V292" s="149">
        <f t="shared" si="132"/>
        <v>0</v>
      </c>
      <c r="W292" s="133">
        <f t="shared" si="131"/>
        <v>0</v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hidden="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/>
      <c r="G293" s="128"/>
      <c r="H293" s="504">
        <f t="shared" ref="H293:H307" si="133">D293*G293</f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ref="M293:M307" si="134">IF(ISERROR(I293-K293),"",I293-K293)</f>
        <v>0</v>
      </c>
      <c r="N293" s="130">
        <f t="shared" ref="N293:N307" si="135">SUM(O293:U293)</f>
        <v>0</v>
      </c>
      <c r="O293" s="512"/>
      <c r="P293" s="512"/>
      <c r="Q293" s="512"/>
      <c r="R293" s="512"/>
      <c r="S293" s="512"/>
      <c r="T293" s="512"/>
      <c r="U293" s="512"/>
      <c r="V293" s="132">
        <f t="shared" ref="V293:V307" si="136">SUM(X293:AA293)</f>
        <v>0</v>
      </c>
      <c r="W293" s="133" t="str">
        <f t="shared" si="131"/>
        <v/>
      </c>
      <c r="X293" s="132"/>
      <c r="Y293" s="132"/>
      <c r="Z293" s="132"/>
      <c r="AA293" s="132"/>
    </row>
    <row r="294" spans="1:27" ht="20.100000000000001" hidden="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/>
      <c r="G294" s="128"/>
      <c r="H294" s="504">
        <f t="shared" si="133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25</v>
      </c>
      <c r="M294" s="109">
        <f t="shared" si="134"/>
        <v>0</v>
      </c>
      <c r="N294" s="130">
        <f t="shared" si="135"/>
        <v>0</v>
      </c>
      <c r="O294" s="512"/>
      <c r="P294" s="512"/>
      <c r="Q294" s="512"/>
      <c r="R294" s="512"/>
      <c r="S294" s="512"/>
      <c r="T294" s="512"/>
      <c r="U294" s="512"/>
      <c r="V294" s="132">
        <f t="shared" si="136"/>
        <v>0</v>
      </c>
      <c r="W294" s="133" t="str">
        <f t="shared" si="131"/>
        <v/>
      </c>
      <c r="X294" s="132"/>
      <c r="Y294" s="132"/>
      <c r="Z294" s="132"/>
      <c r="AA294" s="132"/>
    </row>
    <row r="295" spans="1:27" ht="20.100000000000001" hidden="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/>
      <c r="G295" s="128"/>
      <c r="H295" s="504">
        <f t="shared" si="133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20</v>
      </c>
      <c r="M295" s="109">
        <f t="shared" si="134"/>
        <v>0</v>
      </c>
      <c r="N295" s="130">
        <f t="shared" si="135"/>
        <v>0</v>
      </c>
      <c r="O295" s="512"/>
      <c r="P295" s="512"/>
      <c r="Q295" s="512"/>
      <c r="R295" s="512"/>
      <c r="S295" s="512"/>
      <c r="T295" s="512"/>
      <c r="U295" s="512"/>
      <c r="V295" s="132">
        <f t="shared" si="136"/>
        <v>0</v>
      </c>
      <c r="W295" s="133" t="str">
        <f t="shared" si="131"/>
        <v/>
      </c>
      <c r="X295" s="132"/>
      <c r="Y295" s="132"/>
      <c r="Z295" s="132"/>
      <c r="AA295" s="132"/>
    </row>
    <row r="296" spans="1:27" ht="20.100000000000001" hidden="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28"/>
      <c r="H296" s="504">
        <f t="shared" si="133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4"/>
        <v>0</v>
      </c>
      <c r="N296" s="130">
        <f t="shared" si="135"/>
        <v>0</v>
      </c>
      <c r="O296" s="512"/>
      <c r="P296" s="512"/>
      <c r="Q296" s="512"/>
      <c r="R296" s="512"/>
      <c r="S296" s="512"/>
      <c r="T296" s="512"/>
      <c r="U296" s="512"/>
      <c r="V296" s="132">
        <f t="shared" si="136"/>
        <v>0</v>
      </c>
      <c r="W296" s="133" t="str">
        <f t="shared" si="131"/>
        <v/>
      </c>
      <c r="X296" s="132"/>
      <c r="Y296" s="132"/>
      <c r="Z296" s="132"/>
      <c r="AA296" s="132"/>
    </row>
    <row r="297" spans="1:27" ht="20.100000000000001" customHeight="1">
      <c r="A297" s="299">
        <v>30100054</v>
      </c>
      <c r="B297" s="140" t="s">
        <v>227</v>
      </c>
      <c r="C297" s="509" t="s">
        <v>203</v>
      </c>
      <c r="D297" s="108">
        <v>5.03</v>
      </c>
      <c r="E297" s="108"/>
      <c r="F297" s="127">
        <v>42744</v>
      </c>
      <c r="G297" s="128">
        <v>85</v>
      </c>
      <c r="H297" s="504">
        <f t="shared" si="133"/>
        <v>427.55</v>
      </c>
      <c r="I297" s="129">
        <f>2*3</f>
        <v>6</v>
      </c>
      <c r="J297" s="130">
        <f t="array" ref="J297">IF(ISERROR(G297/I297),"",G297/I297)</f>
        <v>14.166666666666666</v>
      </c>
      <c r="K297" s="131">
        <f t="array" ref="K297">IF(ISERROR(G297/L297),"",G297/L297)</f>
        <v>21.25</v>
      </c>
      <c r="L297" s="129">
        <v>4</v>
      </c>
      <c r="M297" s="109">
        <f t="shared" si="134"/>
        <v>-15.25</v>
      </c>
      <c r="N297" s="130">
        <f t="shared" si="135"/>
        <v>0</v>
      </c>
      <c r="O297" s="512"/>
      <c r="P297" s="512"/>
      <c r="Q297" s="512"/>
      <c r="R297" s="512"/>
      <c r="S297" s="512"/>
      <c r="T297" s="512"/>
      <c r="U297" s="512"/>
      <c r="V297" s="132">
        <f t="shared" si="136"/>
        <v>0</v>
      </c>
      <c r="W297" s="133">
        <f t="shared" si="131"/>
        <v>0</v>
      </c>
      <c r="X297" s="132"/>
      <c r="Y297" s="132"/>
      <c r="Z297" s="132"/>
      <c r="AA297" s="132"/>
    </row>
    <row r="298" spans="1:27" ht="20.100000000000001" hidden="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/>
      <c r="G298" s="128"/>
      <c r="H298" s="504">
        <f t="shared" si="133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4"/>
        <v>0</v>
      </c>
      <c r="N298" s="130">
        <f t="shared" si="135"/>
        <v>0</v>
      </c>
      <c r="O298" s="512"/>
      <c r="P298" s="512"/>
      <c r="Q298" s="512"/>
      <c r="R298" s="512"/>
      <c r="S298" s="512"/>
      <c r="T298" s="512"/>
      <c r="U298" s="512"/>
      <c r="V298" s="132">
        <f t="shared" si="136"/>
        <v>0</v>
      </c>
      <c r="W298" s="133" t="str">
        <f t="shared" si="131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28"/>
      <c r="H299" s="504">
        <f t="shared" si="133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4"/>
        <v>0</v>
      </c>
      <c r="N299" s="130">
        <f t="shared" si="135"/>
        <v>0</v>
      </c>
      <c r="O299" s="512"/>
      <c r="P299" s="512"/>
      <c r="Q299" s="512"/>
      <c r="R299" s="512"/>
      <c r="S299" s="512"/>
      <c r="T299" s="512"/>
      <c r="U299" s="512"/>
      <c r="V299" s="132">
        <f t="shared" si="136"/>
        <v>0</v>
      </c>
      <c r="W299" s="133" t="str">
        <f t="shared" si="131"/>
        <v/>
      </c>
      <c r="X299" s="132"/>
      <c r="Y299" s="132"/>
      <c r="Z299" s="132"/>
      <c r="AA299" s="132"/>
    </row>
    <row r="300" spans="1:27" ht="20.100000000000001" hidden="1" customHeight="1">
      <c r="A300" s="299"/>
      <c r="B300" s="140" t="s">
        <v>227</v>
      </c>
      <c r="C300" s="509" t="s">
        <v>228</v>
      </c>
      <c r="D300" s="108">
        <v>5.03</v>
      </c>
      <c r="E300" s="108"/>
      <c r="F300" s="127"/>
      <c r="G300" s="128"/>
      <c r="H300" s="504">
        <f t="shared" si="133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4"/>
        <v>0</v>
      </c>
      <c r="N300" s="130">
        <f t="shared" si="135"/>
        <v>0</v>
      </c>
      <c r="O300" s="512"/>
      <c r="P300" s="512"/>
      <c r="Q300" s="512"/>
      <c r="R300" s="512"/>
      <c r="S300" s="512"/>
      <c r="T300" s="512"/>
      <c r="U300" s="512"/>
      <c r="V300" s="132">
        <f t="shared" si="136"/>
        <v>0</v>
      </c>
      <c r="W300" s="133" t="str">
        <f t="shared" si="131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30101067</v>
      </c>
      <c r="B301" s="140" t="s">
        <v>229</v>
      </c>
      <c r="C301" s="509" t="s">
        <v>212</v>
      </c>
      <c r="D301" s="108">
        <v>5.03</v>
      </c>
      <c r="E301" s="108"/>
      <c r="F301" s="127"/>
      <c r="G301" s="128"/>
      <c r="H301" s="504">
        <f t="shared" si="133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4"/>
        <v/>
      </c>
      <c r="N301" s="130">
        <f t="shared" si="135"/>
        <v>0</v>
      </c>
      <c r="O301" s="512"/>
      <c r="P301" s="512"/>
      <c r="Q301" s="512"/>
      <c r="R301" s="512"/>
      <c r="S301" s="512"/>
      <c r="T301" s="512"/>
      <c r="U301" s="512"/>
      <c r="V301" s="132">
        <f t="shared" si="136"/>
        <v>0</v>
      </c>
      <c r="W301" s="133" t="str">
        <f t="shared" si="131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30101068</v>
      </c>
      <c r="B302" s="140" t="s">
        <v>229</v>
      </c>
      <c r="C302" s="509" t="s">
        <v>203</v>
      </c>
      <c r="D302" s="108">
        <v>5.03</v>
      </c>
      <c r="E302" s="108"/>
      <c r="F302" s="127"/>
      <c r="G302" s="128"/>
      <c r="H302" s="504">
        <f t="shared" si="133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4"/>
        <v/>
      </c>
      <c r="N302" s="130">
        <f t="shared" si="135"/>
        <v>0</v>
      </c>
      <c r="O302" s="512"/>
      <c r="P302" s="512"/>
      <c r="Q302" s="512"/>
      <c r="R302" s="512"/>
      <c r="S302" s="512"/>
      <c r="T302" s="512"/>
      <c r="U302" s="512"/>
      <c r="V302" s="132">
        <f t="shared" si="136"/>
        <v>0</v>
      </c>
      <c r="W302" s="133" t="str">
        <f t="shared" si="131"/>
        <v/>
      </c>
      <c r="X302" s="132"/>
      <c r="Y302" s="132"/>
      <c r="Z302" s="132"/>
      <c r="AA302" s="132"/>
    </row>
    <row r="303" spans="1:27" ht="20.100000000000001" hidden="1" customHeight="1">
      <c r="A303" s="299">
        <v>30101069</v>
      </c>
      <c r="B303" s="140" t="s">
        <v>229</v>
      </c>
      <c r="C303" s="509" t="s">
        <v>186</v>
      </c>
      <c r="D303" s="108">
        <v>5.03</v>
      </c>
      <c r="E303" s="108"/>
      <c r="F303" s="127"/>
      <c r="G303" s="128"/>
      <c r="H303" s="504">
        <f t="shared" si="133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4"/>
        <v/>
      </c>
      <c r="N303" s="130">
        <f t="shared" si="135"/>
        <v>0</v>
      </c>
      <c r="O303" s="512"/>
      <c r="P303" s="512"/>
      <c r="Q303" s="512"/>
      <c r="R303" s="512"/>
      <c r="S303" s="512"/>
      <c r="T303" s="512"/>
      <c r="U303" s="512"/>
      <c r="V303" s="132">
        <f t="shared" si="136"/>
        <v>0</v>
      </c>
      <c r="W303" s="133" t="str">
        <f t="shared" si="131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30101070</v>
      </c>
      <c r="B304" s="140" t="s">
        <v>229</v>
      </c>
      <c r="C304" s="509" t="s">
        <v>228</v>
      </c>
      <c r="D304" s="108">
        <v>5.03</v>
      </c>
      <c r="E304" s="108"/>
      <c r="F304" s="127"/>
      <c r="G304" s="128"/>
      <c r="H304" s="504">
        <f t="shared" si="133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4"/>
        <v/>
      </c>
      <c r="N304" s="130">
        <f t="shared" si="135"/>
        <v>0</v>
      </c>
      <c r="O304" s="512"/>
      <c r="P304" s="512"/>
      <c r="Q304" s="512"/>
      <c r="R304" s="512"/>
      <c r="S304" s="512"/>
      <c r="T304" s="512"/>
      <c r="U304" s="512"/>
      <c r="V304" s="132">
        <f t="shared" si="136"/>
        <v>0</v>
      </c>
      <c r="W304" s="133" t="str">
        <f t="shared" si="131"/>
        <v/>
      </c>
      <c r="X304" s="132"/>
      <c r="Y304" s="132"/>
      <c r="Z304" s="132"/>
      <c r="AA304" s="132"/>
    </row>
    <row r="305" spans="1:27" ht="20.100000000000001" hidden="1" customHeight="1">
      <c r="A305" s="299">
        <v>30101071</v>
      </c>
      <c r="B305" s="140" t="s">
        <v>229</v>
      </c>
      <c r="C305" s="509" t="s">
        <v>199</v>
      </c>
      <c r="D305" s="108">
        <v>5.03</v>
      </c>
      <c r="E305" s="108"/>
      <c r="F305" s="127"/>
      <c r="G305" s="128"/>
      <c r="H305" s="504">
        <f t="shared" si="133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4"/>
        <v/>
      </c>
      <c r="N305" s="130">
        <f t="shared" si="135"/>
        <v>0</v>
      </c>
      <c r="O305" s="512"/>
      <c r="P305" s="512"/>
      <c r="Q305" s="512"/>
      <c r="R305" s="512"/>
      <c r="S305" s="512"/>
      <c r="T305" s="512"/>
      <c r="U305" s="512"/>
      <c r="V305" s="132">
        <f t="shared" si="136"/>
        <v>0</v>
      </c>
      <c r="W305" s="133" t="str">
        <f t="shared" si="131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/>
      <c r="G306" s="128"/>
      <c r="H306" s="504">
        <f t="shared" si="133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4"/>
        <v>0</v>
      </c>
      <c r="N306" s="130">
        <f t="shared" si="135"/>
        <v>0</v>
      </c>
      <c r="O306" s="512"/>
      <c r="P306" s="512"/>
      <c r="Q306" s="512"/>
      <c r="R306" s="512"/>
      <c r="S306" s="512"/>
      <c r="T306" s="512"/>
      <c r="U306" s="512"/>
      <c r="V306" s="132">
        <f t="shared" si="136"/>
        <v>0</v>
      </c>
      <c r="W306" s="133" t="str">
        <f t="shared" si="131"/>
        <v/>
      </c>
      <c r="X306" s="132"/>
      <c r="Y306" s="132"/>
      <c r="Z306" s="132"/>
      <c r="AA306" s="132"/>
    </row>
    <row r="307" spans="1:27" ht="20.10000000000000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>
        <v>42745</v>
      </c>
      <c r="G307" s="128">
        <f>90*5+52-52</f>
        <v>450</v>
      </c>
      <c r="H307" s="504">
        <f t="shared" si="133"/>
        <v>2277</v>
      </c>
      <c r="I307" s="129">
        <f>9.5*3</f>
        <v>28.5</v>
      </c>
      <c r="J307" s="130">
        <f t="array" ref="J307">IF(ISERROR(G307/I307),"",G307/I307)</f>
        <v>15.789473684210526</v>
      </c>
      <c r="K307" s="131">
        <f t="array" ref="K307">IF(ISERROR(G307/L307),"",G307/L307)</f>
        <v>18</v>
      </c>
      <c r="L307" s="129">
        <v>25</v>
      </c>
      <c r="M307" s="109">
        <f t="shared" si="134"/>
        <v>10.5</v>
      </c>
      <c r="N307" s="130">
        <f t="shared" si="135"/>
        <v>0</v>
      </c>
      <c r="O307" s="512"/>
      <c r="P307" s="512"/>
      <c r="Q307" s="512"/>
      <c r="R307" s="512"/>
      <c r="S307" s="512"/>
      <c r="T307" s="512"/>
      <c r="U307" s="512"/>
      <c r="V307" s="132">
        <f t="shared" si="136"/>
        <v>0</v>
      </c>
      <c r="W307" s="133">
        <f t="shared" si="131"/>
        <v>0</v>
      </c>
      <c r="X307" s="132"/>
      <c r="Y307" s="132"/>
      <c r="Z307" s="132"/>
      <c r="AA307" s="132"/>
    </row>
    <row r="308" spans="1:27" ht="20.100000000000001" customHeight="1">
      <c r="A308" s="578" t="s">
        <v>231</v>
      </c>
      <c r="B308" s="579"/>
      <c r="C308" s="513" t="s">
        <v>202</v>
      </c>
      <c r="D308" s="143"/>
      <c r="E308" s="143"/>
      <c r="F308" s="144"/>
      <c r="G308" s="145">
        <f>SUM(G293:G307)</f>
        <v>535</v>
      </c>
      <c r="H308" s="146">
        <f>SUM(H293:H307)</f>
        <v>2704.55</v>
      </c>
      <c r="I308" s="146">
        <f>SUM(I293:I307)</f>
        <v>34.5</v>
      </c>
      <c r="J308" s="130">
        <f t="array" ref="J308">IF(ISERROR(G308/I308),"",G308/I308)</f>
        <v>15.507246376811594</v>
      </c>
      <c r="K308" s="146">
        <f>SUM(K293:K307)</f>
        <v>39.25</v>
      </c>
      <c r="L308" s="146"/>
      <c r="M308" s="150">
        <f>SUM(M293:M307)</f>
        <v>-4.75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>
        <f t="shared" si="131"/>
        <v>0</v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hidden="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28"/>
      <c r="H309" s="504">
        <f t="shared" ref="H309:H318" si="137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3" si="138">IF(ISERROR(I309-K309),"",I309-K309)</f>
        <v>0</v>
      </c>
      <c r="N309" s="130">
        <f t="shared" ref="N309:N313" si="139">SUM(O309:U309)</f>
        <v>0</v>
      </c>
      <c r="O309" s="512"/>
      <c r="P309" s="512"/>
      <c r="Q309" s="512"/>
      <c r="R309" s="512"/>
      <c r="S309" s="512"/>
      <c r="T309" s="512"/>
      <c r="U309" s="512"/>
      <c r="V309" s="132">
        <f t="shared" ref="V309:V313" si="140">SUM(X309:AA309)</f>
        <v>0</v>
      </c>
      <c r="W309" s="133" t="str">
        <f t="shared" si="131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28"/>
      <c r="H310" s="504">
        <f t="shared" si="137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8"/>
        <v>0</v>
      </c>
      <c r="N310" s="130">
        <f t="shared" si="139"/>
        <v>0</v>
      </c>
      <c r="O310" s="512"/>
      <c r="P310" s="512"/>
      <c r="Q310" s="512"/>
      <c r="R310" s="512"/>
      <c r="S310" s="512"/>
      <c r="T310" s="512"/>
      <c r="U310" s="512"/>
      <c r="V310" s="132">
        <f t="shared" si="140"/>
        <v>0</v>
      </c>
      <c r="W310" s="133" t="str">
        <f t="shared" si="131"/>
        <v/>
      </c>
      <c r="X310" s="132"/>
      <c r="Y310" s="132"/>
      <c r="Z310" s="132"/>
      <c r="AA310" s="132"/>
    </row>
    <row r="311" spans="1:27" ht="20.100000000000001" hidden="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28"/>
      <c r="H311" s="504">
        <f t="shared" si="137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8"/>
        <v>0</v>
      </c>
      <c r="N311" s="130">
        <f t="shared" si="139"/>
        <v>0</v>
      </c>
      <c r="O311" s="512"/>
      <c r="P311" s="512"/>
      <c r="Q311" s="512"/>
      <c r="R311" s="512"/>
      <c r="S311" s="512"/>
      <c r="T311" s="512"/>
      <c r="U311" s="512"/>
      <c r="V311" s="132">
        <f t="shared" si="140"/>
        <v>0</v>
      </c>
      <c r="W311" s="133" t="str">
        <f t="shared" si="131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28"/>
      <c r="H312" s="504">
        <f t="shared" si="137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8"/>
        <v>0</v>
      </c>
      <c r="N312" s="130">
        <f t="shared" si="139"/>
        <v>0</v>
      </c>
      <c r="O312" s="512"/>
      <c r="P312" s="512"/>
      <c r="Q312" s="512"/>
      <c r="R312" s="512"/>
      <c r="S312" s="512"/>
      <c r="T312" s="512"/>
      <c r="U312" s="512"/>
      <c r="V312" s="132">
        <f t="shared" si="140"/>
        <v>0</v>
      </c>
      <c r="W312" s="133" t="str">
        <f t="shared" si="131"/>
        <v/>
      </c>
      <c r="X312" s="132"/>
      <c r="Y312" s="132"/>
      <c r="Z312" s="132"/>
      <c r="AA312" s="132"/>
    </row>
    <row r="313" spans="1:27" ht="20.100000000000001" hidden="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28"/>
      <c r="H313" s="504">
        <f t="shared" si="137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38"/>
        <v>0</v>
      </c>
      <c r="N313" s="130">
        <f t="shared" si="139"/>
        <v>0</v>
      </c>
      <c r="O313" s="512"/>
      <c r="P313" s="512"/>
      <c r="Q313" s="512"/>
      <c r="R313" s="512"/>
      <c r="S313" s="512"/>
      <c r="T313" s="512"/>
      <c r="U313" s="512"/>
      <c r="V313" s="132">
        <f t="shared" si="140"/>
        <v>0</v>
      </c>
      <c r="W313" s="133" t="str">
        <f t="shared" si="131"/>
        <v/>
      </c>
      <c r="X313" s="132"/>
      <c r="Y313" s="132"/>
      <c r="Z313" s="132"/>
      <c r="AA313" s="132"/>
    </row>
    <row r="314" spans="1:27" ht="20.100000000000001" hidden="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/>
      <c r="G314" s="128"/>
      <c r="H314" s="504">
        <f t="shared" si="137"/>
        <v>0</v>
      </c>
      <c r="I314" s="129"/>
      <c r="J314" s="130"/>
      <c r="K314" s="131"/>
      <c r="L314" s="129">
        <v>13.5</v>
      </c>
      <c r="M314" s="109"/>
      <c r="N314" s="130"/>
      <c r="O314" s="512"/>
      <c r="P314" s="512"/>
      <c r="Q314" s="512"/>
      <c r="R314" s="512"/>
      <c r="S314" s="512"/>
      <c r="T314" s="512"/>
      <c r="U314" s="512"/>
      <c r="V314" s="132"/>
      <c r="W314" s="133"/>
      <c r="X314" s="132"/>
      <c r="Y314" s="132"/>
      <c r="Z314" s="132"/>
      <c r="AA314" s="132"/>
    </row>
    <row r="315" spans="1:27" ht="20.100000000000001" hidden="1" customHeight="1">
      <c r="A315" s="300">
        <v>30400020</v>
      </c>
      <c r="B315" s="134" t="s">
        <v>439</v>
      </c>
      <c r="C315" s="187" t="s">
        <v>74</v>
      </c>
      <c r="D315" s="108">
        <v>5.03</v>
      </c>
      <c r="E315" s="108"/>
      <c r="F315" s="127"/>
      <c r="G315" s="128"/>
      <c r="H315" s="504">
        <f t="shared" si="137"/>
        <v>0</v>
      </c>
      <c r="I315" s="129"/>
      <c r="J315" s="130"/>
      <c r="K315" s="131"/>
      <c r="L315" s="129">
        <v>13.5</v>
      </c>
      <c r="M315" s="109"/>
      <c r="N315" s="130"/>
      <c r="O315" s="512"/>
      <c r="P315" s="512"/>
      <c r="Q315" s="512"/>
      <c r="R315" s="512"/>
      <c r="S315" s="512"/>
      <c r="T315" s="512"/>
      <c r="U315" s="512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30400021</v>
      </c>
      <c r="B316" s="134" t="s">
        <v>439</v>
      </c>
      <c r="C316" s="187" t="s">
        <v>53</v>
      </c>
      <c r="D316" s="108">
        <v>5.03</v>
      </c>
      <c r="E316" s="108"/>
      <c r="F316" s="127"/>
      <c r="G316" s="128"/>
      <c r="H316" s="504">
        <f t="shared" si="137"/>
        <v>0</v>
      </c>
      <c r="I316" s="129"/>
      <c r="J316" s="130"/>
      <c r="K316" s="131"/>
      <c r="L316" s="129">
        <v>13.5</v>
      </c>
      <c r="M316" s="109"/>
      <c r="N316" s="130"/>
      <c r="O316" s="512"/>
      <c r="P316" s="512"/>
      <c r="Q316" s="512"/>
      <c r="R316" s="512"/>
      <c r="S316" s="512"/>
      <c r="T316" s="512"/>
      <c r="U316" s="512"/>
      <c r="V316" s="132"/>
      <c r="W316" s="133"/>
      <c r="X316" s="132"/>
      <c r="Y316" s="132"/>
      <c r="Z316" s="132"/>
      <c r="AA316" s="132"/>
    </row>
    <row r="317" spans="1:27" ht="20.100000000000001" hidden="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/>
      <c r="G317" s="128"/>
      <c r="H317" s="504">
        <f t="shared" si="137"/>
        <v>0</v>
      </c>
      <c r="I317" s="129"/>
      <c r="J317" s="130"/>
      <c r="K317" s="131"/>
      <c r="L317" s="129"/>
      <c r="M317" s="109"/>
      <c r="N317" s="130"/>
      <c r="O317" s="512"/>
      <c r="P317" s="512"/>
      <c r="Q317" s="512"/>
      <c r="R317" s="512"/>
      <c r="S317" s="512"/>
      <c r="T317" s="512"/>
      <c r="U317" s="512"/>
      <c r="V317" s="132"/>
      <c r="W317" s="133"/>
      <c r="X317" s="132"/>
      <c r="Y317" s="132"/>
      <c r="Z317" s="132"/>
      <c r="AA317" s="132"/>
    </row>
    <row r="318" spans="1:27" ht="20.100000000000001" hidden="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28"/>
      <c r="H318" s="504">
        <f t="shared" si="137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ref="M318" si="141">IF(ISERROR(I318-K318),"",I318-K318)</f>
        <v>0</v>
      </c>
      <c r="N318" s="130">
        <f t="shared" ref="N318" si="142">SUM(O318:U318)</f>
        <v>0</v>
      </c>
      <c r="O318" s="512"/>
      <c r="P318" s="512"/>
      <c r="Q318" s="512"/>
      <c r="R318" s="512"/>
      <c r="S318" s="512"/>
      <c r="T318" s="512"/>
      <c r="U318" s="512"/>
      <c r="V318" s="132">
        <f t="shared" ref="V318" si="143">SUM(X318:AA318)</f>
        <v>0</v>
      </c>
      <c r="W318" s="133" t="str">
        <f t="shared" ref="W318:W323" si="144">IF(ISERROR(V318/G318),"",V318/G318)</f>
        <v/>
      </c>
      <c r="X318" s="132"/>
      <c r="Y318" s="132"/>
      <c r="Z318" s="132"/>
      <c r="AA318" s="132"/>
    </row>
    <row r="319" spans="1:27" ht="20.100000000000001" hidden="1" customHeight="1">
      <c r="A319" s="578" t="s">
        <v>234</v>
      </c>
      <c r="B319" s="579"/>
      <c r="C319" s="513" t="s">
        <v>202</v>
      </c>
      <c r="D319" s="143"/>
      <c r="E319" s="143"/>
      <c r="F319" s="144"/>
      <c r="G319" s="145">
        <f>SUM(G309:G318)</f>
        <v>0</v>
      </c>
      <c r="H319" s="146">
        <f>SUM(H309:H318)</f>
        <v>0</v>
      </c>
      <c r="I319" s="146">
        <f>SUM(I309:I318)</f>
        <v>0</v>
      </c>
      <c r="J319" s="130" t="str">
        <f t="array" ref="J319">IF(ISERROR(G319/I319),"",G319/I319)</f>
        <v/>
      </c>
      <c r="K319" s="146">
        <f>SUM(K309:K318)</f>
        <v>0</v>
      </c>
      <c r="L319" s="147"/>
      <c r="M319" s="150">
        <f>SUM(M309:M318)</f>
        <v>0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 t="str">
        <f t="shared" si="144"/>
        <v/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hidden="1" customHeight="1">
      <c r="A320" s="299">
        <v>30700013</v>
      </c>
      <c r="B320" s="141" t="s">
        <v>235</v>
      </c>
      <c r="C320" s="510"/>
      <c r="D320" s="108">
        <v>3.65</v>
      </c>
      <c r="E320" s="108"/>
      <c r="F320" s="153"/>
      <c r="G320" s="128"/>
      <c r="H320" s="504">
        <f t="shared" ref="H320:H333" si="145">D320*G320</f>
        <v>0</v>
      </c>
      <c r="I320" s="129"/>
      <c r="J320" s="130" t="str">
        <f t="array" ref="J320">IF(ISERROR(G320/I320),"",G320/I320)</f>
        <v/>
      </c>
      <c r="K320" s="504">
        <f t="array" ref="K320">IF(ISERROR(G320/L320),"",G320/L320)</f>
        <v>0</v>
      </c>
      <c r="L320" s="129">
        <v>5</v>
      </c>
      <c r="M320" s="109">
        <f t="shared" ref="M320:M323" si="146">IF(ISERROR(I320-K320),"",I320-K320)</f>
        <v>0</v>
      </c>
      <c r="N320" s="130">
        <f t="shared" ref="N320:N323" si="147">SUM(O320:U320)</f>
        <v>0</v>
      </c>
      <c r="O320" s="512"/>
      <c r="P320" s="512"/>
      <c r="Q320" s="512"/>
      <c r="R320" s="512"/>
      <c r="S320" s="512"/>
      <c r="T320" s="512"/>
      <c r="U320" s="512"/>
      <c r="V320" s="132">
        <f t="shared" ref="V320:V323" si="148">SUM(X320:AA320)</f>
        <v>0</v>
      </c>
      <c r="W320" s="133" t="str">
        <f t="shared" si="144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30700014</v>
      </c>
      <c r="B321" s="141" t="s">
        <v>236</v>
      </c>
      <c r="C321" s="510"/>
      <c r="D321" s="108">
        <v>6.58</v>
      </c>
      <c r="E321" s="108"/>
      <c r="F321" s="127"/>
      <c r="G321" s="128"/>
      <c r="H321" s="504">
        <f t="shared" si="145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</v>
      </c>
      <c r="M321" s="109">
        <f t="shared" si="146"/>
        <v>0</v>
      </c>
      <c r="N321" s="130">
        <f t="shared" si="147"/>
        <v>0</v>
      </c>
      <c r="O321" s="512"/>
      <c r="P321" s="512"/>
      <c r="Q321" s="512"/>
      <c r="R321" s="512"/>
      <c r="S321" s="512"/>
      <c r="T321" s="512"/>
      <c r="U321" s="512"/>
      <c r="V321" s="132">
        <f t="shared" si="148"/>
        <v>0</v>
      </c>
      <c r="W321" s="133" t="str">
        <f t="shared" si="144"/>
        <v/>
      </c>
      <c r="X321" s="132"/>
      <c r="Y321" s="132"/>
      <c r="Z321" s="132"/>
      <c r="AA321" s="132"/>
    </row>
    <row r="322" spans="1:27" ht="20.100000000000001" hidden="1" customHeight="1">
      <c r="A322" s="299">
        <v>30700016</v>
      </c>
      <c r="B322" s="141" t="s">
        <v>237</v>
      </c>
      <c r="C322" s="510"/>
      <c r="D322" s="108">
        <v>7.8</v>
      </c>
      <c r="E322" s="108"/>
      <c r="F322" s="127"/>
      <c r="G322" s="128"/>
      <c r="H322" s="504">
        <f t="shared" si="145"/>
        <v>0</v>
      </c>
      <c r="I322" s="129"/>
      <c r="J322" s="130" t="str">
        <f t="array" ref="J322">IF(ISERROR(G322/I322),"",G322/I322)</f>
        <v/>
      </c>
      <c r="K322" s="131">
        <f t="array" ref="K322">IF(ISERROR(G322/L322),"",G322/L322)</f>
        <v>0</v>
      </c>
      <c r="L322" s="129">
        <v>4.5999999999999996</v>
      </c>
      <c r="M322" s="109">
        <f t="shared" si="146"/>
        <v>0</v>
      </c>
      <c r="N322" s="130">
        <f t="shared" si="147"/>
        <v>0</v>
      </c>
      <c r="O322" s="512"/>
      <c r="P322" s="512"/>
      <c r="Q322" s="512"/>
      <c r="R322" s="512"/>
      <c r="S322" s="512"/>
      <c r="T322" s="512"/>
      <c r="U322" s="512"/>
      <c r="V322" s="132">
        <f t="shared" si="148"/>
        <v>0</v>
      </c>
      <c r="W322" s="133" t="str">
        <f t="shared" si="144"/>
        <v/>
      </c>
      <c r="X322" s="132"/>
      <c r="Y322" s="132"/>
      <c r="Z322" s="132"/>
      <c r="AA322" s="132"/>
    </row>
    <row r="323" spans="1:27" ht="20.100000000000001" hidden="1" customHeight="1">
      <c r="A323" s="299">
        <v>30700017</v>
      </c>
      <c r="B323" s="141" t="s">
        <v>238</v>
      </c>
      <c r="C323" s="510"/>
      <c r="D323" s="108">
        <v>4.4000000000000004</v>
      </c>
      <c r="E323" s="108"/>
      <c r="F323" s="127"/>
      <c r="G323" s="128"/>
      <c r="H323" s="504">
        <f t="shared" si="145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5.8</v>
      </c>
      <c r="M323" s="109">
        <f t="shared" si="146"/>
        <v>0</v>
      </c>
      <c r="N323" s="130">
        <f t="shared" si="147"/>
        <v>0</v>
      </c>
      <c r="O323" s="512"/>
      <c r="P323" s="512"/>
      <c r="Q323" s="512"/>
      <c r="R323" s="512"/>
      <c r="S323" s="512"/>
      <c r="T323" s="512"/>
      <c r="U323" s="512"/>
      <c r="V323" s="132">
        <f t="shared" si="148"/>
        <v>0</v>
      </c>
      <c r="W323" s="133" t="str">
        <f t="shared" si="144"/>
        <v/>
      </c>
      <c r="X323" s="132"/>
      <c r="Y323" s="132"/>
      <c r="Z323" s="132"/>
      <c r="AA323" s="132"/>
    </row>
    <row r="324" spans="1:27" ht="20.100000000000001" hidden="1" customHeight="1">
      <c r="A324" s="299">
        <v>30700001</v>
      </c>
      <c r="B324" s="127" t="s">
        <v>359</v>
      </c>
      <c r="C324" s="510"/>
      <c r="D324" s="108"/>
      <c r="E324" s="108"/>
      <c r="F324" s="127"/>
      <c r="G324" s="128"/>
      <c r="H324" s="504">
        <f t="shared" si="145"/>
        <v>0</v>
      </c>
      <c r="I324" s="129"/>
      <c r="J324" s="130"/>
      <c r="K324" s="131"/>
      <c r="L324" s="129">
        <v>6</v>
      </c>
      <c r="M324" s="109"/>
      <c r="N324" s="130"/>
      <c r="O324" s="512"/>
      <c r="P324" s="512"/>
      <c r="Q324" s="512"/>
      <c r="R324" s="512"/>
      <c r="S324" s="512"/>
      <c r="T324" s="512"/>
      <c r="U324" s="512"/>
      <c r="V324" s="132"/>
      <c r="W324" s="133"/>
      <c r="X324" s="132"/>
      <c r="Y324" s="132"/>
      <c r="Z324" s="132"/>
      <c r="AA324" s="132"/>
    </row>
    <row r="325" spans="1:27" ht="20.100000000000001" hidden="1" customHeight="1">
      <c r="A325" s="305"/>
      <c r="B325" s="510" t="s">
        <v>239</v>
      </c>
      <c r="C325" s="510" t="s">
        <v>179</v>
      </c>
      <c r="D325" s="108">
        <v>6.04</v>
      </c>
      <c r="E325" s="108"/>
      <c r="F325" s="127"/>
      <c r="G325" s="128"/>
      <c r="H325" s="504">
        <f t="shared" si="145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6" si="149">IF(ISERROR(I325-K325),"",I325-K325)</f>
        <v>0</v>
      </c>
      <c r="N325" s="130">
        <f t="shared" ref="N325:N326" si="150">SUM(O325:U325)</f>
        <v>0</v>
      </c>
      <c r="O325" s="512"/>
      <c r="P325" s="512"/>
      <c r="Q325" s="512"/>
      <c r="R325" s="512"/>
      <c r="S325" s="512"/>
      <c r="T325" s="512"/>
      <c r="U325" s="512"/>
      <c r="V325" s="132">
        <f t="shared" ref="V325:V326" si="151">SUM(X325:AA325)</f>
        <v>0</v>
      </c>
      <c r="W325" s="133" t="str">
        <f t="shared" ref="W325:W326" si="152">IF(ISERROR(V325/G325),"",V325/G325)</f>
        <v/>
      </c>
      <c r="X325" s="132"/>
      <c r="Y325" s="132"/>
      <c r="Z325" s="132"/>
      <c r="AA325" s="132"/>
    </row>
    <row r="326" spans="1:27" ht="20.100000000000001" hidden="1" customHeight="1">
      <c r="A326" s="305">
        <v>30700019</v>
      </c>
      <c r="B326" s="510" t="s">
        <v>239</v>
      </c>
      <c r="C326" s="510" t="s">
        <v>186</v>
      </c>
      <c r="D326" s="108">
        <v>6.04</v>
      </c>
      <c r="E326" s="108"/>
      <c r="F326" s="127"/>
      <c r="G326" s="128"/>
      <c r="H326" s="504">
        <f t="shared" si="145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49"/>
        <v>0</v>
      </c>
      <c r="N326" s="130">
        <f t="shared" si="150"/>
        <v>0</v>
      </c>
      <c r="O326" s="512"/>
      <c r="P326" s="512"/>
      <c r="Q326" s="512"/>
      <c r="R326" s="512"/>
      <c r="S326" s="512"/>
      <c r="T326" s="512"/>
      <c r="U326" s="512"/>
      <c r="V326" s="132">
        <f t="shared" si="151"/>
        <v>0</v>
      </c>
      <c r="W326" s="133" t="str">
        <f t="shared" si="152"/>
        <v/>
      </c>
      <c r="X326" s="132"/>
      <c r="Y326" s="132"/>
      <c r="Z326" s="132"/>
      <c r="AA326" s="132"/>
    </row>
    <row r="327" spans="1:27" ht="20.100000000000001" hidden="1" customHeight="1">
      <c r="A327" s="305">
        <v>30601015</v>
      </c>
      <c r="B327" s="510" t="s">
        <v>443</v>
      </c>
      <c r="C327" s="510" t="s">
        <v>179</v>
      </c>
      <c r="D327" s="108">
        <v>6</v>
      </c>
      <c r="E327" s="108"/>
      <c r="F327" s="127"/>
      <c r="G327" s="128"/>
      <c r="H327" s="504">
        <f t="shared" si="145"/>
        <v>0</v>
      </c>
      <c r="I327" s="129"/>
      <c r="J327" s="130"/>
      <c r="K327" s="131"/>
      <c r="L327" s="129"/>
      <c r="M327" s="109"/>
      <c r="N327" s="130"/>
      <c r="O327" s="512"/>
      <c r="P327" s="512"/>
      <c r="Q327" s="512"/>
      <c r="R327" s="512"/>
      <c r="S327" s="512"/>
      <c r="T327" s="512"/>
      <c r="U327" s="512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305">
        <v>30101016</v>
      </c>
      <c r="B328" s="510" t="s">
        <v>443</v>
      </c>
      <c r="C328" s="510" t="s">
        <v>60</v>
      </c>
      <c r="D328" s="108">
        <v>6</v>
      </c>
      <c r="E328" s="108"/>
      <c r="F328" s="127"/>
      <c r="G328" s="128"/>
      <c r="H328" s="504">
        <f t="shared" si="145"/>
        <v>0</v>
      </c>
      <c r="I328" s="129"/>
      <c r="J328" s="130"/>
      <c r="K328" s="131">
        <f t="array" ref="K328">IF(ISERROR(G328/L328),"",G328/L328)</f>
        <v>0</v>
      </c>
      <c r="L328" s="129">
        <v>6</v>
      </c>
      <c r="M328" s="109"/>
      <c r="N328" s="130"/>
      <c r="O328" s="512"/>
      <c r="P328" s="512"/>
      <c r="Q328" s="512"/>
      <c r="R328" s="512"/>
      <c r="S328" s="512"/>
      <c r="T328" s="512"/>
      <c r="U328" s="512"/>
      <c r="V328" s="132"/>
      <c r="W328" s="133"/>
      <c r="X328" s="132"/>
      <c r="Y328" s="132"/>
      <c r="Z328" s="132"/>
      <c r="AA328" s="132"/>
    </row>
    <row r="329" spans="1:27" ht="20.100000000000001" hidden="1" customHeight="1">
      <c r="A329" s="299">
        <v>30700018</v>
      </c>
      <c r="B329" s="503" t="s">
        <v>240</v>
      </c>
      <c r="C329" s="126"/>
      <c r="D329" s="108">
        <v>7.3</v>
      </c>
      <c r="E329" s="108"/>
      <c r="F329" s="127"/>
      <c r="G329" s="128"/>
      <c r="H329" s="504">
        <f t="shared" si="145"/>
        <v>0</v>
      </c>
      <c r="I329" s="129"/>
      <c r="J329" s="130"/>
      <c r="K329" s="131"/>
      <c r="L329" s="129"/>
      <c r="M329" s="109"/>
      <c r="N329" s="130"/>
      <c r="O329" s="512"/>
      <c r="P329" s="512"/>
      <c r="Q329" s="512"/>
      <c r="R329" s="512"/>
      <c r="S329" s="512"/>
      <c r="T329" s="512"/>
      <c r="U329" s="512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30700010</v>
      </c>
      <c r="B330" s="503" t="s">
        <v>241</v>
      </c>
      <c r="C330" s="126"/>
      <c r="D330" s="108">
        <f>78*120/1000</f>
        <v>9.36</v>
      </c>
      <c r="E330" s="108"/>
      <c r="F330" s="127"/>
      <c r="G330" s="128"/>
      <c r="H330" s="504">
        <f t="shared" si="145"/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3">SUM(O330:U330)</f>
        <v>0</v>
      </c>
      <c r="O330" s="512"/>
      <c r="P330" s="512"/>
      <c r="Q330" s="512"/>
      <c r="R330" s="512"/>
      <c r="S330" s="512"/>
      <c r="T330" s="512"/>
      <c r="U330" s="512"/>
      <c r="V330" s="132">
        <f t="shared" ref="V330" si="154">SUM(X330:AA330)</f>
        <v>0</v>
      </c>
      <c r="W330" s="133" t="str">
        <f t="shared" ref="W330" si="155">IF(ISERROR(V330/G330),"",V330/G330)</f>
        <v/>
      </c>
      <c r="X330" s="132"/>
      <c r="Y330" s="132"/>
      <c r="Z330" s="132"/>
      <c r="AA330" s="132"/>
    </row>
    <row r="331" spans="1:27" ht="20.100000000000001" hidden="1" customHeight="1">
      <c r="A331" s="299">
        <v>30700015</v>
      </c>
      <c r="B331" s="503" t="s">
        <v>242</v>
      </c>
      <c r="C331" s="126"/>
      <c r="D331" s="108">
        <v>4.5</v>
      </c>
      <c r="E331" s="108"/>
      <c r="F331" s="127"/>
      <c r="G331" s="128"/>
      <c r="H331" s="504">
        <f t="shared" si="145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512"/>
      <c r="P331" s="512"/>
      <c r="Q331" s="512"/>
      <c r="R331" s="512"/>
      <c r="S331" s="512"/>
      <c r="T331" s="512"/>
      <c r="U331" s="512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299">
        <v>30700012</v>
      </c>
      <c r="B332" s="503" t="s">
        <v>243</v>
      </c>
      <c r="C332" s="126"/>
      <c r="D332" s="108">
        <v>4.5</v>
      </c>
      <c r="E332" s="108"/>
      <c r="F332" s="127"/>
      <c r="G332" s="128"/>
      <c r="H332" s="504">
        <f t="shared" si="145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512"/>
      <c r="P332" s="512"/>
      <c r="Q332" s="512"/>
      <c r="R332" s="512"/>
      <c r="S332" s="512"/>
      <c r="T332" s="512"/>
      <c r="U332" s="512"/>
      <c r="V332" s="132"/>
      <c r="W332" s="133"/>
      <c r="X332" s="132"/>
      <c r="Y332" s="132"/>
      <c r="Z332" s="132"/>
      <c r="AA332" s="132"/>
    </row>
    <row r="333" spans="1:27" ht="20.100000000000001" hidden="1" customHeight="1">
      <c r="A333" s="299"/>
      <c r="B333" s="199" t="s">
        <v>438</v>
      </c>
      <c r="C333" s="126"/>
      <c r="D333" s="108">
        <v>4.5</v>
      </c>
      <c r="E333" s="108"/>
      <c r="F333" s="127"/>
      <c r="G333" s="128"/>
      <c r="H333" s="504">
        <f t="shared" si="145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512"/>
      <c r="P333" s="512"/>
      <c r="Q333" s="512"/>
      <c r="R333" s="512"/>
      <c r="S333" s="512"/>
      <c r="T333" s="512"/>
      <c r="U333" s="512"/>
      <c r="V333" s="132"/>
      <c r="W333" s="133"/>
      <c r="X333" s="132"/>
      <c r="Y333" s="132"/>
      <c r="Z333" s="132"/>
      <c r="AA333" s="132"/>
    </row>
    <row r="334" spans="1:27" ht="20.100000000000001" hidden="1" customHeight="1">
      <c r="A334" s="578" t="s">
        <v>244</v>
      </c>
      <c r="B334" s="579"/>
      <c r="C334" s="513" t="s">
        <v>202</v>
      </c>
      <c r="D334" s="143"/>
      <c r="E334" s="143"/>
      <c r="F334" s="144"/>
      <c r="G334" s="145">
        <f>SUM(G320:G333)</f>
        <v>0</v>
      </c>
      <c r="H334" s="146">
        <f>SUM(H320:H330)</f>
        <v>0</v>
      </c>
      <c r="I334" s="146">
        <f>SUM(I320:I333)</f>
        <v>0</v>
      </c>
      <c r="J334" s="130"/>
      <c r="K334" s="146">
        <f>SUM(K320:K330)</f>
        <v>0</v>
      </c>
      <c r="L334" s="147"/>
      <c r="M334" s="150">
        <f t="shared" ref="M334:AA334" si="156">SUM(M320:M330)</f>
        <v>0</v>
      </c>
      <c r="N334" s="146">
        <f t="shared" si="156"/>
        <v>0</v>
      </c>
      <c r="O334" s="148">
        <f t="shared" si="156"/>
        <v>0</v>
      </c>
      <c r="P334" s="148">
        <f t="shared" si="156"/>
        <v>0</v>
      </c>
      <c r="Q334" s="148">
        <f t="shared" si="156"/>
        <v>0</v>
      </c>
      <c r="R334" s="148">
        <f t="shared" si="156"/>
        <v>0</v>
      </c>
      <c r="S334" s="148">
        <f t="shared" si="156"/>
        <v>0</v>
      </c>
      <c r="T334" s="148">
        <f t="shared" si="156"/>
        <v>0</v>
      </c>
      <c r="U334" s="148">
        <f t="shared" si="156"/>
        <v>0</v>
      </c>
      <c r="V334" s="149">
        <f t="shared" si="156"/>
        <v>0</v>
      </c>
      <c r="W334" s="133">
        <f t="shared" si="156"/>
        <v>0</v>
      </c>
      <c r="X334" s="149">
        <f t="shared" si="156"/>
        <v>0</v>
      </c>
      <c r="Y334" s="149">
        <f t="shared" si="156"/>
        <v>0</v>
      </c>
      <c r="Z334" s="149">
        <f t="shared" si="156"/>
        <v>0</v>
      </c>
      <c r="AA334" s="149">
        <f t="shared" si="156"/>
        <v>0</v>
      </c>
    </row>
    <row r="335" spans="1:27" ht="20.100000000000001" customHeight="1">
      <c r="A335" s="580" t="s">
        <v>246</v>
      </c>
      <c r="B335" s="581"/>
      <c r="C335" s="581"/>
      <c r="D335" s="581"/>
      <c r="E335" s="581"/>
      <c r="F335" s="582"/>
      <c r="G335" s="154">
        <f>SUM(G199,G257,G292,G308,G319,G334)</f>
        <v>5035</v>
      </c>
      <c r="H335" s="154">
        <f>SUM(H199,H257,H292,H308,H319,H334)</f>
        <v>25386.6</v>
      </c>
      <c r="I335" s="154">
        <f>SUM(I199,I257,I292,I308,I319,I334)</f>
        <v>266</v>
      </c>
      <c r="J335" s="155">
        <f t="array" ref="J335">IF(ISERROR(G335/I335),"",G335/I335)</f>
        <v>18.928571428571427</v>
      </c>
      <c r="K335" s="154">
        <f>SUM(K199,K257,K292,K308,K319,K334)</f>
        <v>227.32456193668685</v>
      </c>
      <c r="L335" s="155">
        <f>IF(ISERROR(G335/K335),"",G335/K335)</f>
        <v>22.148948433483927</v>
      </c>
      <c r="M335" s="154">
        <f t="shared" ref="M335:AA335" si="157">SUM(M199,M257,M292,M308,M319,M334)</f>
        <v>38.675438063313152</v>
      </c>
      <c r="N335" s="154">
        <f t="shared" si="157"/>
        <v>0</v>
      </c>
      <c r="O335" s="154">
        <f t="shared" si="157"/>
        <v>0</v>
      </c>
      <c r="P335" s="154">
        <f t="shared" si="157"/>
        <v>0</v>
      </c>
      <c r="Q335" s="154">
        <f t="shared" si="157"/>
        <v>0</v>
      </c>
      <c r="R335" s="154">
        <f t="shared" si="157"/>
        <v>0</v>
      </c>
      <c r="S335" s="154">
        <f t="shared" si="157"/>
        <v>0</v>
      </c>
      <c r="T335" s="154">
        <f t="shared" si="157"/>
        <v>0</v>
      </c>
      <c r="U335" s="154">
        <f t="shared" si="157"/>
        <v>0</v>
      </c>
      <c r="V335" s="154">
        <f t="shared" si="157"/>
        <v>0</v>
      </c>
      <c r="W335" s="154">
        <f t="shared" si="157"/>
        <v>0</v>
      </c>
      <c r="X335" s="154">
        <f t="shared" si="157"/>
        <v>0</v>
      </c>
      <c r="Y335" s="154">
        <f t="shared" si="157"/>
        <v>0</v>
      </c>
      <c r="Z335" s="154">
        <f t="shared" si="157"/>
        <v>0</v>
      </c>
      <c r="AA335" s="154">
        <f t="shared" si="157"/>
        <v>0</v>
      </c>
    </row>
    <row r="336" spans="1:27" ht="20.100000000000001" customHeight="1">
      <c r="A336" s="583" t="s">
        <v>476</v>
      </c>
      <c r="B336" s="506" t="s">
        <v>247</v>
      </c>
      <c r="C336" s="586" t="s">
        <v>248</v>
      </c>
      <c r="D336" s="587"/>
      <c r="E336" s="588" t="s">
        <v>249</v>
      </c>
      <c r="F336" s="588"/>
      <c r="G336" s="591" t="s">
        <v>250</v>
      </c>
      <c r="H336" s="591"/>
      <c r="I336" s="588" t="s">
        <v>251</v>
      </c>
      <c r="J336" s="588"/>
      <c r="K336" s="588" t="s">
        <v>252</v>
      </c>
      <c r="L336" s="588"/>
      <c r="M336" s="588" t="s">
        <v>253</v>
      </c>
      <c r="N336" s="588"/>
      <c r="O336" s="588" t="s">
        <v>254</v>
      </c>
      <c r="P336" s="591" t="s">
        <v>255</v>
      </c>
      <c r="Q336" s="591"/>
      <c r="R336" s="591" t="s">
        <v>252</v>
      </c>
      <c r="S336" s="591"/>
      <c r="T336" s="591" t="s">
        <v>256</v>
      </c>
      <c r="U336" s="591"/>
      <c r="V336" s="591" t="s">
        <v>257</v>
      </c>
      <c r="W336" s="591"/>
      <c r="X336" s="591" t="s">
        <v>252</v>
      </c>
      <c r="Y336" s="591"/>
      <c r="Z336" s="591" t="s">
        <v>256</v>
      </c>
      <c r="AA336" s="591"/>
    </row>
    <row r="337" spans="1:27" ht="20.100000000000001" customHeight="1">
      <c r="A337" s="584"/>
      <c r="B337" s="506" t="s">
        <v>258</v>
      </c>
      <c r="C337" s="626">
        <v>1</v>
      </c>
      <c r="D337" s="627"/>
      <c r="E337" s="590">
        <f>C337*11</f>
        <v>11</v>
      </c>
      <c r="F337" s="590"/>
      <c r="G337" s="591">
        <v>1</v>
      </c>
      <c r="H337" s="591"/>
      <c r="I337" s="590">
        <f>G337*11</f>
        <v>11</v>
      </c>
      <c r="J337" s="590"/>
      <c r="K337" s="590">
        <f>E337-I337</f>
        <v>0</v>
      </c>
      <c r="L337" s="590"/>
      <c r="M337" s="592">
        <f>IF(ISERROR(K337/E337),"",K337/E337)</f>
        <v>0</v>
      </c>
      <c r="N337" s="592"/>
      <c r="O337" s="588"/>
      <c r="P337" s="591" t="s">
        <v>201</v>
      </c>
      <c r="Q337" s="591"/>
      <c r="R337" s="593">
        <f>SUM(O199:U199)</f>
        <v>0</v>
      </c>
      <c r="S337" s="593"/>
      <c r="T337" s="594" t="str">
        <f t="array" ref="T337">IF(ISERROR(R337/R344),"",R337/R344)</f>
        <v/>
      </c>
      <c r="U337" s="594"/>
      <c r="V337" s="591" t="s">
        <v>259</v>
      </c>
      <c r="W337" s="591"/>
      <c r="X337" s="628">
        <f>SUM(P198,P256,P291,P307,P318,P333)</f>
        <v>0</v>
      </c>
      <c r="Y337" s="629"/>
      <c r="Z337" s="594" t="str">
        <f t="array" ref="Z337">IF(ISERROR(X337/X344),"",X337/X344)</f>
        <v/>
      </c>
      <c r="AA337" s="594"/>
    </row>
    <row r="338" spans="1:27" ht="20.100000000000001" customHeight="1">
      <c r="A338" s="584"/>
      <c r="B338" s="506" t="s">
        <v>260</v>
      </c>
      <c r="C338" s="586">
        <v>0</v>
      </c>
      <c r="D338" s="587"/>
      <c r="E338" s="590">
        <f>C338*11</f>
        <v>0</v>
      </c>
      <c r="F338" s="590"/>
      <c r="G338" s="591">
        <v>0</v>
      </c>
      <c r="H338" s="591"/>
      <c r="I338" s="590">
        <f>G338*11</f>
        <v>0</v>
      </c>
      <c r="J338" s="590"/>
      <c r="K338" s="590">
        <f>E338-I338</f>
        <v>0</v>
      </c>
      <c r="L338" s="590"/>
      <c r="M338" s="592" t="str">
        <f>IF(ISERROR(K338/E338),"",K338/E338)</f>
        <v/>
      </c>
      <c r="N338" s="592"/>
      <c r="O338" s="588"/>
      <c r="P338" s="591" t="s">
        <v>216</v>
      </c>
      <c r="Q338" s="591"/>
      <c r="R338" s="593">
        <f>SUM(O257:U257)</f>
        <v>0</v>
      </c>
      <c r="S338" s="593"/>
      <c r="T338" s="594" t="str">
        <f>IF(ISERROR(R338/R344),"",R338/R344)</f>
        <v/>
      </c>
      <c r="U338" s="594"/>
      <c r="V338" s="591" t="s">
        <v>261</v>
      </c>
      <c r="W338" s="591"/>
      <c r="X338" s="628">
        <f>SUM(P199,P257,P292,P308,P319,P334)</f>
        <v>0</v>
      </c>
      <c r="Y338" s="629"/>
      <c r="Z338" s="594" t="str">
        <f>IF(ISERROR(X338/X344),"",X338/X344)</f>
        <v/>
      </c>
      <c r="AA338" s="594"/>
    </row>
    <row r="339" spans="1:27" ht="20.100000000000001" customHeight="1">
      <c r="A339" s="584"/>
      <c r="B339" s="506" t="s">
        <v>262</v>
      </c>
      <c r="C339" s="586">
        <v>0</v>
      </c>
      <c r="D339" s="587"/>
      <c r="E339" s="590">
        <f>C339*8</f>
        <v>0</v>
      </c>
      <c r="F339" s="590"/>
      <c r="G339" s="591">
        <v>1</v>
      </c>
      <c r="H339" s="591"/>
      <c r="I339" s="590">
        <f>G339*8</f>
        <v>8</v>
      </c>
      <c r="J339" s="590"/>
      <c r="K339" s="590">
        <f>E339-I339</f>
        <v>-8</v>
      </c>
      <c r="L339" s="590"/>
      <c r="M339" s="592" t="str">
        <f>IF(ISERROR(K339/E339),"",K339/E339)</f>
        <v/>
      </c>
      <c r="N339" s="592"/>
      <c r="O339" s="588"/>
      <c r="P339" s="591" t="s">
        <v>224</v>
      </c>
      <c r="Q339" s="591"/>
      <c r="R339" s="593">
        <f>SUM(O292:U292)</f>
        <v>0</v>
      </c>
      <c r="S339" s="593"/>
      <c r="T339" s="594" t="str">
        <f>IF(ISERROR(R339/R344),"",R339/R344)</f>
        <v/>
      </c>
      <c r="U339" s="594"/>
      <c r="V339" s="591" t="s">
        <v>263</v>
      </c>
      <c r="W339" s="591"/>
      <c r="X339" s="628">
        <f>SUM(P200,P258,P293,P309,P320,P335)</f>
        <v>0</v>
      </c>
      <c r="Y339" s="629"/>
      <c r="Z339" s="594" t="str">
        <f>IF(ISERROR(X339/X344),"",X339/X344)</f>
        <v/>
      </c>
      <c r="AA339" s="594"/>
    </row>
    <row r="340" spans="1:27" ht="20.100000000000001" customHeight="1">
      <c r="A340" s="584"/>
      <c r="B340" s="506" t="s">
        <v>264</v>
      </c>
      <c r="C340" s="586">
        <v>1</v>
      </c>
      <c r="D340" s="587"/>
      <c r="E340" s="590">
        <f>C340*11</f>
        <v>11</v>
      </c>
      <c r="F340" s="590"/>
      <c r="G340" s="591">
        <v>1</v>
      </c>
      <c r="H340" s="591"/>
      <c r="I340" s="590">
        <f>G340*11</f>
        <v>11</v>
      </c>
      <c r="J340" s="590"/>
      <c r="K340" s="590">
        <f>E340-I340</f>
        <v>0</v>
      </c>
      <c r="L340" s="590"/>
      <c r="M340" s="592">
        <f>IF(ISERROR(K340/E340),"",K340/E340)</f>
        <v>0</v>
      </c>
      <c r="N340" s="592"/>
      <c r="O340" s="588"/>
      <c r="P340" s="591" t="s">
        <v>231</v>
      </c>
      <c r="Q340" s="591"/>
      <c r="R340" s="593">
        <f>SUM(O308:U308)</f>
        <v>0</v>
      </c>
      <c r="S340" s="593"/>
      <c r="T340" s="594" t="str">
        <f>IF(ISERROR(R340/R344),"",R340/R344)</f>
        <v/>
      </c>
      <c r="U340" s="594"/>
      <c r="V340" s="591" t="s">
        <v>265</v>
      </c>
      <c r="W340" s="591"/>
      <c r="X340" s="628">
        <f>SUM(P202,P259,P294,P310,P321,P336)</f>
        <v>0</v>
      </c>
      <c r="Y340" s="629"/>
      <c r="Z340" s="594" t="str">
        <f>IF(ISERROR(X340/X344),"",X340/X344)</f>
        <v/>
      </c>
      <c r="AA340" s="594"/>
    </row>
    <row r="341" spans="1:27" ht="20.100000000000001" customHeight="1">
      <c r="A341" s="585"/>
      <c r="B341" s="506" t="s">
        <v>266</v>
      </c>
      <c r="C341" s="596">
        <f>SUM(C337:D340)</f>
        <v>2</v>
      </c>
      <c r="D341" s="597"/>
      <c r="E341" s="590">
        <f>SUM(E337:F340)</f>
        <v>22</v>
      </c>
      <c r="F341" s="590"/>
      <c r="G341" s="591">
        <f>SUM(G337:H340)</f>
        <v>3</v>
      </c>
      <c r="H341" s="591"/>
      <c r="I341" s="590">
        <f>SUM(I337:J340)</f>
        <v>30</v>
      </c>
      <c r="J341" s="590"/>
      <c r="K341" s="590">
        <f>SUM(K337:L340)</f>
        <v>-8</v>
      </c>
      <c r="L341" s="590"/>
      <c r="M341" s="592">
        <f>IF(ISERROR(K341/E341),"",K341/E341)</f>
        <v>-0.36363636363636365</v>
      </c>
      <c r="N341" s="592"/>
      <c r="O341" s="588"/>
      <c r="P341" s="591" t="s">
        <v>234</v>
      </c>
      <c r="Q341" s="591"/>
      <c r="R341" s="593">
        <f>SUM(O319:U319)</f>
        <v>0</v>
      </c>
      <c r="S341" s="593"/>
      <c r="T341" s="594" t="str">
        <f>IF(ISERROR(R341/R344),"",R341/R344)</f>
        <v/>
      </c>
      <c r="U341" s="594"/>
      <c r="V341" s="591" t="s">
        <v>267</v>
      </c>
      <c r="W341" s="591"/>
      <c r="X341" s="628">
        <f>SUM(P203,P260,P295,P311,P322,P337)</f>
        <v>0</v>
      </c>
      <c r="Y341" s="629"/>
      <c r="Z341" s="594" t="str">
        <f>IF(ISERROR(X341/X344),"",X341/X344)</f>
        <v/>
      </c>
      <c r="AA341" s="594"/>
    </row>
    <row r="342" spans="1:27" ht="20.100000000000001" customHeight="1">
      <c r="A342" s="309" t="s">
        <v>477</v>
      </c>
      <c r="B342" s="506">
        <f>G335</f>
        <v>5035</v>
      </c>
      <c r="C342" s="598" t="s">
        <v>269</v>
      </c>
      <c r="D342" s="599"/>
      <c r="E342" s="591">
        <f>H335</f>
        <v>25386.6</v>
      </c>
      <c r="F342" s="591"/>
      <c r="G342" s="591" t="s">
        <v>270</v>
      </c>
      <c r="H342" s="591"/>
      <c r="I342" s="600">
        <f>L335</f>
        <v>22.148948433483927</v>
      </c>
      <c r="J342" s="600"/>
      <c r="K342" s="588" t="s">
        <v>271</v>
      </c>
      <c r="L342" s="588"/>
      <c r="M342" s="600">
        <f>J335</f>
        <v>18.928571428571427</v>
      </c>
      <c r="N342" s="600"/>
      <c r="O342" s="588"/>
      <c r="P342" s="591" t="s">
        <v>244</v>
      </c>
      <c r="Q342" s="591"/>
      <c r="R342" s="593">
        <f>SUM(O334:U334)</f>
        <v>0</v>
      </c>
      <c r="S342" s="593"/>
      <c r="T342" s="594" t="str">
        <f>IF(ISERROR(R342/R344),"",R342/R344)</f>
        <v/>
      </c>
      <c r="U342" s="594"/>
      <c r="V342" s="591" t="s">
        <v>272</v>
      </c>
      <c r="W342" s="591"/>
      <c r="X342" s="628">
        <f>SUM(P204,P261,P296,P312,P323,P338)</f>
        <v>0</v>
      </c>
      <c r="Y342" s="629"/>
      <c r="Z342" s="594" t="str">
        <f>IF(ISERROR(X342/X344),"",X342/X344)</f>
        <v/>
      </c>
      <c r="AA342" s="594"/>
    </row>
    <row r="343" spans="1:27" ht="20.100000000000001" customHeight="1">
      <c r="A343" s="310" t="s">
        <v>478</v>
      </c>
      <c r="B343" s="506">
        <f>I335+C341</f>
        <v>268</v>
      </c>
      <c r="C343" s="601" t="s">
        <v>251</v>
      </c>
      <c r="D343" s="602"/>
      <c r="E343" s="603">
        <f>K335+I341</f>
        <v>257.32456193668685</v>
      </c>
      <c r="F343" s="603"/>
      <c r="G343" s="591" t="s">
        <v>274</v>
      </c>
      <c r="H343" s="591"/>
      <c r="I343" s="600">
        <f>B343-E343</f>
        <v>10.675438063313152</v>
      </c>
      <c r="J343" s="600"/>
      <c r="K343" s="588" t="s">
        <v>275</v>
      </c>
      <c r="L343" s="588"/>
      <c r="M343" s="592">
        <f>IF(ISERROR(I343/E343),"",I343/E343)</f>
        <v>4.148627703071648E-2</v>
      </c>
      <c r="N343" s="592"/>
      <c r="O343" s="588"/>
      <c r="P343" s="591" t="s">
        <v>245</v>
      </c>
      <c r="Q343" s="591"/>
      <c r="R343" s="593"/>
      <c r="S343" s="593"/>
      <c r="T343" s="594" t="str">
        <f>IF(ISERROR(R343/R344),"",R343/R344)</f>
        <v/>
      </c>
      <c r="U343" s="594"/>
      <c r="V343" s="591" t="s">
        <v>264</v>
      </c>
      <c r="W343" s="591"/>
      <c r="X343" s="628">
        <f>SUM(P205,P262,P297,P313,P324,P339)</f>
        <v>0</v>
      </c>
      <c r="Y343" s="629"/>
      <c r="Z343" s="594" t="str">
        <f>IF(ISERROR(X343/X344),"",X343/X344)</f>
        <v/>
      </c>
      <c r="AA343" s="594"/>
    </row>
    <row r="344" spans="1:27" ht="20.100000000000001" customHeight="1">
      <c r="A344" s="310" t="s">
        <v>479</v>
      </c>
      <c r="B344" s="506">
        <f>N335</f>
        <v>0</v>
      </c>
      <c r="C344" s="601" t="s">
        <v>277</v>
      </c>
      <c r="D344" s="602"/>
      <c r="E344" s="594">
        <f>IF(ISERROR(B344/B343),"",B344/B343)</f>
        <v>0</v>
      </c>
      <c r="F344" s="594"/>
      <c r="G344" s="591" t="s">
        <v>278</v>
      </c>
      <c r="H344" s="591"/>
      <c r="I344" s="588">
        <f>V335</f>
        <v>0</v>
      </c>
      <c r="J344" s="588"/>
      <c r="K344" s="588" t="s">
        <v>279</v>
      </c>
      <c r="L344" s="588"/>
      <c r="M344" s="592">
        <f t="array" ref="M344">IF(ISERROR(I344/B342),"",I344/B342)</f>
        <v>0</v>
      </c>
      <c r="N344" s="592"/>
      <c r="O344" s="588"/>
      <c r="P344" s="591" t="s">
        <v>266</v>
      </c>
      <c r="Q344" s="591"/>
      <c r="R344" s="593">
        <f>SUM(R337:S343)</f>
        <v>0</v>
      </c>
      <c r="S344" s="593"/>
      <c r="T344" s="594"/>
      <c r="U344" s="594"/>
      <c r="V344" s="591" t="s">
        <v>266</v>
      </c>
      <c r="W344" s="591"/>
      <c r="X344" s="595">
        <f>SUM(X337:Y343)</f>
        <v>0</v>
      </c>
      <c r="Y344" s="595"/>
      <c r="Z344" s="594"/>
      <c r="AA344" s="594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4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604" t="s">
        <v>480</v>
      </c>
      <c r="B346" s="607" t="s">
        <v>280</v>
      </c>
      <c r="C346" s="607" t="s">
        <v>281</v>
      </c>
      <c r="D346" s="607" t="s">
        <v>282</v>
      </c>
      <c r="E346" s="610" t="s">
        <v>283</v>
      </c>
      <c r="F346" s="623" t="s">
        <v>284</v>
      </c>
      <c r="G346" s="588" t="s">
        <v>285</v>
      </c>
      <c r="H346" s="588"/>
      <c r="I346" s="607" t="s">
        <v>286</v>
      </c>
      <c r="J346" s="613" t="s">
        <v>271</v>
      </c>
      <c r="K346" s="616" t="s">
        <v>287</v>
      </c>
      <c r="L346" s="607" t="s">
        <v>270</v>
      </c>
      <c r="M346" s="619" t="s">
        <v>288</v>
      </c>
      <c r="N346" s="621" t="s">
        <v>252</v>
      </c>
      <c r="O346" s="588" t="s">
        <v>289</v>
      </c>
      <c r="P346" s="588"/>
      <c r="Q346" s="588"/>
      <c r="R346" s="588"/>
      <c r="S346" s="588"/>
      <c r="T346" s="588"/>
      <c r="U346" s="588"/>
      <c r="V346" s="588" t="s">
        <v>290</v>
      </c>
      <c r="W346" s="621" t="s">
        <v>291</v>
      </c>
      <c r="X346" s="588" t="s">
        <v>292</v>
      </c>
      <c r="Y346" s="588"/>
      <c r="Z346" s="588"/>
      <c r="AA346" s="588"/>
    </row>
    <row r="347" spans="1:27" ht="21.95" customHeight="1">
      <c r="A347" s="605"/>
      <c r="B347" s="608"/>
      <c r="C347" s="608"/>
      <c r="D347" s="608"/>
      <c r="E347" s="611"/>
      <c r="F347" s="624"/>
      <c r="G347" s="588"/>
      <c r="H347" s="588"/>
      <c r="I347" s="608"/>
      <c r="J347" s="614"/>
      <c r="K347" s="617"/>
      <c r="L347" s="608"/>
      <c r="M347" s="620"/>
      <c r="N347" s="621"/>
      <c r="O347" s="588" t="s">
        <v>259</v>
      </c>
      <c r="P347" s="588" t="s">
        <v>261</v>
      </c>
      <c r="Q347" s="588" t="s">
        <v>263</v>
      </c>
      <c r="R347" s="622" t="s">
        <v>265</v>
      </c>
      <c r="S347" s="591" t="s">
        <v>267</v>
      </c>
      <c r="T347" s="588" t="s">
        <v>272</v>
      </c>
      <c r="U347" s="588" t="s">
        <v>264</v>
      </c>
      <c r="V347" s="588"/>
      <c r="W347" s="621"/>
      <c r="X347" s="588" t="s">
        <v>293</v>
      </c>
      <c r="Y347" s="588" t="s">
        <v>294</v>
      </c>
      <c r="Z347" s="588" t="s">
        <v>295</v>
      </c>
      <c r="AA347" s="588" t="s">
        <v>264</v>
      </c>
    </row>
    <row r="348" spans="1:27" ht="21.95" customHeight="1">
      <c r="A348" s="606"/>
      <c r="B348" s="609"/>
      <c r="C348" s="609"/>
      <c r="D348" s="609"/>
      <c r="E348" s="612"/>
      <c r="F348" s="625"/>
      <c r="G348" s="348" t="s">
        <v>296</v>
      </c>
      <c r="H348" s="510" t="s">
        <v>297</v>
      </c>
      <c r="I348" s="609"/>
      <c r="J348" s="615"/>
      <c r="K348" s="618"/>
      <c r="L348" s="609"/>
      <c r="M348" s="620"/>
      <c r="N348" s="621"/>
      <c r="O348" s="588"/>
      <c r="P348" s="588"/>
      <c r="Q348" s="588"/>
      <c r="R348" s="622"/>
      <c r="S348" s="591"/>
      <c r="T348" s="588"/>
      <c r="U348" s="588"/>
      <c r="V348" s="588"/>
      <c r="W348" s="621"/>
      <c r="X348" s="588"/>
      <c r="Y348" s="588"/>
      <c r="Z348" s="588"/>
      <c r="AA348" s="588"/>
    </row>
    <row r="349" spans="1:27" ht="20.100000000000001" hidden="1" customHeight="1">
      <c r="A349" s="299">
        <v>30100030</v>
      </c>
      <c r="B349" s="503" t="s">
        <v>178</v>
      </c>
      <c r="C349" s="126" t="s">
        <v>179</v>
      </c>
      <c r="D349" s="108">
        <v>5.03</v>
      </c>
      <c r="E349" s="108"/>
      <c r="F349" s="127"/>
      <c r="G349" s="128"/>
      <c r="H349" s="504">
        <f t="shared" ref="H349:H369" si="158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58" si="159">IF(ISERROR(I349-K349),"",I349-K349)</f>
        <v>0</v>
      </c>
      <c r="N349" s="130">
        <f t="shared" ref="N349:N354" si="160">SUM(O349:U349)</f>
        <v>0</v>
      </c>
      <c r="O349" s="512"/>
      <c r="P349" s="512"/>
      <c r="Q349" s="512"/>
      <c r="R349" s="512"/>
      <c r="S349" s="512"/>
      <c r="T349" s="512"/>
      <c r="U349" s="512"/>
      <c r="V349" s="132">
        <f t="shared" ref="V349:V354" si="161">SUM(X349:AA349)</f>
        <v>0</v>
      </c>
      <c r="W349" s="133" t="str">
        <f t="shared" ref="W349:W354" si="162">IF(ISERROR(V349/G349),"",V349/G349)</f>
        <v/>
      </c>
      <c r="X349" s="132"/>
      <c r="Y349" s="132"/>
      <c r="Z349" s="132"/>
      <c r="AA349" s="132"/>
    </row>
    <row r="350" spans="1:27" ht="20.100000000000001" hidden="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28"/>
      <c r="H350" s="504">
        <f t="shared" si="158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9"/>
        <v>0</v>
      </c>
      <c r="N350" s="130">
        <f t="shared" si="160"/>
        <v>0</v>
      </c>
      <c r="O350" s="512"/>
      <c r="P350" s="512"/>
      <c r="Q350" s="512"/>
      <c r="R350" s="512"/>
      <c r="S350" s="512"/>
      <c r="T350" s="512"/>
      <c r="U350" s="512"/>
      <c r="V350" s="132">
        <f t="shared" si="161"/>
        <v>0</v>
      </c>
      <c r="W350" s="133" t="str">
        <f t="shared" si="162"/>
        <v/>
      </c>
      <c r="X350" s="132"/>
      <c r="Y350" s="132"/>
      <c r="Z350" s="132"/>
      <c r="AA350" s="132"/>
    </row>
    <row r="351" spans="1:27" ht="20.100000000000001" hidden="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28"/>
      <c r="H351" s="504">
        <f t="shared" si="158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59"/>
        <v>0</v>
      </c>
      <c r="N351" s="130">
        <f t="shared" si="160"/>
        <v>0</v>
      </c>
      <c r="O351" s="512"/>
      <c r="P351" s="512"/>
      <c r="Q351" s="512"/>
      <c r="R351" s="512"/>
      <c r="S351" s="512"/>
      <c r="T351" s="512"/>
      <c r="U351" s="512"/>
      <c r="V351" s="132">
        <f t="shared" si="161"/>
        <v>0</v>
      </c>
      <c r="W351" s="133" t="str">
        <f t="shared" si="162"/>
        <v/>
      </c>
      <c r="X351" s="132"/>
      <c r="Y351" s="132"/>
      <c r="Z351" s="132"/>
      <c r="AA351" s="132"/>
    </row>
    <row r="352" spans="1:27" ht="20.100000000000001" hidden="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28"/>
      <c r="H352" s="504">
        <f t="shared" si="158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9"/>
        <v>0</v>
      </c>
      <c r="N352" s="130">
        <f t="shared" si="160"/>
        <v>0</v>
      </c>
      <c r="O352" s="512"/>
      <c r="P352" s="512"/>
      <c r="Q352" s="512"/>
      <c r="R352" s="512"/>
      <c r="S352" s="512"/>
      <c r="T352" s="512"/>
      <c r="U352" s="512"/>
      <c r="V352" s="132">
        <f t="shared" si="161"/>
        <v>0</v>
      </c>
      <c r="W352" s="133" t="str">
        <f t="shared" si="162"/>
        <v/>
      </c>
      <c r="X352" s="132"/>
      <c r="Y352" s="132"/>
      <c r="Z352" s="132"/>
      <c r="AA352" s="132"/>
    </row>
    <row r="353" spans="1:27" ht="20.100000000000001" hidden="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28"/>
      <c r="H353" s="504">
        <f t="shared" si="158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59"/>
        <v>0</v>
      </c>
      <c r="N353" s="130">
        <f t="shared" si="160"/>
        <v>0</v>
      </c>
      <c r="O353" s="512"/>
      <c r="P353" s="512"/>
      <c r="Q353" s="512"/>
      <c r="R353" s="512"/>
      <c r="S353" s="512"/>
      <c r="T353" s="512"/>
      <c r="U353" s="512"/>
      <c r="V353" s="132">
        <f t="shared" si="161"/>
        <v>0</v>
      </c>
      <c r="W353" s="133" t="str">
        <f t="shared" si="162"/>
        <v/>
      </c>
      <c r="X353" s="132"/>
      <c r="Y353" s="132"/>
      <c r="Z353" s="132"/>
      <c r="AA353" s="132"/>
    </row>
    <row r="354" spans="1:27" ht="20.100000000000001" hidden="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137"/>
      <c r="H354" s="504">
        <f t="shared" si="158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59"/>
        <v>0</v>
      </c>
      <c r="N354" s="130">
        <f t="shared" si="160"/>
        <v>0</v>
      </c>
      <c r="O354" s="512"/>
      <c r="P354" s="512"/>
      <c r="Q354" s="512"/>
      <c r="R354" s="512"/>
      <c r="S354" s="512"/>
      <c r="T354" s="512"/>
      <c r="U354" s="512"/>
      <c r="V354" s="132">
        <f t="shared" si="161"/>
        <v>0</v>
      </c>
      <c r="W354" s="133" t="str">
        <f t="shared" si="162"/>
        <v/>
      </c>
      <c r="X354" s="132"/>
      <c r="Y354" s="132"/>
      <c r="Z354" s="132"/>
      <c r="AA354" s="132"/>
    </row>
    <row r="355" spans="1:27" ht="20.100000000000001" hidden="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28"/>
      <c r="H355" s="504">
        <f t="shared" si="158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59"/>
        <v>0</v>
      </c>
      <c r="N355" s="130"/>
      <c r="O355" s="512"/>
      <c r="P355" s="512"/>
      <c r="Q355" s="512"/>
      <c r="R355" s="512"/>
      <c r="S355" s="512"/>
      <c r="T355" s="512"/>
      <c r="U355" s="512"/>
      <c r="V355" s="132"/>
      <c r="W355" s="133"/>
      <c r="X355" s="132"/>
      <c r="Y355" s="132"/>
      <c r="Z355" s="132"/>
      <c r="AA355" s="132"/>
    </row>
    <row r="356" spans="1:27" ht="20.100000000000001" hidden="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28"/>
      <c r="H356" s="504">
        <f t="shared" si="158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59"/>
        <v>0</v>
      </c>
      <c r="N356" s="130"/>
      <c r="O356" s="512"/>
      <c r="P356" s="512"/>
      <c r="Q356" s="512"/>
      <c r="R356" s="512"/>
      <c r="S356" s="512"/>
      <c r="T356" s="512"/>
      <c r="U356" s="512"/>
      <c r="V356" s="132"/>
      <c r="W356" s="133"/>
      <c r="X356" s="132"/>
      <c r="Y356" s="132"/>
      <c r="Z356" s="132"/>
      <c r="AA356" s="132"/>
    </row>
    <row r="357" spans="1:27" ht="20.100000000000001" hidden="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28"/>
      <c r="H357" s="504">
        <f t="shared" si="158"/>
        <v>0</v>
      </c>
      <c r="I357" s="504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59"/>
        <v>0</v>
      </c>
      <c r="N357" s="130">
        <f>SUM(O357:U357)</f>
        <v>0</v>
      </c>
      <c r="O357" s="512"/>
      <c r="P357" s="512"/>
      <c r="Q357" s="512"/>
      <c r="R357" s="512"/>
      <c r="S357" s="512"/>
      <c r="T357" s="512"/>
      <c r="U357" s="512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hidden="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28"/>
      <c r="H358" s="504">
        <f t="shared" si="158"/>
        <v>0</v>
      </c>
      <c r="I358" s="504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59"/>
        <v>0</v>
      </c>
      <c r="N358" s="130">
        <f>SUM(O358:U358)</f>
        <v>0</v>
      </c>
      <c r="O358" s="512"/>
      <c r="P358" s="512"/>
      <c r="Q358" s="512"/>
      <c r="R358" s="512"/>
      <c r="S358" s="512"/>
      <c r="T358" s="512"/>
      <c r="U358" s="512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hidden="1" customHeight="1">
      <c r="A359" s="302">
        <v>30100063</v>
      </c>
      <c r="B359" s="134" t="s">
        <v>191</v>
      </c>
      <c r="C359" s="126" t="s">
        <v>192</v>
      </c>
      <c r="D359" s="108">
        <v>5.03</v>
      </c>
      <c r="E359" s="108"/>
      <c r="F359" s="126"/>
      <c r="G359" s="128"/>
      <c r="H359" s="504">
        <f t="shared" si="158"/>
        <v>0</v>
      </c>
      <c r="I359" s="504"/>
      <c r="J359" s="130"/>
      <c r="K359" s="131"/>
      <c r="L359" s="129"/>
      <c r="M359" s="109"/>
      <c r="N359" s="130"/>
      <c r="O359" s="512"/>
      <c r="P359" s="512"/>
      <c r="Q359" s="512"/>
      <c r="R359" s="512"/>
      <c r="S359" s="512"/>
      <c r="T359" s="512"/>
      <c r="U359" s="512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30100061</v>
      </c>
      <c r="B360" s="134" t="s">
        <v>191</v>
      </c>
      <c r="C360" s="126" t="s">
        <v>193</v>
      </c>
      <c r="D360" s="108">
        <v>5.03</v>
      </c>
      <c r="E360" s="108"/>
      <c r="F360" s="126"/>
      <c r="G360" s="128"/>
      <c r="H360" s="504">
        <f t="shared" si="158"/>
        <v>0</v>
      </c>
      <c r="I360" s="504"/>
      <c r="J360" s="130"/>
      <c r="K360" s="131"/>
      <c r="L360" s="129"/>
      <c r="M360" s="109"/>
      <c r="N360" s="130"/>
      <c r="O360" s="512"/>
      <c r="P360" s="512"/>
      <c r="Q360" s="512"/>
      <c r="R360" s="512"/>
      <c r="S360" s="512"/>
      <c r="T360" s="512"/>
      <c r="U360" s="512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28"/>
      <c r="H361" s="504">
        <f t="shared" si="158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ref="M361:M369" si="163">IF(ISERROR(I361-K361),"",I361-K361)</f>
        <v>0</v>
      </c>
      <c r="N361" s="130">
        <f t="shared" ref="N361:N363" si="164">SUM(O361:U361)</f>
        <v>0</v>
      </c>
      <c r="O361" s="512"/>
      <c r="P361" s="512"/>
      <c r="Q361" s="512"/>
      <c r="R361" s="512"/>
      <c r="S361" s="512"/>
      <c r="T361" s="512"/>
      <c r="U361" s="512"/>
      <c r="V361" s="132">
        <f t="shared" ref="V361:V363" si="165">SUM(X361:AA361)</f>
        <v>0</v>
      </c>
      <c r="W361" s="133" t="str">
        <f t="shared" ref="W361:W363" si="166">IF(ISERROR(V361/G361),"",V361/G361)</f>
        <v/>
      </c>
      <c r="X361" s="132"/>
      <c r="Y361" s="132"/>
      <c r="Z361" s="132"/>
      <c r="AA361" s="132"/>
    </row>
    <row r="362" spans="1:27" ht="20.100000000000001" hidden="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28"/>
      <c r="H362" s="504">
        <f t="shared" si="158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3"/>
        <v>0</v>
      </c>
      <c r="N362" s="130">
        <f t="shared" si="164"/>
        <v>0</v>
      </c>
      <c r="O362" s="512"/>
      <c r="P362" s="512"/>
      <c r="Q362" s="512"/>
      <c r="R362" s="512"/>
      <c r="S362" s="512"/>
      <c r="T362" s="512"/>
      <c r="U362" s="512"/>
      <c r="V362" s="132">
        <f t="shared" si="165"/>
        <v>0</v>
      </c>
      <c r="W362" s="133" t="str">
        <f t="shared" si="166"/>
        <v/>
      </c>
      <c r="X362" s="132"/>
      <c r="Y362" s="132"/>
      <c r="Z362" s="132"/>
      <c r="AA362" s="132"/>
    </row>
    <row r="363" spans="1:27" ht="20.100000000000001" hidden="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28"/>
      <c r="H363" s="504">
        <f t="shared" si="158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3"/>
        <v>0</v>
      </c>
      <c r="N363" s="130">
        <f t="shared" si="164"/>
        <v>0</v>
      </c>
      <c r="O363" s="512"/>
      <c r="P363" s="512"/>
      <c r="Q363" s="512"/>
      <c r="R363" s="512"/>
      <c r="S363" s="512"/>
      <c r="T363" s="512"/>
      <c r="U363" s="512"/>
      <c r="V363" s="132">
        <f t="shared" si="165"/>
        <v>0</v>
      </c>
      <c r="W363" s="133" t="str">
        <f t="shared" si="166"/>
        <v/>
      </c>
      <c r="X363" s="132"/>
      <c r="Y363" s="132"/>
      <c r="Z363" s="132"/>
      <c r="AA363" s="132"/>
    </row>
    <row r="364" spans="1:27" ht="20.100000000000001" hidden="1" customHeight="1">
      <c r="A364" s="300">
        <v>30100003</v>
      </c>
      <c r="B364" s="141" t="s">
        <v>198</v>
      </c>
      <c r="C364" s="510" t="s">
        <v>190</v>
      </c>
      <c r="D364" s="108">
        <v>4.8</v>
      </c>
      <c r="E364" s="108"/>
      <c r="F364" s="127"/>
      <c r="G364" s="128"/>
      <c r="H364" s="504">
        <f t="shared" si="158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3"/>
        <v>0</v>
      </c>
      <c r="N364" s="130"/>
      <c r="O364" s="512"/>
      <c r="P364" s="512"/>
      <c r="Q364" s="512"/>
      <c r="R364" s="512"/>
      <c r="S364" s="512"/>
      <c r="T364" s="512"/>
      <c r="U364" s="512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30100004</v>
      </c>
      <c r="B365" s="141" t="s">
        <v>198</v>
      </c>
      <c r="C365" s="510" t="s">
        <v>187</v>
      </c>
      <c r="D365" s="108">
        <v>4.8</v>
      </c>
      <c r="E365" s="108"/>
      <c r="F365" s="127"/>
      <c r="G365" s="128"/>
      <c r="H365" s="504">
        <f t="shared" si="158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3"/>
        <v>0</v>
      </c>
      <c r="N365" s="130"/>
      <c r="O365" s="512"/>
      <c r="P365" s="512"/>
      <c r="Q365" s="512"/>
      <c r="R365" s="512"/>
      <c r="S365" s="512"/>
      <c r="T365" s="512"/>
      <c r="U365" s="512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30100006</v>
      </c>
      <c r="B366" s="141" t="s">
        <v>198</v>
      </c>
      <c r="C366" s="510" t="s">
        <v>179</v>
      </c>
      <c r="D366" s="108">
        <v>4.8</v>
      </c>
      <c r="E366" s="108"/>
      <c r="F366" s="127"/>
      <c r="G366" s="128"/>
      <c r="H366" s="504">
        <f t="shared" si="158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3"/>
        <v>0</v>
      </c>
      <c r="N366" s="130"/>
      <c r="O366" s="512"/>
      <c r="P366" s="512"/>
      <c r="Q366" s="512"/>
      <c r="R366" s="512"/>
      <c r="S366" s="512"/>
      <c r="T366" s="512"/>
      <c r="U366" s="512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0">
        <v>30100005</v>
      </c>
      <c r="B367" s="141" t="s">
        <v>198</v>
      </c>
      <c r="C367" s="510" t="s">
        <v>199</v>
      </c>
      <c r="D367" s="108">
        <v>4.8</v>
      </c>
      <c r="E367" s="108"/>
      <c r="F367" s="127"/>
      <c r="G367" s="128"/>
      <c r="H367" s="504">
        <f t="shared" si="158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3"/>
        <v>0</v>
      </c>
      <c r="N367" s="130"/>
      <c r="O367" s="512"/>
      <c r="P367" s="512"/>
      <c r="Q367" s="512"/>
      <c r="R367" s="512"/>
      <c r="S367" s="512"/>
      <c r="T367" s="512"/>
      <c r="U367" s="512"/>
      <c r="V367" s="132"/>
      <c r="W367" s="133"/>
      <c r="X367" s="132"/>
      <c r="Y367" s="132"/>
      <c r="Z367" s="132"/>
      <c r="AA367" s="132"/>
    </row>
    <row r="368" spans="1:27" ht="20.100000000000001" hidden="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28"/>
      <c r="H368" s="504">
        <f t="shared" si="158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3"/>
        <v>0</v>
      </c>
      <c r="N368" s="130">
        <f t="shared" ref="N368:N369" si="167">SUM(O368:U368)</f>
        <v>0</v>
      </c>
      <c r="O368" s="512"/>
      <c r="P368" s="512"/>
      <c r="Q368" s="512"/>
      <c r="R368" s="512"/>
      <c r="S368" s="512"/>
      <c r="T368" s="512"/>
      <c r="U368" s="512"/>
      <c r="V368" s="132">
        <f t="shared" ref="V368:V369" si="168">SUM(X368:AA368)</f>
        <v>0</v>
      </c>
      <c r="W368" s="133" t="str">
        <f t="shared" ref="W368:W369" si="169">IF(ISERROR(V368/G368),"",V368/G368)</f>
        <v/>
      </c>
      <c r="X368" s="132"/>
      <c r="Y368" s="132"/>
      <c r="Z368" s="132"/>
      <c r="AA368" s="132"/>
    </row>
    <row r="369" spans="1:27" ht="20.100000000000001" hidden="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28"/>
      <c r="H369" s="504">
        <f t="shared" si="158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3"/>
        <v>0</v>
      </c>
      <c r="N369" s="130">
        <f t="shared" si="167"/>
        <v>0</v>
      </c>
      <c r="O369" s="512"/>
      <c r="P369" s="512"/>
      <c r="Q369" s="512"/>
      <c r="R369" s="512"/>
      <c r="S369" s="512"/>
      <c r="T369" s="512"/>
      <c r="U369" s="512"/>
      <c r="V369" s="132">
        <f t="shared" si="168"/>
        <v>0</v>
      </c>
      <c r="W369" s="133" t="str">
        <f t="shared" si="169"/>
        <v/>
      </c>
      <c r="X369" s="132"/>
      <c r="Y369" s="132"/>
      <c r="Z369" s="132"/>
      <c r="AA369" s="132"/>
    </row>
    <row r="370" spans="1:27" ht="20.100000000000001" hidden="1" customHeight="1">
      <c r="A370" s="578" t="s">
        <v>201</v>
      </c>
      <c r="B370" s="579"/>
      <c r="C370" s="513" t="s">
        <v>202</v>
      </c>
      <c r="D370" s="143"/>
      <c r="E370" s="143"/>
      <c r="F370" s="144"/>
      <c r="G370" s="145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70">SUM(M349:M369)</f>
        <v>0</v>
      </c>
      <c r="N370" s="146">
        <f t="shared" si="170"/>
        <v>0</v>
      </c>
      <c r="O370" s="148">
        <f t="shared" si="170"/>
        <v>0</v>
      </c>
      <c r="P370" s="148">
        <f t="shared" si="170"/>
        <v>0</v>
      </c>
      <c r="Q370" s="148">
        <f t="shared" si="170"/>
        <v>0</v>
      </c>
      <c r="R370" s="148">
        <f t="shared" si="170"/>
        <v>0</v>
      </c>
      <c r="S370" s="148">
        <f t="shared" si="170"/>
        <v>0</v>
      </c>
      <c r="T370" s="148">
        <f t="shared" si="170"/>
        <v>0</v>
      </c>
      <c r="U370" s="148">
        <f t="shared" si="170"/>
        <v>0</v>
      </c>
      <c r="V370" s="149">
        <f t="shared" si="170"/>
        <v>0</v>
      </c>
      <c r="W370" s="133">
        <f t="shared" si="170"/>
        <v>0</v>
      </c>
      <c r="X370" s="149">
        <f t="shared" si="170"/>
        <v>0</v>
      </c>
      <c r="Y370" s="149">
        <f t="shared" si="170"/>
        <v>0</v>
      </c>
      <c r="Z370" s="149">
        <f t="shared" si="170"/>
        <v>0</v>
      </c>
      <c r="AA370" s="149">
        <f t="shared" si="170"/>
        <v>0</v>
      </c>
    </row>
    <row r="371" spans="1:27" ht="20.100000000000001" hidden="1" customHeight="1">
      <c r="A371" s="300">
        <v>30100012</v>
      </c>
      <c r="B371" s="503" t="s">
        <v>206</v>
      </c>
      <c r="C371" s="126" t="s">
        <v>199</v>
      </c>
      <c r="D371" s="108">
        <v>5.03</v>
      </c>
      <c r="E371" s="108"/>
      <c r="F371" s="127"/>
      <c r="G371" s="128"/>
      <c r="H371" s="504">
        <f t="shared" ref="H371:H427" si="171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" si="172">IF(ISERROR(I371-K371),"",I371-K371)</f>
        <v>0</v>
      </c>
      <c r="N371" s="130">
        <f t="shared" ref="N371" si="173">SUM(O371:U371)</f>
        <v>0</v>
      </c>
      <c r="O371" s="508"/>
      <c r="P371" s="508"/>
      <c r="Q371" s="508"/>
      <c r="R371" s="508"/>
      <c r="S371" s="508"/>
      <c r="T371" s="508"/>
      <c r="U371" s="508"/>
      <c r="V371" s="132">
        <f t="shared" ref="V371" si="174">SUM(X371:AA371)</f>
        <v>0</v>
      </c>
      <c r="W371" s="133" t="str">
        <f t="shared" ref="W371" si="175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30100011</v>
      </c>
      <c r="B372" s="503" t="s">
        <v>425</v>
      </c>
      <c r="C372" s="187" t="s">
        <v>427</v>
      </c>
      <c r="D372" s="108">
        <v>5.03</v>
      </c>
      <c r="E372" s="108"/>
      <c r="F372" s="127"/>
      <c r="G372" s="128"/>
      <c r="H372" s="504">
        <f t="shared" si="171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508"/>
      <c r="P372" s="508"/>
      <c r="Q372" s="508"/>
      <c r="R372" s="508"/>
      <c r="S372" s="508"/>
      <c r="T372" s="508"/>
      <c r="U372" s="508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0">
        <v>30100010</v>
      </c>
      <c r="B373" s="503" t="s">
        <v>206</v>
      </c>
      <c r="C373" s="126" t="s">
        <v>186</v>
      </c>
      <c r="D373" s="108">
        <v>5.03</v>
      </c>
      <c r="E373" s="108"/>
      <c r="F373" s="127"/>
      <c r="G373" s="128"/>
      <c r="H373" s="504">
        <f t="shared" si="171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ref="M373:M408" si="176">IF(ISERROR(I373-K373),"",I373-K373)</f>
        <v>0</v>
      </c>
      <c r="N373" s="130">
        <f t="shared" ref="N373:N375" si="177">SUM(O373:U373)</f>
        <v>0</v>
      </c>
      <c r="O373" s="508"/>
      <c r="P373" s="508"/>
      <c r="Q373" s="508"/>
      <c r="R373" s="508"/>
      <c r="S373" s="508"/>
      <c r="T373" s="508"/>
      <c r="U373" s="508"/>
      <c r="V373" s="132">
        <f t="shared" ref="V373:V375" si="178">SUM(X373:AA373)</f>
        <v>0</v>
      </c>
      <c r="W373" s="133" t="str">
        <f t="shared" ref="W373:W375" si="179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0">
        <v>30100014</v>
      </c>
      <c r="B374" s="503" t="s">
        <v>206</v>
      </c>
      <c r="C374" s="126" t="s">
        <v>203</v>
      </c>
      <c r="D374" s="108">
        <v>5.03</v>
      </c>
      <c r="E374" s="108"/>
      <c r="F374" s="127"/>
      <c r="G374" s="128"/>
      <c r="H374" s="504">
        <f t="shared" si="171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6"/>
        <v>0</v>
      </c>
      <c r="N374" s="130">
        <f t="shared" si="177"/>
        <v>0</v>
      </c>
      <c r="O374" s="508"/>
      <c r="P374" s="508"/>
      <c r="Q374" s="508"/>
      <c r="R374" s="508"/>
      <c r="S374" s="508"/>
      <c r="T374" s="508"/>
      <c r="U374" s="508"/>
      <c r="V374" s="132">
        <f t="shared" si="178"/>
        <v>0</v>
      </c>
      <c r="W374" s="133" t="str">
        <f t="shared" si="179"/>
        <v/>
      </c>
      <c r="X374" s="132"/>
      <c r="Y374" s="132"/>
      <c r="Z374" s="132"/>
      <c r="AA374" s="132"/>
    </row>
    <row r="375" spans="1:27" ht="20.100000000000001" hidden="1" customHeight="1">
      <c r="A375" s="300">
        <v>30100013</v>
      </c>
      <c r="B375" s="503" t="s">
        <v>206</v>
      </c>
      <c r="C375" s="126" t="s">
        <v>207</v>
      </c>
      <c r="D375" s="108">
        <v>5.03</v>
      </c>
      <c r="E375" s="108"/>
      <c r="F375" s="127"/>
      <c r="G375" s="128"/>
      <c r="H375" s="504">
        <f t="shared" si="171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6"/>
        <v>0</v>
      </c>
      <c r="N375" s="130">
        <f t="shared" si="177"/>
        <v>0</v>
      </c>
      <c r="O375" s="508"/>
      <c r="P375" s="508"/>
      <c r="Q375" s="508"/>
      <c r="R375" s="508"/>
      <c r="S375" s="508"/>
      <c r="T375" s="508"/>
      <c r="U375" s="508"/>
      <c r="V375" s="132">
        <f t="shared" si="178"/>
        <v>0</v>
      </c>
      <c r="W375" s="133" t="str">
        <f t="shared" si="179"/>
        <v/>
      </c>
      <c r="X375" s="132"/>
      <c r="Y375" s="132"/>
      <c r="Z375" s="132"/>
      <c r="AA375" s="132"/>
    </row>
    <row r="376" spans="1:27" ht="20.100000000000001" hidden="1" customHeight="1">
      <c r="A376" s="300">
        <v>30100016</v>
      </c>
      <c r="B376" s="503" t="s">
        <v>414</v>
      </c>
      <c r="C376" s="187" t="s">
        <v>415</v>
      </c>
      <c r="D376" s="108"/>
      <c r="E376" s="108"/>
      <c r="F376" s="127"/>
      <c r="G376" s="128"/>
      <c r="H376" s="504">
        <f t="shared" si="171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6"/>
        <v>0</v>
      </c>
      <c r="N376" s="130"/>
      <c r="O376" s="508"/>
      <c r="P376" s="508"/>
      <c r="Q376" s="508"/>
      <c r="R376" s="508"/>
      <c r="S376" s="508"/>
      <c r="T376" s="508"/>
      <c r="U376" s="508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30100017</v>
      </c>
      <c r="B377" s="503" t="s">
        <v>414</v>
      </c>
      <c r="C377" s="187" t="s">
        <v>416</v>
      </c>
      <c r="D377" s="108"/>
      <c r="E377" s="108"/>
      <c r="F377" s="127"/>
      <c r="G377" s="128"/>
      <c r="H377" s="504">
        <f t="shared" si="171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6"/>
        <v>0</v>
      </c>
      <c r="N377" s="130"/>
      <c r="O377" s="508"/>
      <c r="P377" s="508"/>
      <c r="Q377" s="508"/>
      <c r="R377" s="508"/>
      <c r="S377" s="508"/>
      <c r="T377" s="508"/>
      <c r="U377" s="508"/>
      <c r="V377" s="132"/>
      <c r="W377" s="133"/>
      <c r="X377" s="132"/>
      <c r="Y377" s="132"/>
      <c r="Z377" s="132"/>
      <c r="AA377" s="132"/>
    </row>
    <row r="378" spans="1:27" ht="20.100000000000001" hidden="1" customHeight="1">
      <c r="A378" s="300">
        <v>30100015</v>
      </c>
      <c r="B378" s="503" t="s">
        <v>414</v>
      </c>
      <c r="C378" s="187" t="s">
        <v>61</v>
      </c>
      <c r="D378" s="108"/>
      <c r="E378" s="108"/>
      <c r="F378" s="127"/>
      <c r="G378" s="128"/>
      <c r="H378" s="504">
        <f t="shared" si="171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6"/>
        <v>0</v>
      </c>
      <c r="N378" s="130"/>
      <c r="O378" s="508"/>
      <c r="P378" s="508"/>
      <c r="Q378" s="508"/>
      <c r="R378" s="508"/>
      <c r="S378" s="508"/>
      <c r="T378" s="508"/>
      <c r="U378" s="508"/>
      <c r="V378" s="132"/>
      <c r="W378" s="133"/>
      <c r="X378" s="132"/>
      <c r="Y378" s="132"/>
      <c r="Z378" s="132"/>
      <c r="AA378" s="132"/>
    </row>
    <row r="379" spans="1:27" ht="20.100000000000001" hidden="1" customHeight="1">
      <c r="A379" s="300">
        <v>30100027</v>
      </c>
      <c r="B379" s="503" t="s">
        <v>208</v>
      </c>
      <c r="C379" s="126" t="s">
        <v>179</v>
      </c>
      <c r="D379" s="108">
        <v>5.08</v>
      </c>
      <c r="E379" s="108"/>
      <c r="F379" s="127"/>
      <c r="G379" s="128"/>
      <c r="H379" s="504">
        <f t="shared" si="171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6"/>
        <v>0</v>
      </c>
      <c r="N379" s="130">
        <f t="shared" ref="N379:N394" si="180">SUM(O379:U379)</f>
        <v>0</v>
      </c>
      <c r="O379" s="508"/>
      <c r="P379" s="508"/>
      <c r="Q379" s="508"/>
      <c r="R379" s="508"/>
      <c r="S379" s="508"/>
      <c r="T379" s="508"/>
      <c r="U379" s="508"/>
      <c r="V379" s="132">
        <f t="shared" ref="V379:V390" si="181">SUM(X379:AA379)</f>
        <v>0</v>
      </c>
      <c r="W379" s="133" t="str">
        <f t="shared" ref="W379:W390" si="182">IF(ISERROR(V379/G379),"",V379/G379)</f>
        <v/>
      </c>
      <c r="X379" s="132"/>
      <c r="Y379" s="132"/>
      <c r="Z379" s="132"/>
      <c r="AA379" s="132"/>
    </row>
    <row r="380" spans="1:27" ht="20.100000000000001" hidden="1" customHeight="1">
      <c r="A380" s="300">
        <v>30100023</v>
      </c>
      <c r="B380" s="503" t="s">
        <v>208</v>
      </c>
      <c r="C380" s="126" t="s">
        <v>204</v>
      </c>
      <c r="D380" s="108">
        <v>5.08</v>
      </c>
      <c r="E380" s="108"/>
      <c r="F380" s="127"/>
      <c r="G380" s="128"/>
      <c r="H380" s="504">
        <f t="shared" si="171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6"/>
        <v>0</v>
      </c>
      <c r="N380" s="130">
        <f t="shared" si="180"/>
        <v>0</v>
      </c>
      <c r="O380" s="508"/>
      <c r="P380" s="508"/>
      <c r="Q380" s="508"/>
      <c r="R380" s="508"/>
      <c r="S380" s="508"/>
      <c r="T380" s="508"/>
      <c r="U380" s="508"/>
      <c r="V380" s="132">
        <f t="shared" si="181"/>
        <v>0</v>
      </c>
      <c r="W380" s="133" t="str">
        <f t="shared" si="182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30100024</v>
      </c>
      <c r="B381" s="503" t="s">
        <v>208</v>
      </c>
      <c r="C381" s="126" t="s">
        <v>205</v>
      </c>
      <c r="D381" s="108">
        <v>5.08</v>
      </c>
      <c r="E381" s="108"/>
      <c r="F381" s="127"/>
      <c r="G381" s="128"/>
      <c r="H381" s="504">
        <f t="shared" si="171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6"/>
        <v>0</v>
      </c>
      <c r="N381" s="130">
        <f t="shared" si="180"/>
        <v>0</v>
      </c>
      <c r="O381" s="508"/>
      <c r="P381" s="508"/>
      <c r="Q381" s="508"/>
      <c r="R381" s="508"/>
      <c r="S381" s="508"/>
      <c r="T381" s="508"/>
      <c r="U381" s="508"/>
      <c r="V381" s="132">
        <f t="shared" si="181"/>
        <v>0</v>
      </c>
      <c r="W381" s="133" t="str">
        <f t="shared" si="182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30100022</v>
      </c>
      <c r="B382" s="503" t="s">
        <v>208</v>
      </c>
      <c r="C382" s="126" t="s">
        <v>186</v>
      </c>
      <c r="D382" s="108">
        <v>5.08</v>
      </c>
      <c r="E382" s="108"/>
      <c r="F382" s="127"/>
      <c r="G382" s="128"/>
      <c r="H382" s="504">
        <f t="shared" si="171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6"/>
        <v>0</v>
      </c>
      <c r="N382" s="130">
        <f t="shared" si="180"/>
        <v>0</v>
      </c>
      <c r="O382" s="508"/>
      <c r="P382" s="508"/>
      <c r="Q382" s="508"/>
      <c r="R382" s="508"/>
      <c r="S382" s="508"/>
      <c r="T382" s="508"/>
      <c r="U382" s="508"/>
      <c r="V382" s="132">
        <f t="shared" si="181"/>
        <v>0</v>
      </c>
      <c r="W382" s="133" t="str">
        <f t="shared" si="182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30100029</v>
      </c>
      <c r="B383" s="503" t="s">
        <v>208</v>
      </c>
      <c r="C383" s="126" t="s">
        <v>203</v>
      </c>
      <c r="D383" s="108">
        <v>5.08</v>
      </c>
      <c r="E383" s="108"/>
      <c r="F383" s="127"/>
      <c r="G383" s="128"/>
      <c r="H383" s="504">
        <f t="shared" si="171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6"/>
        <v>0</v>
      </c>
      <c r="N383" s="130">
        <f t="shared" si="180"/>
        <v>0</v>
      </c>
      <c r="O383" s="508"/>
      <c r="P383" s="508"/>
      <c r="Q383" s="508"/>
      <c r="R383" s="508"/>
      <c r="S383" s="508"/>
      <c r="T383" s="508"/>
      <c r="U383" s="508"/>
      <c r="V383" s="132">
        <f t="shared" si="181"/>
        <v>0</v>
      </c>
      <c r="W383" s="133" t="str">
        <f t="shared" si="182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30100026</v>
      </c>
      <c r="B384" s="503" t="s">
        <v>208</v>
      </c>
      <c r="C384" s="126" t="s">
        <v>199</v>
      </c>
      <c r="D384" s="108">
        <v>5.08</v>
      </c>
      <c r="E384" s="108"/>
      <c r="F384" s="127"/>
      <c r="G384" s="128"/>
      <c r="H384" s="504">
        <f t="shared" si="171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6"/>
        <v>0</v>
      </c>
      <c r="N384" s="130">
        <f t="shared" si="180"/>
        <v>0</v>
      </c>
      <c r="O384" s="512"/>
      <c r="P384" s="512"/>
      <c r="Q384" s="512"/>
      <c r="R384" s="512"/>
      <c r="S384" s="512"/>
      <c r="T384" s="512"/>
      <c r="U384" s="512"/>
      <c r="V384" s="132">
        <f t="shared" si="181"/>
        <v>0</v>
      </c>
      <c r="W384" s="133" t="str">
        <f t="shared" si="182"/>
        <v/>
      </c>
      <c r="X384" s="132"/>
      <c r="Y384" s="132"/>
      <c r="Z384" s="132"/>
      <c r="AA384" s="132"/>
    </row>
    <row r="385" spans="1:27" ht="20.100000000000001" hidden="1" customHeight="1">
      <c r="A385" s="300">
        <v>30100025</v>
      </c>
      <c r="B385" s="503" t="s">
        <v>208</v>
      </c>
      <c r="C385" s="126" t="s">
        <v>187</v>
      </c>
      <c r="D385" s="108">
        <v>5.08</v>
      </c>
      <c r="E385" s="108"/>
      <c r="F385" s="127"/>
      <c r="G385" s="128"/>
      <c r="H385" s="504">
        <f t="shared" si="171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6"/>
        <v>0</v>
      </c>
      <c r="N385" s="130">
        <f t="shared" si="180"/>
        <v>0</v>
      </c>
      <c r="O385" s="508"/>
      <c r="P385" s="508"/>
      <c r="Q385" s="508"/>
      <c r="R385" s="508"/>
      <c r="S385" s="508"/>
      <c r="T385" s="508"/>
      <c r="U385" s="508"/>
      <c r="V385" s="132">
        <f t="shared" si="181"/>
        <v>0</v>
      </c>
      <c r="W385" s="133" t="str">
        <f t="shared" si="182"/>
        <v/>
      </c>
      <c r="X385" s="132"/>
      <c r="Y385" s="132"/>
      <c r="Z385" s="132"/>
      <c r="AA385" s="132"/>
    </row>
    <row r="386" spans="1:27" ht="20.100000000000001" hidden="1" customHeight="1">
      <c r="A386" s="300">
        <v>30100028</v>
      </c>
      <c r="B386" s="503" t="s">
        <v>208</v>
      </c>
      <c r="C386" s="126" t="s">
        <v>207</v>
      </c>
      <c r="D386" s="108">
        <v>5.08</v>
      </c>
      <c r="E386" s="108"/>
      <c r="F386" s="127"/>
      <c r="G386" s="128"/>
      <c r="H386" s="504">
        <f t="shared" si="171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6"/>
        <v>0</v>
      </c>
      <c r="N386" s="130">
        <f t="shared" si="180"/>
        <v>0</v>
      </c>
      <c r="O386" s="512"/>
      <c r="P386" s="512"/>
      <c r="Q386" s="512"/>
      <c r="R386" s="512"/>
      <c r="S386" s="512"/>
      <c r="T386" s="512"/>
      <c r="U386" s="512"/>
      <c r="V386" s="132">
        <f t="shared" si="181"/>
        <v>0</v>
      </c>
      <c r="W386" s="133" t="str">
        <f t="shared" si="182"/>
        <v/>
      </c>
      <c r="X386" s="132"/>
      <c r="Y386" s="132"/>
      <c r="Z386" s="132"/>
      <c r="AA386" s="132"/>
    </row>
    <row r="387" spans="1:27" ht="20.100000000000001" hidden="1" customHeight="1">
      <c r="A387" s="300">
        <v>30100032</v>
      </c>
      <c r="B387" s="503" t="s">
        <v>209</v>
      </c>
      <c r="C387" s="126" t="s">
        <v>194</v>
      </c>
      <c r="D387" s="108">
        <v>5.03</v>
      </c>
      <c r="E387" s="108"/>
      <c r="F387" s="127"/>
      <c r="G387" s="128"/>
      <c r="H387" s="504">
        <f t="shared" si="171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6"/>
        <v>0</v>
      </c>
      <c r="N387" s="130">
        <f t="shared" si="180"/>
        <v>0</v>
      </c>
      <c r="O387" s="508"/>
      <c r="P387" s="508"/>
      <c r="Q387" s="508"/>
      <c r="R387" s="508"/>
      <c r="S387" s="508"/>
      <c r="T387" s="508"/>
      <c r="U387" s="508"/>
      <c r="V387" s="132">
        <f t="shared" si="181"/>
        <v>0</v>
      </c>
      <c r="W387" s="133" t="str">
        <f t="shared" si="182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30100033</v>
      </c>
      <c r="B388" s="503" t="s">
        <v>209</v>
      </c>
      <c r="C388" s="126" t="s">
        <v>179</v>
      </c>
      <c r="D388" s="108">
        <v>5.03</v>
      </c>
      <c r="E388" s="108"/>
      <c r="F388" s="127"/>
      <c r="G388" s="128"/>
      <c r="H388" s="504">
        <f t="shared" si="171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6"/>
        <v>0</v>
      </c>
      <c r="N388" s="130">
        <f t="shared" si="180"/>
        <v>0</v>
      </c>
      <c r="O388" s="508"/>
      <c r="P388" s="508"/>
      <c r="Q388" s="508"/>
      <c r="R388" s="508"/>
      <c r="S388" s="508"/>
      <c r="T388" s="508"/>
      <c r="U388" s="508"/>
      <c r="V388" s="132">
        <f t="shared" si="181"/>
        <v>0</v>
      </c>
      <c r="W388" s="133" t="str">
        <f t="shared" si="182"/>
        <v/>
      </c>
      <c r="X388" s="132"/>
      <c r="Y388" s="132"/>
      <c r="Z388" s="132"/>
      <c r="AA388" s="132"/>
    </row>
    <row r="389" spans="1:27" ht="20.100000000000001" hidden="1" customHeight="1">
      <c r="A389" s="300">
        <v>30100062</v>
      </c>
      <c r="B389" s="503" t="s">
        <v>209</v>
      </c>
      <c r="C389" s="126" t="s">
        <v>195</v>
      </c>
      <c r="D389" s="108">
        <v>5.03</v>
      </c>
      <c r="E389" s="108"/>
      <c r="F389" s="127"/>
      <c r="G389" s="128"/>
      <c r="H389" s="504">
        <f t="shared" si="171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6"/>
        <v>0</v>
      </c>
      <c r="N389" s="130">
        <f t="shared" si="180"/>
        <v>0</v>
      </c>
      <c r="O389" s="508"/>
      <c r="P389" s="508"/>
      <c r="Q389" s="508"/>
      <c r="R389" s="508"/>
      <c r="S389" s="508"/>
      <c r="T389" s="508"/>
      <c r="U389" s="508"/>
      <c r="V389" s="132">
        <f t="shared" si="181"/>
        <v>0</v>
      </c>
      <c r="W389" s="133" t="str">
        <f t="shared" si="182"/>
        <v/>
      </c>
      <c r="X389" s="132"/>
      <c r="Y389" s="132"/>
      <c r="Z389" s="132"/>
      <c r="AA389" s="132"/>
    </row>
    <row r="390" spans="1:27" ht="20.100000000000001" hidden="1" customHeight="1">
      <c r="A390" s="300">
        <v>30100031</v>
      </c>
      <c r="B390" s="503" t="s">
        <v>209</v>
      </c>
      <c r="C390" s="126" t="s">
        <v>204</v>
      </c>
      <c r="D390" s="108">
        <v>5.03</v>
      </c>
      <c r="E390" s="108"/>
      <c r="F390" s="127"/>
      <c r="G390" s="128"/>
      <c r="H390" s="504">
        <f t="shared" si="171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6"/>
        <v>0</v>
      </c>
      <c r="N390" s="130">
        <f t="shared" si="180"/>
        <v>0</v>
      </c>
      <c r="O390" s="508"/>
      <c r="P390" s="508"/>
      <c r="Q390" s="508"/>
      <c r="R390" s="508"/>
      <c r="S390" s="508"/>
      <c r="T390" s="508"/>
      <c r="U390" s="508"/>
      <c r="V390" s="132">
        <f t="shared" si="181"/>
        <v>0</v>
      </c>
      <c r="W390" s="133" t="str">
        <f t="shared" si="182"/>
        <v/>
      </c>
      <c r="X390" s="132"/>
      <c r="Y390" s="132"/>
      <c r="Z390" s="132"/>
      <c r="AA390" s="132"/>
    </row>
    <row r="391" spans="1:27" ht="20.100000000000001" hidden="1" customHeight="1">
      <c r="A391" s="300">
        <v>30100019</v>
      </c>
      <c r="B391" s="503" t="s">
        <v>382</v>
      </c>
      <c r="C391" s="187" t="s">
        <v>383</v>
      </c>
      <c r="D391" s="108">
        <v>5.03</v>
      </c>
      <c r="E391" s="108"/>
      <c r="F391" s="127"/>
      <c r="G391" s="128"/>
      <c r="H391" s="504">
        <f t="shared" si="171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6"/>
        <v>0</v>
      </c>
      <c r="N391" s="130">
        <f t="shared" si="180"/>
        <v>0</v>
      </c>
      <c r="O391" s="508"/>
      <c r="P391" s="508"/>
      <c r="Q391" s="508"/>
      <c r="R391" s="508"/>
      <c r="S391" s="508"/>
      <c r="T391" s="508"/>
      <c r="U391" s="508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30100020</v>
      </c>
      <c r="B392" s="503" t="s">
        <v>382</v>
      </c>
      <c r="C392" s="187" t="s">
        <v>384</v>
      </c>
      <c r="D392" s="108">
        <v>5.03</v>
      </c>
      <c r="E392" s="108"/>
      <c r="F392" s="127"/>
      <c r="G392" s="128"/>
      <c r="H392" s="504">
        <f t="shared" si="171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6"/>
        <v>0</v>
      </c>
      <c r="N392" s="130">
        <f t="shared" si="180"/>
        <v>0</v>
      </c>
      <c r="O392" s="508"/>
      <c r="P392" s="508"/>
      <c r="Q392" s="508"/>
      <c r="R392" s="508"/>
      <c r="S392" s="508"/>
      <c r="T392" s="508"/>
      <c r="U392" s="508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0">
        <v>30100021</v>
      </c>
      <c r="B393" s="503" t="s">
        <v>382</v>
      </c>
      <c r="C393" s="187" t="s">
        <v>389</v>
      </c>
      <c r="D393" s="108">
        <v>5.03</v>
      </c>
      <c r="E393" s="108"/>
      <c r="F393" s="127"/>
      <c r="G393" s="128"/>
      <c r="H393" s="504">
        <f t="shared" si="171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6"/>
        <v>0</v>
      </c>
      <c r="N393" s="130">
        <f t="shared" si="180"/>
        <v>0</v>
      </c>
      <c r="O393" s="508"/>
      <c r="P393" s="508"/>
      <c r="Q393" s="508"/>
      <c r="R393" s="508"/>
      <c r="S393" s="508"/>
      <c r="T393" s="508"/>
      <c r="U393" s="508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0">
        <v>30100018</v>
      </c>
      <c r="B394" s="503" t="s">
        <v>382</v>
      </c>
      <c r="C394" s="187" t="s">
        <v>391</v>
      </c>
      <c r="D394" s="108">
        <v>5.03</v>
      </c>
      <c r="E394" s="108"/>
      <c r="F394" s="127"/>
      <c r="G394" s="128"/>
      <c r="H394" s="504">
        <f t="shared" si="171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6"/>
        <v>0</v>
      </c>
      <c r="N394" s="130">
        <f t="shared" si="180"/>
        <v>0</v>
      </c>
      <c r="O394" s="508"/>
      <c r="P394" s="508"/>
      <c r="Q394" s="508"/>
      <c r="R394" s="508"/>
      <c r="S394" s="508"/>
      <c r="T394" s="508"/>
      <c r="U394" s="508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30700007</v>
      </c>
      <c r="B395" s="503" t="s">
        <v>418</v>
      </c>
      <c r="C395" s="187" t="s">
        <v>364</v>
      </c>
      <c r="D395" s="108">
        <v>5.03</v>
      </c>
      <c r="E395" s="108"/>
      <c r="F395" s="127"/>
      <c r="G395" s="128"/>
      <c r="H395" s="504">
        <f t="shared" si="171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6"/>
        <v>0</v>
      </c>
      <c r="N395" s="130"/>
      <c r="O395" s="508"/>
      <c r="P395" s="508"/>
      <c r="Q395" s="508"/>
      <c r="R395" s="508"/>
      <c r="S395" s="508"/>
      <c r="T395" s="508"/>
      <c r="U395" s="508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30700006</v>
      </c>
      <c r="B396" s="503" t="s">
        <v>418</v>
      </c>
      <c r="C396" s="187" t="s">
        <v>365</v>
      </c>
      <c r="D396" s="108">
        <v>5.03</v>
      </c>
      <c r="E396" s="108"/>
      <c r="F396" s="127"/>
      <c r="G396" s="128"/>
      <c r="H396" s="504">
        <f t="shared" si="171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6"/>
        <v>0</v>
      </c>
      <c r="N396" s="130"/>
      <c r="O396" s="508"/>
      <c r="P396" s="508"/>
      <c r="Q396" s="508"/>
      <c r="R396" s="508"/>
      <c r="S396" s="508"/>
      <c r="T396" s="508"/>
      <c r="U396" s="508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3">
        <v>30700008</v>
      </c>
      <c r="B397" s="503" t="s">
        <v>418</v>
      </c>
      <c r="C397" s="187" t="s">
        <v>366</v>
      </c>
      <c r="D397" s="108">
        <v>5.03</v>
      </c>
      <c r="E397" s="108"/>
      <c r="F397" s="127"/>
      <c r="G397" s="128"/>
      <c r="H397" s="504">
        <f t="shared" si="171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6"/>
        <v>0</v>
      </c>
      <c r="N397" s="130"/>
      <c r="O397" s="508"/>
      <c r="P397" s="508"/>
      <c r="Q397" s="508"/>
      <c r="R397" s="508"/>
      <c r="S397" s="508"/>
      <c r="T397" s="508"/>
      <c r="U397" s="508"/>
      <c r="V397" s="132"/>
      <c r="W397" s="133"/>
      <c r="X397" s="132"/>
      <c r="Y397" s="132"/>
      <c r="Z397" s="132"/>
      <c r="AA397" s="132"/>
    </row>
    <row r="398" spans="1:27" ht="20.100000000000001" hidden="1" customHeight="1">
      <c r="A398" s="303">
        <v>30700009</v>
      </c>
      <c r="B398" s="503" t="s">
        <v>418</v>
      </c>
      <c r="C398" s="187" t="s">
        <v>367</v>
      </c>
      <c r="D398" s="108">
        <v>5.03</v>
      </c>
      <c r="E398" s="108"/>
      <c r="F398" s="127"/>
      <c r="G398" s="128"/>
      <c r="H398" s="504">
        <f t="shared" si="171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6"/>
        <v>0</v>
      </c>
      <c r="N398" s="130"/>
      <c r="O398" s="508"/>
      <c r="P398" s="508"/>
      <c r="Q398" s="508"/>
      <c r="R398" s="508"/>
      <c r="S398" s="508"/>
      <c r="T398" s="508"/>
      <c r="U398" s="508"/>
      <c r="V398" s="132"/>
      <c r="W398" s="133"/>
      <c r="X398" s="132"/>
      <c r="Y398" s="132"/>
      <c r="Z398" s="132"/>
      <c r="AA398" s="132"/>
    </row>
    <row r="399" spans="1:27" ht="20.100000000000001" hidden="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28"/>
      <c r="H399" s="504">
        <f t="shared" si="171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6"/>
        <v>0</v>
      </c>
      <c r="N399" s="130">
        <f t="shared" ref="N399:N408" si="183">SUM(O399:U399)</f>
        <v>0</v>
      </c>
      <c r="O399" s="512"/>
      <c r="P399" s="512"/>
      <c r="Q399" s="512"/>
      <c r="R399" s="512"/>
      <c r="S399" s="512"/>
      <c r="T399" s="512"/>
      <c r="U399" s="512"/>
      <c r="V399" s="132">
        <f t="shared" ref="V399:V408" si="184">SUM(X399:AA399)</f>
        <v>0</v>
      </c>
      <c r="W399" s="133" t="str">
        <f t="shared" ref="W399:W408" si="185">IF(ISERROR(V399/G399),"",V399/G399)</f>
        <v/>
      </c>
      <c r="X399" s="132"/>
      <c r="Y399" s="132"/>
      <c r="Z399" s="132"/>
      <c r="AA399" s="132"/>
    </row>
    <row r="400" spans="1:27" ht="20.100000000000001" hidden="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28"/>
      <c r="H400" s="504">
        <f t="shared" si="171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76"/>
        <v>0</v>
      </c>
      <c r="N400" s="130">
        <f t="shared" si="183"/>
        <v>0</v>
      </c>
      <c r="O400" s="512"/>
      <c r="P400" s="512"/>
      <c r="Q400" s="512"/>
      <c r="R400" s="512"/>
      <c r="S400" s="512"/>
      <c r="T400" s="512"/>
      <c r="U400" s="512"/>
      <c r="V400" s="132">
        <f t="shared" si="184"/>
        <v>0</v>
      </c>
      <c r="W400" s="133" t="str">
        <f t="shared" si="185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28"/>
      <c r="H401" s="504">
        <f t="shared" si="171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76"/>
        <v>0</v>
      </c>
      <c r="N401" s="130">
        <f t="shared" si="183"/>
        <v>0</v>
      </c>
      <c r="O401" s="512"/>
      <c r="P401" s="512"/>
      <c r="Q401" s="512"/>
      <c r="R401" s="512"/>
      <c r="S401" s="512"/>
      <c r="T401" s="512"/>
      <c r="U401" s="512"/>
      <c r="V401" s="132">
        <f t="shared" si="184"/>
        <v>0</v>
      </c>
      <c r="W401" s="133" t="str">
        <f t="shared" si="185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28"/>
      <c r="H402" s="504">
        <f t="shared" si="171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6"/>
        <v>0</v>
      </c>
      <c r="N402" s="130">
        <f t="shared" si="183"/>
        <v>0</v>
      </c>
      <c r="O402" s="512"/>
      <c r="P402" s="512"/>
      <c r="Q402" s="512"/>
      <c r="R402" s="512"/>
      <c r="S402" s="512"/>
      <c r="T402" s="512"/>
      <c r="U402" s="512"/>
      <c r="V402" s="132">
        <f t="shared" si="184"/>
        <v>0</v>
      </c>
      <c r="W402" s="133" t="str">
        <f t="shared" si="185"/>
        <v/>
      </c>
      <c r="X402" s="132"/>
      <c r="Y402" s="132"/>
      <c r="Z402" s="132"/>
      <c r="AA402" s="132"/>
    </row>
    <row r="403" spans="1:27" ht="20.100000000000001" hidden="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28"/>
      <c r="H403" s="504">
        <f t="shared" si="171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6"/>
        <v>0</v>
      </c>
      <c r="N403" s="130">
        <f t="shared" si="183"/>
        <v>0</v>
      </c>
      <c r="O403" s="512"/>
      <c r="P403" s="512"/>
      <c r="Q403" s="512"/>
      <c r="R403" s="512"/>
      <c r="S403" s="512"/>
      <c r="T403" s="512"/>
      <c r="U403" s="512"/>
      <c r="V403" s="132">
        <f t="shared" si="184"/>
        <v>0</v>
      </c>
      <c r="W403" s="133" t="str">
        <f t="shared" si="185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28"/>
      <c r="H404" s="504">
        <f t="shared" si="171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6"/>
        <v>0</v>
      </c>
      <c r="N404" s="130">
        <f t="shared" si="183"/>
        <v>0</v>
      </c>
      <c r="O404" s="512"/>
      <c r="P404" s="512"/>
      <c r="Q404" s="512"/>
      <c r="R404" s="512"/>
      <c r="S404" s="512"/>
      <c r="T404" s="512"/>
      <c r="U404" s="512"/>
      <c r="V404" s="132">
        <f t="shared" si="184"/>
        <v>0</v>
      </c>
      <c r="W404" s="133" t="str">
        <f t="shared" si="185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28"/>
      <c r="H405" s="504">
        <f t="shared" si="171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6"/>
        <v>0</v>
      </c>
      <c r="N405" s="130">
        <f t="shared" si="183"/>
        <v>0</v>
      </c>
      <c r="O405" s="512"/>
      <c r="P405" s="512"/>
      <c r="Q405" s="512"/>
      <c r="R405" s="512"/>
      <c r="S405" s="512"/>
      <c r="T405" s="512"/>
      <c r="U405" s="512"/>
      <c r="V405" s="132">
        <f t="shared" si="184"/>
        <v>0</v>
      </c>
      <c r="W405" s="133" t="str">
        <f t="shared" si="185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28"/>
      <c r="H406" s="504">
        <f t="shared" si="171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6"/>
        <v>0</v>
      </c>
      <c r="N406" s="130">
        <f t="shared" si="183"/>
        <v>0</v>
      </c>
      <c r="O406" s="512"/>
      <c r="P406" s="512"/>
      <c r="Q406" s="512"/>
      <c r="R406" s="512"/>
      <c r="S406" s="512"/>
      <c r="T406" s="512"/>
      <c r="U406" s="512"/>
      <c r="V406" s="132">
        <f t="shared" si="184"/>
        <v>0</v>
      </c>
      <c r="W406" s="133" t="str">
        <f t="shared" si="185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28"/>
      <c r="H407" s="504">
        <f t="shared" si="171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76"/>
        <v>0</v>
      </c>
      <c r="N407" s="130">
        <f t="shared" si="183"/>
        <v>0</v>
      </c>
      <c r="O407" s="512"/>
      <c r="P407" s="512"/>
      <c r="Q407" s="512"/>
      <c r="R407" s="512"/>
      <c r="S407" s="512"/>
      <c r="T407" s="512"/>
      <c r="U407" s="512"/>
      <c r="V407" s="132">
        <f t="shared" si="184"/>
        <v>0</v>
      </c>
      <c r="W407" s="133" t="str">
        <f t="shared" si="185"/>
        <v/>
      </c>
      <c r="X407" s="132"/>
      <c r="Y407" s="132"/>
      <c r="Z407" s="132"/>
      <c r="AA407" s="132"/>
    </row>
    <row r="408" spans="1:27" ht="20.100000000000001" hidden="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28"/>
      <c r="H408" s="504">
        <f t="shared" si="171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76"/>
        <v>0</v>
      </c>
      <c r="N408" s="130">
        <f t="shared" si="183"/>
        <v>0</v>
      </c>
      <c r="O408" s="512"/>
      <c r="P408" s="512"/>
      <c r="Q408" s="512"/>
      <c r="R408" s="512"/>
      <c r="S408" s="512"/>
      <c r="T408" s="512"/>
      <c r="U408" s="512"/>
      <c r="V408" s="132">
        <f t="shared" si="184"/>
        <v>0</v>
      </c>
      <c r="W408" s="133" t="str">
        <f t="shared" si="185"/>
        <v/>
      </c>
      <c r="X408" s="132"/>
      <c r="Y408" s="132"/>
      <c r="Z408" s="132"/>
      <c r="AA408" s="132"/>
    </row>
    <row r="409" spans="1:27" ht="20.100000000000001" hidden="1" customHeight="1">
      <c r="A409" s="300">
        <v>30100043</v>
      </c>
      <c r="B409" s="134" t="s">
        <v>429</v>
      </c>
      <c r="C409" s="187" t="s">
        <v>427</v>
      </c>
      <c r="D409" s="108">
        <v>50.3</v>
      </c>
      <c r="E409" s="108"/>
      <c r="F409" s="127"/>
      <c r="G409" s="128"/>
      <c r="H409" s="504">
        <f t="shared" si="171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512"/>
      <c r="P409" s="512"/>
      <c r="Q409" s="512"/>
      <c r="R409" s="512"/>
      <c r="S409" s="512"/>
      <c r="T409" s="512"/>
      <c r="U409" s="512"/>
      <c r="V409" s="132"/>
      <c r="W409" s="133"/>
      <c r="X409" s="132"/>
      <c r="Y409" s="132"/>
      <c r="Z409" s="132"/>
      <c r="AA409" s="132"/>
    </row>
    <row r="410" spans="1:27" ht="20.100000000000001" hidden="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28"/>
      <c r="H410" s="504">
        <f t="shared" si="171"/>
        <v>0</v>
      </c>
      <c r="I410" s="129"/>
      <c r="J410" s="130"/>
      <c r="K410" s="131"/>
      <c r="L410" s="129">
        <v>50</v>
      </c>
      <c r="M410" s="109"/>
      <c r="N410" s="130"/>
      <c r="O410" s="512"/>
      <c r="P410" s="512"/>
      <c r="Q410" s="512"/>
      <c r="R410" s="512"/>
      <c r="S410" s="512"/>
      <c r="T410" s="512"/>
      <c r="U410" s="512"/>
      <c r="V410" s="132"/>
      <c r="W410" s="133"/>
      <c r="X410" s="132"/>
      <c r="Y410" s="132"/>
      <c r="Z410" s="132"/>
      <c r="AA410" s="132"/>
    </row>
    <row r="411" spans="1:27" ht="20.100000000000001" hidden="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28"/>
      <c r="H411" s="504">
        <f t="shared" si="171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6">IF(ISERROR(I411-K411),"",I411-K411)</f>
        <v>0</v>
      </c>
      <c r="N411" s="130">
        <f t="shared" ref="N411:N412" si="187">SUM(O411:U411)</f>
        <v>0</v>
      </c>
      <c r="O411" s="512"/>
      <c r="P411" s="512"/>
      <c r="Q411" s="512"/>
      <c r="R411" s="512"/>
      <c r="S411" s="512"/>
      <c r="T411" s="512"/>
      <c r="U411" s="512"/>
      <c r="V411" s="132">
        <f t="shared" ref="V411:V412" si="188">SUM(X411:AA411)</f>
        <v>0</v>
      </c>
      <c r="W411" s="133" t="str">
        <f t="shared" ref="W411:W412" si="189">IF(ISERROR(V411/G411),"",V411/G411)</f>
        <v/>
      </c>
      <c r="X411" s="132"/>
      <c r="Y411" s="132"/>
      <c r="Z411" s="132"/>
      <c r="AA411" s="132"/>
    </row>
    <row r="412" spans="1:27" ht="20.100000000000001" hidden="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28"/>
      <c r="H412" s="504">
        <f t="shared" si="171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6"/>
        <v>0</v>
      </c>
      <c r="N412" s="130">
        <f t="shared" si="187"/>
        <v>0</v>
      </c>
      <c r="O412" s="512"/>
      <c r="P412" s="512"/>
      <c r="Q412" s="512"/>
      <c r="R412" s="512"/>
      <c r="S412" s="512"/>
      <c r="T412" s="512"/>
      <c r="U412" s="512"/>
      <c r="V412" s="132">
        <f t="shared" si="188"/>
        <v>0</v>
      </c>
      <c r="W412" s="133" t="str">
        <f t="shared" si="189"/>
        <v/>
      </c>
      <c r="X412" s="132"/>
      <c r="Y412" s="132"/>
      <c r="Z412" s="132"/>
      <c r="AA412" s="132"/>
    </row>
    <row r="413" spans="1:27" ht="20.100000000000001" hidden="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28"/>
      <c r="H413" s="504">
        <f t="shared" si="171"/>
        <v>0</v>
      </c>
      <c r="I413" s="129"/>
      <c r="J413" s="130"/>
      <c r="K413" s="131"/>
      <c r="L413" s="129"/>
      <c r="M413" s="109"/>
      <c r="N413" s="130"/>
      <c r="O413" s="512"/>
      <c r="P413" s="512"/>
      <c r="Q413" s="512"/>
      <c r="R413" s="512"/>
      <c r="S413" s="512"/>
      <c r="T413" s="512"/>
      <c r="U413" s="512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28"/>
      <c r="H414" s="504">
        <f t="shared" si="171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90">IF(ISERROR(I414-K414),"",I414-K414)</f>
        <v/>
      </c>
      <c r="N414" s="130">
        <f t="shared" ref="N414:N417" si="191">SUM(O414:U414)</f>
        <v>0</v>
      </c>
      <c r="O414" s="512"/>
      <c r="P414" s="512"/>
      <c r="Q414" s="512"/>
      <c r="R414" s="512"/>
      <c r="S414" s="512"/>
      <c r="T414" s="512"/>
      <c r="U414" s="512"/>
      <c r="V414" s="132">
        <f t="shared" ref="V414:V417" si="192">SUM(X414:AA414)</f>
        <v>0</v>
      </c>
      <c r="W414" s="133" t="str">
        <f t="shared" ref="W414:W417" si="193">IF(ISERROR(V414/G414),"",V414/G414)</f>
        <v/>
      </c>
      <c r="X414" s="132"/>
      <c r="Y414" s="132"/>
      <c r="Z414" s="132"/>
      <c r="AA414" s="132"/>
    </row>
    <row r="415" spans="1:27" ht="20.100000000000001" hidden="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28"/>
      <c r="H415" s="504">
        <f t="shared" si="171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0"/>
        <v/>
      </c>
      <c r="N415" s="130">
        <f t="shared" si="191"/>
        <v>0</v>
      </c>
      <c r="O415" s="512"/>
      <c r="P415" s="512"/>
      <c r="Q415" s="512"/>
      <c r="R415" s="512"/>
      <c r="S415" s="512"/>
      <c r="T415" s="512"/>
      <c r="U415" s="512"/>
      <c r="V415" s="132">
        <f t="shared" si="192"/>
        <v>0</v>
      </c>
      <c r="W415" s="133" t="str">
        <f t="shared" si="193"/>
        <v/>
      </c>
      <c r="X415" s="132"/>
      <c r="Y415" s="132"/>
      <c r="Z415" s="132"/>
      <c r="AA415" s="132"/>
    </row>
    <row r="416" spans="1:27" ht="20.100000000000001" hidden="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28"/>
      <c r="H416" s="504">
        <f t="shared" si="171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90"/>
        <v/>
      </c>
      <c r="N416" s="130">
        <f t="shared" si="191"/>
        <v>0</v>
      </c>
      <c r="O416" s="512"/>
      <c r="P416" s="512"/>
      <c r="Q416" s="512"/>
      <c r="R416" s="512"/>
      <c r="S416" s="512"/>
      <c r="T416" s="512"/>
      <c r="U416" s="512"/>
      <c r="V416" s="132">
        <f t="shared" si="192"/>
        <v>0</v>
      </c>
      <c r="W416" s="133" t="str">
        <f t="shared" si="193"/>
        <v/>
      </c>
      <c r="X416" s="132"/>
      <c r="Y416" s="132"/>
      <c r="Z416" s="132"/>
      <c r="AA416" s="132"/>
    </row>
    <row r="417" spans="1:27" ht="20.100000000000001" hidden="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28"/>
      <c r="H417" s="504">
        <f t="shared" si="171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90"/>
        <v/>
      </c>
      <c r="N417" s="130">
        <f t="shared" si="191"/>
        <v>0</v>
      </c>
      <c r="O417" s="512"/>
      <c r="P417" s="512"/>
      <c r="Q417" s="512"/>
      <c r="R417" s="512"/>
      <c r="S417" s="512"/>
      <c r="T417" s="512"/>
      <c r="U417" s="512"/>
      <c r="V417" s="132">
        <f t="shared" si="192"/>
        <v>0</v>
      </c>
      <c r="W417" s="133" t="str">
        <f t="shared" si="193"/>
        <v/>
      </c>
      <c r="X417" s="132"/>
      <c r="Y417" s="132"/>
      <c r="Z417" s="132"/>
      <c r="AA417" s="132"/>
    </row>
    <row r="418" spans="1:27" ht="20.100000000000001" hidden="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28"/>
      <c r="H418" s="504">
        <f t="shared" si="171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0"/>
        <v>0</v>
      </c>
      <c r="N418" s="130"/>
      <c r="O418" s="512"/>
      <c r="P418" s="512"/>
      <c r="Q418" s="512"/>
      <c r="R418" s="512"/>
      <c r="S418" s="512"/>
      <c r="T418" s="512"/>
      <c r="U418" s="512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28"/>
      <c r="H419" s="504">
        <f t="shared" si="171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0"/>
        <v>0</v>
      </c>
      <c r="N419" s="130"/>
      <c r="O419" s="512"/>
      <c r="P419" s="512"/>
      <c r="Q419" s="512"/>
      <c r="R419" s="512"/>
      <c r="S419" s="512"/>
      <c r="T419" s="512"/>
      <c r="U419" s="512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28"/>
      <c r="H420" s="504">
        <f t="shared" si="171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90"/>
        <v>0</v>
      </c>
      <c r="N420" s="130"/>
      <c r="O420" s="512"/>
      <c r="P420" s="512"/>
      <c r="Q420" s="512"/>
      <c r="R420" s="512"/>
      <c r="S420" s="512"/>
      <c r="T420" s="512"/>
      <c r="U420" s="512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28"/>
      <c r="H421" s="504">
        <f t="shared" si="171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90"/>
        <v>0</v>
      </c>
      <c r="N421" s="130"/>
      <c r="O421" s="512"/>
      <c r="P421" s="512"/>
      <c r="Q421" s="512"/>
      <c r="R421" s="512"/>
      <c r="S421" s="512"/>
      <c r="T421" s="512"/>
      <c r="U421" s="512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28"/>
      <c r="H422" s="504">
        <f t="shared" si="171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0"/>
        <v>0</v>
      </c>
      <c r="N422" s="130"/>
      <c r="O422" s="512"/>
      <c r="P422" s="512"/>
      <c r="Q422" s="512"/>
      <c r="R422" s="512"/>
      <c r="S422" s="512"/>
      <c r="T422" s="512"/>
      <c r="U422" s="512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28"/>
      <c r="H423" s="504">
        <f t="shared" si="171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0"/>
        <v>0</v>
      </c>
      <c r="N423" s="130"/>
      <c r="O423" s="512"/>
      <c r="P423" s="512"/>
      <c r="Q423" s="512"/>
      <c r="R423" s="512"/>
      <c r="S423" s="512"/>
      <c r="T423" s="512"/>
      <c r="U423" s="512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28"/>
      <c r="H424" s="504">
        <f t="shared" si="171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0"/>
        <v>0</v>
      </c>
      <c r="N424" s="130"/>
      <c r="O424" s="512"/>
      <c r="P424" s="512"/>
      <c r="Q424" s="512"/>
      <c r="R424" s="512"/>
      <c r="S424" s="512"/>
      <c r="T424" s="512"/>
      <c r="U424" s="512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28"/>
      <c r="H425" s="504">
        <f t="shared" si="171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0"/>
        <v>0</v>
      </c>
      <c r="N425" s="130"/>
      <c r="O425" s="512"/>
      <c r="P425" s="512"/>
      <c r="Q425" s="512"/>
      <c r="R425" s="512"/>
      <c r="S425" s="512"/>
      <c r="T425" s="512"/>
      <c r="U425" s="512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28"/>
      <c r="H426" s="504">
        <f t="shared" si="171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90"/>
        <v>0</v>
      </c>
      <c r="N426" s="130"/>
      <c r="O426" s="512"/>
      <c r="P426" s="512"/>
      <c r="Q426" s="512"/>
      <c r="R426" s="512"/>
      <c r="S426" s="512"/>
      <c r="T426" s="512"/>
      <c r="U426" s="512"/>
      <c r="V426" s="132"/>
      <c r="W426" s="133"/>
      <c r="X426" s="132"/>
      <c r="Y426" s="132"/>
      <c r="Z426" s="132"/>
      <c r="AA426" s="132"/>
    </row>
    <row r="427" spans="1:27" ht="20.100000000000001" hidden="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28"/>
      <c r="H427" s="504">
        <f t="shared" si="171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90"/>
        <v>0</v>
      </c>
      <c r="N427" s="130"/>
      <c r="O427" s="512"/>
      <c r="P427" s="512"/>
      <c r="Q427" s="512"/>
      <c r="R427" s="512"/>
      <c r="S427" s="512"/>
      <c r="T427" s="512"/>
      <c r="U427" s="512"/>
      <c r="V427" s="132"/>
      <c r="W427" s="133"/>
      <c r="X427" s="132"/>
      <c r="Y427" s="132"/>
      <c r="Z427" s="132"/>
      <c r="AA427" s="132"/>
    </row>
    <row r="428" spans="1:27" ht="20.100000000000001" hidden="1" customHeight="1">
      <c r="A428" s="589" t="s">
        <v>216</v>
      </c>
      <c r="B428" s="589"/>
      <c r="C428" s="513" t="s">
        <v>202</v>
      </c>
      <c r="D428" s="143"/>
      <c r="E428" s="143"/>
      <c r="F428" s="144"/>
      <c r="G428" s="145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4">SUM(M371:M427)</f>
        <v>0</v>
      </c>
      <c r="N428" s="146">
        <f t="shared" si="194"/>
        <v>0</v>
      </c>
      <c r="O428" s="148">
        <f t="shared" si="194"/>
        <v>0</v>
      </c>
      <c r="P428" s="148">
        <f t="shared" si="194"/>
        <v>0</v>
      </c>
      <c r="Q428" s="148">
        <f t="shared" si="194"/>
        <v>0</v>
      </c>
      <c r="R428" s="148">
        <f t="shared" si="194"/>
        <v>0</v>
      </c>
      <c r="S428" s="148">
        <f t="shared" si="194"/>
        <v>0</v>
      </c>
      <c r="T428" s="148">
        <f t="shared" si="194"/>
        <v>0</v>
      </c>
      <c r="U428" s="148">
        <f t="shared" si="194"/>
        <v>0</v>
      </c>
      <c r="V428" s="149">
        <f t="shared" si="194"/>
        <v>0</v>
      </c>
      <c r="W428" s="133" t="str">
        <f t="shared" ref="W428:W435" si="195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hidden="1" customHeight="1">
      <c r="A429" s="299">
        <v>30400012</v>
      </c>
      <c r="B429" s="503" t="s">
        <v>217</v>
      </c>
      <c r="C429" s="126" t="s">
        <v>179</v>
      </c>
      <c r="D429" s="108">
        <v>5.03</v>
      </c>
      <c r="E429" s="108"/>
      <c r="F429" s="127"/>
      <c r="G429" s="128"/>
      <c r="H429" s="504">
        <f t="shared" ref="H429:H462" si="196">D429*G429</f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ref="M429:M436" si="197">IF(ISERROR(I429-K429),"",I429-K429)</f>
        <v>0</v>
      </c>
      <c r="N429" s="130">
        <f t="shared" ref="N429:N436" si="198">SUM(O429:U429)</f>
        <v>0</v>
      </c>
      <c r="O429" s="512"/>
      <c r="P429" s="512"/>
      <c r="Q429" s="512"/>
      <c r="R429" s="512"/>
      <c r="S429" s="512"/>
      <c r="T429" s="512"/>
      <c r="U429" s="512"/>
      <c r="V429" s="132">
        <f t="shared" ref="V429:V435" si="199">SUM(X429:AA429)</f>
        <v>0</v>
      </c>
      <c r="W429" s="133" t="str">
        <f t="shared" si="195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30400010</v>
      </c>
      <c r="B430" s="503" t="s">
        <v>217</v>
      </c>
      <c r="C430" s="126" t="s">
        <v>186</v>
      </c>
      <c r="D430" s="108">
        <v>5.03</v>
      </c>
      <c r="E430" s="108"/>
      <c r="F430" s="127"/>
      <c r="G430" s="128"/>
      <c r="H430" s="504">
        <f t="shared" si="196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8.8000000000000007</v>
      </c>
      <c r="M430" s="109">
        <f t="shared" si="197"/>
        <v>0</v>
      </c>
      <c r="N430" s="130">
        <f t="shared" si="198"/>
        <v>0</v>
      </c>
      <c r="O430" s="512"/>
      <c r="P430" s="512"/>
      <c r="Q430" s="512"/>
      <c r="R430" s="512"/>
      <c r="S430" s="512"/>
      <c r="T430" s="512"/>
      <c r="U430" s="512"/>
      <c r="V430" s="132">
        <f t="shared" si="199"/>
        <v>0</v>
      </c>
      <c r="W430" s="133" t="str">
        <f t="shared" si="195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30400011</v>
      </c>
      <c r="B431" s="503" t="s">
        <v>217</v>
      </c>
      <c r="C431" s="126" t="s">
        <v>204</v>
      </c>
      <c r="D431" s="108">
        <v>5.03</v>
      </c>
      <c r="E431" s="108"/>
      <c r="F431" s="127"/>
      <c r="G431" s="128"/>
      <c r="H431" s="504">
        <f t="shared" si="196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8.8000000000000007</v>
      </c>
      <c r="M431" s="109">
        <f t="shared" si="197"/>
        <v>0</v>
      </c>
      <c r="N431" s="130">
        <f t="shared" si="198"/>
        <v>0</v>
      </c>
      <c r="O431" s="512"/>
      <c r="P431" s="512"/>
      <c r="Q431" s="512"/>
      <c r="R431" s="512"/>
      <c r="S431" s="512"/>
      <c r="T431" s="512"/>
      <c r="U431" s="512"/>
      <c r="V431" s="132">
        <f t="shared" si="199"/>
        <v>0</v>
      </c>
      <c r="W431" s="133" t="str">
        <f t="shared" si="195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28"/>
      <c r="H432" s="504">
        <f t="shared" si="196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7"/>
        <v>0</v>
      </c>
      <c r="N432" s="130">
        <f t="shared" si="198"/>
        <v>0</v>
      </c>
      <c r="O432" s="512"/>
      <c r="P432" s="512"/>
      <c r="Q432" s="512"/>
      <c r="R432" s="512"/>
      <c r="S432" s="512"/>
      <c r="T432" s="512"/>
      <c r="U432" s="512"/>
      <c r="V432" s="132">
        <f t="shared" si="199"/>
        <v>0</v>
      </c>
      <c r="W432" s="133" t="str">
        <f t="shared" si="195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/>
      <c r="G433" s="128"/>
      <c r="H433" s="504">
        <f t="shared" si="196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7"/>
        <v>0</v>
      </c>
      <c r="N433" s="130">
        <f t="shared" si="198"/>
        <v>0</v>
      </c>
      <c r="O433" s="512"/>
      <c r="P433" s="512"/>
      <c r="Q433" s="512"/>
      <c r="R433" s="512"/>
      <c r="S433" s="512"/>
      <c r="T433" s="512"/>
      <c r="U433" s="512"/>
      <c r="V433" s="132">
        <f t="shared" si="199"/>
        <v>0</v>
      </c>
      <c r="W433" s="133" t="str">
        <f t="shared" si="195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/>
      <c r="G434" s="128"/>
      <c r="H434" s="504">
        <f t="shared" si="196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9.3000000000000007</v>
      </c>
      <c r="M434" s="109">
        <f t="shared" si="197"/>
        <v>0</v>
      </c>
      <c r="N434" s="130">
        <f t="shared" si="198"/>
        <v>0</v>
      </c>
      <c r="O434" s="512"/>
      <c r="P434" s="512"/>
      <c r="Q434" s="512"/>
      <c r="R434" s="512"/>
      <c r="S434" s="512"/>
      <c r="T434" s="512"/>
      <c r="U434" s="512"/>
      <c r="V434" s="132">
        <f t="shared" si="199"/>
        <v>0</v>
      </c>
      <c r="W434" s="133" t="str">
        <f t="shared" si="195"/>
        <v/>
      </c>
      <c r="X434" s="132"/>
      <c r="Y434" s="132"/>
      <c r="Z434" s="132"/>
      <c r="AA434" s="132"/>
    </row>
    <row r="435" spans="1:27" ht="20.100000000000001" hidden="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/>
      <c r="G435" s="128"/>
      <c r="H435" s="504">
        <f t="shared" si="196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9.3000000000000007</v>
      </c>
      <c r="M435" s="109">
        <f t="shared" si="197"/>
        <v>0</v>
      </c>
      <c r="N435" s="130">
        <f t="shared" si="198"/>
        <v>0</v>
      </c>
      <c r="O435" s="512"/>
      <c r="P435" s="512"/>
      <c r="Q435" s="512"/>
      <c r="R435" s="512"/>
      <c r="S435" s="512"/>
      <c r="T435" s="512"/>
      <c r="U435" s="512"/>
      <c r="V435" s="132">
        <f t="shared" si="199"/>
        <v>0</v>
      </c>
      <c r="W435" s="133" t="str">
        <f t="shared" si="195"/>
        <v/>
      </c>
      <c r="X435" s="132"/>
      <c r="Y435" s="132"/>
      <c r="Z435" s="132"/>
      <c r="AA435" s="132"/>
    </row>
    <row r="436" spans="1:27" ht="20.100000000000001" hidden="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/>
      <c r="G436" s="128"/>
      <c r="H436" s="504">
        <f t="shared" si="196"/>
        <v>0</v>
      </c>
      <c r="I436" s="129"/>
      <c r="J436" s="130"/>
      <c r="K436" s="131">
        <f t="array" ref="K436">IF(ISERROR(G436/L436),"",G436/L436)</f>
        <v>0</v>
      </c>
      <c r="L436" s="129">
        <v>9.3000000000000007</v>
      </c>
      <c r="M436" s="109">
        <f t="shared" si="197"/>
        <v>0</v>
      </c>
      <c r="N436" s="130">
        <f t="shared" si="198"/>
        <v>0</v>
      </c>
      <c r="O436" s="512"/>
      <c r="P436" s="512"/>
      <c r="Q436" s="512"/>
      <c r="R436" s="512"/>
      <c r="S436" s="512"/>
      <c r="T436" s="512"/>
      <c r="U436" s="512"/>
      <c r="V436" s="132"/>
      <c r="W436" s="133"/>
      <c r="X436" s="132"/>
      <c r="Y436" s="132"/>
      <c r="Z436" s="132"/>
      <c r="AA436" s="132"/>
    </row>
    <row r="437" spans="1:27" ht="20.100000000000001" hidden="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28"/>
      <c r="H437" s="504">
        <f t="shared" si="196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512"/>
      <c r="P437" s="512"/>
      <c r="Q437" s="512"/>
      <c r="R437" s="512"/>
      <c r="S437" s="512"/>
      <c r="T437" s="512"/>
      <c r="U437" s="512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28"/>
      <c r="H438" s="504">
        <f t="shared" si="196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512"/>
      <c r="P438" s="512"/>
      <c r="Q438" s="512"/>
      <c r="R438" s="512"/>
      <c r="S438" s="512"/>
      <c r="T438" s="512"/>
      <c r="U438" s="512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28"/>
      <c r="H439" s="504">
        <f t="shared" si="196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512"/>
      <c r="P439" s="512"/>
      <c r="Q439" s="512"/>
      <c r="R439" s="512"/>
      <c r="S439" s="512"/>
      <c r="T439" s="512"/>
      <c r="U439" s="512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28"/>
      <c r="H440" s="504">
        <f t="shared" si="196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512"/>
      <c r="P440" s="512"/>
      <c r="Q440" s="512"/>
      <c r="R440" s="512"/>
      <c r="S440" s="512"/>
      <c r="T440" s="512"/>
      <c r="U440" s="512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hidden="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28"/>
      <c r="H441" s="504">
        <f t="shared" si="196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2" si="200">IF(ISERROR(I441-K441),"",I441-K441)</f>
        <v>0</v>
      </c>
      <c r="N441" s="130">
        <f t="shared" ref="N441:N456" si="201">SUM(O441:U441)</f>
        <v>0</v>
      </c>
      <c r="O441" s="512"/>
      <c r="P441" s="512"/>
      <c r="Q441" s="512"/>
      <c r="R441" s="512"/>
      <c r="S441" s="512"/>
      <c r="T441" s="512"/>
      <c r="U441" s="512"/>
      <c r="V441" s="132">
        <f t="shared" ref="V441:V444" si="202">SUM(X441:AA441)</f>
        <v>0</v>
      </c>
      <c r="W441" s="133" t="str">
        <f t="shared" ref="W441:W448" si="203">IF(ISERROR(V441/G441),"",V441/G441)</f>
        <v/>
      </c>
      <c r="X441" s="132"/>
      <c r="Y441" s="132"/>
      <c r="Z441" s="132"/>
      <c r="AA441" s="132"/>
    </row>
    <row r="442" spans="1:27" ht="20.100000000000001" hidden="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28"/>
      <c r="H442" s="504">
        <f t="shared" si="196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0"/>
        <v/>
      </c>
      <c r="N442" s="130">
        <f t="shared" si="201"/>
        <v>0</v>
      </c>
      <c r="O442" s="512"/>
      <c r="P442" s="512"/>
      <c r="Q442" s="512"/>
      <c r="R442" s="512"/>
      <c r="S442" s="512"/>
      <c r="T442" s="512"/>
      <c r="U442" s="512"/>
      <c r="V442" s="132">
        <f t="shared" si="202"/>
        <v>0</v>
      </c>
      <c r="W442" s="133" t="str">
        <f t="shared" si="203"/>
        <v/>
      </c>
      <c r="X442" s="132"/>
      <c r="Y442" s="132"/>
      <c r="Z442" s="132"/>
      <c r="AA442" s="132"/>
    </row>
    <row r="443" spans="1:27" ht="20.100000000000001" hidden="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28"/>
      <c r="H443" s="504">
        <f t="shared" si="196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200"/>
        <v/>
      </c>
      <c r="N443" s="130">
        <f t="shared" si="201"/>
        <v>0</v>
      </c>
      <c r="O443" s="512"/>
      <c r="P443" s="512"/>
      <c r="Q443" s="512"/>
      <c r="R443" s="512"/>
      <c r="S443" s="512"/>
      <c r="T443" s="512"/>
      <c r="U443" s="512"/>
      <c r="V443" s="132">
        <f t="shared" si="202"/>
        <v>0</v>
      </c>
      <c r="W443" s="133" t="str">
        <f t="shared" si="203"/>
        <v/>
      </c>
      <c r="X443" s="132"/>
      <c r="Y443" s="132"/>
      <c r="Z443" s="132"/>
      <c r="AA443" s="132"/>
    </row>
    <row r="444" spans="1:27" ht="20.100000000000001" hidden="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28"/>
      <c r="H444" s="504">
        <f t="shared" si="196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200"/>
        <v/>
      </c>
      <c r="N444" s="130">
        <f t="shared" si="201"/>
        <v>0</v>
      </c>
      <c r="O444" s="512"/>
      <c r="P444" s="512"/>
      <c r="Q444" s="512"/>
      <c r="R444" s="512"/>
      <c r="S444" s="512"/>
      <c r="T444" s="512"/>
      <c r="U444" s="512"/>
      <c r="V444" s="132">
        <f t="shared" si="202"/>
        <v>0</v>
      </c>
      <c r="W444" s="133" t="str">
        <f t="shared" si="203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30600005</v>
      </c>
      <c r="B445" s="503" t="s">
        <v>222</v>
      </c>
      <c r="C445" s="126" t="s">
        <v>181</v>
      </c>
      <c r="D445" s="108">
        <v>9.36</v>
      </c>
      <c r="E445" s="108"/>
      <c r="F445" s="127"/>
      <c r="G445" s="128"/>
      <c r="H445" s="504">
        <f t="shared" si="196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0"/>
        <v>0</v>
      </c>
      <c r="N445" s="130">
        <f t="shared" si="201"/>
        <v>0</v>
      </c>
      <c r="O445" s="512"/>
      <c r="P445" s="512"/>
      <c r="Q445" s="512"/>
      <c r="R445" s="512"/>
      <c r="S445" s="512"/>
      <c r="T445" s="512"/>
      <c r="U445" s="512"/>
      <c r="V445" s="132">
        <f t="shared" ref="V445:V448" si="204">SUM(X445:AA445)</f>
        <v>0</v>
      </c>
      <c r="W445" s="133" t="str">
        <f t="shared" si="203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30600008</v>
      </c>
      <c r="B446" s="503" t="s">
        <v>222</v>
      </c>
      <c r="C446" s="126" t="s">
        <v>179</v>
      </c>
      <c r="D446" s="108">
        <v>9.36</v>
      </c>
      <c r="E446" s="108"/>
      <c r="F446" s="127"/>
      <c r="G446" s="128"/>
      <c r="H446" s="504">
        <f t="shared" si="196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0"/>
        <v>0</v>
      </c>
      <c r="N446" s="130">
        <f t="shared" si="201"/>
        <v>0</v>
      </c>
      <c r="O446" s="512"/>
      <c r="P446" s="512"/>
      <c r="Q446" s="512"/>
      <c r="R446" s="512"/>
      <c r="S446" s="512"/>
      <c r="T446" s="512"/>
      <c r="U446" s="512"/>
      <c r="V446" s="132">
        <f t="shared" si="204"/>
        <v>0</v>
      </c>
      <c r="W446" s="133" t="str">
        <f t="shared" si="203"/>
        <v/>
      </c>
      <c r="X446" s="132"/>
      <c r="Y446" s="132"/>
      <c r="Z446" s="132"/>
      <c r="AA446" s="132"/>
    </row>
    <row r="447" spans="1:27" ht="20.100000000000001" hidden="1" customHeight="1">
      <c r="A447" s="304">
        <v>30600007</v>
      </c>
      <c r="B447" s="503" t="s">
        <v>222</v>
      </c>
      <c r="C447" s="126" t="s">
        <v>221</v>
      </c>
      <c r="D447" s="108">
        <v>9.36</v>
      </c>
      <c r="E447" s="108"/>
      <c r="F447" s="127"/>
      <c r="G447" s="128"/>
      <c r="H447" s="504">
        <f t="shared" si="196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200"/>
        <v>0</v>
      </c>
      <c r="N447" s="130">
        <f t="shared" si="201"/>
        <v>0</v>
      </c>
      <c r="O447" s="512"/>
      <c r="P447" s="512"/>
      <c r="Q447" s="512"/>
      <c r="R447" s="512"/>
      <c r="S447" s="512"/>
      <c r="T447" s="512"/>
      <c r="U447" s="512"/>
      <c r="V447" s="132">
        <f t="shared" si="204"/>
        <v>0</v>
      </c>
      <c r="W447" s="133" t="str">
        <f t="shared" si="203"/>
        <v/>
      </c>
      <c r="X447" s="132"/>
      <c r="Y447" s="132"/>
      <c r="Z447" s="132"/>
      <c r="AA447" s="132"/>
    </row>
    <row r="448" spans="1:27" ht="20.100000000000001" hidden="1" customHeight="1">
      <c r="A448" s="304">
        <v>30600006</v>
      </c>
      <c r="B448" s="503" t="s">
        <v>222</v>
      </c>
      <c r="C448" s="126" t="s">
        <v>186</v>
      </c>
      <c r="D448" s="108">
        <v>9.36</v>
      </c>
      <c r="E448" s="108"/>
      <c r="F448" s="127"/>
      <c r="G448" s="128"/>
      <c r="H448" s="504">
        <f t="shared" si="196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200"/>
        <v>0</v>
      </c>
      <c r="N448" s="130">
        <f t="shared" si="201"/>
        <v>0</v>
      </c>
      <c r="O448" s="512"/>
      <c r="P448" s="512"/>
      <c r="Q448" s="512"/>
      <c r="R448" s="512"/>
      <c r="S448" s="512"/>
      <c r="T448" s="512"/>
      <c r="U448" s="512"/>
      <c r="V448" s="132">
        <f t="shared" si="204"/>
        <v>0</v>
      </c>
      <c r="W448" s="133" t="str">
        <f t="shared" si="203"/>
        <v/>
      </c>
      <c r="X448" s="132"/>
      <c r="Y448" s="132"/>
      <c r="Z448" s="132"/>
      <c r="AA448" s="132"/>
    </row>
    <row r="449" spans="1:27" ht="20.100000000000001" hidden="1" customHeight="1">
      <c r="A449" s="299">
        <v>30400026</v>
      </c>
      <c r="B449" s="503" t="s">
        <v>393</v>
      </c>
      <c r="C449" s="187" t="s">
        <v>395</v>
      </c>
      <c r="D449" s="108">
        <v>5</v>
      </c>
      <c r="E449" s="108"/>
      <c r="F449" s="127"/>
      <c r="G449" s="128"/>
      <c r="H449" s="504">
        <f t="shared" si="196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0"/>
        <v>0</v>
      </c>
      <c r="N449" s="130">
        <f t="shared" si="201"/>
        <v>0</v>
      </c>
      <c r="O449" s="512"/>
      <c r="P449" s="512"/>
      <c r="Q449" s="512"/>
      <c r="R449" s="512"/>
      <c r="S449" s="512"/>
      <c r="T449" s="512"/>
      <c r="U449" s="512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>
        <v>30400028</v>
      </c>
      <c r="B450" s="503" t="s">
        <v>393</v>
      </c>
      <c r="C450" s="187" t="s">
        <v>402</v>
      </c>
      <c r="D450" s="108">
        <v>5</v>
      </c>
      <c r="E450" s="108"/>
      <c r="F450" s="127"/>
      <c r="G450" s="128"/>
      <c r="H450" s="504">
        <f t="shared" si="196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0"/>
        <v>0</v>
      </c>
      <c r="N450" s="130">
        <f t="shared" si="201"/>
        <v>0</v>
      </c>
      <c r="O450" s="512"/>
      <c r="P450" s="512"/>
      <c r="Q450" s="512"/>
      <c r="R450" s="512"/>
      <c r="S450" s="512"/>
      <c r="T450" s="512"/>
      <c r="U450" s="512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30400027</v>
      </c>
      <c r="B451" s="503" t="s">
        <v>404</v>
      </c>
      <c r="C451" s="187" t="s">
        <v>405</v>
      </c>
      <c r="D451" s="108">
        <v>5</v>
      </c>
      <c r="E451" s="108"/>
      <c r="F451" s="127"/>
      <c r="G451" s="128"/>
      <c r="H451" s="504">
        <f t="shared" si="196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0"/>
        <v>0</v>
      </c>
      <c r="N451" s="130">
        <f t="shared" si="201"/>
        <v>0</v>
      </c>
      <c r="O451" s="512"/>
      <c r="P451" s="512"/>
      <c r="Q451" s="512"/>
      <c r="R451" s="512"/>
      <c r="S451" s="512"/>
      <c r="T451" s="512"/>
      <c r="U451" s="512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/>
      <c r="B452" s="503" t="s">
        <v>342</v>
      </c>
      <c r="C452" s="187" t="s">
        <v>372</v>
      </c>
      <c r="D452" s="108">
        <v>5</v>
      </c>
      <c r="E452" s="108"/>
      <c r="F452" s="127"/>
      <c r="G452" s="128"/>
      <c r="H452" s="504">
        <f t="shared" si="196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0"/>
        <v>0</v>
      </c>
      <c r="N452" s="130">
        <f t="shared" si="201"/>
        <v>0</v>
      </c>
      <c r="O452" s="512"/>
      <c r="P452" s="512"/>
      <c r="Q452" s="512"/>
      <c r="R452" s="512"/>
      <c r="S452" s="512"/>
      <c r="T452" s="512"/>
      <c r="U452" s="512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30600009</v>
      </c>
      <c r="B453" s="503" t="s">
        <v>343</v>
      </c>
      <c r="C453" s="126" t="s">
        <v>345</v>
      </c>
      <c r="D453" s="108">
        <v>5</v>
      </c>
      <c r="E453" s="108"/>
      <c r="F453" s="127"/>
      <c r="G453" s="128"/>
      <c r="H453" s="504">
        <f t="shared" si="196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200"/>
        <v>0</v>
      </c>
      <c r="N453" s="130">
        <f t="shared" si="201"/>
        <v>0</v>
      </c>
      <c r="O453" s="512"/>
      <c r="P453" s="512"/>
      <c r="Q453" s="512"/>
      <c r="R453" s="512"/>
      <c r="S453" s="512"/>
      <c r="T453" s="512"/>
      <c r="U453" s="512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299">
        <v>30600010</v>
      </c>
      <c r="B454" s="503" t="s">
        <v>343</v>
      </c>
      <c r="C454" s="126" t="s">
        <v>347</v>
      </c>
      <c r="D454" s="108">
        <v>5</v>
      </c>
      <c r="E454" s="108"/>
      <c r="F454" s="127"/>
      <c r="G454" s="128"/>
      <c r="H454" s="504">
        <f t="shared" si="196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200"/>
        <v>0</v>
      </c>
      <c r="N454" s="130">
        <f t="shared" si="201"/>
        <v>0</v>
      </c>
      <c r="O454" s="512"/>
      <c r="P454" s="512"/>
      <c r="Q454" s="512"/>
      <c r="R454" s="512"/>
      <c r="S454" s="512"/>
      <c r="T454" s="512"/>
      <c r="U454" s="512"/>
      <c r="V454" s="132"/>
      <c r="W454" s="133"/>
      <c r="X454" s="132"/>
      <c r="Y454" s="132"/>
      <c r="Z454" s="132"/>
      <c r="AA454" s="132"/>
    </row>
    <row r="455" spans="1:27" ht="20.100000000000001" hidden="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/>
      <c r="G455" s="128"/>
      <c r="H455" s="504">
        <f t="shared" si="196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15.5</v>
      </c>
      <c r="M455" s="109">
        <f t="shared" si="200"/>
        <v>0</v>
      </c>
      <c r="N455" s="130">
        <f t="shared" si="201"/>
        <v>0</v>
      </c>
      <c r="O455" s="512"/>
      <c r="P455" s="512"/>
      <c r="Q455" s="512"/>
      <c r="R455" s="512"/>
      <c r="S455" s="512"/>
      <c r="T455" s="512"/>
      <c r="U455" s="512"/>
      <c r="V455" s="132">
        <f t="shared" ref="V455:V456" si="205">SUM(X455:AA455)</f>
        <v>0</v>
      </c>
      <c r="W455" s="133" t="str">
        <f t="shared" ref="W455:W456" si="206">IF(ISERROR(V455/G455),"",V455/G455)</f>
        <v/>
      </c>
      <c r="X455" s="132"/>
      <c r="Y455" s="132"/>
      <c r="Z455" s="132"/>
      <c r="AA455" s="132"/>
    </row>
    <row r="456" spans="1:27" ht="20.100000000000001" hidden="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/>
      <c r="G456" s="128"/>
      <c r="H456" s="504">
        <f t="shared" si="196"/>
        <v>0</v>
      </c>
      <c r="I456" s="129"/>
      <c r="J456" s="130" t="str">
        <f t="array" ref="J456">IF(ISERROR(G456/I456),"",G456/I456)</f>
        <v/>
      </c>
      <c r="K456" s="131">
        <f t="array" ref="K456">IF(ISERROR(G456/L456),"",G456/L456)</f>
        <v>0</v>
      </c>
      <c r="L456" s="129">
        <v>15.5</v>
      </c>
      <c r="M456" s="109">
        <f t="shared" si="200"/>
        <v>0</v>
      </c>
      <c r="N456" s="130">
        <f t="shared" si="201"/>
        <v>0</v>
      </c>
      <c r="O456" s="512"/>
      <c r="P456" s="512"/>
      <c r="Q456" s="512"/>
      <c r="R456" s="512"/>
      <c r="S456" s="512"/>
      <c r="T456" s="512"/>
      <c r="U456" s="512"/>
      <c r="V456" s="132">
        <f t="shared" si="205"/>
        <v>0</v>
      </c>
      <c r="W456" s="133" t="str">
        <f t="shared" si="206"/>
        <v/>
      </c>
      <c r="X456" s="132"/>
      <c r="Y456" s="132"/>
      <c r="Z456" s="132"/>
      <c r="AA456" s="132"/>
    </row>
    <row r="457" spans="1:27" ht="20.100000000000001" hidden="1" customHeight="1">
      <c r="A457" s="299">
        <v>30400004</v>
      </c>
      <c r="B457" s="151" t="s">
        <v>419</v>
      </c>
      <c r="C457" s="187" t="s">
        <v>73</v>
      </c>
      <c r="D457" s="108"/>
      <c r="E457" s="108"/>
      <c r="F457" s="127"/>
      <c r="G457" s="128"/>
      <c r="H457" s="504">
        <f t="shared" si="196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0"/>
        <v>0</v>
      </c>
      <c r="N457" s="130"/>
      <c r="O457" s="512"/>
      <c r="P457" s="512"/>
      <c r="Q457" s="512"/>
      <c r="R457" s="512"/>
      <c r="S457" s="512"/>
      <c r="T457" s="512"/>
      <c r="U457" s="512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28"/>
      <c r="H458" s="504">
        <f t="shared" si="196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200"/>
        <v>0</v>
      </c>
      <c r="N458" s="130"/>
      <c r="O458" s="512"/>
      <c r="P458" s="512"/>
      <c r="Q458" s="512"/>
      <c r="R458" s="512"/>
      <c r="S458" s="512"/>
      <c r="T458" s="512"/>
      <c r="U458" s="512"/>
      <c r="V458" s="132"/>
      <c r="W458" s="133"/>
      <c r="X458" s="132"/>
      <c r="Y458" s="132"/>
      <c r="Z458" s="132"/>
      <c r="AA458" s="132"/>
    </row>
    <row r="459" spans="1:27" ht="20.100000000000001" hidden="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28"/>
      <c r="H459" s="504">
        <f t="shared" si="196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200"/>
        <v>0</v>
      </c>
      <c r="N459" s="130"/>
      <c r="O459" s="512"/>
      <c r="P459" s="512"/>
      <c r="Q459" s="512"/>
      <c r="R459" s="512"/>
      <c r="S459" s="512"/>
      <c r="T459" s="512"/>
      <c r="U459" s="512"/>
      <c r="V459" s="132"/>
      <c r="W459" s="133"/>
      <c r="X459" s="132"/>
      <c r="Y459" s="132"/>
      <c r="Z459" s="132"/>
      <c r="AA459" s="132"/>
    </row>
    <row r="460" spans="1:27" ht="20.100000000000001" hidden="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28"/>
      <c r="H460" s="504">
        <f t="shared" si="196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200"/>
        <v>0</v>
      </c>
      <c r="N460" s="130">
        <f t="shared" ref="N460:N462" si="207">SUM(O460:U460)</f>
        <v>0</v>
      </c>
      <c r="O460" s="512"/>
      <c r="P460" s="512"/>
      <c r="Q460" s="512"/>
      <c r="R460" s="512"/>
      <c r="S460" s="512"/>
      <c r="T460" s="512"/>
      <c r="U460" s="512"/>
      <c r="V460" s="132">
        <f t="shared" ref="V460:V462" si="208">SUM(X460:AA460)</f>
        <v>0</v>
      </c>
      <c r="W460" s="133" t="str">
        <f t="shared" ref="W460:W484" si="209">IF(ISERROR(V460/G460),"",V460/G460)</f>
        <v/>
      </c>
      <c r="X460" s="132"/>
      <c r="Y460" s="132"/>
      <c r="Z460" s="132"/>
      <c r="AA460" s="132"/>
    </row>
    <row r="461" spans="1:27" ht="20.100000000000001" hidden="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28"/>
      <c r="H461" s="504">
        <f t="shared" si="196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si="200"/>
        <v>0</v>
      </c>
      <c r="N461" s="130">
        <f t="shared" si="207"/>
        <v>0</v>
      </c>
      <c r="O461" s="512"/>
      <c r="P461" s="512"/>
      <c r="Q461" s="512"/>
      <c r="R461" s="512"/>
      <c r="S461" s="512"/>
      <c r="T461" s="512"/>
      <c r="U461" s="512"/>
      <c r="V461" s="132">
        <f t="shared" si="208"/>
        <v>0</v>
      </c>
      <c r="W461" s="133" t="str">
        <f t="shared" si="209"/>
        <v/>
      </c>
      <c r="X461" s="132"/>
      <c r="Y461" s="132"/>
      <c r="Z461" s="132"/>
      <c r="AA461" s="132"/>
    </row>
    <row r="462" spans="1:27" ht="20.100000000000001" hidden="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28"/>
      <c r="H462" s="504">
        <f t="shared" si="196"/>
        <v>0</v>
      </c>
      <c r="I462" s="129"/>
      <c r="J462" s="130" t="str">
        <f t="array" ref="J462">IF(ISERROR(G462/I462),"",G462/I462)</f>
        <v/>
      </c>
      <c r="K462" s="504">
        <f t="array" ref="K462">IF(ISERROR(G462/L462),"",G462/L462)</f>
        <v>0</v>
      </c>
      <c r="L462" s="129">
        <v>9</v>
      </c>
      <c r="M462" s="109">
        <f t="shared" si="200"/>
        <v>0</v>
      </c>
      <c r="N462" s="130">
        <f t="shared" si="207"/>
        <v>0</v>
      </c>
      <c r="O462" s="512"/>
      <c r="P462" s="512"/>
      <c r="Q462" s="512"/>
      <c r="R462" s="512"/>
      <c r="S462" s="512"/>
      <c r="T462" s="512"/>
      <c r="U462" s="512"/>
      <c r="V462" s="132">
        <f t="shared" si="208"/>
        <v>0</v>
      </c>
      <c r="W462" s="133" t="str">
        <f t="shared" si="209"/>
        <v/>
      </c>
      <c r="X462" s="132"/>
      <c r="Y462" s="132"/>
      <c r="Z462" s="132"/>
      <c r="AA462" s="132"/>
    </row>
    <row r="463" spans="1:27" ht="20.100000000000001" hidden="1" customHeight="1">
      <c r="A463" s="578" t="s">
        <v>224</v>
      </c>
      <c r="B463" s="579"/>
      <c r="C463" s="513" t="s">
        <v>202</v>
      </c>
      <c r="D463" s="143"/>
      <c r="E463" s="143"/>
      <c r="F463" s="144"/>
      <c r="G463" s="145">
        <f>SUM(G429:G462)</f>
        <v>0</v>
      </c>
      <c r="H463" s="146">
        <f>SUM(H429:H462)</f>
        <v>0</v>
      </c>
      <c r="I463" s="146">
        <f>SUM(I429:I462)</f>
        <v>0</v>
      </c>
      <c r="J463" s="130" t="str">
        <f t="array" ref="J463">IF(ISERROR(G463/I463),"",G463/I463)</f>
        <v/>
      </c>
      <c r="K463" s="146">
        <f>SUM(K429:K462)</f>
        <v>0</v>
      </c>
      <c r="L463" s="147"/>
      <c r="M463" s="150">
        <f t="shared" ref="M463:V463" si="210">SUM(M429:M462)</f>
        <v>0</v>
      </c>
      <c r="N463" s="146">
        <f t="shared" si="210"/>
        <v>0</v>
      </c>
      <c r="O463" s="148">
        <f t="shared" si="210"/>
        <v>0</v>
      </c>
      <c r="P463" s="148">
        <f t="shared" si="210"/>
        <v>0</v>
      </c>
      <c r="Q463" s="148">
        <f t="shared" si="210"/>
        <v>0</v>
      </c>
      <c r="R463" s="148">
        <f t="shared" si="210"/>
        <v>0</v>
      </c>
      <c r="S463" s="148">
        <f t="shared" si="210"/>
        <v>0</v>
      </c>
      <c r="T463" s="148">
        <f t="shared" si="210"/>
        <v>0</v>
      </c>
      <c r="U463" s="148">
        <f t="shared" si="210"/>
        <v>0</v>
      </c>
      <c r="V463" s="149">
        <f t="shared" si="210"/>
        <v>0</v>
      </c>
      <c r="W463" s="133" t="str">
        <f t="shared" si="209"/>
        <v/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hidden="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28"/>
      <c r="H464" s="504">
        <f t="shared" ref="H464:H478" si="211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8" si="212">IF(ISERROR(I464-K464),"",I464-K464)</f>
        <v>0</v>
      </c>
      <c r="N464" s="130">
        <f t="shared" ref="N464:N478" si="213">SUM(O464:U464)</f>
        <v>0</v>
      </c>
      <c r="O464" s="512"/>
      <c r="P464" s="512"/>
      <c r="Q464" s="512"/>
      <c r="R464" s="512"/>
      <c r="S464" s="512"/>
      <c r="T464" s="512"/>
      <c r="U464" s="512"/>
      <c r="V464" s="132">
        <f t="shared" ref="V464:V478" si="214">SUM(X464:AA464)</f>
        <v>0</v>
      </c>
      <c r="W464" s="133" t="str">
        <f t="shared" si="209"/>
        <v/>
      </c>
      <c r="X464" s="132"/>
      <c r="Y464" s="132"/>
      <c r="Z464" s="132"/>
      <c r="AA464" s="132"/>
    </row>
    <row r="465" spans="1:27" ht="20.100000000000001" hidden="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28"/>
      <c r="H465" s="504">
        <f t="shared" si="211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2"/>
        <v>0</v>
      </c>
      <c r="N465" s="130">
        <f t="shared" si="213"/>
        <v>0</v>
      </c>
      <c r="O465" s="512"/>
      <c r="P465" s="512"/>
      <c r="Q465" s="512"/>
      <c r="R465" s="512"/>
      <c r="S465" s="512"/>
      <c r="T465" s="512"/>
      <c r="U465" s="512"/>
      <c r="V465" s="132">
        <f t="shared" si="214"/>
        <v>0</v>
      </c>
      <c r="W465" s="133" t="str">
        <f t="shared" si="209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28"/>
      <c r="H466" s="504">
        <f t="shared" si="211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2"/>
        <v>0</v>
      </c>
      <c r="N466" s="130">
        <f t="shared" si="213"/>
        <v>0</v>
      </c>
      <c r="O466" s="512"/>
      <c r="P466" s="512"/>
      <c r="Q466" s="512"/>
      <c r="R466" s="512"/>
      <c r="S466" s="512"/>
      <c r="T466" s="512"/>
      <c r="U466" s="512"/>
      <c r="V466" s="132">
        <f t="shared" si="214"/>
        <v>0</v>
      </c>
      <c r="W466" s="133" t="str">
        <f t="shared" si="209"/>
        <v/>
      </c>
      <c r="X466" s="132"/>
      <c r="Y466" s="132"/>
      <c r="Z466" s="132"/>
      <c r="AA466" s="132"/>
    </row>
    <row r="467" spans="1:27" ht="20.100000000000001" hidden="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28"/>
      <c r="H467" s="504">
        <f t="shared" si="211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2"/>
        <v>0</v>
      </c>
      <c r="N467" s="130">
        <f t="shared" si="213"/>
        <v>0</v>
      </c>
      <c r="O467" s="512"/>
      <c r="P467" s="512"/>
      <c r="Q467" s="512"/>
      <c r="R467" s="512"/>
      <c r="S467" s="512"/>
      <c r="T467" s="512"/>
      <c r="U467" s="512"/>
      <c r="V467" s="132">
        <f t="shared" si="214"/>
        <v>0</v>
      </c>
      <c r="W467" s="133" t="str">
        <f t="shared" si="209"/>
        <v/>
      </c>
      <c r="X467" s="132"/>
      <c r="Y467" s="132"/>
      <c r="Z467" s="132"/>
      <c r="AA467" s="132"/>
    </row>
    <row r="468" spans="1:27" ht="20.100000000000001" hidden="1" customHeight="1">
      <c r="A468" s="299">
        <v>30100054</v>
      </c>
      <c r="B468" s="140" t="s">
        <v>227</v>
      </c>
      <c r="C468" s="509" t="s">
        <v>203</v>
      </c>
      <c r="D468" s="108">
        <v>5.03</v>
      </c>
      <c r="E468" s="108"/>
      <c r="F468" s="127"/>
      <c r="G468" s="128"/>
      <c r="H468" s="504">
        <f t="shared" si="211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2"/>
        <v>0</v>
      </c>
      <c r="N468" s="130">
        <f t="shared" si="213"/>
        <v>0</v>
      </c>
      <c r="O468" s="512"/>
      <c r="P468" s="512"/>
      <c r="Q468" s="512"/>
      <c r="R468" s="512"/>
      <c r="S468" s="512"/>
      <c r="T468" s="512"/>
      <c r="U468" s="512"/>
      <c r="V468" s="132">
        <f t="shared" si="214"/>
        <v>0</v>
      </c>
      <c r="W468" s="133" t="str">
        <f t="shared" si="209"/>
        <v/>
      </c>
      <c r="X468" s="132"/>
      <c r="Y468" s="132"/>
      <c r="Z468" s="132"/>
      <c r="AA468" s="132"/>
    </row>
    <row r="469" spans="1:27" ht="20.100000000000001" hidden="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28"/>
      <c r="H469" s="504">
        <f t="shared" si="211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2"/>
        <v>0</v>
      </c>
      <c r="N469" s="130">
        <f t="shared" si="213"/>
        <v>0</v>
      </c>
      <c r="O469" s="512"/>
      <c r="P469" s="512"/>
      <c r="Q469" s="512"/>
      <c r="R469" s="512"/>
      <c r="S469" s="512"/>
      <c r="T469" s="512"/>
      <c r="U469" s="512"/>
      <c r="V469" s="132">
        <f t="shared" si="214"/>
        <v>0</v>
      </c>
      <c r="W469" s="133" t="str">
        <f t="shared" si="209"/>
        <v/>
      </c>
      <c r="X469" s="132"/>
      <c r="Y469" s="132"/>
      <c r="Z469" s="132"/>
      <c r="AA469" s="132"/>
    </row>
    <row r="470" spans="1:27" ht="20.100000000000001" hidden="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28"/>
      <c r="H470" s="504">
        <f t="shared" si="211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2"/>
        <v>0</v>
      </c>
      <c r="N470" s="130">
        <f t="shared" si="213"/>
        <v>0</v>
      </c>
      <c r="O470" s="512"/>
      <c r="P470" s="512"/>
      <c r="Q470" s="512"/>
      <c r="R470" s="512"/>
      <c r="S470" s="512"/>
      <c r="T470" s="512"/>
      <c r="U470" s="512"/>
      <c r="V470" s="132">
        <f t="shared" si="214"/>
        <v>0</v>
      </c>
      <c r="W470" s="133" t="str">
        <f t="shared" si="209"/>
        <v/>
      </c>
      <c r="X470" s="132"/>
      <c r="Y470" s="132"/>
      <c r="Z470" s="132"/>
      <c r="AA470" s="132"/>
    </row>
    <row r="471" spans="1:27" ht="20.100000000000001" hidden="1" customHeight="1">
      <c r="A471" s="299"/>
      <c r="B471" s="140" t="s">
        <v>227</v>
      </c>
      <c r="C471" s="509" t="s">
        <v>228</v>
      </c>
      <c r="D471" s="108">
        <v>5.03</v>
      </c>
      <c r="E471" s="108"/>
      <c r="F471" s="127"/>
      <c r="G471" s="128"/>
      <c r="H471" s="504">
        <f t="shared" si="211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2"/>
        <v>0</v>
      </c>
      <c r="N471" s="130">
        <f t="shared" si="213"/>
        <v>0</v>
      </c>
      <c r="O471" s="512"/>
      <c r="P471" s="512"/>
      <c r="Q471" s="512"/>
      <c r="R471" s="512"/>
      <c r="S471" s="512"/>
      <c r="T471" s="512"/>
      <c r="U471" s="512"/>
      <c r="V471" s="132">
        <f t="shared" si="214"/>
        <v>0</v>
      </c>
      <c r="W471" s="133" t="str">
        <f t="shared" si="209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30101067</v>
      </c>
      <c r="B472" s="140" t="s">
        <v>229</v>
      </c>
      <c r="C472" s="509" t="s">
        <v>212</v>
      </c>
      <c r="D472" s="108">
        <v>5.03</v>
      </c>
      <c r="E472" s="108"/>
      <c r="F472" s="127"/>
      <c r="G472" s="128"/>
      <c r="H472" s="504">
        <f t="shared" si="211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2"/>
        <v/>
      </c>
      <c r="N472" s="130">
        <f t="shared" si="213"/>
        <v>0</v>
      </c>
      <c r="O472" s="512"/>
      <c r="P472" s="512"/>
      <c r="Q472" s="512"/>
      <c r="R472" s="512"/>
      <c r="S472" s="512"/>
      <c r="T472" s="512"/>
      <c r="U472" s="512"/>
      <c r="V472" s="132">
        <f t="shared" si="214"/>
        <v>0</v>
      </c>
      <c r="W472" s="133" t="str">
        <f t="shared" si="209"/>
        <v/>
      </c>
      <c r="X472" s="132"/>
      <c r="Y472" s="132"/>
      <c r="Z472" s="132"/>
      <c r="AA472" s="132"/>
    </row>
    <row r="473" spans="1:27" ht="20.100000000000001" hidden="1" customHeight="1">
      <c r="A473" s="299">
        <v>30101068</v>
      </c>
      <c r="B473" s="140" t="s">
        <v>229</v>
      </c>
      <c r="C473" s="509" t="s">
        <v>203</v>
      </c>
      <c r="D473" s="108">
        <v>5.03</v>
      </c>
      <c r="E473" s="108"/>
      <c r="F473" s="127"/>
      <c r="G473" s="128"/>
      <c r="H473" s="504">
        <f t="shared" si="211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2"/>
        <v/>
      </c>
      <c r="N473" s="130">
        <f t="shared" si="213"/>
        <v>0</v>
      </c>
      <c r="O473" s="512"/>
      <c r="P473" s="512"/>
      <c r="Q473" s="512"/>
      <c r="R473" s="512"/>
      <c r="S473" s="512"/>
      <c r="T473" s="512"/>
      <c r="U473" s="512"/>
      <c r="V473" s="132">
        <f t="shared" si="214"/>
        <v>0</v>
      </c>
      <c r="W473" s="133" t="str">
        <f t="shared" si="209"/>
        <v/>
      </c>
      <c r="X473" s="132"/>
      <c r="Y473" s="132"/>
      <c r="Z473" s="132"/>
      <c r="AA473" s="132"/>
    </row>
    <row r="474" spans="1:27" ht="20.100000000000001" hidden="1" customHeight="1">
      <c r="A474" s="299">
        <v>30101069</v>
      </c>
      <c r="B474" s="140" t="s">
        <v>229</v>
      </c>
      <c r="C474" s="509" t="s">
        <v>186</v>
      </c>
      <c r="D474" s="108">
        <v>5.03</v>
      </c>
      <c r="E474" s="108"/>
      <c r="F474" s="127"/>
      <c r="G474" s="128"/>
      <c r="H474" s="504">
        <f t="shared" si="211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2"/>
        <v/>
      </c>
      <c r="N474" s="130">
        <f t="shared" si="213"/>
        <v>0</v>
      </c>
      <c r="O474" s="512"/>
      <c r="P474" s="512"/>
      <c r="Q474" s="512"/>
      <c r="R474" s="512"/>
      <c r="S474" s="512"/>
      <c r="T474" s="512"/>
      <c r="U474" s="512"/>
      <c r="V474" s="132">
        <f t="shared" si="214"/>
        <v>0</v>
      </c>
      <c r="W474" s="133" t="str">
        <f t="shared" si="209"/>
        <v/>
      </c>
      <c r="X474" s="132"/>
      <c r="Y474" s="132"/>
      <c r="Z474" s="132"/>
      <c r="AA474" s="132"/>
    </row>
    <row r="475" spans="1:27" ht="20.100000000000001" hidden="1" customHeight="1">
      <c r="A475" s="299">
        <v>30101070</v>
      </c>
      <c r="B475" s="140" t="s">
        <v>229</v>
      </c>
      <c r="C475" s="509" t="s">
        <v>228</v>
      </c>
      <c r="D475" s="108">
        <v>5.03</v>
      </c>
      <c r="E475" s="108"/>
      <c r="F475" s="127"/>
      <c r="G475" s="128"/>
      <c r="H475" s="504">
        <f t="shared" si="211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2"/>
        <v/>
      </c>
      <c r="N475" s="130">
        <f t="shared" si="213"/>
        <v>0</v>
      </c>
      <c r="O475" s="512"/>
      <c r="P475" s="512"/>
      <c r="Q475" s="512"/>
      <c r="R475" s="512"/>
      <c r="S475" s="512"/>
      <c r="T475" s="512"/>
      <c r="U475" s="512"/>
      <c r="V475" s="132">
        <f t="shared" si="214"/>
        <v>0</v>
      </c>
      <c r="W475" s="133" t="str">
        <f t="shared" si="209"/>
        <v/>
      </c>
      <c r="X475" s="132"/>
      <c r="Y475" s="132"/>
      <c r="Z475" s="132"/>
      <c r="AA475" s="132"/>
    </row>
    <row r="476" spans="1:27" ht="20.100000000000001" hidden="1" customHeight="1">
      <c r="A476" s="299">
        <v>30101071</v>
      </c>
      <c r="B476" s="140" t="s">
        <v>229</v>
      </c>
      <c r="C476" s="509" t="s">
        <v>199</v>
      </c>
      <c r="D476" s="108">
        <v>5.03</v>
      </c>
      <c r="E476" s="108"/>
      <c r="F476" s="127"/>
      <c r="G476" s="128"/>
      <c r="H476" s="504">
        <f t="shared" si="211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2"/>
        <v/>
      </c>
      <c r="N476" s="130">
        <f t="shared" si="213"/>
        <v>0</v>
      </c>
      <c r="O476" s="512"/>
      <c r="P476" s="512"/>
      <c r="Q476" s="512"/>
      <c r="R476" s="512"/>
      <c r="S476" s="512"/>
      <c r="T476" s="512"/>
      <c r="U476" s="512"/>
      <c r="V476" s="132">
        <f t="shared" si="214"/>
        <v>0</v>
      </c>
      <c r="W476" s="133" t="str">
        <f t="shared" si="209"/>
        <v/>
      </c>
      <c r="X476" s="132"/>
      <c r="Y476" s="132"/>
      <c r="Z476" s="132"/>
      <c r="AA476" s="132"/>
    </row>
    <row r="477" spans="1:27" ht="20.100000000000001" hidden="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28"/>
      <c r="H477" s="504">
        <f t="shared" si="211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si="212"/>
        <v>0</v>
      </c>
      <c r="N477" s="130">
        <f t="shared" si="213"/>
        <v>0</v>
      </c>
      <c r="O477" s="512"/>
      <c r="P477" s="512"/>
      <c r="Q477" s="512"/>
      <c r="R477" s="512"/>
      <c r="S477" s="512"/>
      <c r="T477" s="512"/>
      <c r="U477" s="512"/>
      <c r="V477" s="132">
        <f t="shared" si="214"/>
        <v>0</v>
      </c>
      <c r="W477" s="133" t="str">
        <f t="shared" si="209"/>
        <v/>
      </c>
      <c r="X477" s="132"/>
      <c r="Y477" s="132"/>
      <c r="Z477" s="132"/>
      <c r="AA477" s="132"/>
    </row>
    <row r="478" spans="1:27" ht="20.100000000000001" hidden="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28"/>
      <c r="H478" s="504">
        <f t="shared" si="211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2"/>
        <v>0</v>
      </c>
      <c r="N478" s="130">
        <f t="shared" si="213"/>
        <v>0</v>
      </c>
      <c r="O478" s="512"/>
      <c r="P478" s="512"/>
      <c r="Q478" s="512"/>
      <c r="R478" s="512"/>
      <c r="S478" s="512"/>
      <c r="T478" s="512"/>
      <c r="U478" s="512"/>
      <c r="V478" s="132">
        <f t="shared" si="214"/>
        <v>0</v>
      </c>
      <c r="W478" s="133" t="str">
        <f t="shared" si="209"/>
        <v/>
      </c>
      <c r="X478" s="132"/>
      <c r="Y478" s="132"/>
      <c r="Z478" s="132"/>
      <c r="AA478" s="132"/>
    </row>
    <row r="479" spans="1:27" ht="20.100000000000001" hidden="1" customHeight="1">
      <c r="A479" s="578" t="s">
        <v>231</v>
      </c>
      <c r="B479" s="579"/>
      <c r="C479" s="513" t="s">
        <v>202</v>
      </c>
      <c r="D479" s="143"/>
      <c r="E479" s="143"/>
      <c r="F479" s="144"/>
      <c r="G479" s="145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09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hidden="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28"/>
      <c r="H480" s="504">
        <f t="shared" ref="H480:H489" si="215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4" si="216">IF(ISERROR(I480-K480),"",I480-K480)</f>
        <v>0</v>
      </c>
      <c r="N480" s="130">
        <f t="shared" ref="N480:N484" si="217">SUM(O480:U480)</f>
        <v>0</v>
      </c>
      <c r="O480" s="512"/>
      <c r="P480" s="512"/>
      <c r="Q480" s="512"/>
      <c r="R480" s="512"/>
      <c r="S480" s="512"/>
      <c r="T480" s="512"/>
      <c r="U480" s="512"/>
      <c r="V480" s="132">
        <f t="shared" ref="V480:V484" si="218">SUM(X480:AA480)</f>
        <v>0</v>
      </c>
      <c r="W480" s="133" t="str">
        <f t="shared" si="209"/>
        <v/>
      </c>
      <c r="X480" s="132"/>
      <c r="Y480" s="132"/>
      <c r="Z480" s="132"/>
      <c r="AA480" s="132"/>
    </row>
    <row r="481" spans="1:27" ht="20.100000000000001" hidden="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28"/>
      <c r="H481" s="504">
        <f t="shared" si="215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6"/>
        <v>0</v>
      </c>
      <c r="N481" s="130">
        <f t="shared" si="217"/>
        <v>0</v>
      </c>
      <c r="O481" s="512"/>
      <c r="P481" s="512"/>
      <c r="Q481" s="512"/>
      <c r="R481" s="512"/>
      <c r="S481" s="512"/>
      <c r="T481" s="512"/>
      <c r="U481" s="512"/>
      <c r="V481" s="132">
        <f t="shared" si="218"/>
        <v>0</v>
      </c>
      <c r="W481" s="133" t="str">
        <f t="shared" si="209"/>
        <v/>
      </c>
      <c r="X481" s="132"/>
      <c r="Y481" s="132"/>
      <c r="Z481" s="132"/>
      <c r="AA481" s="132"/>
    </row>
    <row r="482" spans="1:27" ht="20.100000000000001" hidden="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28"/>
      <c r="H482" s="504">
        <f t="shared" si="215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6"/>
        <v>0</v>
      </c>
      <c r="N482" s="130">
        <f t="shared" si="217"/>
        <v>0</v>
      </c>
      <c r="O482" s="512"/>
      <c r="P482" s="512"/>
      <c r="Q482" s="512"/>
      <c r="R482" s="512"/>
      <c r="S482" s="512"/>
      <c r="T482" s="512"/>
      <c r="U482" s="512"/>
      <c r="V482" s="132">
        <f t="shared" si="218"/>
        <v>0</v>
      </c>
      <c r="W482" s="133" t="str">
        <f t="shared" si="209"/>
        <v/>
      </c>
      <c r="X482" s="132"/>
      <c r="Y482" s="132"/>
      <c r="Z482" s="132"/>
      <c r="AA482" s="132"/>
    </row>
    <row r="483" spans="1:27" ht="20.100000000000001" hidden="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28"/>
      <c r="H483" s="504">
        <f t="shared" si="215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16"/>
        <v>0</v>
      </c>
      <c r="N483" s="130">
        <f t="shared" si="217"/>
        <v>0</v>
      </c>
      <c r="O483" s="512"/>
      <c r="P483" s="512"/>
      <c r="Q483" s="512"/>
      <c r="R483" s="512"/>
      <c r="S483" s="512"/>
      <c r="T483" s="512"/>
      <c r="U483" s="512"/>
      <c r="V483" s="132">
        <f t="shared" si="218"/>
        <v>0</v>
      </c>
      <c r="W483" s="133" t="str">
        <f t="shared" si="209"/>
        <v/>
      </c>
      <c r="X483" s="132"/>
      <c r="Y483" s="132"/>
      <c r="Z483" s="132"/>
      <c r="AA483" s="132"/>
    </row>
    <row r="484" spans="1:27" ht="20.100000000000001" hidden="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28"/>
      <c r="H484" s="504">
        <f t="shared" si="215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16"/>
        <v>0</v>
      </c>
      <c r="N484" s="130">
        <f t="shared" si="217"/>
        <v>0</v>
      </c>
      <c r="O484" s="512"/>
      <c r="P484" s="512"/>
      <c r="Q484" s="512"/>
      <c r="R484" s="512"/>
      <c r="S484" s="512"/>
      <c r="T484" s="512"/>
      <c r="U484" s="512"/>
      <c r="V484" s="132">
        <f t="shared" si="218"/>
        <v>0</v>
      </c>
      <c r="W484" s="133" t="str">
        <f t="shared" si="209"/>
        <v/>
      </c>
      <c r="X484" s="132"/>
      <c r="Y484" s="132"/>
      <c r="Z484" s="132"/>
      <c r="AA484" s="132"/>
    </row>
    <row r="485" spans="1:27" ht="20.100000000000001" hidden="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28"/>
      <c r="H485" s="504">
        <f t="shared" si="215"/>
        <v>0</v>
      </c>
      <c r="I485" s="129"/>
      <c r="J485" s="130"/>
      <c r="K485" s="131"/>
      <c r="L485" s="129">
        <v>13.5</v>
      </c>
      <c r="M485" s="109"/>
      <c r="N485" s="130"/>
      <c r="O485" s="512"/>
      <c r="P485" s="512"/>
      <c r="Q485" s="512"/>
      <c r="R485" s="512"/>
      <c r="S485" s="512"/>
      <c r="T485" s="512"/>
      <c r="U485" s="512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30400020</v>
      </c>
      <c r="B486" s="134" t="s">
        <v>439</v>
      </c>
      <c r="C486" s="187" t="s">
        <v>74</v>
      </c>
      <c r="D486" s="108">
        <v>5.04</v>
      </c>
      <c r="E486" s="108"/>
      <c r="F486" s="127"/>
      <c r="G486" s="128"/>
      <c r="H486" s="504">
        <f t="shared" si="215"/>
        <v>0</v>
      </c>
      <c r="I486" s="129"/>
      <c r="J486" s="130"/>
      <c r="K486" s="131"/>
      <c r="L486" s="129">
        <v>13.5</v>
      </c>
      <c r="M486" s="109"/>
      <c r="N486" s="130"/>
      <c r="O486" s="512"/>
      <c r="P486" s="512"/>
      <c r="Q486" s="512"/>
      <c r="R486" s="512"/>
      <c r="S486" s="512"/>
      <c r="T486" s="512"/>
      <c r="U486" s="512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0">
        <v>30400021</v>
      </c>
      <c r="B487" s="134" t="s">
        <v>439</v>
      </c>
      <c r="C487" s="187" t="s">
        <v>53</v>
      </c>
      <c r="D487" s="108">
        <v>5.04</v>
      </c>
      <c r="E487" s="108"/>
      <c r="F487" s="127"/>
      <c r="G487" s="128"/>
      <c r="H487" s="504">
        <f t="shared" si="215"/>
        <v>0</v>
      </c>
      <c r="I487" s="129"/>
      <c r="J487" s="130"/>
      <c r="K487" s="131"/>
      <c r="L487" s="129">
        <v>13.5</v>
      </c>
      <c r="M487" s="109"/>
      <c r="N487" s="130"/>
      <c r="O487" s="512"/>
      <c r="P487" s="512"/>
      <c r="Q487" s="512"/>
      <c r="R487" s="512"/>
      <c r="S487" s="512"/>
      <c r="T487" s="512"/>
      <c r="U487" s="512"/>
      <c r="V487" s="132"/>
      <c r="W487" s="133"/>
      <c r="X487" s="132"/>
      <c r="Y487" s="132"/>
      <c r="Z487" s="132"/>
      <c r="AA487" s="132"/>
    </row>
    <row r="488" spans="1:27" ht="20.100000000000001" hidden="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28"/>
      <c r="H488" s="504">
        <f t="shared" si="215"/>
        <v>0</v>
      </c>
      <c r="I488" s="129"/>
      <c r="J488" s="130"/>
      <c r="K488" s="131"/>
      <c r="L488" s="129">
        <v>13.5</v>
      </c>
      <c r="M488" s="109"/>
      <c r="N488" s="130"/>
      <c r="O488" s="512"/>
      <c r="P488" s="512"/>
      <c r="Q488" s="512"/>
      <c r="R488" s="512"/>
      <c r="S488" s="512"/>
      <c r="T488" s="512"/>
      <c r="U488" s="512"/>
      <c r="V488" s="132"/>
      <c r="W488" s="133"/>
      <c r="X488" s="132"/>
      <c r="Y488" s="132"/>
      <c r="Z488" s="132"/>
      <c r="AA488" s="132"/>
    </row>
    <row r="489" spans="1:27" ht="20.100000000000001" hidden="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28"/>
      <c r="H489" s="504">
        <f t="shared" si="215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ref="M489" si="219">IF(ISERROR(I489-K489),"",I489-K489)</f>
        <v>0</v>
      </c>
      <c r="N489" s="130">
        <f t="shared" ref="N489" si="220">SUM(O489:U489)</f>
        <v>0</v>
      </c>
      <c r="O489" s="512"/>
      <c r="P489" s="512"/>
      <c r="Q489" s="512"/>
      <c r="R489" s="512"/>
      <c r="S489" s="512"/>
      <c r="T489" s="512"/>
      <c r="U489" s="512"/>
      <c r="V489" s="132">
        <f t="shared" ref="V489" si="221">SUM(X489:AA489)</f>
        <v>0</v>
      </c>
      <c r="W489" s="133" t="str">
        <f t="shared" ref="W489:W494" si="222">IF(ISERROR(V489/G489),"",V489/G489)</f>
        <v/>
      </c>
      <c r="X489" s="132"/>
      <c r="Y489" s="132"/>
      <c r="Z489" s="132"/>
      <c r="AA489" s="132"/>
    </row>
    <row r="490" spans="1:27" ht="20.100000000000001" hidden="1" customHeight="1">
      <c r="A490" s="578" t="s">
        <v>234</v>
      </c>
      <c r="B490" s="579"/>
      <c r="C490" s="513" t="s">
        <v>202</v>
      </c>
      <c r="D490" s="143"/>
      <c r="E490" s="143"/>
      <c r="F490" s="144"/>
      <c r="G490" s="145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2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hidden="1" customHeight="1">
      <c r="A491" s="299">
        <v>30700013</v>
      </c>
      <c r="B491" s="141" t="s">
        <v>235</v>
      </c>
      <c r="C491" s="510"/>
      <c r="D491" s="108">
        <v>3.65</v>
      </c>
      <c r="E491" s="108"/>
      <c r="F491" s="153"/>
      <c r="G491" s="128"/>
      <c r="H491" s="504">
        <f t="shared" ref="H491:H505" si="223">D491*G491</f>
        <v>0</v>
      </c>
      <c r="I491" s="129"/>
      <c r="J491" s="130" t="str">
        <f t="array" ref="J491">IF(ISERROR(G491/I491),"",G491/I491)</f>
        <v/>
      </c>
      <c r="K491" s="504">
        <f t="array" ref="K491">IF(ISERROR(G491/L491),"",G491/L491)</f>
        <v>0</v>
      </c>
      <c r="L491" s="129">
        <v>5</v>
      </c>
      <c r="M491" s="109">
        <f t="shared" ref="M491:M494" si="224">IF(ISERROR(I491-K491),"",I491-K491)</f>
        <v>0</v>
      </c>
      <c r="N491" s="130">
        <f t="shared" ref="N491:N494" si="225">SUM(O491:U491)</f>
        <v>0</v>
      </c>
      <c r="O491" s="512"/>
      <c r="P491" s="512"/>
      <c r="Q491" s="512"/>
      <c r="R491" s="512"/>
      <c r="S491" s="512"/>
      <c r="T491" s="512"/>
      <c r="U491" s="512"/>
      <c r="V491" s="132">
        <f t="shared" ref="V491:V494" si="226">SUM(X491:AA491)</f>
        <v>0</v>
      </c>
      <c r="W491" s="133" t="str">
        <f t="shared" si="222"/>
        <v/>
      </c>
      <c r="X491" s="132"/>
      <c r="Y491" s="132"/>
      <c r="Z491" s="132"/>
      <c r="AA491" s="132"/>
    </row>
    <row r="492" spans="1:27" ht="20.100000000000001" hidden="1" customHeight="1">
      <c r="A492" s="299">
        <v>30700014</v>
      </c>
      <c r="B492" s="141" t="s">
        <v>236</v>
      </c>
      <c r="C492" s="510"/>
      <c r="D492" s="108">
        <v>6.58</v>
      </c>
      <c r="E492" s="108"/>
      <c r="F492" s="127"/>
      <c r="G492" s="128"/>
      <c r="H492" s="504">
        <f t="shared" si="223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4"/>
        <v>0</v>
      </c>
      <c r="N492" s="130">
        <f t="shared" si="225"/>
        <v>0</v>
      </c>
      <c r="O492" s="512"/>
      <c r="P492" s="512"/>
      <c r="Q492" s="512"/>
      <c r="R492" s="512"/>
      <c r="S492" s="512"/>
      <c r="T492" s="512"/>
      <c r="U492" s="512"/>
      <c r="V492" s="132">
        <f t="shared" si="226"/>
        <v>0</v>
      </c>
      <c r="W492" s="133" t="str">
        <f t="shared" si="222"/>
        <v/>
      </c>
      <c r="X492" s="132"/>
      <c r="Y492" s="132"/>
      <c r="Z492" s="132"/>
      <c r="AA492" s="132"/>
    </row>
    <row r="493" spans="1:27" ht="20.100000000000001" hidden="1" customHeight="1">
      <c r="A493" s="299">
        <v>30700016</v>
      </c>
      <c r="B493" s="141" t="s">
        <v>237</v>
      </c>
      <c r="C493" s="510"/>
      <c r="D493" s="108">
        <v>7.8</v>
      </c>
      <c r="E493" s="108"/>
      <c r="F493" s="127"/>
      <c r="G493" s="128"/>
      <c r="H493" s="504">
        <f t="shared" si="223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4"/>
        <v>0</v>
      </c>
      <c r="N493" s="130">
        <f t="shared" si="225"/>
        <v>0</v>
      </c>
      <c r="O493" s="512"/>
      <c r="P493" s="512"/>
      <c r="Q493" s="512"/>
      <c r="R493" s="512"/>
      <c r="S493" s="512"/>
      <c r="T493" s="512"/>
      <c r="U493" s="512"/>
      <c r="V493" s="132">
        <f t="shared" si="226"/>
        <v>0</v>
      </c>
      <c r="W493" s="133" t="str">
        <f t="shared" si="222"/>
        <v/>
      </c>
      <c r="X493" s="132"/>
      <c r="Y493" s="132"/>
      <c r="Z493" s="132"/>
      <c r="AA493" s="132"/>
    </row>
    <row r="494" spans="1:27" ht="20.100000000000001" hidden="1" customHeight="1">
      <c r="A494" s="299">
        <v>30700017</v>
      </c>
      <c r="B494" s="141" t="s">
        <v>238</v>
      </c>
      <c r="C494" s="510"/>
      <c r="D494" s="108">
        <v>4.4000000000000004</v>
      </c>
      <c r="E494" s="108"/>
      <c r="F494" s="127"/>
      <c r="G494" s="128"/>
      <c r="H494" s="504">
        <f t="shared" si="223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4"/>
        <v>0</v>
      </c>
      <c r="N494" s="130">
        <f t="shared" si="225"/>
        <v>0</v>
      </c>
      <c r="O494" s="512"/>
      <c r="P494" s="512"/>
      <c r="Q494" s="512"/>
      <c r="R494" s="512"/>
      <c r="S494" s="512"/>
      <c r="T494" s="512"/>
      <c r="U494" s="512"/>
      <c r="V494" s="132">
        <f t="shared" si="226"/>
        <v>0</v>
      </c>
      <c r="W494" s="133" t="str">
        <f t="shared" si="222"/>
        <v/>
      </c>
      <c r="X494" s="132"/>
      <c r="Y494" s="132"/>
      <c r="Z494" s="132"/>
      <c r="AA494" s="132"/>
    </row>
    <row r="495" spans="1:27" ht="20.100000000000001" hidden="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28"/>
      <c r="H495" s="504">
        <f t="shared" si="223"/>
        <v>0</v>
      </c>
      <c r="I495" s="129"/>
      <c r="J495" s="130"/>
      <c r="K495" s="131"/>
      <c r="L495" s="129"/>
      <c r="M495" s="109"/>
      <c r="N495" s="130"/>
      <c r="O495" s="512"/>
      <c r="P495" s="512"/>
      <c r="Q495" s="512"/>
      <c r="R495" s="512"/>
      <c r="S495" s="512"/>
      <c r="T495" s="512"/>
      <c r="U495" s="512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299">
        <v>30700001</v>
      </c>
      <c r="B496" s="127" t="s">
        <v>359</v>
      </c>
      <c r="C496" s="510"/>
      <c r="D496" s="108"/>
      <c r="E496" s="108"/>
      <c r="F496" s="127"/>
      <c r="G496" s="128"/>
      <c r="H496" s="504">
        <f t="shared" si="223"/>
        <v>0</v>
      </c>
      <c r="I496" s="129"/>
      <c r="J496" s="130"/>
      <c r="K496" s="131"/>
      <c r="L496" s="129">
        <v>6</v>
      </c>
      <c r="M496" s="109"/>
      <c r="N496" s="130"/>
      <c r="O496" s="512"/>
      <c r="P496" s="512"/>
      <c r="Q496" s="512"/>
      <c r="R496" s="512"/>
      <c r="S496" s="512"/>
      <c r="T496" s="512"/>
      <c r="U496" s="512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/>
      <c r="B497" s="510" t="s">
        <v>239</v>
      </c>
      <c r="C497" s="510" t="s">
        <v>179</v>
      </c>
      <c r="D497" s="108">
        <v>6.04</v>
      </c>
      <c r="E497" s="108"/>
      <c r="F497" s="127"/>
      <c r="G497" s="128"/>
      <c r="H497" s="504">
        <f t="shared" si="223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498" si="227">IF(ISERROR(I497-K497),"",I497-K497)</f>
        <v>0</v>
      </c>
      <c r="N497" s="130">
        <f t="shared" ref="N497:N498" si="228">SUM(O497:U497)</f>
        <v>0</v>
      </c>
      <c r="O497" s="512"/>
      <c r="P497" s="512"/>
      <c r="Q497" s="512"/>
      <c r="R497" s="512"/>
      <c r="S497" s="512"/>
      <c r="T497" s="512"/>
      <c r="U497" s="512"/>
      <c r="V497" s="132">
        <f t="shared" ref="V497:V498" si="229">SUM(X497:AA497)</f>
        <v>0</v>
      </c>
      <c r="W497" s="133" t="str">
        <f t="shared" ref="W497:W498" si="230">IF(ISERROR(V497/G497),"",V497/G497)</f>
        <v/>
      </c>
      <c r="X497" s="132"/>
      <c r="Y497" s="132"/>
      <c r="Z497" s="132"/>
      <c r="AA497" s="132"/>
    </row>
    <row r="498" spans="1:27" ht="20.100000000000001" hidden="1" customHeight="1">
      <c r="A498" s="305">
        <v>30700019</v>
      </c>
      <c r="B498" s="510" t="s">
        <v>239</v>
      </c>
      <c r="C498" s="510" t="s">
        <v>186</v>
      </c>
      <c r="D498" s="108">
        <v>6.04</v>
      </c>
      <c r="E498" s="108"/>
      <c r="F498" s="127"/>
      <c r="G498" s="128"/>
      <c r="H498" s="504">
        <f t="shared" si="223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7"/>
        <v>0</v>
      </c>
      <c r="N498" s="130">
        <f t="shared" si="228"/>
        <v>0</v>
      </c>
      <c r="O498" s="512"/>
      <c r="P498" s="512"/>
      <c r="Q498" s="512"/>
      <c r="R498" s="512"/>
      <c r="S498" s="512"/>
      <c r="T498" s="512"/>
      <c r="U498" s="512"/>
      <c r="V498" s="132">
        <f t="shared" si="229"/>
        <v>0</v>
      </c>
      <c r="W498" s="133" t="str">
        <f t="shared" si="230"/>
        <v/>
      </c>
      <c r="X498" s="132"/>
      <c r="Y498" s="132"/>
      <c r="Z498" s="132"/>
      <c r="AA498" s="132"/>
    </row>
    <row r="499" spans="1:27" ht="20.100000000000001" hidden="1" customHeight="1">
      <c r="A499" s="305">
        <v>30601015</v>
      </c>
      <c r="B499" s="510" t="s">
        <v>443</v>
      </c>
      <c r="C499" s="510" t="s">
        <v>179</v>
      </c>
      <c r="D499" s="108"/>
      <c r="E499" s="108"/>
      <c r="F499" s="127"/>
      <c r="G499" s="128"/>
      <c r="H499" s="504">
        <f t="shared" si="223"/>
        <v>0</v>
      </c>
      <c r="I499" s="129"/>
      <c r="J499" s="130"/>
      <c r="K499" s="131"/>
      <c r="L499" s="129"/>
      <c r="M499" s="109"/>
      <c r="N499" s="130"/>
      <c r="O499" s="512"/>
      <c r="P499" s="512"/>
      <c r="Q499" s="512"/>
      <c r="R499" s="512"/>
      <c r="S499" s="512"/>
      <c r="T499" s="512"/>
      <c r="U499" s="512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305">
        <v>30101016</v>
      </c>
      <c r="B500" s="510" t="s">
        <v>443</v>
      </c>
      <c r="C500" s="510" t="s">
        <v>186</v>
      </c>
      <c r="D500" s="108"/>
      <c r="E500" s="108"/>
      <c r="F500" s="127"/>
      <c r="G500" s="128"/>
      <c r="H500" s="504">
        <f t="shared" si="223"/>
        <v>0</v>
      </c>
      <c r="I500" s="129"/>
      <c r="J500" s="130"/>
      <c r="K500" s="131"/>
      <c r="L500" s="129"/>
      <c r="M500" s="109"/>
      <c r="N500" s="130"/>
      <c r="O500" s="512"/>
      <c r="P500" s="512"/>
      <c r="Q500" s="512"/>
      <c r="R500" s="512"/>
      <c r="S500" s="512"/>
      <c r="T500" s="512"/>
      <c r="U500" s="512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30700018</v>
      </c>
      <c r="B501" s="503" t="s">
        <v>240</v>
      </c>
      <c r="C501" s="126"/>
      <c r="D501" s="108">
        <v>7.3</v>
      </c>
      <c r="E501" s="108"/>
      <c r="F501" s="127"/>
      <c r="G501" s="128"/>
      <c r="H501" s="504">
        <f t="shared" si="223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ref="M501" si="231">IF(ISERROR(I501-K501),"",I501-K501)</f>
        <v>0</v>
      </c>
      <c r="N501" s="130">
        <f t="shared" ref="N501" si="232">SUM(O501:U501)</f>
        <v>0</v>
      </c>
      <c r="O501" s="512"/>
      <c r="P501" s="512"/>
      <c r="Q501" s="512"/>
      <c r="R501" s="512"/>
      <c r="S501" s="512"/>
      <c r="T501" s="512"/>
      <c r="U501" s="512"/>
      <c r="V501" s="132">
        <f t="shared" ref="V501" si="233">SUM(X501:AA501)</f>
        <v>0</v>
      </c>
      <c r="W501" s="133" t="str">
        <f t="shared" ref="W501" si="234">IF(ISERROR(V501/G501),"",V501/G501)</f>
        <v/>
      </c>
      <c r="X501" s="132"/>
      <c r="Y501" s="132"/>
      <c r="Z501" s="132"/>
      <c r="AA501" s="132"/>
    </row>
    <row r="502" spans="1:27" ht="20.100000000000001" hidden="1" customHeight="1">
      <c r="A502" s="299">
        <v>30700010</v>
      </c>
      <c r="B502" s="503" t="s">
        <v>241</v>
      </c>
      <c r="C502" s="126"/>
      <c r="D502" s="108">
        <f>78*120/1000</f>
        <v>9.36</v>
      </c>
      <c r="E502" s="108"/>
      <c r="F502" s="127"/>
      <c r="G502" s="128"/>
      <c r="H502" s="504">
        <f t="shared" si="223"/>
        <v>0</v>
      </c>
      <c r="I502" s="129"/>
      <c r="J502" s="130"/>
      <c r="K502" s="131"/>
      <c r="L502" s="129"/>
      <c r="M502" s="109"/>
      <c r="N502" s="130"/>
      <c r="O502" s="512"/>
      <c r="P502" s="512"/>
      <c r="Q502" s="512"/>
      <c r="R502" s="512"/>
      <c r="S502" s="512"/>
      <c r="T502" s="512"/>
      <c r="U502" s="512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299">
        <v>30700015</v>
      </c>
      <c r="B503" s="503" t="s">
        <v>242</v>
      </c>
      <c r="C503" s="126"/>
      <c r="D503" s="108">
        <v>4.5</v>
      </c>
      <c r="E503" s="108"/>
      <c r="F503" s="127"/>
      <c r="G503" s="128"/>
      <c r="H503" s="504">
        <f t="shared" si="223"/>
        <v>0</v>
      </c>
      <c r="I503" s="129"/>
      <c r="J503" s="130"/>
      <c r="K503" s="131"/>
      <c r="L503" s="129"/>
      <c r="M503" s="109"/>
      <c r="N503" s="130"/>
      <c r="O503" s="512"/>
      <c r="P503" s="512"/>
      <c r="Q503" s="512"/>
      <c r="R503" s="512"/>
      <c r="S503" s="512"/>
      <c r="T503" s="512"/>
      <c r="U503" s="512"/>
      <c r="V503" s="132"/>
      <c r="W503" s="133"/>
      <c r="X503" s="132"/>
      <c r="Y503" s="132"/>
      <c r="Z503" s="132"/>
      <c r="AA503" s="132"/>
    </row>
    <row r="504" spans="1:27" ht="20.100000000000001" hidden="1" customHeight="1">
      <c r="A504" s="299">
        <v>30700012</v>
      </c>
      <c r="B504" s="503" t="s">
        <v>243</v>
      </c>
      <c r="C504" s="126"/>
      <c r="D504" s="108">
        <v>4.5</v>
      </c>
      <c r="E504" s="108"/>
      <c r="F504" s="127"/>
      <c r="G504" s="128"/>
      <c r="H504" s="504">
        <f t="shared" si="223"/>
        <v>0</v>
      </c>
      <c r="I504" s="129"/>
      <c r="J504" s="130"/>
      <c r="K504" s="131"/>
      <c r="L504" s="129"/>
      <c r="M504" s="109"/>
      <c r="N504" s="130"/>
      <c r="O504" s="512"/>
      <c r="P504" s="512"/>
      <c r="Q504" s="512"/>
      <c r="R504" s="512"/>
      <c r="S504" s="512"/>
      <c r="T504" s="512"/>
      <c r="U504" s="512"/>
      <c r="V504" s="132"/>
      <c r="W504" s="133"/>
      <c r="X504" s="132"/>
      <c r="Y504" s="132"/>
      <c r="Z504" s="132"/>
      <c r="AA504" s="132"/>
    </row>
    <row r="505" spans="1:27" ht="20.100000000000001" hidden="1" customHeight="1">
      <c r="A505" s="299"/>
      <c r="B505" s="503"/>
      <c r="C505" s="126"/>
      <c r="D505" s="108"/>
      <c r="E505" s="108"/>
      <c r="F505" s="127"/>
      <c r="G505" s="128"/>
      <c r="H505" s="504">
        <f t="shared" si="223"/>
        <v>0</v>
      </c>
      <c r="I505" s="129"/>
      <c r="J505" s="130"/>
      <c r="K505" s="131"/>
      <c r="L505" s="129"/>
      <c r="M505" s="109"/>
      <c r="N505" s="130"/>
      <c r="O505" s="512"/>
      <c r="P505" s="512"/>
      <c r="Q505" s="512"/>
      <c r="R505" s="512"/>
      <c r="S505" s="512"/>
      <c r="T505" s="512"/>
      <c r="U505" s="512"/>
      <c r="V505" s="132"/>
      <c r="W505" s="133"/>
      <c r="X505" s="132"/>
      <c r="Y505" s="132"/>
      <c r="Z505" s="132"/>
      <c r="AA505" s="132"/>
    </row>
    <row r="506" spans="1:27" ht="20.100000000000001" hidden="1" customHeight="1">
      <c r="A506" s="578" t="s">
        <v>244</v>
      </c>
      <c r="B506" s="579"/>
      <c r="C506" s="513" t="s">
        <v>202</v>
      </c>
      <c r="D506" s="143"/>
      <c r="E506" s="143"/>
      <c r="F506" s="144"/>
      <c r="G506" s="145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5">SUM(M491:M501)</f>
        <v>0</v>
      </c>
      <c r="N506" s="146">
        <f t="shared" si="235"/>
        <v>0</v>
      </c>
      <c r="O506" s="148">
        <f t="shared" si="235"/>
        <v>0</v>
      </c>
      <c r="P506" s="148">
        <f t="shared" si="235"/>
        <v>0</v>
      </c>
      <c r="Q506" s="148">
        <f t="shared" si="235"/>
        <v>0</v>
      </c>
      <c r="R506" s="148">
        <f t="shared" si="235"/>
        <v>0</v>
      </c>
      <c r="S506" s="148">
        <f t="shared" si="235"/>
        <v>0</v>
      </c>
      <c r="T506" s="148">
        <f t="shared" si="235"/>
        <v>0</v>
      </c>
      <c r="U506" s="148">
        <f t="shared" si="235"/>
        <v>0</v>
      </c>
      <c r="V506" s="149">
        <f t="shared" si="235"/>
        <v>0</v>
      </c>
      <c r="W506" s="133">
        <f t="shared" si="235"/>
        <v>0</v>
      </c>
      <c r="X506" s="149">
        <f t="shared" si="235"/>
        <v>0</v>
      </c>
      <c r="Y506" s="149">
        <f t="shared" si="235"/>
        <v>0</v>
      </c>
      <c r="Z506" s="149">
        <f t="shared" si="235"/>
        <v>0</v>
      </c>
      <c r="AA506" s="149">
        <f t="shared" si="235"/>
        <v>0</v>
      </c>
    </row>
    <row r="507" spans="1:27" ht="20.100000000000001" customHeight="1">
      <c r="A507" s="580" t="s">
        <v>246</v>
      </c>
      <c r="B507" s="581"/>
      <c r="C507" s="581"/>
      <c r="D507" s="581"/>
      <c r="E507" s="581"/>
      <c r="F507" s="582"/>
      <c r="G507" s="154">
        <f>SUM(G370,G428,G463,G479,G490,G506)</f>
        <v>0</v>
      </c>
      <c r="H507" s="154">
        <f>SUM(H370,H428,H463,H479,H490,H506)</f>
        <v>0</v>
      </c>
      <c r="I507" s="154">
        <f>SUM(I370,I428,I463,I479,I490,I506)</f>
        <v>0</v>
      </c>
      <c r="J507" s="155" t="str">
        <f t="array" ref="J507">IF(ISERROR(G507/I507),"",G507/I507)</f>
        <v/>
      </c>
      <c r="K507" s="154">
        <f>SUM(K370,K428,K463,K479,K490,K506)</f>
        <v>0</v>
      </c>
      <c r="L507" s="155" t="str">
        <f>IF(ISERROR(G507/K507),"",G507/K507)</f>
        <v/>
      </c>
      <c r="M507" s="154">
        <f t="shared" ref="M507:V507" si="236">SUM(M370,M428,M463,M479,M490,M506)</f>
        <v>0</v>
      </c>
      <c r="N507" s="154">
        <f t="shared" si="236"/>
        <v>0</v>
      </c>
      <c r="O507" s="154">
        <f t="shared" si="236"/>
        <v>0</v>
      </c>
      <c r="P507" s="154">
        <f t="shared" si="236"/>
        <v>0</v>
      </c>
      <c r="Q507" s="154">
        <f t="shared" si="236"/>
        <v>0</v>
      </c>
      <c r="R507" s="154">
        <f t="shared" si="236"/>
        <v>0</v>
      </c>
      <c r="S507" s="154">
        <f t="shared" si="236"/>
        <v>0</v>
      </c>
      <c r="T507" s="154">
        <f t="shared" si="236"/>
        <v>0</v>
      </c>
      <c r="U507" s="154">
        <f t="shared" si="236"/>
        <v>0</v>
      </c>
      <c r="V507" s="154">
        <f t="shared" si="236"/>
        <v>0</v>
      </c>
      <c r="W507" s="156" t="str">
        <f t="shared" ref="W507" si="237">IF(ISERROR(V507/G507),"",V507/G507)</f>
        <v/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583" t="s">
        <v>476</v>
      </c>
      <c r="B508" s="506" t="s">
        <v>247</v>
      </c>
      <c r="C508" s="586" t="s">
        <v>248</v>
      </c>
      <c r="D508" s="587"/>
      <c r="E508" s="588" t="s">
        <v>249</v>
      </c>
      <c r="F508" s="588"/>
      <c r="G508" s="591" t="s">
        <v>250</v>
      </c>
      <c r="H508" s="591"/>
      <c r="I508" s="588" t="s">
        <v>251</v>
      </c>
      <c r="J508" s="588"/>
      <c r="K508" s="588" t="s">
        <v>252</v>
      </c>
      <c r="L508" s="588"/>
      <c r="M508" s="588" t="s">
        <v>253</v>
      </c>
      <c r="N508" s="588"/>
      <c r="O508" s="588" t="s">
        <v>254</v>
      </c>
      <c r="P508" s="591" t="s">
        <v>255</v>
      </c>
      <c r="Q508" s="591"/>
      <c r="R508" s="591" t="s">
        <v>252</v>
      </c>
      <c r="S508" s="591"/>
      <c r="T508" s="591" t="s">
        <v>256</v>
      </c>
      <c r="U508" s="591"/>
      <c r="V508" s="591" t="s">
        <v>257</v>
      </c>
      <c r="W508" s="591"/>
      <c r="X508" s="591" t="s">
        <v>252</v>
      </c>
      <c r="Y508" s="591"/>
      <c r="Z508" s="591" t="s">
        <v>256</v>
      </c>
      <c r="AA508" s="591"/>
    </row>
    <row r="509" spans="1:27" ht="20.100000000000001" customHeight="1">
      <c r="A509" s="584"/>
      <c r="B509" s="506" t="s">
        <v>258</v>
      </c>
      <c r="C509" s="586">
        <v>0</v>
      </c>
      <c r="D509" s="587"/>
      <c r="E509" s="590">
        <f>C509*11</f>
        <v>0</v>
      </c>
      <c r="F509" s="590"/>
      <c r="G509" s="591">
        <v>0</v>
      </c>
      <c r="H509" s="591"/>
      <c r="I509" s="590">
        <f>G509*11</f>
        <v>0</v>
      </c>
      <c r="J509" s="590"/>
      <c r="K509" s="590">
        <f>E509-I509</f>
        <v>0</v>
      </c>
      <c r="L509" s="590"/>
      <c r="M509" s="592" t="str">
        <f>IF(ISERROR(K509/E509),"",K509/E509)</f>
        <v/>
      </c>
      <c r="N509" s="592"/>
      <c r="O509" s="588"/>
      <c r="P509" s="591" t="s">
        <v>201</v>
      </c>
      <c r="Q509" s="591"/>
      <c r="R509" s="593">
        <f>SUM(O370:U370)</f>
        <v>0</v>
      </c>
      <c r="S509" s="593"/>
      <c r="T509" s="594" t="str">
        <f t="array" ref="T509">IF(ISERROR(R509/R516),"",R509/R516)</f>
        <v/>
      </c>
      <c r="U509" s="594"/>
      <c r="V509" s="591" t="s">
        <v>259</v>
      </c>
      <c r="W509" s="591"/>
      <c r="X509" s="595">
        <f>SUM(O370,O428,O463,O479,O490,O506)</f>
        <v>0</v>
      </c>
      <c r="Y509" s="595"/>
      <c r="Z509" s="594" t="str">
        <f t="array" ref="Z509">IF(ISERROR(X509/X516),"",X509/X516)</f>
        <v/>
      </c>
      <c r="AA509" s="594"/>
    </row>
    <row r="510" spans="1:27" ht="20.100000000000001" customHeight="1">
      <c r="A510" s="584"/>
      <c r="B510" s="506" t="s">
        <v>260</v>
      </c>
      <c r="C510" s="586">
        <v>0</v>
      </c>
      <c r="D510" s="587"/>
      <c r="E510" s="590">
        <f>C510*11</f>
        <v>0</v>
      </c>
      <c r="F510" s="590"/>
      <c r="G510" s="591">
        <v>0</v>
      </c>
      <c r="H510" s="591"/>
      <c r="I510" s="590">
        <f>G510*11</f>
        <v>0</v>
      </c>
      <c r="J510" s="590"/>
      <c r="K510" s="590">
        <f>E510-I510</f>
        <v>0</v>
      </c>
      <c r="L510" s="590"/>
      <c r="M510" s="592" t="str">
        <f>IF(ISERROR(K510/E510),"",K510/E510)</f>
        <v/>
      </c>
      <c r="N510" s="592"/>
      <c r="O510" s="588"/>
      <c r="P510" s="591" t="s">
        <v>216</v>
      </c>
      <c r="Q510" s="591"/>
      <c r="R510" s="593">
        <f>SUM(O428:U428)</f>
        <v>0</v>
      </c>
      <c r="S510" s="593"/>
      <c r="T510" s="594" t="str">
        <f>IF(ISERROR(R510/R516),"",R510/R516)</f>
        <v/>
      </c>
      <c r="U510" s="594"/>
      <c r="V510" s="591" t="s">
        <v>261</v>
      </c>
      <c r="W510" s="591"/>
      <c r="X510" s="595">
        <f>SUM(O371,O429,O464,O480,O491,O507)</f>
        <v>0</v>
      </c>
      <c r="Y510" s="595"/>
      <c r="Z510" s="594" t="str">
        <f>IF(ISERROR(X510/X516),"",X510/X516)</f>
        <v/>
      </c>
      <c r="AA510" s="594"/>
    </row>
    <row r="511" spans="1:27" ht="20.100000000000001" customHeight="1">
      <c r="A511" s="584"/>
      <c r="B511" s="506" t="s">
        <v>262</v>
      </c>
      <c r="C511" s="586">
        <v>0</v>
      </c>
      <c r="D511" s="587"/>
      <c r="E511" s="590">
        <f>C511*11</f>
        <v>0</v>
      </c>
      <c r="F511" s="590"/>
      <c r="G511" s="591">
        <v>0</v>
      </c>
      <c r="H511" s="591"/>
      <c r="I511" s="590">
        <f>G511*11</f>
        <v>0</v>
      </c>
      <c r="J511" s="590"/>
      <c r="K511" s="590">
        <f>E511-I511</f>
        <v>0</v>
      </c>
      <c r="L511" s="590"/>
      <c r="M511" s="592" t="str">
        <f>IF(ISERROR(K511/E511),"",K511/E511)</f>
        <v/>
      </c>
      <c r="N511" s="592"/>
      <c r="O511" s="588"/>
      <c r="P511" s="591" t="s">
        <v>224</v>
      </c>
      <c r="Q511" s="591"/>
      <c r="R511" s="593">
        <f>SUM(O463:U463)</f>
        <v>0</v>
      </c>
      <c r="S511" s="593"/>
      <c r="T511" s="594" t="str">
        <f>IF(ISERROR(R511/R516),"",R511/R516)</f>
        <v/>
      </c>
      <c r="U511" s="594"/>
      <c r="V511" s="591" t="s">
        <v>263</v>
      </c>
      <c r="W511" s="591"/>
      <c r="X511" s="595">
        <f>SUM(O373,O430,O465,O481,O492,O508)</f>
        <v>0</v>
      </c>
      <c r="Y511" s="595"/>
      <c r="Z511" s="594" t="str">
        <f>IF(ISERROR(X511/X516),"",X511/X516)</f>
        <v/>
      </c>
      <c r="AA511" s="594"/>
    </row>
    <row r="512" spans="1:27" ht="20.100000000000001" customHeight="1">
      <c r="A512" s="584"/>
      <c r="B512" s="506" t="s">
        <v>264</v>
      </c>
      <c r="C512" s="586">
        <v>1</v>
      </c>
      <c r="D512" s="587"/>
      <c r="E512" s="590">
        <f>C512*11</f>
        <v>11</v>
      </c>
      <c r="F512" s="590"/>
      <c r="G512" s="591">
        <v>1</v>
      </c>
      <c r="H512" s="591"/>
      <c r="I512" s="590">
        <f>G512*11</f>
        <v>11</v>
      </c>
      <c r="J512" s="590"/>
      <c r="K512" s="590">
        <f>E512-I512</f>
        <v>0</v>
      </c>
      <c r="L512" s="590"/>
      <c r="M512" s="592">
        <f>IF(ISERROR(K512/E512),"",K512/E512)</f>
        <v>0</v>
      </c>
      <c r="N512" s="592"/>
      <c r="O512" s="588"/>
      <c r="P512" s="591" t="s">
        <v>231</v>
      </c>
      <c r="Q512" s="591"/>
      <c r="R512" s="593">
        <f>SUM(O479:U479)</f>
        <v>0</v>
      </c>
      <c r="S512" s="593"/>
      <c r="T512" s="594" t="str">
        <f>IF(ISERROR(R512/R516),"",R512/R516)</f>
        <v/>
      </c>
      <c r="U512" s="594"/>
      <c r="V512" s="591" t="s">
        <v>265</v>
      </c>
      <c r="W512" s="591"/>
      <c r="X512" s="595">
        <f>SUM(O374,O431,O466,O482,O493,O509)</f>
        <v>0</v>
      </c>
      <c r="Y512" s="595"/>
      <c r="Z512" s="594" t="str">
        <f>IF(ISERROR(X512/X516),"",X512/X516)</f>
        <v/>
      </c>
      <c r="AA512" s="594"/>
    </row>
    <row r="513" spans="1:27" ht="20.100000000000001" customHeight="1">
      <c r="A513" s="585"/>
      <c r="B513" s="506" t="s">
        <v>266</v>
      </c>
      <c r="C513" s="596">
        <f>SUM(C509:D512)</f>
        <v>1</v>
      </c>
      <c r="D513" s="597"/>
      <c r="E513" s="590">
        <f>SUM(E509:F512)</f>
        <v>11</v>
      </c>
      <c r="F513" s="590"/>
      <c r="G513" s="591">
        <f>SUM(G509:H512)</f>
        <v>1</v>
      </c>
      <c r="H513" s="591"/>
      <c r="I513" s="590">
        <f>SUM(I509:J512)</f>
        <v>11</v>
      </c>
      <c r="J513" s="590"/>
      <c r="K513" s="590">
        <f>SUM(K509:L512)</f>
        <v>0</v>
      </c>
      <c r="L513" s="590"/>
      <c r="M513" s="592">
        <f>IF(ISERROR(K513/E513),"",K513/E513)</f>
        <v>0</v>
      </c>
      <c r="N513" s="592"/>
      <c r="O513" s="588"/>
      <c r="P513" s="591" t="s">
        <v>234</v>
      </c>
      <c r="Q513" s="591"/>
      <c r="R513" s="593">
        <f>SUM(O490:U490)</f>
        <v>0</v>
      </c>
      <c r="S513" s="593"/>
      <c r="T513" s="594" t="str">
        <f>IF(ISERROR(R513/R516),"",R513/R516)</f>
        <v/>
      </c>
      <c r="U513" s="594"/>
      <c r="V513" s="591" t="s">
        <v>267</v>
      </c>
      <c r="W513" s="591"/>
      <c r="X513" s="595">
        <f>SUM(O375,O432,O467,O483,O494,O510)</f>
        <v>0</v>
      </c>
      <c r="Y513" s="595"/>
      <c r="Z513" s="594" t="str">
        <f>IF(ISERROR(X513/X516),"",X513/X516)</f>
        <v/>
      </c>
      <c r="AA513" s="594"/>
    </row>
    <row r="514" spans="1:27" ht="20.100000000000001" customHeight="1">
      <c r="A514" s="307" t="s">
        <v>477</v>
      </c>
      <c r="B514" s="506">
        <f>G507</f>
        <v>0</v>
      </c>
      <c r="C514" s="598" t="s">
        <v>269</v>
      </c>
      <c r="D514" s="599"/>
      <c r="E514" s="591">
        <f>H507</f>
        <v>0</v>
      </c>
      <c r="F514" s="591"/>
      <c r="G514" s="591" t="s">
        <v>270</v>
      </c>
      <c r="H514" s="591"/>
      <c r="I514" s="600" t="str">
        <f>L507</f>
        <v/>
      </c>
      <c r="J514" s="600"/>
      <c r="K514" s="588" t="s">
        <v>271</v>
      </c>
      <c r="L514" s="588"/>
      <c r="M514" s="600" t="str">
        <f>J507</f>
        <v/>
      </c>
      <c r="N514" s="600"/>
      <c r="O514" s="588"/>
      <c r="P514" s="591" t="s">
        <v>244</v>
      </c>
      <c r="Q514" s="591"/>
      <c r="R514" s="593">
        <f>SUM(O506:U506)</f>
        <v>0</v>
      </c>
      <c r="S514" s="593"/>
      <c r="T514" s="594" t="str">
        <f>IF(ISERROR(R514/R516),"",R514/R516)</f>
        <v/>
      </c>
      <c r="U514" s="594"/>
      <c r="V514" s="591" t="s">
        <v>272</v>
      </c>
      <c r="W514" s="591"/>
      <c r="X514" s="595">
        <f>SUM(O376,O433,O468,O484,O495,O511)</f>
        <v>0</v>
      </c>
      <c r="Y514" s="595"/>
      <c r="Z514" s="594" t="str">
        <f>IF(ISERROR(X514/X516),"",X514/X516)</f>
        <v/>
      </c>
      <c r="AA514" s="594"/>
    </row>
    <row r="515" spans="1:27" ht="20.100000000000001" customHeight="1">
      <c r="A515" s="308" t="s">
        <v>478</v>
      </c>
      <c r="B515" s="506">
        <f>I507+C513</f>
        <v>1</v>
      </c>
      <c r="C515" s="601" t="s">
        <v>251</v>
      </c>
      <c r="D515" s="602"/>
      <c r="E515" s="603">
        <f>K507+I513</f>
        <v>11</v>
      </c>
      <c r="F515" s="603"/>
      <c r="G515" s="591" t="s">
        <v>274</v>
      </c>
      <c r="H515" s="591"/>
      <c r="I515" s="600">
        <f>B515-E515</f>
        <v>-10</v>
      </c>
      <c r="J515" s="600"/>
      <c r="K515" s="588" t="s">
        <v>275</v>
      </c>
      <c r="L515" s="588"/>
      <c r="M515" s="592">
        <f>IF(ISERROR(I515/E515),"",I515/E515)</f>
        <v>-0.90909090909090906</v>
      </c>
      <c r="N515" s="592"/>
      <c r="O515" s="588"/>
      <c r="P515" s="591" t="s">
        <v>245</v>
      </c>
      <c r="Q515" s="591"/>
      <c r="R515" s="593"/>
      <c r="S515" s="593"/>
      <c r="T515" s="594" t="str">
        <f>IF(ISERROR(R515/R516),"",R515/R516)</f>
        <v/>
      </c>
      <c r="U515" s="594"/>
      <c r="V515" s="591" t="s">
        <v>264</v>
      </c>
      <c r="W515" s="591"/>
      <c r="X515" s="595">
        <f>SUM(O377,O434,O469,O489,O496,O512)</f>
        <v>0</v>
      </c>
      <c r="Y515" s="595"/>
      <c r="Z515" s="594" t="str">
        <f>IF(ISERROR(X515/X516),"",X515/X516)</f>
        <v/>
      </c>
      <c r="AA515" s="594"/>
    </row>
    <row r="516" spans="1:27" ht="20.100000000000001" customHeight="1">
      <c r="A516" s="308" t="s">
        <v>479</v>
      </c>
      <c r="B516" s="506">
        <f>N507</f>
        <v>0</v>
      </c>
      <c r="C516" s="601" t="s">
        <v>277</v>
      </c>
      <c r="D516" s="602"/>
      <c r="E516" s="594">
        <f>IF(ISERROR(B516/B515),"",B516/B515)</f>
        <v>0</v>
      </c>
      <c r="F516" s="594"/>
      <c r="G516" s="591" t="s">
        <v>278</v>
      </c>
      <c r="H516" s="591"/>
      <c r="I516" s="588">
        <f>V507</f>
        <v>0</v>
      </c>
      <c r="J516" s="588"/>
      <c r="K516" s="588" t="s">
        <v>279</v>
      </c>
      <c r="L516" s="588"/>
      <c r="M516" s="592" t="str">
        <f t="array" ref="M516">IF(ISERROR(I516/B514),"",I516/B514)</f>
        <v/>
      </c>
      <c r="N516" s="592"/>
      <c r="O516" s="588"/>
      <c r="P516" s="591" t="s">
        <v>266</v>
      </c>
      <c r="Q516" s="591"/>
      <c r="R516" s="593">
        <f>SUM(R509:S515)</f>
        <v>0</v>
      </c>
      <c r="S516" s="593"/>
      <c r="T516" s="594"/>
      <c r="U516" s="594"/>
      <c r="V516" s="591" t="s">
        <v>266</v>
      </c>
      <c r="W516" s="591"/>
      <c r="X516" s="595">
        <f>SUM(X509:Y515)</f>
        <v>0</v>
      </c>
      <c r="Y516" s="595"/>
      <c r="Z516" s="594"/>
      <c r="AA516" s="594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630" t="str">
        <f>IF(ISERROR(#REF!/#REF!),"",#REF!/#REF!)</f>
        <v/>
      </c>
      <c r="H517" s="630"/>
      <c r="I517" s="630"/>
      <c r="J517" s="125"/>
      <c r="K517" s="160"/>
      <c r="L517" s="122"/>
      <c r="M517" s="122"/>
      <c r="N517" s="630" t="str">
        <f>IF(ISERROR(G517/#REF!),"",G517/#REF!)</f>
        <v/>
      </c>
      <c r="O517" s="630"/>
      <c r="P517" s="630"/>
      <c r="Q517" s="630"/>
      <c r="R517" s="630"/>
      <c r="S517" s="507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6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633" t="s">
        <v>268</v>
      </c>
      <c r="B519" s="633"/>
      <c r="C519" s="586">
        <f>SUM(B171,B342,B514)</f>
        <v>10944</v>
      </c>
      <c r="D519" s="587"/>
      <c r="E519" s="633" t="s">
        <v>269</v>
      </c>
      <c r="F519" s="633"/>
      <c r="G519" s="603">
        <f>SUM(E171,E342,E514)</f>
        <v>55183.61</v>
      </c>
      <c r="H519" s="603"/>
      <c r="I519" s="591" t="s">
        <v>270</v>
      </c>
      <c r="J519" s="633"/>
      <c r="K519" s="586">
        <f>IF(ISERROR(C519/G520),"",C519/G520)</f>
        <v>14.42827689287334</v>
      </c>
      <c r="L519" s="587"/>
      <c r="M519" s="591" t="s">
        <v>271</v>
      </c>
      <c r="N519" s="591"/>
      <c r="O519" s="628">
        <f t="array" ref="O519">IF(ISERROR(C519/C520),"",C519/C520)</f>
        <v>19.016507384882711</v>
      </c>
      <c r="P519" s="629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591" t="s">
        <v>273</v>
      </c>
      <c r="B520" s="591"/>
      <c r="C520" s="586">
        <f>SUM(B172,B343,B515)</f>
        <v>575.5</v>
      </c>
      <c r="D520" s="587"/>
      <c r="E520" s="591" t="s">
        <v>251</v>
      </c>
      <c r="F520" s="591"/>
      <c r="G520" s="603">
        <f>SUM(E172,E343,E515)</f>
        <v>758.51053325748455</v>
      </c>
      <c r="H520" s="603"/>
      <c r="I520" s="601" t="s">
        <v>274</v>
      </c>
      <c r="J520" s="602"/>
      <c r="K520" s="598">
        <f>C520-G520</f>
        <v>-183.01053325748455</v>
      </c>
      <c r="L520" s="599"/>
      <c r="M520" s="598" t="s">
        <v>275</v>
      </c>
      <c r="N520" s="599"/>
      <c r="O520" s="631">
        <f>IF(ISERROR(K520/C520),"",K520/C520)</f>
        <v>-0.31800266421804441</v>
      </c>
      <c r="P520" s="632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601" t="s">
        <v>276</v>
      </c>
      <c r="B521" s="602"/>
      <c r="C521" s="586">
        <f>SUM(B173,B344,B516)</f>
        <v>0</v>
      </c>
      <c r="D521" s="587"/>
      <c r="E521" s="601" t="s">
        <v>277</v>
      </c>
      <c r="F521" s="602"/>
      <c r="G521" s="594">
        <f>IF(ISERROR(C521/C520),"",C521/C520)</f>
        <v>0</v>
      </c>
      <c r="H521" s="594"/>
      <c r="I521" s="591" t="s">
        <v>278</v>
      </c>
      <c r="J521" s="633"/>
      <c r="K521" s="603">
        <f>SUM(I173,I344,I516)</f>
        <v>0</v>
      </c>
      <c r="L521" s="603"/>
      <c r="M521" s="633" t="s">
        <v>279</v>
      </c>
      <c r="N521" s="633"/>
      <c r="O521" s="631">
        <f t="array" ref="O521">IF(ISERROR(K521/C519),"",K521/C519)</f>
        <v>0</v>
      </c>
      <c r="P521" s="632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347"/>
      <c r="H522" s="168"/>
      <c r="I522" s="507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601" t="s">
        <v>298</v>
      </c>
      <c r="B523" s="602"/>
      <c r="C523" s="601" t="s">
        <v>299</v>
      </c>
      <c r="D523" s="602"/>
      <c r="E523" s="601" t="s">
        <v>256</v>
      </c>
      <c r="F523" s="602"/>
      <c r="G523" s="634" t="s">
        <v>254</v>
      </c>
      <c r="H523" s="635"/>
      <c r="I523" s="601" t="s">
        <v>255</v>
      </c>
      <c r="J523" s="599"/>
      <c r="K523" s="601" t="s">
        <v>300</v>
      </c>
      <c r="L523" s="602"/>
      <c r="M523" s="601" t="s">
        <v>256</v>
      </c>
      <c r="N523" s="602"/>
      <c r="O523" s="591" t="s">
        <v>257</v>
      </c>
      <c r="P523" s="591"/>
      <c r="Q523" s="601" t="s">
        <v>300</v>
      </c>
      <c r="R523" s="602"/>
      <c r="S523" s="601" t="s">
        <v>256</v>
      </c>
      <c r="T523" s="602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640" t="s">
        <v>201</v>
      </c>
      <c r="B524" s="602"/>
      <c r="C524" s="601">
        <f>SUM(G28,G199,G370)</f>
        <v>3222</v>
      </c>
      <c r="D524" s="602"/>
      <c r="E524" s="641">
        <f>IF(ISERROR(C524/C530),"",C524/C530)</f>
        <v>0.29440789473684209</v>
      </c>
      <c r="F524" s="642"/>
      <c r="G524" s="636"/>
      <c r="H524" s="637"/>
      <c r="I524" s="643" t="s">
        <v>301</v>
      </c>
      <c r="J524" s="644"/>
      <c r="K524" s="598">
        <f t="shared" ref="K524:K529" si="238">SUM(R166,U337,U509)</f>
        <v>0</v>
      </c>
      <c r="L524" s="599"/>
      <c r="M524" s="641" t="str">
        <f t="array" ref="M524">IF(ISERROR(K524/K530),"",K524/K530)</f>
        <v/>
      </c>
      <c r="N524" s="642"/>
      <c r="O524" s="591" t="s">
        <v>259</v>
      </c>
      <c r="P524" s="591"/>
      <c r="Q524" s="628">
        <f t="shared" ref="Q524:Q529" si="239">SUM(X166,AA337,AA509)</f>
        <v>0</v>
      </c>
      <c r="R524" s="629"/>
      <c r="S524" s="641" t="str">
        <f t="array" ref="S524">IF(ISERROR(Q524/Q530),"",Q524/Q530)</f>
        <v/>
      </c>
      <c r="T524" s="642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640" t="s">
        <v>216</v>
      </c>
      <c r="B525" s="602"/>
      <c r="C525" s="601">
        <f>SUM(G86,G257,G428)</f>
        <v>5319</v>
      </c>
      <c r="D525" s="602"/>
      <c r="E525" s="641">
        <f>IF(ISERROR(C525/C530),"",C525/C530)</f>
        <v>0.48601973684210525</v>
      </c>
      <c r="F525" s="642"/>
      <c r="G525" s="636"/>
      <c r="H525" s="637"/>
      <c r="I525" s="643" t="s">
        <v>302</v>
      </c>
      <c r="J525" s="644"/>
      <c r="K525" s="598">
        <f t="shared" si="238"/>
        <v>0</v>
      </c>
      <c r="L525" s="599"/>
      <c r="M525" s="641" t="str">
        <f>IF(ISERROR(K525/K530),"",K525/K530)</f>
        <v/>
      </c>
      <c r="N525" s="642"/>
      <c r="O525" s="591" t="s">
        <v>261</v>
      </c>
      <c r="P525" s="591"/>
      <c r="Q525" s="628">
        <f t="shared" si="239"/>
        <v>0</v>
      </c>
      <c r="R525" s="629"/>
      <c r="S525" s="641" t="str">
        <f>IF(ISERROR(Q525/Q530),"",Q525/Q530)</f>
        <v/>
      </c>
      <c r="T525" s="642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640" t="s">
        <v>224</v>
      </c>
      <c r="B526" s="602"/>
      <c r="C526" s="601">
        <f>SUM(G121,G292,G463)</f>
        <v>1178</v>
      </c>
      <c r="D526" s="602"/>
      <c r="E526" s="641">
        <f>IF(ISERROR(C526/C530),"",C526/C530)</f>
        <v>0.1076388888888889</v>
      </c>
      <c r="F526" s="642"/>
      <c r="G526" s="636"/>
      <c r="H526" s="637"/>
      <c r="I526" s="643" t="s">
        <v>303</v>
      </c>
      <c r="J526" s="644"/>
      <c r="K526" s="598">
        <f t="shared" si="238"/>
        <v>0</v>
      </c>
      <c r="L526" s="599"/>
      <c r="M526" s="641" t="str">
        <f>IF(ISERROR(K526/K530),"",K526/K530)</f>
        <v/>
      </c>
      <c r="N526" s="642"/>
      <c r="O526" s="591" t="s">
        <v>263</v>
      </c>
      <c r="P526" s="591"/>
      <c r="Q526" s="628">
        <f t="shared" si="239"/>
        <v>0</v>
      </c>
      <c r="R526" s="629"/>
      <c r="S526" s="641" t="str">
        <f>IF(ISERROR(Q526/Q530),"",Q526/Q530)</f>
        <v/>
      </c>
      <c r="T526" s="642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640" t="s">
        <v>231</v>
      </c>
      <c r="B527" s="602"/>
      <c r="C527" s="601">
        <f>SUM(G137,G308,G479)</f>
        <v>1083</v>
      </c>
      <c r="D527" s="602"/>
      <c r="E527" s="641">
        <f>IF(ISERROR(C527/C530),"",C527/C530)</f>
        <v>9.8958333333333329E-2</v>
      </c>
      <c r="F527" s="642"/>
      <c r="G527" s="636"/>
      <c r="H527" s="637"/>
      <c r="I527" s="643" t="s">
        <v>304</v>
      </c>
      <c r="J527" s="644"/>
      <c r="K527" s="598">
        <f t="shared" si="238"/>
        <v>0</v>
      </c>
      <c r="L527" s="599"/>
      <c r="M527" s="641" t="str">
        <f>IF(ISERROR(K527/K530),"",K527/K530)</f>
        <v/>
      </c>
      <c r="N527" s="642"/>
      <c r="O527" s="591" t="s">
        <v>305</v>
      </c>
      <c r="P527" s="591"/>
      <c r="Q527" s="628">
        <f t="shared" si="239"/>
        <v>0</v>
      </c>
      <c r="R527" s="629"/>
      <c r="S527" s="641" t="str">
        <f>IF(ISERROR(Q527/Q530),"",Q527/Q530)</f>
        <v/>
      </c>
      <c r="T527" s="642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640" t="s">
        <v>234</v>
      </c>
      <c r="B528" s="602"/>
      <c r="C528" s="601">
        <f>SUM(G148,G319,G490)</f>
        <v>142</v>
      </c>
      <c r="D528" s="602"/>
      <c r="E528" s="641">
        <f>IF(ISERROR(C528/C530),"",C528/C530)</f>
        <v>1.2975146198830409E-2</v>
      </c>
      <c r="F528" s="642"/>
      <c r="G528" s="636"/>
      <c r="H528" s="637"/>
      <c r="I528" s="643" t="s">
        <v>306</v>
      </c>
      <c r="J528" s="644"/>
      <c r="K528" s="598">
        <f t="shared" si="238"/>
        <v>0</v>
      </c>
      <c r="L528" s="599"/>
      <c r="M528" s="641" t="str">
        <f>IF(ISERROR(K528/K530),"",K528/K530)</f>
        <v/>
      </c>
      <c r="N528" s="642"/>
      <c r="O528" s="591" t="s">
        <v>267</v>
      </c>
      <c r="P528" s="591"/>
      <c r="Q528" s="628">
        <f t="shared" si="239"/>
        <v>0</v>
      </c>
      <c r="R528" s="629"/>
      <c r="S528" s="641" t="str">
        <f>IF(ISERROR(Q528/Q530),"",Q528/Q530)</f>
        <v/>
      </c>
      <c r="T528" s="642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640" t="s">
        <v>244</v>
      </c>
      <c r="B529" s="602"/>
      <c r="C529" s="601">
        <f>SUM(G163,G334,G506)</f>
        <v>0</v>
      </c>
      <c r="D529" s="602"/>
      <c r="E529" s="641">
        <f>IF(ISERROR(C529/C530),"",C529/C530)</f>
        <v>0</v>
      </c>
      <c r="F529" s="642"/>
      <c r="G529" s="636"/>
      <c r="H529" s="637"/>
      <c r="I529" s="643" t="s">
        <v>307</v>
      </c>
      <c r="J529" s="644"/>
      <c r="K529" s="598">
        <f t="shared" si="238"/>
        <v>0</v>
      </c>
      <c r="L529" s="599"/>
      <c r="M529" s="641" t="str">
        <f>IF(ISERROR(K529/K530),"",K529/K530)</f>
        <v/>
      </c>
      <c r="N529" s="642"/>
      <c r="O529" s="591" t="s">
        <v>272</v>
      </c>
      <c r="P529" s="591"/>
      <c r="Q529" s="628">
        <f t="shared" si="239"/>
        <v>0</v>
      </c>
      <c r="R529" s="629"/>
      <c r="S529" s="641" t="str">
        <f>IF(ISERROR(Q529/Q530),"",Q529/Q530)</f>
        <v/>
      </c>
      <c r="T529" s="642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601" t="s">
        <v>266</v>
      </c>
      <c r="B530" s="602"/>
      <c r="C530" s="601">
        <f>SUM(C524:C529)</f>
        <v>10944</v>
      </c>
      <c r="D530" s="602"/>
      <c r="E530" s="641">
        <f>SUM(E524:F529)</f>
        <v>1</v>
      </c>
      <c r="F530" s="642"/>
      <c r="G530" s="638"/>
      <c r="H530" s="639"/>
      <c r="I530" s="601" t="s">
        <v>266</v>
      </c>
      <c r="J530" s="599"/>
      <c r="K530" s="598">
        <f>SUM(R173,U344,U516)</f>
        <v>0</v>
      </c>
      <c r="L530" s="599"/>
      <c r="M530" s="641"/>
      <c r="N530" s="642"/>
      <c r="O530" s="591" t="s">
        <v>266</v>
      </c>
      <c r="P530" s="591"/>
      <c r="Q530" s="628">
        <f>SUM(Q524:R529)</f>
        <v>0</v>
      </c>
      <c r="R530" s="629"/>
      <c r="S530" s="641">
        <f>SUM(S524:T529)</f>
        <v>0</v>
      </c>
      <c r="T530" s="642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172"/>
      <c r="D531" s="172"/>
      <c r="E531" s="172"/>
      <c r="F531" s="172"/>
      <c r="G531" s="173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643" t="s">
        <v>308</v>
      </c>
      <c r="B532" s="597"/>
      <c r="C532" s="510" t="s">
        <v>309</v>
      </c>
      <c r="D532" s="510" t="s">
        <v>310</v>
      </c>
      <c r="E532" s="510" t="s">
        <v>311</v>
      </c>
      <c r="F532" s="510" t="s">
        <v>312</v>
      </c>
      <c r="G532" s="348" t="s">
        <v>313</v>
      </c>
      <c r="H532" s="129" t="s">
        <v>314</v>
      </c>
      <c r="I532" s="129" t="s">
        <v>315</v>
      </c>
      <c r="J532" s="129" t="s">
        <v>316</v>
      </c>
      <c r="K532" s="512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504" t="s">
        <v>322</v>
      </c>
      <c r="Q532" s="129" t="s">
        <v>323</v>
      </c>
      <c r="R532" s="109" t="s">
        <v>324</v>
      </c>
      <c r="S532" s="510" t="s">
        <v>325</v>
      </c>
      <c r="T532" s="510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645" t="s">
        <v>327</v>
      </c>
      <c r="B533" s="646"/>
      <c r="C533" s="106">
        <f>D533+E533+F533-G533-O533-P533</f>
        <v>46</v>
      </c>
      <c r="D533" s="106">
        <f>+'9'!C533</f>
        <v>46</v>
      </c>
      <c r="E533" s="106"/>
      <c r="F533" s="106"/>
      <c r="G533" s="107"/>
      <c r="H533" s="106"/>
      <c r="I533" s="106"/>
      <c r="J533" s="106">
        <f>C533-H533-I533</f>
        <v>46</v>
      </c>
      <c r="K533" s="106"/>
      <c r="L533" s="106"/>
      <c r="M533" s="106"/>
      <c r="N533" s="106"/>
      <c r="O533" s="106"/>
      <c r="P533" s="108"/>
      <c r="Q533" s="106">
        <f>J533-K533-L533</f>
        <v>46</v>
      </c>
      <c r="R533" s="109">
        <f>Q533*11-M533-N533</f>
        <v>506</v>
      </c>
      <c r="S533" s="511">
        <f t="array" ref="S533">IF(ISERROR(Q533/J533),"",Q533/J533)</f>
        <v>1</v>
      </c>
      <c r="T533" s="511">
        <f t="array" ref="T533">IF(ISERROR((O533:P533)/C533),"",SUM(O533:P533)/C533)</f>
        <v>0</v>
      </c>
      <c r="X533" s="116"/>
      <c r="Y533" s="116"/>
      <c r="Z533" s="159"/>
      <c r="AA533" s="159"/>
    </row>
    <row r="534" spans="1:27" ht="20.100000000000001" customHeight="1">
      <c r="A534" s="645" t="s">
        <v>328</v>
      </c>
      <c r="B534" s="646"/>
      <c r="C534" s="106">
        <f>D534+E534+F534-G534-O534-P534</f>
        <v>44</v>
      </c>
      <c r="D534" s="106">
        <f>+'9'!C534</f>
        <v>44</v>
      </c>
      <c r="E534" s="110"/>
      <c r="F534" s="110"/>
      <c r="G534" s="107"/>
      <c r="H534" s="106"/>
      <c r="I534" s="106"/>
      <c r="J534" s="106">
        <f>C534-H534-I534</f>
        <v>44</v>
      </c>
      <c r="K534" s="106">
        <v>1</v>
      </c>
      <c r="L534" s="106"/>
      <c r="M534" s="106"/>
      <c r="N534" s="106"/>
      <c r="O534" s="110"/>
      <c r="P534" s="111"/>
      <c r="Q534" s="106">
        <f>J534-K534-L534</f>
        <v>43</v>
      </c>
      <c r="R534" s="109">
        <f>Q534*11-M534-N534</f>
        <v>473</v>
      </c>
      <c r="S534" s="511">
        <f t="array" ref="S534">IF(ISERROR(Q534/J534),"",Q534/J534)</f>
        <v>0.97727272727272729</v>
      </c>
      <c r="T534" s="511">
        <f t="array" ref="T534">IF(ISERROR((O534:P534)/C534),"",SUM(O534:P534)/C534)</f>
        <v>0</v>
      </c>
      <c r="X534" s="116"/>
      <c r="Y534" s="116"/>
      <c r="Z534" s="159"/>
      <c r="AA534" s="159"/>
    </row>
    <row r="535" spans="1:27" ht="20.100000000000001" customHeight="1">
      <c r="A535" s="645" t="s">
        <v>329</v>
      </c>
      <c r="B535" s="646"/>
      <c r="C535" s="106">
        <f>D535+E535+F535-G535-O535-P535</f>
        <v>10</v>
      </c>
      <c r="D535" s="106">
        <f>+'9'!C535</f>
        <v>10</v>
      </c>
      <c r="E535" s="110"/>
      <c r="F535" s="110"/>
      <c r="G535" s="107"/>
      <c r="H535" s="106"/>
      <c r="I535" s="106"/>
      <c r="J535" s="106">
        <f>C535-H535-I535</f>
        <v>10</v>
      </c>
      <c r="K535" s="106"/>
      <c r="L535" s="106"/>
      <c r="M535" s="106"/>
      <c r="N535" s="106"/>
      <c r="O535" s="110"/>
      <c r="P535" s="111"/>
      <c r="Q535" s="106">
        <f>J535-K535-L535</f>
        <v>10</v>
      </c>
      <c r="R535" s="109">
        <f>Q535*11-M535-N535</f>
        <v>110</v>
      </c>
      <c r="S535" s="511">
        <f t="array" ref="S535">IF(ISERROR(Q535/J535),"",Q535/J535)</f>
        <v>1</v>
      </c>
      <c r="T535" s="511">
        <f t="array" ref="T535">IF(ISERROR((O535:P535)/C535),"",SUM(O535:P535)/C535)</f>
        <v>0</v>
      </c>
      <c r="V535" s="179"/>
      <c r="X535" s="116"/>
      <c r="Y535" s="116"/>
      <c r="Z535" s="159"/>
      <c r="AA535" s="159"/>
    </row>
    <row r="536" spans="1:27" ht="20.100000000000001" customHeight="1">
      <c r="A536" s="647" t="s">
        <v>330</v>
      </c>
      <c r="B536" s="648"/>
      <c r="C536" s="112">
        <f>SUM(C533:C535)</f>
        <v>100</v>
      </c>
      <c r="D536" s="112">
        <f t="shared" ref="D536:N536" si="240">SUM(D533:D535)</f>
        <v>100</v>
      </c>
      <c r="E536" s="112">
        <f t="shared" si="240"/>
        <v>0</v>
      </c>
      <c r="F536" s="112">
        <f t="shared" si="240"/>
        <v>0</v>
      </c>
      <c r="G536" s="113">
        <f t="shared" si="240"/>
        <v>0</v>
      </c>
      <c r="H536" s="112">
        <f t="shared" si="240"/>
        <v>0</v>
      </c>
      <c r="I536" s="112">
        <f t="shared" si="240"/>
        <v>0</v>
      </c>
      <c r="J536" s="112">
        <f t="shared" si="240"/>
        <v>100</v>
      </c>
      <c r="K536" s="112">
        <f t="shared" si="240"/>
        <v>1</v>
      </c>
      <c r="L536" s="112">
        <f t="shared" si="240"/>
        <v>0</v>
      </c>
      <c r="M536" s="112">
        <f t="shared" si="240"/>
        <v>0</v>
      </c>
      <c r="N536" s="112">
        <f t="shared" si="240"/>
        <v>0</v>
      </c>
      <c r="O536" s="112">
        <f>SUM(O533:O535)</f>
        <v>0</v>
      </c>
      <c r="P536" s="112">
        <f>SUM(P533:P535)</f>
        <v>0</v>
      </c>
      <c r="Q536" s="112">
        <f>SUM(Q533:Q535)</f>
        <v>99</v>
      </c>
      <c r="R536" s="114">
        <f>SUM(R533:R535)</f>
        <v>1089</v>
      </c>
      <c r="S536" s="115">
        <f t="array" ref="S536">IF(ISERROR(Q536/J536),"",Q536/J536)</f>
        <v>0.99</v>
      </c>
      <c r="T536" s="115">
        <f t="array" ref="T536">IF(ISERROR((O536:P536)/C536),"",SUM(O536:P536)/C536)</f>
        <v>0</v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7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7"/>
      <c r="H538" s="116"/>
      <c r="I538" s="118" t="s">
        <v>332</v>
      </c>
      <c r="J538" s="198" t="s">
        <v>447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54" spans="2:2">
      <c r="B554" s="121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528" activePane="bottomRight" state="frozen"/>
      <selection activeCell="E487" sqref="E487"/>
      <selection pane="topRight" activeCell="E487" sqref="E487"/>
      <selection pane="bottomLeft" activeCell="E487" sqref="E487"/>
      <selection pane="bottomRight" activeCell="F156" sqref="F156:G156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55" t="s">
        <v>413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55"/>
      <c r="M1" s="555"/>
      <c r="N1" s="555"/>
      <c r="O1" s="555"/>
      <c r="P1" s="555"/>
      <c r="Q1" s="555"/>
      <c r="R1" s="555"/>
      <c r="S1" s="555"/>
      <c r="T1" s="555"/>
      <c r="U1" s="555"/>
      <c r="V1" s="555"/>
      <c r="W1" s="555"/>
      <c r="X1" s="555"/>
      <c r="Y1" s="555"/>
      <c r="Z1" s="555"/>
      <c r="AA1" s="555"/>
    </row>
    <row r="2" spans="1:27" ht="18.75">
      <c r="A2" s="556"/>
      <c r="B2" s="556"/>
      <c r="C2" s="556"/>
      <c r="D2" s="556"/>
      <c r="E2" s="556"/>
      <c r="F2" s="556"/>
      <c r="G2" s="556"/>
      <c r="H2" s="556"/>
      <c r="I2" s="556"/>
      <c r="J2" s="556"/>
      <c r="K2" s="556"/>
      <c r="L2" s="556"/>
      <c r="M2" s="556"/>
      <c r="N2" s="556"/>
      <c r="O2" s="556"/>
      <c r="P2" s="556"/>
      <c r="Q2" s="556"/>
      <c r="R2" s="556"/>
      <c r="S2" s="556"/>
      <c r="T2" s="556"/>
      <c r="U2" s="556"/>
      <c r="V2" s="556"/>
      <c r="W2" s="556"/>
      <c r="X2" s="556"/>
      <c r="Y2" s="556"/>
      <c r="Z2" s="556"/>
      <c r="AA2" s="556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57" t="s">
        <v>12</v>
      </c>
      <c r="B4" s="557" t="s">
        <v>25</v>
      </c>
      <c r="C4" s="557" t="s">
        <v>26</v>
      </c>
      <c r="D4" s="557" t="s">
        <v>27</v>
      </c>
      <c r="E4" s="560" t="s">
        <v>28</v>
      </c>
      <c r="F4" s="563" t="s">
        <v>29</v>
      </c>
      <c r="G4" s="566" t="s">
        <v>30</v>
      </c>
      <c r="H4" s="566"/>
      <c r="I4" s="557" t="s">
        <v>31</v>
      </c>
      <c r="J4" s="569" t="s">
        <v>32</v>
      </c>
      <c r="K4" s="572" t="s">
        <v>33</v>
      </c>
      <c r="L4" s="557" t="s">
        <v>34</v>
      </c>
      <c r="M4" s="575" t="s">
        <v>35</v>
      </c>
      <c r="N4" s="577" t="s">
        <v>36</v>
      </c>
      <c r="O4" s="566" t="s">
        <v>37</v>
      </c>
      <c r="P4" s="566"/>
      <c r="Q4" s="566"/>
      <c r="R4" s="566"/>
      <c r="S4" s="566"/>
      <c r="T4" s="566"/>
      <c r="U4" s="566"/>
      <c r="V4" s="566" t="s">
        <v>38</v>
      </c>
      <c r="W4" s="577" t="s">
        <v>39</v>
      </c>
      <c r="X4" s="566" t="s">
        <v>40</v>
      </c>
      <c r="Y4" s="566"/>
      <c r="Z4" s="566"/>
      <c r="AA4" s="566"/>
    </row>
    <row r="5" spans="1:27" s="104" customFormat="1" ht="15" customHeight="1">
      <c r="A5" s="558"/>
      <c r="B5" s="558"/>
      <c r="C5" s="558"/>
      <c r="D5" s="558"/>
      <c r="E5" s="561"/>
      <c r="F5" s="564"/>
      <c r="G5" s="566"/>
      <c r="H5" s="566"/>
      <c r="I5" s="558"/>
      <c r="J5" s="570"/>
      <c r="K5" s="573"/>
      <c r="L5" s="558"/>
      <c r="M5" s="576"/>
      <c r="N5" s="577"/>
      <c r="O5" s="566" t="s">
        <v>41</v>
      </c>
      <c r="P5" s="566" t="s">
        <v>42</v>
      </c>
      <c r="Q5" s="566" t="s">
        <v>43</v>
      </c>
      <c r="R5" s="567" t="s">
        <v>44</v>
      </c>
      <c r="S5" s="568" t="s">
        <v>45</v>
      </c>
      <c r="T5" s="566" t="s">
        <v>46</v>
      </c>
      <c r="U5" s="566" t="s">
        <v>47</v>
      </c>
      <c r="V5" s="566"/>
      <c r="W5" s="577"/>
      <c r="X5" s="566" t="s">
        <v>13</v>
      </c>
      <c r="Y5" s="566" t="s">
        <v>48</v>
      </c>
      <c r="Z5" s="566" t="s">
        <v>49</v>
      </c>
      <c r="AA5" s="566" t="s">
        <v>47</v>
      </c>
    </row>
    <row r="6" spans="1:27" s="104" customFormat="1" ht="27.75" customHeight="1">
      <c r="A6" s="559"/>
      <c r="B6" s="559"/>
      <c r="C6" s="559"/>
      <c r="D6" s="559"/>
      <c r="E6" s="562"/>
      <c r="F6" s="565"/>
      <c r="G6" s="350" t="s">
        <v>50</v>
      </c>
      <c r="H6" s="526" t="s">
        <v>51</v>
      </c>
      <c r="I6" s="559"/>
      <c r="J6" s="571"/>
      <c r="K6" s="574"/>
      <c r="L6" s="559"/>
      <c r="M6" s="576"/>
      <c r="N6" s="577"/>
      <c r="O6" s="566"/>
      <c r="P6" s="566"/>
      <c r="Q6" s="566"/>
      <c r="R6" s="567"/>
      <c r="S6" s="568"/>
      <c r="T6" s="566"/>
      <c r="U6" s="566"/>
      <c r="V6" s="566"/>
      <c r="W6" s="577"/>
      <c r="X6" s="566"/>
      <c r="Y6" s="566"/>
      <c r="Z6" s="566"/>
      <c r="AA6" s="566"/>
    </row>
    <row r="7" spans="1:27" ht="20.100000000000001" hidden="1" customHeight="1">
      <c r="A7" s="299">
        <v>30100030</v>
      </c>
      <c r="B7" s="515" t="s">
        <v>178</v>
      </c>
      <c r="C7" s="126" t="s">
        <v>179</v>
      </c>
      <c r="D7" s="108">
        <v>5.03</v>
      </c>
      <c r="E7" s="108"/>
      <c r="F7" s="127"/>
      <c r="G7" s="128"/>
      <c r="H7" s="516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524"/>
      <c r="P7" s="524"/>
      <c r="Q7" s="524"/>
      <c r="R7" s="524"/>
      <c r="S7" s="524"/>
      <c r="T7" s="524"/>
      <c r="U7" s="524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516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524"/>
      <c r="Q8" s="524"/>
      <c r="R8" s="524"/>
      <c r="S8" s="524"/>
      <c r="T8" s="524"/>
      <c r="U8" s="524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516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524"/>
      <c r="P9" s="524"/>
      <c r="Q9" s="524"/>
      <c r="R9" s="524"/>
      <c r="S9" s="524"/>
      <c r="T9" s="524"/>
      <c r="U9" s="524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516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524"/>
      <c r="P10" s="524"/>
      <c r="Q10" s="524"/>
      <c r="R10" s="524"/>
      <c r="S10" s="524"/>
      <c r="T10" s="524"/>
      <c r="U10" s="524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516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524"/>
      <c r="P11" s="524"/>
      <c r="Q11" s="524"/>
      <c r="R11" s="524"/>
      <c r="S11" s="524"/>
      <c r="T11" s="524"/>
      <c r="U11" s="524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516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524"/>
      <c r="P12" s="524"/>
      <c r="Q12" s="524"/>
      <c r="R12" s="524"/>
      <c r="S12" s="524"/>
      <c r="T12" s="524"/>
      <c r="U12" s="524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516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524"/>
      <c r="P13" s="524"/>
      <c r="Q13" s="524"/>
      <c r="R13" s="524"/>
      <c r="S13" s="524"/>
      <c r="T13" s="524"/>
      <c r="U13" s="524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516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524"/>
      <c r="P14" s="524"/>
      <c r="Q14" s="524"/>
      <c r="R14" s="524"/>
      <c r="S14" s="524"/>
      <c r="T14" s="524"/>
      <c r="U14" s="524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516">
        <f t="shared" si="0"/>
        <v>0</v>
      </c>
      <c r="I15" s="516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524"/>
      <c r="P15" s="524"/>
      <c r="Q15" s="524"/>
      <c r="R15" s="524"/>
      <c r="S15" s="524"/>
      <c r="T15" s="524"/>
      <c r="U15" s="524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516">
        <f t="shared" si="0"/>
        <v>0</v>
      </c>
      <c r="I16" s="516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524"/>
      <c r="P16" s="524"/>
      <c r="Q16" s="524"/>
      <c r="R16" s="524"/>
      <c r="S16" s="524"/>
      <c r="T16" s="524"/>
      <c r="U16" s="524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516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524"/>
      <c r="P17" s="524"/>
      <c r="Q17" s="524"/>
      <c r="R17" s="524"/>
      <c r="S17" s="524"/>
      <c r="T17" s="524"/>
      <c r="U17" s="524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516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524"/>
      <c r="P18" s="524"/>
      <c r="Q18" s="524"/>
      <c r="R18" s="524"/>
      <c r="S18" s="524"/>
      <c r="T18" s="524"/>
      <c r="U18" s="524"/>
      <c r="V18" s="132"/>
      <c r="W18" s="133"/>
      <c r="X18" s="132"/>
      <c r="Y18" s="132"/>
      <c r="Z18" s="132"/>
      <c r="AA18" s="132"/>
    </row>
    <row r="19" spans="1:27" s="351" customFormat="1" ht="20.10000000000000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>
        <v>42744</v>
      </c>
      <c r="G19" s="128">
        <f>58+37+90</f>
        <v>185</v>
      </c>
      <c r="H19" s="516">
        <f t="shared" si="0"/>
        <v>936.09999999999991</v>
      </c>
      <c r="I19" s="129">
        <f>3.5*5</f>
        <v>17.5</v>
      </c>
      <c r="J19" s="129">
        <f t="array" ref="J19">IF(ISERROR(G19/I19),"",G19/I19)</f>
        <v>10.571428571428571</v>
      </c>
      <c r="K19" s="131">
        <f t="array" ref="K19">IF(ISERROR(G19/L19),"",G19/L19)</f>
        <v>9.7368421052631575</v>
      </c>
      <c r="L19" s="129">
        <v>19</v>
      </c>
      <c r="M19" s="109">
        <f t="shared" si="1"/>
        <v>7.7631578947368425</v>
      </c>
      <c r="N19" s="129">
        <f t="shared" si="4"/>
        <v>0</v>
      </c>
      <c r="O19" s="524"/>
      <c r="P19" s="524"/>
      <c r="Q19" s="524"/>
      <c r="R19" s="524"/>
      <c r="S19" s="524"/>
      <c r="T19" s="524"/>
      <c r="U19" s="524"/>
      <c r="V19" s="132">
        <f t="shared" ref="V19:V21" si="5">SUM(X19:AA19)</f>
        <v>0</v>
      </c>
      <c r="W19" s="517">
        <f t="shared" ref="W19:W21" si="6">IF(ISERROR(V19/G19),"",V19/G19)</f>
        <v>0</v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516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524"/>
      <c r="P20" s="524"/>
      <c r="Q20" s="524"/>
      <c r="R20" s="524"/>
      <c r="S20" s="524"/>
      <c r="T20" s="524"/>
      <c r="U20" s="524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516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524"/>
      <c r="P21" s="524"/>
      <c r="Q21" s="524"/>
      <c r="R21" s="524"/>
      <c r="S21" s="524"/>
      <c r="T21" s="524"/>
      <c r="U21" s="524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522" t="s">
        <v>190</v>
      </c>
      <c r="D22" s="108">
        <v>4.8</v>
      </c>
      <c r="E22" s="108"/>
      <c r="F22" s="127"/>
      <c r="G22" s="128"/>
      <c r="H22" s="516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524"/>
      <c r="P22" s="524"/>
      <c r="Q22" s="524"/>
      <c r="R22" s="524"/>
      <c r="S22" s="524"/>
      <c r="T22" s="524"/>
      <c r="U22" s="524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522" t="s">
        <v>187</v>
      </c>
      <c r="D23" s="108">
        <v>4.8</v>
      </c>
      <c r="E23" s="108"/>
      <c r="F23" s="127"/>
      <c r="G23" s="128"/>
      <c r="H23" s="516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524"/>
      <c r="P23" s="524"/>
      <c r="Q23" s="524"/>
      <c r="R23" s="524"/>
      <c r="S23" s="524"/>
      <c r="T23" s="524"/>
      <c r="U23" s="524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522" t="s">
        <v>179</v>
      </c>
      <c r="D24" s="108">
        <v>4.8</v>
      </c>
      <c r="E24" s="108"/>
      <c r="F24" s="127"/>
      <c r="G24" s="128"/>
      <c r="H24" s="516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524"/>
      <c r="P24" s="524"/>
      <c r="Q24" s="524"/>
      <c r="R24" s="524"/>
      <c r="S24" s="524"/>
      <c r="T24" s="524"/>
      <c r="U24" s="524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522" t="s">
        <v>199</v>
      </c>
      <c r="D25" s="108">
        <v>4.8</v>
      </c>
      <c r="E25" s="108"/>
      <c r="F25" s="127"/>
      <c r="G25" s="128"/>
      <c r="H25" s="516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524"/>
      <c r="P25" s="524"/>
      <c r="Q25" s="524"/>
      <c r="R25" s="524"/>
      <c r="S25" s="524"/>
      <c r="T25" s="524"/>
      <c r="U25" s="524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516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524"/>
      <c r="P26" s="524"/>
      <c r="Q26" s="524"/>
      <c r="R26" s="524"/>
      <c r="S26" s="524"/>
      <c r="T26" s="524"/>
      <c r="U26" s="524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27">
        <v>42745</v>
      </c>
      <c r="G27" s="128">
        <f>100+100</f>
        <v>200</v>
      </c>
      <c r="H27" s="516">
        <f t="shared" si="0"/>
        <v>998</v>
      </c>
      <c r="I27" s="129">
        <f>1*5</f>
        <v>5</v>
      </c>
      <c r="J27" s="130">
        <f t="array" ref="J27">IF(ISERROR(G27/I27),"",G27/I27)</f>
        <v>40</v>
      </c>
      <c r="K27" s="131">
        <f t="array" ref="K27">IF(ISERROR(G27/L27),"",G27/L27)</f>
        <v>8.5106382978723403</v>
      </c>
      <c r="L27" s="129">
        <v>23.5</v>
      </c>
      <c r="M27" s="109">
        <f t="shared" si="1"/>
        <v>-3.5106382978723403</v>
      </c>
      <c r="N27" s="130">
        <f t="shared" si="7"/>
        <v>0</v>
      </c>
      <c r="O27" s="524"/>
      <c r="P27" s="524"/>
      <c r="Q27" s="524"/>
      <c r="R27" s="524"/>
      <c r="S27" s="524"/>
      <c r="T27" s="524"/>
      <c r="U27" s="524"/>
      <c r="V27" s="132">
        <f t="shared" si="8"/>
        <v>0</v>
      </c>
      <c r="W27" s="133">
        <f t="shared" si="9"/>
        <v>0</v>
      </c>
      <c r="X27" s="132"/>
      <c r="Y27" s="132"/>
      <c r="Z27" s="132"/>
      <c r="AA27" s="132"/>
    </row>
    <row r="28" spans="1:27" ht="20.100000000000001" customHeight="1">
      <c r="A28" s="578" t="s">
        <v>201</v>
      </c>
      <c r="B28" s="579"/>
      <c r="C28" s="525" t="s">
        <v>202</v>
      </c>
      <c r="D28" s="143"/>
      <c r="E28" s="143"/>
      <c r="F28" s="144"/>
      <c r="G28" s="145">
        <f>SUM(G7:G27)</f>
        <v>385</v>
      </c>
      <c r="H28" s="146">
        <f>SUM(H7:H27)</f>
        <v>1934.1</v>
      </c>
      <c r="I28" s="146">
        <f>SUM(I7:I27)</f>
        <v>22.5</v>
      </c>
      <c r="J28" s="130">
        <f t="array" ref="J28">IF(ISERROR(G28/I28),"",G28/I28)</f>
        <v>17.111111111111111</v>
      </c>
      <c r="K28" s="146">
        <f>SUM(K7:K27)</f>
        <v>18.247480403135498</v>
      </c>
      <c r="L28" s="147"/>
      <c r="M28" s="146">
        <f t="shared" ref="M28:V28" si="10">SUM(M7:M27)</f>
        <v>4.2525195968645022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customHeight="1">
      <c r="A29" s="300">
        <v>30100012</v>
      </c>
      <c r="B29" s="515" t="s">
        <v>206</v>
      </c>
      <c r="C29" s="126" t="s">
        <v>199</v>
      </c>
      <c r="D29" s="108">
        <v>5.03</v>
      </c>
      <c r="E29" s="108"/>
      <c r="F29" s="127">
        <v>42746</v>
      </c>
      <c r="G29" s="128">
        <f>108+72</f>
        <v>180</v>
      </c>
      <c r="H29" s="516">
        <f t="shared" ref="H29:H85" si="11">D29*G29</f>
        <v>905.40000000000009</v>
      </c>
      <c r="I29" s="129">
        <f>1.5+0.5</f>
        <v>2</v>
      </c>
      <c r="J29" s="130">
        <f t="array" ref="J29">IF(ISERROR(G29/I29),"",G29/I29)</f>
        <v>90</v>
      </c>
      <c r="K29" s="131">
        <f t="array" ref="K29">IF(ISERROR(G29/L29),"",G29/L29)</f>
        <v>3.4615384615384617</v>
      </c>
      <c r="L29" s="129">
        <v>52</v>
      </c>
      <c r="M29" s="109">
        <f t="shared" ref="M29" si="12">IF(ISERROR(I29-K29),"",I29-K29)</f>
        <v>-1.4615384615384617</v>
      </c>
      <c r="N29" s="130">
        <f t="shared" ref="N29" si="13">SUM(O29:U29)</f>
        <v>0</v>
      </c>
      <c r="O29" s="520"/>
      <c r="P29" s="520"/>
      <c r="Q29" s="520"/>
      <c r="R29" s="520"/>
      <c r="S29" s="520"/>
      <c r="T29" s="520"/>
      <c r="U29" s="520"/>
      <c r="V29" s="132">
        <f t="shared" ref="V29" si="14">SUM(X29:AA29)</f>
        <v>0</v>
      </c>
      <c r="W29" s="133">
        <f t="shared" si="9"/>
        <v>0</v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515" t="s">
        <v>425</v>
      </c>
      <c r="C30" s="187" t="s">
        <v>427</v>
      </c>
      <c r="D30" s="108">
        <v>5.03</v>
      </c>
      <c r="E30" s="108"/>
      <c r="F30" s="127"/>
      <c r="G30" s="128"/>
      <c r="H30" s="516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520"/>
      <c r="P30" s="520"/>
      <c r="Q30" s="520"/>
      <c r="R30" s="520"/>
      <c r="S30" s="520"/>
      <c r="T30" s="520"/>
      <c r="U30" s="520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515" t="s">
        <v>206</v>
      </c>
      <c r="C31" s="126" t="s">
        <v>186</v>
      </c>
      <c r="D31" s="108">
        <v>5.03</v>
      </c>
      <c r="E31" s="108"/>
      <c r="F31" s="127"/>
      <c r="G31" s="128"/>
      <c r="H31" s="516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520"/>
      <c r="P31" s="520"/>
      <c r="Q31" s="520"/>
      <c r="R31" s="520"/>
      <c r="S31" s="520"/>
      <c r="T31" s="520"/>
      <c r="U31" s="520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515" t="s">
        <v>206</v>
      </c>
      <c r="C32" s="126" t="s">
        <v>203</v>
      </c>
      <c r="D32" s="108">
        <v>5.03</v>
      </c>
      <c r="E32" s="108"/>
      <c r="F32" s="127"/>
      <c r="G32" s="128"/>
      <c r="H32" s="516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520"/>
      <c r="P32" s="520"/>
      <c r="Q32" s="520"/>
      <c r="R32" s="520"/>
      <c r="S32" s="520"/>
      <c r="T32" s="520"/>
      <c r="U32" s="520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515" t="s">
        <v>206</v>
      </c>
      <c r="C33" s="126" t="s">
        <v>207</v>
      </c>
      <c r="D33" s="108">
        <v>5.03</v>
      </c>
      <c r="E33" s="108"/>
      <c r="F33" s="127"/>
      <c r="G33" s="128"/>
      <c r="H33" s="516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520"/>
      <c r="P33" s="520"/>
      <c r="Q33" s="520"/>
      <c r="R33" s="520"/>
      <c r="S33" s="520"/>
      <c r="T33" s="520"/>
      <c r="U33" s="520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515" t="s">
        <v>414</v>
      </c>
      <c r="C34" s="187" t="s">
        <v>415</v>
      </c>
      <c r="D34" s="108">
        <v>5.03</v>
      </c>
      <c r="E34" s="108"/>
      <c r="F34" s="127"/>
      <c r="G34" s="128"/>
      <c r="H34" s="516">
        <f t="shared" si="11"/>
        <v>0</v>
      </c>
      <c r="I34" s="129"/>
      <c r="J34" s="130"/>
      <c r="K34" s="131"/>
      <c r="L34" s="129">
        <v>52</v>
      </c>
      <c r="M34" s="109"/>
      <c r="N34" s="130"/>
      <c r="O34" s="520"/>
      <c r="P34" s="520"/>
      <c r="Q34" s="520"/>
      <c r="R34" s="520"/>
      <c r="S34" s="520"/>
      <c r="T34" s="520"/>
      <c r="U34" s="520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515" t="s">
        <v>414</v>
      </c>
      <c r="C35" s="187" t="s">
        <v>416</v>
      </c>
      <c r="D35" s="108">
        <v>5.03</v>
      </c>
      <c r="E35" s="108"/>
      <c r="F35" s="127"/>
      <c r="G35" s="128"/>
      <c r="H35" s="516">
        <f t="shared" si="11"/>
        <v>0</v>
      </c>
      <c r="I35" s="129"/>
      <c r="J35" s="130"/>
      <c r="K35" s="131"/>
      <c r="L35" s="129">
        <v>52</v>
      </c>
      <c r="M35" s="109"/>
      <c r="N35" s="130"/>
      <c r="O35" s="520"/>
      <c r="P35" s="520"/>
      <c r="Q35" s="520"/>
      <c r="R35" s="520"/>
      <c r="S35" s="520"/>
      <c r="T35" s="520"/>
      <c r="U35" s="520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515" t="s">
        <v>414</v>
      </c>
      <c r="C36" s="187" t="s">
        <v>61</v>
      </c>
      <c r="D36" s="108">
        <v>5.03</v>
      </c>
      <c r="E36" s="108"/>
      <c r="F36" s="127"/>
      <c r="G36" s="128"/>
      <c r="H36" s="516">
        <f t="shared" si="11"/>
        <v>0</v>
      </c>
      <c r="I36" s="129"/>
      <c r="J36" s="130"/>
      <c r="K36" s="131"/>
      <c r="L36" s="129">
        <v>52</v>
      </c>
      <c r="M36" s="109"/>
      <c r="N36" s="130"/>
      <c r="O36" s="520"/>
      <c r="P36" s="520"/>
      <c r="Q36" s="520"/>
      <c r="R36" s="520"/>
      <c r="S36" s="520"/>
      <c r="T36" s="520"/>
      <c r="U36" s="520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515" t="s">
        <v>208</v>
      </c>
      <c r="C37" s="126" t="s">
        <v>179</v>
      </c>
      <c r="D37" s="108">
        <v>5.08</v>
      </c>
      <c r="E37" s="108"/>
      <c r="F37" s="127"/>
      <c r="G37" s="128"/>
      <c r="H37" s="516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7" si="19">IF(ISERROR(I37-K37),"",I37-K37)</f>
        <v>0</v>
      </c>
      <c r="N37" s="130">
        <f t="shared" ref="N37:N52" si="20">SUM(O37:U37)</f>
        <v>0</v>
      </c>
      <c r="O37" s="520"/>
      <c r="P37" s="520"/>
      <c r="Q37" s="520"/>
      <c r="R37" s="520"/>
      <c r="S37" s="520"/>
      <c r="T37" s="520"/>
      <c r="U37" s="520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515" t="s">
        <v>208</v>
      </c>
      <c r="C38" s="126" t="s">
        <v>204</v>
      </c>
      <c r="D38" s="108">
        <v>5.08</v>
      </c>
      <c r="E38" s="108"/>
      <c r="F38" s="127"/>
      <c r="G38" s="128"/>
      <c r="H38" s="516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520"/>
      <c r="P38" s="520"/>
      <c r="Q38" s="520"/>
      <c r="R38" s="520"/>
      <c r="S38" s="520"/>
      <c r="T38" s="520"/>
      <c r="U38" s="520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515" t="s">
        <v>208</v>
      </c>
      <c r="C39" s="126" t="s">
        <v>205</v>
      </c>
      <c r="D39" s="108">
        <v>5.08</v>
      </c>
      <c r="E39" s="108"/>
      <c r="F39" s="127"/>
      <c r="G39" s="128"/>
      <c r="H39" s="516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520"/>
      <c r="P39" s="520"/>
      <c r="Q39" s="520"/>
      <c r="R39" s="520"/>
      <c r="S39" s="520"/>
      <c r="T39" s="520"/>
      <c r="U39" s="520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customHeight="1">
      <c r="A40" s="300">
        <v>30100022</v>
      </c>
      <c r="B40" s="515" t="s">
        <v>208</v>
      </c>
      <c r="C40" s="126" t="s">
        <v>186</v>
      </c>
      <c r="D40" s="108">
        <v>5.08</v>
      </c>
      <c r="E40" s="108"/>
      <c r="F40" s="127">
        <v>42745</v>
      </c>
      <c r="G40" s="128">
        <f>108*2+72</f>
        <v>288</v>
      </c>
      <c r="H40" s="516">
        <f t="shared" si="11"/>
        <v>1463.04</v>
      </c>
      <c r="I40" s="129">
        <f>3.5*3</f>
        <v>10.5</v>
      </c>
      <c r="J40" s="130">
        <f t="array" ref="J40">IF(ISERROR(G40/I40),"",G40/I40)</f>
        <v>27.428571428571427</v>
      </c>
      <c r="K40" s="131">
        <f t="array" ref="K40">IF(ISERROR(G40/L40),"",G40/L40)</f>
        <v>13.714285714285714</v>
      </c>
      <c r="L40" s="129">
        <v>21</v>
      </c>
      <c r="M40" s="109">
        <f t="shared" si="19"/>
        <v>-3.2142857142857135</v>
      </c>
      <c r="N40" s="130">
        <f t="shared" si="20"/>
        <v>0</v>
      </c>
      <c r="O40" s="520"/>
      <c r="P40" s="520"/>
      <c r="Q40" s="520"/>
      <c r="R40" s="520"/>
      <c r="S40" s="520"/>
      <c r="T40" s="520"/>
      <c r="U40" s="520"/>
      <c r="V40" s="132">
        <f t="shared" si="21"/>
        <v>0</v>
      </c>
      <c r="W40" s="133">
        <f t="shared" si="22"/>
        <v>0</v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515" t="s">
        <v>208</v>
      </c>
      <c r="C41" s="126" t="s">
        <v>203</v>
      </c>
      <c r="D41" s="108">
        <v>5.08</v>
      </c>
      <c r="E41" s="108"/>
      <c r="F41" s="127"/>
      <c r="G41" s="128"/>
      <c r="H41" s="516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520"/>
      <c r="P41" s="520"/>
      <c r="Q41" s="520"/>
      <c r="R41" s="520"/>
      <c r="S41" s="520"/>
      <c r="T41" s="520"/>
      <c r="U41" s="520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515" t="s">
        <v>208</v>
      </c>
      <c r="C42" s="126" t="s">
        <v>199</v>
      </c>
      <c r="D42" s="108">
        <v>5.08</v>
      </c>
      <c r="E42" s="108"/>
      <c r="F42" s="127"/>
      <c r="G42" s="128"/>
      <c r="H42" s="516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524"/>
      <c r="P42" s="524"/>
      <c r="Q42" s="524"/>
      <c r="R42" s="524"/>
      <c r="S42" s="524"/>
      <c r="T42" s="524"/>
      <c r="U42" s="524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515" t="s">
        <v>208</v>
      </c>
      <c r="C43" s="126" t="s">
        <v>187</v>
      </c>
      <c r="D43" s="108">
        <v>5.08</v>
      </c>
      <c r="E43" s="108"/>
      <c r="F43" s="127"/>
      <c r="G43" s="128"/>
      <c r="H43" s="516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520"/>
      <c r="P43" s="520"/>
      <c r="Q43" s="520"/>
      <c r="R43" s="520"/>
      <c r="S43" s="520"/>
      <c r="T43" s="520"/>
      <c r="U43" s="520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515" t="s">
        <v>208</v>
      </c>
      <c r="C44" s="126" t="s">
        <v>207</v>
      </c>
      <c r="D44" s="108">
        <v>5.08</v>
      </c>
      <c r="E44" s="108"/>
      <c r="F44" s="127"/>
      <c r="G44" s="128"/>
      <c r="H44" s="516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524"/>
      <c r="P44" s="524"/>
      <c r="Q44" s="524"/>
      <c r="R44" s="524"/>
      <c r="S44" s="524"/>
      <c r="T44" s="524"/>
      <c r="U44" s="524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515" t="s">
        <v>209</v>
      </c>
      <c r="C45" s="126" t="s">
        <v>194</v>
      </c>
      <c r="D45" s="108">
        <v>5.03</v>
      </c>
      <c r="E45" s="108"/>
      <c r="F45" s="127"/>
      <c r="G45" s="128"/>
      <c r="H45" s="516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520"/>
      <c r="P45" s="520"/>
      <c r="Q45" s="520"/>
      <c r="R45" s="520"/>
      <c r="S45" s="520"/>
      <c r="T45" s="520"/>
      <c r="U45" s="520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515" t="s">
        <v>209</v>
      </c>
      <c r="C46" s="126" t="s">
        <v>179</v>
      </c>
      <c r="D46" s="108">
        <v>5.03</v>
      </c>
      <c r="E46" s="108"/>
      <c r="F46" s="127"/>
      <c r="G46" s="128"/>
      <c r="H46" s="516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520"/>
      <c r="P46" s="520"/>
      <c r="Q46" s="520"/>
      <c r="R46" s="520"/>
      <c r="S46" s="520"/>
      <c r="T46" s="520"/>
      <c r="U46" s="520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515" t="s">
        <v>209</v>
      </c>
      <c r="C47" s="126" t="s">
        <v>195</v>
      </c>
      <c r="D47" s="108">
        <v>5.03</v>
      </c>
      <c r="E47" s="108"/>
      <c r="F47" s="127"/>
      <c r="G47" s="128"/>
      <c r="H47" s="516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520"/>
      <c r="P47" s="520"/>
      <c r="Q47" s="520"/>
      <c r="R47" s="520"/>
      <c r="S47" s="520"/>
      <c r="T47" s="520"/>
      <c r="U47" s="520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515" t="s">
        <v>209</v>
      </c>
      <c r="C48" s="126" t="s">
        <v>204</v>
      </c>
      <c r="D48" s="108">
        <v>5.03</v>
      </c>
      <c r="E48" s="108"/>
      <c r="F48" s="127"/>
      <c r="G48" s="128"/>
      <c r="H48" s="516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520"/>
      <c r="P48" s="520"/>
      <c r="Q48" s="520"/>
      <c r="R48" s="520"/>
      <c r="S48" s="520"/>
      <c r="T48" s="520"/>
      <c r="U48" s="520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515" t="s">
        <v>382</v>
      </c>
      <c r="C49" s="187" t="s">
        <v>383</v>
      </c>
      <c r="D49" s="108">
        <v>5.03</v>
      </c>
      <c r="E49" s="108"/>
      <c r="F49" s="127"/>
      <c r="G49" s="128"/>
      <c r="H49" s="516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520"/>
      <c r="P49" s="520"/>
      <c r="Q49" s="520"/>
      <c r="R49" s="520"/>
      <c r="S49" s="520"/>
      <c r="T49" s="520"/>
      <c r="U49" s="520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515" t="s">
        <v>382</v>
      </c>
      <c r="C50" s="187" t="s">
        <v>384</v>
      </c>
      <c r="D50" s="108">
        <v>5.03</v>
      </c>
      <c r="E50" s="108"/>
      <c r="F50" s="127"/>
      <c r="G50" s="128"/>
      <c r="H50" s="516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520"/>
      <c r="P50" s="520"/>
      <c r="Q50" s="520"/>
      <c r="R50" s="520"/>
      <c r="S50" s="520"/>
      <c r="T50" s="520"/>
      <c r="U50" s="520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515" t="s">
        <v>382</v>
      </c>
      <c r="C51" s="187" t="s">
        <v>389</v>
      </c>
      <c r="D51" s="108">
        <v>5.03</v>
      </c>
      <c r="E51" s="108"/>
      <c r="F51" s="127"/>
      <c r="G51" s="128"/>
      <c r="H51" s="516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520"/>
      <c r="P51" s="520"/>
      <c r="Q51" s="520"/>
      <c r="R51" s="520"/>
      <c r="S51" s="520"/>
      <c r="T51" s="520"/>
      <c r="U51" s="520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515" t="s">
        <v>382</v>
      </c>
      <c r="C52" s="187" t="s">
        <v>391</v>
      </c>
      <c r="D52" s="108">
        <v>5.03</v>
      </c>
      <c r="E52" s="108"/>
      <c r="F52" s="127"/>
      <c r="G52" s="128"/>
      <c r="H52" s="516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520"/>
      <c r="P52" s="520"/>
      <c r="Q52" s="520"/>
      <c r="R52" s="520"/>
      <c r="S52" s="520"/>
      <c r="T52" s="520"/>
      <c r="U52" s="520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515" t="s">
        <v>418</v>
      </c>
      <c r="C53" s="187" t="s">
        <v>364</v>
      </c>
      <c r="D53" s="108">
        <v>5.03</v>
      </c>
      <c r="E53" s="108"/>
      <c r="F53" s="127"/>
      <c r="G53" s="128"/>
      <c r="H53" s="516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520"/>
      <c r="P53" s="520"/>
      <c r="Q53" s="520"/>
      <c r="R53" s="520"/>
      <c r="S53" s="520"/>
      <c r="T53" s="520"/>
      <c r="U53" s="520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515" t="s">
        <v>418</v>
      </c>
      <c r="C54" s="187" t="s">
        <v>365</v>
      </c>
      <c r="D54" s="108">
        <v>5.03</v>
      </c>
      <c r="E54" s="108"/>
      <c r="F54" s="127"/>
      <c r="G54" s="128"/>
      <c r="H54" s="516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520"/>
      <c r="P54" s="520"/>
      <c r="Q54" s="520"/>
      <c r="R54" s="520"/>
      <c r="S54" s="520"/>
      <c r="T54" s="520"/>
      <c r="U54" s="520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515" t="s">
        <v>418</v>
      </c>
      <c r="C55" s="187" t="s">
        <v>366</v>
      </c>
      <c r="D55" s="108">
        <v>5.03</v>
      </c>
      <c r="E55" s="108"/>
      <c r="F55" s="127"/>
      <c r="G55" s="128"/>
      <c r="H55" s="516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520"/>
      <c r="P55" s="520"/>
      <c r="Q55" s="520"/>
      <c r="R55" s="520"/>
      <c r="S55" s="520"/>
      <c r="T55" s="520"/>
      <c r="U55" s="520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515" t="s">
        <v>418</v>
      </c>
      <c r="C56" s="187" t="s">
        <v>367</v>
      </c>
      <c r="D56" s="108">
        <v>5.03</v>
      </c>
      <c r="E56" s="108"/>
      <c r="F56" s="127"/>
      <c r="G56" s="128"/>
      <c r="H56" s="516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520"/>
      <c r="P56" s="520"/>
      <c r="Q56" s="520"/>
      <c r="R56" s="520"/>
      <c r="S56" s="520"/>
      <c r="T56" s="520"/>
      <c r="U56" s="520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516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524"/>
      <c r="P57" s="524"/>
      <c r="Q57" s="524"/>
      <c r="R57" s="524"/>
      <c r="S57" s="524"/>
      <c r="T57" s="524"/>
      <c r="U57" s="524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516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524"/>
      <c r="P58" s="524"/>
      <c r="Q58" s="524"/>
      <c r="R58" s="524"/>
      <c r="S58" s="524"/>
      <c r="T58" s="524"/>
      <c r="U58" s="524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516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524"/>
      <c r="P59" s="524"/>
      <c r="Q59" s="524"/>
      <c r="R59" s="524"/>
      <c r="S59" s="524"/>
      <c r="T59" s="524"/>
      <c r="U59" s="524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516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524"/>
      <c r="P60" s="524"/>
      <c r="Q60" s="524"/>
      <c r="R60" s="524"/>
      <c r="S60" s="524"/>
      <c r="T60" s="524"/>
      <c r="U60" s="524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516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524"/>
      <c r="P61" s="524"/>
      <c r="Q61" s="524"/>
      <c r="R61" s="524"/>
      <c r="S61" s="524"/>
      <c r="T61" s="524"/>
      <c r="U61" s="524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516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524"/>
      <c r="P62" s="524"/>
      <c r="Q62" s="524"/>
      <c r="R62" s="524"/>
      <c r="S62" s="524"/>
      <c r="T62" s="524"/>
      <c r="U62" s="524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516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524"/>
      <c r="P63" s="524"/>
      <c r="Q63" s="524"/>
      <c r="R63" s="524"/>
      <c r="S63" s="524"/>
      <c r="T63" s="524"/>
      <c r="U63" s="524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516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524"/>
      <c r="P64" s="524"/>
      <c r="Q64" s="524"/>
      <c r="R64" s="524"/>
      <c r="S64" s="524"/>
      <c r="T64" s="524"/>
      <c r="U64" s="524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>
        <v>42744</v>
      </c>
      <c r="G65" s="527">
        <f>90</f>
        <v>90</v>
      </c>
      <c r="H65" s="516">
        <f t="shared" si="11"/>
        <v>452.70000000000005</v>
      </c>
      <c r="I65" s="129">
        <v>2</v>
      </c>
      <c r="J65" s="130">
        <f t="array" ref="J65">IF(ISERROR(G65/I65),"",G65/I65)</f>
        <v>45</v>
      </c>
      <c r="K65" s="131">
        <f t="array" ref="K65">IF(ISERROR(G65/L65),"",G65/L65)</f>
        <v>1.8</v>
      </c>
      <c r="L65" s="129">
        <v>50</v>
      </c>
      <c r="M65" s="109">
        <f t="shared" si="19"/>
        <v>0.19999999999999996</v>
      </c>
      <c r="N65" s="130">
        <f t="shared" si="23"/>
        <v>0</v>
      </c>
      <c r="O65" s="524"/>
      <c r="P65" s="524"/>
      <c r="Q65" s="524"/>
      <c r="R65" s="524"/>
      <c r="S65" s="524"/>
      <c r="T65" s="524"/>
      <c r="U65" s="524"/>
      <c r="V65" s="132">
        <f t="shared" si="24"/>
        <v>0</v>
      </c>
      <c r="W65" s="133">
        <f t="shared" si="25"/>
        <v>0</v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516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524"/>
      <c r="P66" s="524"/>
      <c r="Q66" s="524"/>
      <c r="R66" s="524"/>
      <c r="S66" s="524"/>
      <c r="T66" s="524"/>
      <c r="U66" s="524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>
        <v>42744</v>
      </c>
      <c r="G67" s="128">
        <f>90*2+30+90</f>
        <v>300</v>
      </c>
      <c r="H67" s="516">
        <f t="shared" si="11"/>
        <v>1509</v>
      </c>
      <c r="I67" s="129">
        <v>3.5</v>
      </c>
      <c r="J67" s="130">
        <f t="array" ref="J67">IF(ISERROR(G67/I67),"",G67/I67)</f>
        <v>85.714285714285708</v>
      </c>
      <c r="K67" s="131">
        <f t="array" ref="K67">IF(ISERROR(G67/L67),"",G67/L67)</f>
        <v>6</v>
      </c>
      <c r="L67" s="129">
        <v>50</v>
      </c>
      <c r="M67" s="109">
        <f t="shared" si="19"/>
        <v>-2.5</v>
      </c>
      <c r="N67" s="130"/>
      <c r="O67" s="524"/>
      <c r="P67" s="524"/>
      <c r="Q67" s="524"/>
      <c r="R67" s="524"/>
      <c r="S67" s="524"/>
      <c r="T67" s="524"/>
      <c r="U67" s="524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516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524"/>
      <c r="P68" s="524"/>
      <c r="Q68" s="524"/>
      <c r="R68" s="524"/>
      <c r="S68" s="524"/>
      <c r="T68" s="524"/>
      <c r="U68" s="524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516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524"/>
      <c r="P69" s="524"/>
      <c r="Q69" s="524"/>
      <c r="R69" s="524"/>
      <c r="S69" s="524"/>
      <c r="T69" s="524"/>
      <c r="U69" s="524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516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524"/>
      <c r="P70" s="524"/>
      <c r="Q70" s="524"/>
      <c r="R70" s="524"/>
      <c r="S70" s="524"/>
      <c r="T70" s="524"/>
      <c r="U70" s="524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516">
        <f t="shared" si="11"/>
        <v>0</v>
      </c>
      <c r="I71" s="129"/>
      <c r="J71" s="130"/>
      <c r="K71" s="131"/>
      <c r="L71" s="129"/>
      <c r="M71" s="109"/>
      <c r="N71" s="130"/>
      <c r="O71" s="524"/>
      <c r="P71" s="524"/>
      <c r="Q71" s="524"/>
      <c r="R71" s="524"/>
      <c r="S71" s="524"/>
      <c r="T71" s="524"/>
      <c r="U71" s="524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516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524"/>
      <c r="P72" s="524"/>
      <c r="Q72" s="524"/>
      <c r="R72" s="524"/>
      <c r="S72" s="524"/>
      <c r="T72" s="524"/>
      <c r="U72" s="524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516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524"/>
      <c r="P73" s="524"/>
      <c r="Q73" s="524"/>
      <c r="R73" s="524"/>
      <c r="S73" s="524"/>
      <c r="T73" s="524"/>
      <c r="U73" s="524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516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524"/>
      <c r="P74" s="524"/>
      <c r="Q74" s="524"/>
      <c r="R74" s="524"/>
      <c r="S74" s="524"/>
      <c r="T74" s="524"/>
      <c r="U74" s="524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516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524"/>
      <c r="P75" s="524"/>
      <c r="Q75" s="524"/>
      <c r="R75" s="524"/>
      <c r="S75" s="524"/>
      <c r="T75" s="524"/>
      <c r="U75" s="524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516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524"/>
      <c r="P76" s="524"/>
      <c r="Q76" s="524"/>
      <c r="R76" s="524"/>
      <c r="S76" s="524"/>
      <c r="T76" s="524"/>
      <c r="U76" s="524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516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524"/>
      <c r="P77" s="524"/>
      <c r="Q77" s="524"/>
      <c r="R77" s="524"/>
      <c r="S77" s="524"/>
      <c r="T77" s="524"/>
      <c r="U77" s="524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516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524"/>
      <c r="P78" s="524"/>
      <c r="Q78" s="524"/>
      <c r="R78" s="524"/>
      <c r="S78" s="524"/>
      <c r="T78" s="524"/>
      <c r="U78" s="524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516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524"/>
      <c r="P79" s="524"/>
      <c r="Q79" s="524"/>
      <c r="R79" s="524"/>
      <c r="S79" s="524"/>
      <c r="T79" s="524"/>
      <c r="U79" s="524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516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524"/>
      <c r="P80" s="524"/>
      <c r="Q80" s="524"/>
      <c r="R80" s="524"/>
      <c r="S80" s="524"/>
      <c r="T80" s="524"/>
      <c r="U80" s="524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516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524"/>
      <c r="P81" s="524"/>
      <c r="Q81" s="524"/>
      <c r="R81" s="524"/>
      <c r="S81" s="524"/>
      <c r="T81" s="524"/>
      <c r="U81" s="524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516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524"/>
      <c r="P82" s="524"/>
      <c r="Q82" s="524"/>
      <c r="R82" s="524"/>
      <c r="S82" s="524"/>
      <c r="T82" s="524"/>
      <c r="U82" s="524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516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524"/>
      <c r="P83" s="524"/>
      <c r="Q83" s="524"/>
      <c r="R83" s="524"/>
      <c r="S83" s="524"/>
      <c r="T83" s="524"/>
      <c r="U83" s="524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516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524"/>
      <c r="P84" s="524"/>
      <c r="Q84" s="524"/>
      <c r="R84" s="524"/>
      <c r="S84" s="524"/>
      <c r="T84" s="524"/>
      <c r="U84" s="524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516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524"/>
      <c r="P85" s="524"/>
      <c r="Q85" s="524"/>
      <c r="R85" s="524"/>
      <c r="S85" s="524"/>
      <c r="T85" s="524"/>
      <c r="U85" s="524"/>
      <c r="V85" s="132"/>
      <c r="W85" s="133"/>
      <c r="X85" s="132"/>
      <c r="Y85" s="132"/>
      <c r="Z85" s="132"/>
      <c r="AA85" s="132"/>
    </row>
    <row r="86" spans="1:27" ht="20.100000000000001" customHeight="1">
      <c r="A86" s="589" t="s">
        <v>216</v>
      </c>
      <c r="B86" s="589"/>
      <c r="C86" s="525" t="s">
        <v>202</v>
      </c>
      <c r="D86" s="143"/>
      <c r="E86" s="143"/>
      <c r="F86" s="144"/>
      <c r="G86" s="145">
        <f>SUM(G29:G85)</f>
        <v>858</v>
      </c>
      <c r="H86" s="146">
        <f>SUM(H29:H85)</f>
        <v>4330.1400000000003</v>
      </c>
      <c r="I86" s="146">
        <f>SUM(I29:I85)</f>
        <v>18</v>
      </c>
      <c r="J86" s="130">
        <f t="array" ref="J86">IF(ISERROR(G86/I86),"",G86/I86)</f>
        <v>47.666666666666664</v>
      </c>
      <c r="K86" s="146">
        <f>SUM(K29:K85)</f>
        <v>24.975824175824176</v>
      </c>
      <c r="L86" s="147"/>
      <c r="M86" s="150">
        <f t="shared" ref="M86:V86" si="34">SUM(M29:M85)</f>
        <v>-6.975824175824175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515" t="s">
        <v>217</v>
      </c>
      <c r="C87" s="126" t="s">
        <v>179</v>
      </c>
      <c r="D87" s="108">
        <v>5.03</v>
      </c>
      <c r="E87" s="108"/>
      <c r="F87" s="127"/>
      <c r="G87" s="128"/>
      <c r="H87" s="516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524"/>
      <c r="P87" s="524"/>
      <c r="Q87" s="524"/>
      <c r="R87" s="524"/>
      <c r="S87" s="524"/>
      <c r="T87" s="524"/>
      <c r="U87" s="524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515" t="s">
        <v>217</v>
      </c>
      <c r="C88" s="126" t="s">
        <v>186</v>
      </c>
      <c r="D88" s="108">
        <v>5.03</v>
      </c>
      <c r="E88" s="108"/>
      <c r="F88" s="127"/>
      <c r="G88" s="128"/>
      <c r="H88" s="516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524"/>
      <c r="P88" s="524"/>
      <c r="Q88" s="524"/>
      <c r="R88" s="524"/>
      <c r="S88" s="524"/>
      <c r="T88" s="524"/>
      <c r="U88" s="524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515" t="s">
        <v>217</v>
      </c>
      <c r="C89" s="126" t="s">
        <v>204</v>
      </c>
      <c r="D89" s="108">
        <v>5.03</v>
      </c>
      <c r="E89" s="108"/>
      <c r="F89" s="127"/>
      <c r="G89" s="128"/>
      <c r="H89" s="516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524"/>
      <c r="P89" s="524"/>
      <c r="Q89" s="524"/>
      <c r="R89" s="524"/>
      <c r="S89" s="524"/>
      <c r="T89" s="524"/>
      <c r="U89" s="524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516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524"/>
      <c r="P90" s="524"/>
      <c r="Q90" s="524"/>
      <c r="R90" s="524"/>
      <c r="S90" s="524"/>
      <c r="T90" s="524"/>
      <c r="U90" s="524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516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524"/>
      <c r="P91" s="524"/>
      <c r="Q91" s="524"/>
      <c r="R91" s="524"/>
      <c r="S91" s="524"/>
      <c r="T91" s="524"/>
      <c r="U91" s="524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516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524"/>
      <c r="P92" s="524"/>
      <c r="Q92" s="524"/>
      <c r="R92" s="524"/>
      <c r="S92" s="524"/>
      <c r="T92" s="524"/>
      <c r="U92" s="524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516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524"/>
      <c r="P93" s="524"/>
      <c r="Q93" s="524"/>
      <c r="R93" s="524"/>
      <c r="S93" s="524"/>
      <c r="T93" s="524"/>
      <c r="U93" s="524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516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524"/>
      <c r="P94" s="524"/>
      <c r="Q94" s="524"/>
      <c r="R94" s="524"/>
      <c r="S94" s="524"/>
      <c r="T94" s="524"/>
      <c r="U94" s="524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516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524"/>
      <c r="P95" s="524"/>
      <c r="Q95" s="524"/>
      <c r="R95" s="524"/>
      <c r="S95" s="524"/>
      <c r="T95" s="524"/>
      <c r="U95" s="524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516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524"/>
      <c r="P96" s="524"/>
      <c r="Q96" s="524"/>
      <c r="R96" s="524"/>
      <c r="S96" s="524"/>
      <c r="T96" s="524"/>
      <c r="U96" s="524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516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524"/>
      <c r="P97" s="524"/>
      <c r="Q97" s="524"/>
      <c r="R97" s="524"/>
      <c r="S97" s="524"/>
      <c r="T97" s="524"/>
      <c r="U97" s="524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516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524"/>
      <c r="P98" s="524"/>
      <c r="Q98" s="524"/>
      <c r="R98" s="524"/>
      <c r="S98" s="524"/>
      <c r="T98" s="524"/>
      <c r="U98" s="524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516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524"/>
      <c r="P99" s="524"/>
      <c r="Q99" s="524"/>
      <c r="R99" s="524"/>
      <c r="S99" s="524"/>
      <c r="T99" s="524"/>
      <c r="U99" s="524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516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524"/>
      <c r="P100" s="524"/>
      <c r="Q100" s="524"/>
      <c r="R100" s="524"/>
      <c r="S100" s="524"/>
      <c r="T100" s="524"/>
      <c r="U100" s="524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516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524"/>
      <c r="P101" s="524"/>
      <c r="Q101" s="524"/>
      <c r="R101" s="524"/>
      <c r="S101" s="524"/>
      <c r="T101" s="524"/>
      <c r="U101" s="524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516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524"/>
      <c r="P102" s="524"/>
      <c r="Q102" s="524"/>
      <c r="R102" s="524"/>
      <c r="S102" s="524"/>
      <c r="T102" s="524"/>
      <c r="U102" s="524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515" t="s">
        <v>222</v>
      </c>
      <c r="C103" s="126" t="s">
        <v>181</v>
      </c>
      <c r="D103" s="108">
        <v>10.199999999999999</v>
      </c>
      <c r="E103" s="108"/>
      <c r="F103" s="127"/>
      <c r="G103" s="128"/>
      <c r="H103" s="516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524"/>
      <c r="P103" s="524"/>
      <c r="Q103" s="524"/>
      <c r="R103" s="524"/>
      <c r="S103" s="524"/>
      <c r="T103" s="524"/>
      <c r="U103" s="524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515" t="s">
        <v>222</v>
      </c>
      <c r="C104" s="126" t="s">
        <v>179</v>
      </c>
      <c r="D104" s="108">
        <v>10.199999999999999</v>
      </c>
      <c r="E104" s="108"/>
      <c r="F104" s="127"/>
      <c r="G104" s="128"/>
      <c r="H104" s="516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524"/>
      <c r="P104" s="524"/>
      <c r="Q104" s="524"/>
      <c r="R104" s="524"/>
      <c r="S104" s="524"/>
      <c r="T104" s="524"/>
      <c r="U104" s="524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515" t="s">
        <v>222</v>
      </c>
      <c r="C105" s="126" t="s">
        <v>221</v>
      </c>
      <c r="D105" s="108">
        <v>10.199999999999999</v>
      </c>
      <c r="E105" s="108"/>
      <c r="F105" s="127"/>
      <c r="G105" s="128"/>
      <c r="H105" s="516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524"/>
      <c r="P105" s="524"/>
      <c r="Q105" s="524"/>
      <c r="R105" s="524"/>
      <c r="S105" s="524"/>
      <c r="T105" s="524"/>
      <c r="U105" s="524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515" t="s">
        <v>222</v>
      </c>
      <c r="C106" s="126" t="s">
        <v>186</v>
      </c>
      <c r="D106" s="108">
        <v>10.199999999999999</v>
      </c>
      <c r="E106" s="108"/>
      <c r="F106" s="127"/>
      <c r="G106" s="128"/>
      <c r="H106" s="516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524"/>
      <c r="P106" s="524"/>
      <c r="Q106" s="524"/>
      <c r="R106" s="524"/>
      <c r="S106" s="524"/>
      <c r="T106" s="524"/>
      <c r="U106" s="524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515" t="s">
        <v>393</v>
      </c>
      <c r="C107" s="187" t="s">
        <v>395</v>
      </c>
      <c r="D107" s="108">
        <v>5</v>
      </c>
      <c r="E107" s="108"/>
      <c r="F107" s="127"/>
      <c r="G107" s="128"/>
      <c r="H107" s="516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524"/>
      <c r="P107" s="524"/>
      <c r="Q107" s="524"/>
      <c r="R107" s="524"/>
      <c r="S107" s="524"/>
      <c r="T107" s="524"/>
      <c r="U107" s="524"/>
      <c r="V107" s="132"/>
      <c r="W107" s="133"/>
      <c r="X107" s="132"/>
      <c r="Y107" s="132"/>
      <c r="Z107" s="132"/>
      <c r="AA107" s="132"/>
    </row>
    <row r="108" spans="1:27" ht="20.100000000000001" customHeight="1">
      <c r="A108" s="299">
        <v>30400028</v>
      </c>
      <c r="B108" s="515" t="s">
        <v>393</v>
      </c>
      <c r="C108" s="187" t="s">
        <v>402</v>
      </c>
      <c r="D108" s="108">
        <v>5</v>
      </c>
      <c r="E108" s="108"/>
      <c r="F108" s="127">
        <v>42745</v>
      </c>
      <c r="G108" s="128">
        <f>78+90*2+61+90+44+71+49+76</f>
        <v>649</v>
      </c>
      <c r="H108" s="516">
        <f t="shared" si="36"/>
        <v>3245</v>
      </c>
      <c r="I108" s="129">
        <f>2.5*5+3.5*3+3*5+2*4+1.5*4+2*2</f>
        <v>56</v>
      </c>
      <c r="J108" s="130">
        <f t="array" ref="J108">IF(ISERROR(G108/I108),"",G108/I108)</f>
        <v>11.589285714285714</v>
      </c>
      <c r="K108" s="131">
        <f t="array" ref="K108">IF(ISERROR(G108/L108),"",G108/L108)</f>
        <v>129.80000000000001</v>
      </c>
      <c r="L108" s="129">
        <v>5</v>
      </c>
      <c r="M108" s="109">
        <f t="shared" si="37"/>
        <v>-73.800000000000011</v>
      </c>
      <c r="N108" s="130">
        <f t="shared" si="40"/>
        <v>0</v>
      </c>
      <c r="O108" s="524"/>
      <c r="P108" s="524"/>
      <c r="Q108" s="524"/>
      <c r="R108" s="524"/>
      <c r="S108" s="524"/>
      <c r="T108" s="524"/>
      <c r="U108" s="524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515" t="s">
        <v>404</v>
      </c>
      <c r="C109" s="187" t="s">
        <v>405</v>
      </c>
      <c r="D109" s="108">
        <v>5</v>
      </c>
      <c r="E109" s="108"/>
      <c r="F109" s="127"/>
      <c r="G109" s="128"/>
      <c r="H109" s="516">
        <f t="shared" si="36"/>
        <v>0</v>
      </c>
      <c r="I109" s="129"/>
      <c r="J109" s="130" t="str">
        <f t="array" ref="J109">IF(ISERROR(G109/I109),"",G109/I109)</f>
        <v/>
      </c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524"/>
      <c r="P109" s="524"/>
      <c r="Q109" s="524"/>
      <c r="R109" s="524"/>
      <c r="S109" s="524"/>
      <c r="T109" s="524"/>
      <c r="U109" s="524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515" t="s">
        <v>492</v>
      </c>
      <c r="C110" s="187" t="s">
        <v>372</v>
      </c>
      <c r="D110" s="108">
        <v>5</v>
      </c>
      <c r="E110" s="108"/>
      <c r="F110" s="127"/>
      <c r="G110" s="128"/>
      <c r="H110" s="516">
        <f t="shared" si="36"/>
        <v>0</v>
      </c>
      <c r="I110" s="129"/>
      <c r="J110" s="130" t="str">
        <f t="array" ref="J110">IF(ISERROR(G110/I110),"",G110/I110)</f>
        <v/>
      </c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524"/>
      <c r="P110" s="524"/>
      <c r="Q110" s="524"/>
      <c r="R110" s="524"/>
      <c r="S110" s="524"/>
      <c r="T110" s="524"/>
      <c r="U110" s="524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515" t="s">
        <v>343</v>
      </c>
      <c r="C111" s="126" t="s">
        <v>345</v>
      </c>
      <c r="D111" s="108">
        <v>5</v>
      </c>
      <c r="E111" s="108"/>
      <c r="F111" s="127"/>
      <c r="G111" s="128"/>
      <c r="H111" s="516">
        <f t="shared" si="36"/>
        <v>0</v>
      </c>
      <c r="I111" s="129"/>
      <c r="J111" s="130" t="str">
        <f t="array" ref="J111">IF(ISERROR(G111/I111),"",G111/I111)</f>
        <v/>
      </c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524"/>
      <c r="P111" s="524"/>
      <c r="Q111" s="524"/>
      <c r="R111" s="524"/>
      <c r="S111" s="524"/>
      <c r="T111" s="524"/>
      <c r="U111" s="524"/>
      <c r="V111" s="132"/>
      <c r="W111" s="133"/>
      <c r="X111" s="132"/>
      <c r="Y111" s="132"/>
      <c r="Z111" s="132"/>
      <c r="AA111" s="132"/>
    </row>
    <row r="112" spans="1:27" ht="20.100000000000001" customHeight="1">
      <c r="A112" s="299">
        <v>30600010</v>
      </c>
      <c r="B112" s="515" t="s">
        <v>343</v>
      </c>
      <c r="C112" s="126" t="s">
        <v>347</v>
      </c>
      <c r="D112" s="108">
        <v>5</v>
      </c>
      <c r="E112" s="108"/>
      <c r="F112" s="127">
        <v>42737</v>
      </c>
      <c r="G112" s="128">
        <v>75</v>
      </c>
      <c r="H112" s="516">
        <f t="shared" si="36"/>
        <v>375</v>
      </c>
      <c r="I112" s="129">
        <v>15</v>
      </c>
      <c r="J112" s="130">
        <f t="array" ref="J112">IF(ISERROR(G112/I112),"",G112/I112)</f>
        <v>5</v>
      </c>
      <c r="K112" s="131">
        <f t="array" ref="K112">IF(ISERROR(G112/L112),"",G112/L112)</f>
        <v>15</v>
      </c>
      <c r="L112" s="129">
        <v>5</v>
      </c>
      <c r="M112" s="109">
        <f t="shared" si="37"/>
        <v>0</v>
      </c>
      <c r="N112" s="130">
        <f t="shared" si="40"/>
        <v>0</v>
      </c>
      <c r="O112" s="524"/>
      <c r="P112" s="524"/>
      <c r="Q112" s="524"/>
      <c r="R112" s="524"/>
      <c r="S112" s="524"/>
      <c r="T112" s="524"/>
      <c r="U112" s="524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516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524"/>
      <c r="P113" s="524"/>
      <c r="Q113" s="524"/>
      <c r="R113" s="524"/>
      <c r="S113" s="524"/>
      <c r="T113" s="524"/>
      <c r="U113" s="524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516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524"/>
      <c r="P114" s="524"/>
      <c r="Q114" s="524"/>
      <c r="R114" s="524"/>
      <c r="S114" s="524"/>
      <c r="T114" s="524"/>
      <c r="U114" s="524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516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524"/>
      <c r="P115" s="524"/>
      <c r="Q115" s="524"/>
      <c r="R115" s="524"/>
      <c r="S115" s="524"/>
      <c r="T115" s="524"/>
      <c r="U115" s="524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516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524"/>
      <c r="P116" s="524"/>
      <c r="Q116" s="524"/>
      <c r="R116" s="524"/>
      <c r="S116" s="524"/>
      <c r="T116" s="524"/>
      <c r="U116" s="524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516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524"/>
      <c r="P117" s="524"/>
      <c r="Q117" s="524"/>
      <c r="R117" s="524"/>
      <c r="S117" s="524"/>
      <c r="T117" s="524"/>
      <c r="U117" s="524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516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524"/>
      <c r="P118" s="524"/>
      <c r="Q118" s="524"/>
      <c r="R118" s="524"/>
      <c r="S118" s="524"/>
      <c r="T118" s="524"/>
      <c r="U118" s="524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516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524"/>
      <c r="P119" s="524"/>
      <c r="Q119" s="524"/>
      <c r="R119" s="524"/>
      <c r="S119" s="524"/>
      <c r="T119" s="524"/>
      <c r="U119" s="524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>
        <v>42745</v>
      </c>
      <c r="G120" s="128">
        <f>63+100+100</f>
        <v>263</v>
      </c>
      <c r="H120" s="516">
        <f t="shared" si="36"/>
        <v>1330.78</v>
      </c>
      <c r="I120" s="129">
        <f>2*4</f>
        <v>8</v>
      </c>
      <c r="J120" s="130">
        <f t="array" ref="J120">IF(ISERROR(G120/I120),"",G120/I120)</f>
        <v>32.875</v>
      </c>
      <c r="K120" s="516">
        <f t="array" ref="K120">IF(ISERROR(G120/L120),"",G120/L120)</f>
        <v>29.222222222222221</v>
      </c>
      <c r="L120" s="129">
        <v>9</v>
      </c>
      <c r="M120" s="109">
        <f t="shared" si="46"/>
        <v>-21.222222222222221</v>
      </c>
      <c r="N120" s="130">
        <f t="shared" si="47"/>
        <v>0</v>
      </c>
      <c r="O120" s="524"/>
      <c r="P120" s="524"/>
      <c r="Q120" s="524"/>
      <c r="R120" s="524"/>
      <c r="S120" s="524"/>
      <c r="T120" s="524"/>
      <c r="U120" s="524"/>
      <c r="V120" s="132">
        <f t="shared" si="48"/>
        <v>0</v>
      </c>
      <c r="W120" s="133">
        <f t="shared" si="49"/>
        <v>0</v>
      </c>
      <c r="X120" s="132"/>
      <c r="Y120" s="132"/>
      <c r="Z120" s="132"/>
      <c r="AA120" s="132"/>
    </row>
    <row r="121" spans="1:27" ht="20.100000000000001" customHeight="1">
      <c r="A121" s="578" t="s">
        <v>224</v>
      </c>
      <c r="B121" s="579"/>
      <c r="C121" s="525" t="s">
        <v>202</v>
      </c>
      <c r="D121" s="143"/>
      <c r="E121" s="143"/>
      <c r="F121" s="144"/>
      <c r="G121" s="145">
        <f>SUM(G87:G120)</f>
        <v>987</v>
      </c>
      <c r="H121" s="146">
        <f>SUM(H87:H120)</f>
        <v>4950.78</v>
      </c>
      <c r="I121" s="146">
        <f>SUM(I87:I120)</f>
        <v>79</v>
      </c>
      <c r="J121" s="130">
        <f t="array" ref="J121">IF(ISERROR(G121/I121),"",G121/I121)</f>
        <v>12.49367088607595</v>
      </c>
      <c r="K121" s="146">
        <f>SUM(K87:K120)</f>
        <v>174.02222222222224</v>
      </c>
      <c r="L121" s="147"/>
      <c r="M121" s="150">
        <f t="shared" ref="M121:V121" si="50">SUM(M87:M120)</f>
        <v>-95.02222222222224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516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524"/>
      <c r="P122" s="524"/>
      <c r="Q122" s="524"/>
      <c r="R122" s="524"/>
      <c r="S122" s="524"/>
      <c r="T122" s="524"/>
      <c r="U122" s="524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>
        <v>42746</v>
      </c>
      <c r="G123" s="128">
        <f>90+53</f>
        <v>143</v>
      </c>
      <c r="H123" s="516">
        <f t="shared" si="51"/>
        <v>719.29000000000008</v>
      </c>
      <c r="I123" s="129">
        <f>3.5*2</f>
        <v>7</v>
      </c>
      <c r="J123" s="130">
        <f t="array" ref="J123">IF(ISERROR(G123/I123),"",G123/I123)</f>
        <v>20.428571428571427</v>
      </c>
      <c r="K123" s="131">
        <f t="array" ref="K123">IF(ISERROR(G123/L123),"",G123/L123)</f>
        <v>5.72</v>
      </c>
      <c r="L123" s="129">
        <v>25</v>
      </c>
      <c r="M123" s="109">
        <f t="shared" si="52"/>
        <v>1.2800000000000002</v>
      </c>
      <c r="N123" s="130">
        <f t="shared" si="53"/>
        <v>0</v>
      </c>
      <c r="O123" s="524"/>
      <c r="P123" s="524"/>
      <c r="Q123" s="524"/>
      <c r="R123" s="524"/>
      <c r="S123" s="524"/>
      <c r="T123" s="524"/>
      <c r="U123" s="524"/>
      <c r="V123" s="132">
        <f t="shared" si="54"/>
        <v>0</v>
      </c>
      <c r="W123" s="133">
        <f t="shared" si="49"/>
        <v>0</v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516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524"/>
      <c r="P124" s="524"/>
      <c r="Q124" s="524"/>
      <c r="R124" s="524"/>
      <c r="S124" s="524"/>
      <c r="T124" s="524"/>
      <c r="U124" s="524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516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524"/>
      <c r="P125" s="524"/>
      <c r="Q125" s="524"/>
      <c r="R125" s="524"/>
      <c r="S125" s="524"/>
      <c r="T125" s="524"/>
      <c r="U125" s="524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521" t="s">
        <v>203</v>
      </c>
      <c r="D126" s="108">
        <v>5.03</v>
      </c>
      <c r="E126" s="108"/>
      <c r="F126" s="127"/>
      <c r="G126" s="128"/>
      <c r="H126" s="516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524"/>
      <c r="P126" s="524"/>
      <c r="Q126" s="524"/>
      <c r="R126" s="524"/>
      <c r="S126" s="524"/>
      <c r="T126" s="524"/>
      <c r="U126" s="524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516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524"/>
      <c r="P127" s="524"/>
      <c r="Q127" s="524"/>
      <c r="R127" s="524"/>
      <c r="S127" s="524"/>
      <c r="T127" s="524"/>
      <c r="U127" s="524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516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524"/>
      <c r="P128" s="524"/>
      <c r="Q128" s="524"/>
      <c r="R128" s="524"/>
      <c r="S128" s="524"/>
      <c r="T128" s="524"/>
      <c r="U128" s="524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521" t="s">
        <v>228</v>
      </c>
      <c r="D129" s="108">
        <v>5.03</v>
      </c>
      <c r="E129" s="108"/>
      <c r="F129" s="127"/>
      <c r="G129" s="128"/>
      <c r="H129" s="516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524"/>
      <c r="P129" s="524"/>
      <c r="Q129" s="524"/>
      <c r="R129" s="524"/>
      <c r="S129" s="524"/>
      <c r="T129" s="524"/>
      <c r="U129" s="524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521" t="s">
        <v>212</v>
      </c>
      <c r="D130" s="108">
        <v>5.03</v>
      </c>
      <c r="E130" s="108"/>
      <c r="F130" s="127"/>
      <c r="G130" s="128"/>
      <c r="H130" s="516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524"/>
      <c r="P130" s="524"/>
      <c r="Q130" s="524"/>
      <c r="R130" s="524"/>
      <c r="S130" s="524"/>
      <c r="T130" s="524"/>
      <c r="U130" s="524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521" t="s">
        <v>203</v>
      </c>
      <c r="D131" s="108">
        <v>5.03</v>
      </c>
      <c r="E131" s="108"/>
      <c r="F131" s="127"/>
      <c r="G131" s="128"/>
      <c r="H131" s="516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524"/>
      <c r="P131" s="524"/>
      <c r="Q131" s="524"/>
      <c r="R131" s="524"/>
      <c r="S131" s="524"/>
      <c r="T131" s="524"/>
      <c r="U131" s="524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521" t="s">
        <v>186</v>
      </c>
      <c r="D132" s="108">
        <v>5.03</v>
      </c>
      <c r="E132" s="108"/>
      <c r="F132" s="127"/>
      <c r="G132" s="128"/>
      <c r="H132" s="516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524"/>
      <c r="P132" s="524"/>
      <c r="Q132" s="524"/>
      <c r="R132" s="524"/>
      <c r="S132" s="524"/>
      <c r="T132" s="524"/>
      <c r="U132" s="524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521" t="s">
        <v>228</v>
      </c>
      <c r="D133" s="108">
        <v>5.03</v>
      </c>
      <c r="E133" s="108"/>
      <c r="F133" s="127"/>
      <c r="G133" s="128"/>
      <c r="H133" s="516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524"/>
      <c r="P133" s="524"/>
      <c r="Q133" s="524"/>
      <c r="R133" s="524"/>
      <c r="S133" s="524"/>
      <c r="T133" s="524"/>
      <c r="U133" s="524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521" t="s">
        <v>199</v>
      </c>
      <c r="D134" s="108">
        <v>5.03</v>
      </c>
      <c r="E134" s="108"/>
      <c r="F134" s="127"/>
      <c r="G134" s="128"/>
      <c r="H134" s="516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524"/>
      <c r="P134" s="524"/>
      <c r="Q134" s="524"/>
      <c r="R134" s="524"/>
      <c r="S134" s="524"/>
      <c r="T134" s="524"/>
      <c r="U134" s="524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516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524"/>
      <c r="P135" s="524"/>
      <c r="Q135" s="524"/>
      <c r="R135" s="524"/>
      <c r="S135" s="524"/>
      <c r="T135" s="524"/>
      <c r="U135" s="524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>
        <v>42745</v>
      </c>
      <c r="G136" s="128">
        <v>52</v>
      </c>
      <c r="H136" s="516">
        <f t="shared" si="51"/>
        <v>263.12</v>
      </c>
      <c r="I136" s="129">
        <v>3</v>
      </c>
      <c r="J136" s="130">
        <f t="array" ref="J136">IF(ISERROR(G136/I136),"",G136/I136)</f>
        <v>17.333333333333332</v>
      </c>
      <c r="K136" s="131">
        <f t="array" ref="K136">IF(ISERROR(G136/L136),"",G136/L136)</f>
        <v>2.2608695652173911</v>
      </c>
      <c r="L136" s="129">
        <v>23</v>
      </c>
      <c r="M136" s="109">
        <f t="shared" si="52"/>
        <v>0.73913043478260887</v>
      </c>
      <c r="N136" s="130">
        <f t="shared" si="53"/>
        <v>0</v>
      </c>
      <c r="O136" s="524"/>
      <c r="P136" s="524"/>
      <c r="Q136" s="524"/>
      <c r="R136" s="524"/>
      <c r="S136" s="524"/>
      <c r="T136" s="524"/>
      <c r="U136" s="524"/>
      <c r="V136" s="132">
        <f t="shared" si="54"/>
        <v>0</v>
      </c>
      <c r="W136" s="133">
        <f t="shared" si="49"/>
        <v>0</v>
      </c>
      <c r="X136" s="132"/>
      <c r="Y136" s="132"/>
      <c r="Z136" s="132"/>
      <c r="AA136" s="132"/>
    </row>
    <row r="137" spans="1:27" ht="20.100000000000001" customHeight="1">
      <c r="A137" s="578" t="s">
        <v>231</v>
      </c>
      <c r="B137" s="579"/>
      <c r="C137" s="525" t="s">
        <v>202</v>
      </c>
      <c r="D137" s="143"/>
      <c r="E137" s="143"/>
      <c r="F137" s="144"/>
      <c r="G137" s="145">
        <f>SUM(G122:G136)</f>
        <v>195</v>
      </c>
      <c r="H137" s="146">
        <f>SUM(H122:H136)</f>
        <v>982.41000000000008</v>
      </c>
      <c r="I137" s="146">
        <f>SUM(I122:I136)</f>
        <v>10</v>
      </c>
      <c r="J137" s="130">
        <f t="array" ref="J137">IF(ISERROR(G137/I137),"",G137/I137)</f>
        <v>19.5</v>
      </c>
      <c r="K137" s="146">
        <f>SUM(K122:K136)</f>
        <v>7.9808695652173913</v>
      </c>
      <c r="L137" s="147"/>
      <c r="M137" s="150">
        <f>SUM(M122:M136)</f>
        <v>2.0191304347826091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49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516">
        <f t="shared" ref="H138:H147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524"/>
      <c r="P138" s="524"/>
      <c r="Q138" s="524"/>
      <c r="R138" s="524"/>
      <c r="S138" s="524"/>
      <c r="T138" s="524"/>
      <c r="U138" s="524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516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524"/>
      <c r="P139" s="524"/>
      <c r="Q139" s="524"/>
      <c r="R139" s="524"/>
      <c r="S139" s="524"/>
      <c r="T139" s="524"/>
      <c r="U139" s="524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516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524"/>
      <c r="P140" s="524"/>
      <c r="Q140" s="524"/>
      <c r="R140" s="524"/>
      <c r="S140" s="524"/>
      <c r="T140" s="524"/>
      <c r="U140" s="524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516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524"/>
      <c r="P141" s="524"/>
      <c r="Q141" s="524"/>
      <c r="R141" s="524"/>
      <c r="S141" s="524"/>
      <c r="T141" s="524"/>
      <c r="U141" s="524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516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524"/>
      <c r="P142" s="524"/>
      <c r="Q142" s="524"/>
      <c r="R142" s="524"/>
      <c r="S142" s="524"/>
      <c r="T142" s="524"/>
      <c r="U142" s="524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516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524"/>
      <c r="P143" s="524"/>
      <c r="Q143" s="524"/>
      <c r="R143" s="524"/>
      <c r="S143" s="524"/>
      <c r="T143" s="524"/>
      <c r="U143" s="524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/>
      <c r="G144" s="128"/>
      <c r="H144" s="516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524"/>
      <c r="P144" s="524"/>
      <c r="Q144" s="524"/>
      <c r="R144" s="524"/>
      <c r="S144" s="524"/>
      <c r="T144" s="524"/>
      <c r="U144" s="524"/>
      <c r="V144" s="132"/>
      <c r="W144" s="133"/>
      <c r="X144" s="132"/>
      <c r="Y144" s="132"/>
      <c r="Z144" s="132"/>
      <c r="AA144" s="132"/>
    </row>
    <row r="145" spans="1:27" ht="20.100000000000001" hidden="1" customHeight="1">
      <c r="A145" s="300">
        <v>30400021</v>
      </c>
      <c r="B145" s="134" t="s">
        <v>439</v>
      </c>
      <c r="C145" s="187" t="s">
        <v>53</v>
      </c>
      <c r="D145" s="108">
        <v>5.04</v>
      </c>
      <c r="E145" s="108"/>
      <c r="F145" s="127"/>
      <c r="G145" s="128"/>
      <c r="H145" s="516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524"/>
      <c r="P145" s="524"/>
      <c r="Q145" s="524"/>
      <c r="R145" s="524"/>
      <c r="S145" s="524"/>
      <c r="T145" s="524"/>
      <c r="U145" s="524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/>
      <c r="G146" s="128"/>
      <c r="H146" s="516">
        <f t="shared" si="55"/>
        <v>0</v>
      </c>
      <c r="I146" s="129"/>
      <c r="J146" s="130"/>
      <c r="K146" s="131">
        <f t="array" ref="K146">IF(ISERROR(G146/L146),"",G146/L146)</f>
        <v>0</v>
      </c>
      <c r="L146" s="129">
        <v>13.5</v>
      </c>
      <c r="M146" s="109"/>
      <c r="N146" s="130"/>
      <c r="O146" s="524"/>
      <c r="P146" s="524"/>
      <c r="Q146" s="524"/>
      <c r="R146" s="524"/>
      <c r="S146" s="524"/>
      <c r="T146" s="524"/>
      <c r="U146" s="524"/>
      <c r="V146" s="132"/>
      <c r="W146" s="133"/>
      <c r="X146" s="132"/>
      <c r="Y146" s="132"/>
      <c r="Z146" s="132"/>
      <c r="AA146" s="132"/>
    </row>
    <row r="147" spans="1:27" ht="20.100000000000001" hidden="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28"/>
      <c r="H147" s="516">
        <f t="shared" si="55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ref="M147" si="59">IF(ISERROR(I147-K147),"",I147-K147)</f>
        <v>0</v>
      </c>
      <c r="N147" s="130">
        <f t="shared" ref="N147" si="60">SUM(O147:U147)</f>
        <v>0</v>
      </c>
      <c r="O147" s="524"/>
      <c r="P147" s="524"/>
      <c r="Q147" s="524"/>
      <c r="R147" s="524"/>
      <c r="S147" s="524"/>
      <c r="T147" s="524"/>
      <c r="U147" s="524"/>
      <c r="V147" s="132">
        <f t="shared" ref="V147" si="61">SUM(X147:AA147)</f>
        <v>0</v>
      </c>
      <c r="W147" s="133" t="str">
        <f t="shared" ref="W147:W152" si="62">IF(ISERROR(V147/G147),"",V147/G147)</f>
        <v/>
      </c>
      <c r="X147" s="132"/>
      <c r="Y147" s="132"/>
      <c r="Z147" s="132"/>
      <c r="AA147" s="132"/>
    </row>
    <row r="148" spans="1:27" ht="20.100000000000001" hidden="1" customHeight="1">
      <c r="A148" s="578" t="s">
        <v>234</v>
      </c>
      <c r="B148" s="579"/>
      <c r="C148" s="525" t="s">
        <v>202</v>
      </c>
      <c r="D148" s="143"/>
      <c r="E148" s="143"/>
      <c r="F148" s="144"/>
      <c r="G148" s="145">
        <f>SUM(G138:G147)</f>
        <v>0</v>
      </c>
      <c r="H148" s="146">
        <f>SUM(H138:H147)</f>
        <v>0</v>
      </c>
      <c r="I148" s="146">
        <f>SUM(I138:I147)</f>
        <v>0</v>
      </c>
      <c r="J148" s="130" t="str">
        <f t="array" ref="J148">IF(ISERROR(G148/I148),"",G148/I148)</f>
        <v/>
      </c>
      <c r="K148" s="146">
        <f>SUM(K138:K147)</f>
        <v>0</v>
      </c>
      <c r="L148" s="147"/>
      <c r="M148" s="150">
        <f>SUM(M138:M147)</f>
        <v>0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 t="str">
        <f t="shared" si="62"/>
        <v/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hidden="1" customHeight="1">
      <c r="A149" s="299">
        <v>30700013</v>
      </c>
      <c r="B149" s="298" t="s">
        <v>103</v>
      </c>
      <c r="C149" s="522"/>
      <c r="D149" s="108">
        <v>3.65</v>
      </c>
      <c r="E149" s="108"/>
      <c r="F149" s="153"/>
      <c r="G149" s="128"/>
      <c r="H149" s="516">
        <f t="shared" ref="H149:H162" si="63">D149*G149</f>
        <v>0</v>
      </c>
      <c r="I149" s="129"/>
      <c r="J149" s="130" t="str">
        <f t="array" ref="J149">IF(ISERROR(G149/I149),"",G149/I149)</f>
        <v/>
      </c>
      <c r="K149" s="516">
        <f t="array" ref="K149">IF(ISERROR(G149/L149),"",G149/L149)</f>
        <v>0</v>
      </c>
      <c r="L149" s="129">
        <v>5</v>
      </c>
      <c r="M149" s="109">
        <f t="shared" ref="M149:M152" si="64">IF(ISERROR(I149-K149),"",I149-K149)</f>
        <v>0</v>
      </c>
      <c r="N149" s="130">
        <f t="shared" ref="N149:N152" si="65">SUM(O149:U149)</f>
        <v>0</v>
      </c>
      <c r="O149" s="524"/>
      <c r="P149" s="524"/>
      <c r="Q149" s="524"/>
      <c r="R149" s="524"/>
      <c r="S149" s="524"/>
      <c r="T149" s="524"/>
      <c r="U149" s="524"/>
      <c r="V149" s="132">
        <f t="shared" ref="V149:V152" si="66">SUM(X149:AA149)</f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customHeight="1">
      <c r="A150" s="299">
        <v>30700014</v>
      </c>
      <c r="B150" s="141" t="s">
        <v>236</v>
      </c>
      <c r="C150" s="522"/>
      <c r="D150" s="108">
        <v>6.58</v>
      </c>
      <c r="E150" s="108"/>
      <c r="F150" s="127">
        <v>42738</v>
      </c>
      <c r="G150" s="128">
        <f>35+36*4</f>
        <v>179</v>
      </c>
      <c r="H150" s="516">
        <f t="shared" si="63"/>
        <v>1177.82</v>
      </c>
      <c r="I150" s="129">
        <v>36</v>
      </c>
      <c r="J150" s="130">
        <f t="array" ref="J150">IF(ISERROR(G150/I150),"",G150/I150)</f>
        <v>4.9722222222222223</v>
      </c>
      <c r="K150" s="131">
        <f t="array" ref="K150">IF(ISERROR(G150/L150),"",G150/L150)</f>
        <v>35.799999999999997</v>
      </c>
      <c r="L150" s="129">
        <v>5</v>
      </c>
      <c r="M150" s="109">
        <f t="shared" si="64"/>
        <v>0.20000000000000284</v>
      </c>
      <c r="N150" s="130">
        <f t="shared" si="65"/>
        <v>0</v>
      </c>
      <c r="O150" s="524"/>
      <c r="P150" s="524"/>
      <c r="Q150" s="524"/>
      <c r="R150" s="524"/>
      <c r="S150" s="524"/>
      <c r="T150" s="524"/>
      <c r="U150" s="524"/>
      <c r="V150" s="132">
        <f t="shared" si="66"/>
        <v>0</v>
      </c>
      <c r="W150" s="133">
        <f t="shared" si="62"/>
        <v>0</v>
      </c>
      <c r="X150" s="132"/>
      <c r="Y150" s="132"/>
      <c r="Z150" s="132"/>
      <c r="AA150" s="132"/>
    </row>
    <row r="151" spans="1:27" ht="20.100000000000001" customHeight="1">
      <c r="A151" s="299">
        <v>30700016</v>
      </c>
      <c r="B151" s="141" t="s">
        <v>237</v>
      </c>
      <c r="C151" s="522"/>
      <c r="D151" s="108">
        <v>7.8</v>
      </c>
      <c r="E151" s="108"/>
      <c r="F151" s="127">
        <v>42738</v>
      </c>
      <c r="G151" s="128">
        <v>4</v>
      </c>
      <c r="H151" s="516">
        <f t="shared" si="63"/>
        <v>31.2</v>
      </c>
      <c r="I151" s="129">
        <v>1</v>
      </c>
      <c r="J151" s="130">
        <f t="array" ref="J151">IF(ISERROR(G151/I151),"",G151/I151)</f>
        <v>4</v>
      </c>
      <c r="K151" s="131">
        <f t="array" ref="K151">IF(ISERROR(G151/L151),"",G151/L151)</f>
        <v>0.86956521739130443</v>
      </c>
      <c r="L151" s="129">
        <v>4.5999999999999996</v>
      </c>
      <c r="M151" s="109">
        <f t="shared" si="64"/>
        <v>0.13043478260869557</v>
      </c>
      <c r="N151" s="130">
        <f t="shared" si="65"/>
        <v>0</v>
      </c>
      <c r="O151" s="524"/>
      <c r="P151" s="524"/>
      <c r="Q151" s="524"/>
      <c r="R151" s="524"/>
      <c r="S151" s="524"/>
      <c r="T151" s="524"/>
      <c r="U151" s="524"/>
      <c r="V151" s="132">
        <f t="shared" si="66"/>
        <v>0</v>
      </c>
      <c r="W151" s="133">
        <f t="shared" si="62"/>
        <v>0</v>
      </c>
      <c r="X151" s="132"/>
      <c r="Y151" s="132"/>
      <c r="Z151" s="132"/>
      <c r="AA151" s="132"/>
    </row>
    <row r="152" spans="1:27" ht="20.100000000000001" customHeight="1">
      <c r="A152" s="299">
        <v>30700017</v>
      </c>
      <c r="B152" s="141" t="s">
        <v>238</v>
      </c>
      <c r="C152" s="522"/>
      <c r="D152" s="108">
        <v>4.4000000000000004</v>
      </c>
      <c r="E152" s="108"/>
      <c r="F152" s="127">
        <v>42745</v>
      </c>
      <c r="G152" s="128">
        <v>57</v>
      </c>
      <c r="H152" s="516">
        <f t="shared" si="63"/>
        <v>250.8</v>
      </c>
      <c r="I152" s="129">
        <v>10</v>
      </c>
      <c r="J152" s="130">
        <f t="array" ref="J152">IF(ISERROR(G152/I152),"",G152/I152)</f>
        <v>5.7</v>
      </c>
      <c r="K152" s="131">
        <f t="array" ref="K152">IF(ISERROR(G152/L152),"",G152/L152)</f>
        <v>9.8275862068965516</v>
      </c>
      <c r="L152" s="129">
        <v>5.8</v>
      </c>
      <c r="M152" s="109">
        <f t="shared" si="64"/>
        <v>0.1724137931034484</v>
      </c>
      <c r="N152" s="130">
        <f t="shared" si="65"/>
        <v>0</v>
      </c>
      <c r="O152" s="524"/>
      <c r="P152" s="524"/>
      <c r="Q152" s="524"/>
      <c r="R152" s="524"/>
      <c r="S152" s="524"/>
      <c r="T152" s="524"/>
      <c r="U152" s="524"/>
      <c r="V152" s="132">
        <f t="shared" si="66"/>
        <v>0</v>
      </c>
      <c r="W152" s="133">
        <f t="shared" si="62"/>
        <v>0</v>
      </c>
      <c r="X152" s="132"/>
      <c r="Y152" s="132"/>
      <c r="Z152" s="132"/>
      <c r="AA152" s="132"/>
    </row>
    <row r="153" spans="1:27" ht="20.100000000000001" hidden="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28"/>
      <c r="H153" s="516">
        <f t="shared" si="63"/>
        <v>0</v>
      </c>
      <c r="I153" s="129"/>
      <c r="J153" s="130"/>
      <c r="K153" s="131"/>
      <c r="L153" s="129">
        <v>6</v>
      </c>
      <c r="M153" s="109"/>
      <c r="N153" s="130"/>
      <c r="O153" s="524"/>
      <c r="P153" s="524"/>
      <c r="Q153" s="524"/>
      <c r="R153" s="524"/>
      <c r="S153" s="524"/>
      <c r="T153" s="524"/>
      <c r="U153" s="524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5"/>
      <c r="B154" s="522" t="s">
        <v>239</v>
      </c>
      <c r="C154" s="522" t="s">
        <v>179</v>
      </c>
      <c r="D154" s="108">
        <v>6.04</v>
      </c>
      <c r="E154" s="108"/>
      <c r="F154" s="127"/>
      <c r="G154" s="128"/>
      <c r="H154" s="516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6" si="67">IF(ISERROR(I154-K154),"",I154-K154)</f>
        <v>0</v>
      </c>
      <c r="N154" s="130">
        <f t="shared" ref="N154:N155" si="68">SUM(O154:U154)</f>
        <v>0</v>
      </c>
      <c r="O154" s="524"/>
      <c r="P154" s="524"/>
      <c r="Q154" s="524"/>
      <c r="R154" s="524"/>
      <c r="S154" s="524"/>
      <c r="T154" s="524"/>
      <c r="U154" s="524"/>
      <c r="V154" s="132">
        <f t="shared" ref="V154:V155" si="69">SUM(X154:AA154)</f>
        <v>0</v>
      </c>
      <c r="W154" s="133" t="str">
        <f t="shared" ref="W154:W155" si="70">IF(ISERROR(V154/G154),"",V154/G154)</f>
        <v/>
      </c>
      <c r="X154" s="132"/>
      <c r="Y154" s="132"/>
      <c r="Z154" s="132"/>
      <c r="AA154" s="132"/>
    </row>
    <row r="155" spans="1:27" ht="20.100000000000001" hidden="1" customHeight="1">
      <c r="A155" s="305">
        <v>30700019</v>
      </c>
      <c r="B155" s="522" t="s">
        <v>239</v>
      </c>
      <c r="C155" s="522" t="s">
        <v>186</v>
      </c>
      <c r="D155" s="108">
        <v>6.04</v>
      </c>
      <c r="E155" s="108"/>
      <c r="F155" s="127"/>
      <c r="G155" s="128"/>
      <c r="H155" s="516">
        <f t="shared" si="63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7"/>
        <v>0</v>
      </c>
      <c r="N155" s="130">
        <f t="shared" si="68"/>
        <v>0</v>
      </c>
      <c r="O155" s="524"/>
      <c r="P155" s="524"/>
      <c r="Q155" s="524"/>
      <c r="R155" s="524"/>
      <c r="S155" s="524"/>
      <c r="T155" s="524"/>
      <c r="U155" s="524"/>
      <c r="V155" s="132">
        <f t="shared" si="69"/>
        <v>0</v>
      </c>
      <c r="W155" s="133" t="str">
        <f t="shared" si="70"/>
        <v/>
      </c>
      <c r="X155" s="132"/>
      <c r="Y155" s="132"/>
      <c r="Z155" s="132"/>
      <c r="AA155" s="132"/>
    </row>
    <row r="156" spans="1:27" ht="20.100000000000001" customHeight="1">
      <c r="A156" s="305">
        <v>30601015</v>
      </c>
      <c r="B156" s="522" t="s">
        <v>443</v>
      </c>
      <c r="C156" s="522" t="s">
        <v>179</v>
      </c>
      <c r="D156" s="108">
        <v>6</v>
      </c>
      <c r="E156" s="108"/>
      <c r="F156" s="127">
        <v>42746</v>
      </c>
      <c r="G156" s="128">
        <f>38+42-38</f>
        <v>42</v>
      </c>
      <c r="H156" s="516">
        <f t="shared" si="63"/>
        <v>252</v>
      </c>
      <c r="I156" s="129">
        <f>11*5</f>
        <v>55</v>
      </c>
      <c r="J156" s="130">
        <f t="array" ref="J156">IF(ISERROR(G156/I156),"",G156/I156)</f>
        <v>0.76363636363636367</v>
      </c>
      <c r="K156" s="131">
        <f t="array" ref="K156">IF(ISERROR(G156/L156),"",G156/L156)</f>
        <v>7.2413793103448274</v>
      </c>
      <c r="L156" s="129">
        <v>5.8</v>
      </c>
      <c r="M156" s="109">
        <f t="shared" si="67"/>
        <v>47.758620689655174</v>
      </c>
      <c r="N156" s="130"/>
      <c r="O156" s="524"/>
      <c r="P156" s="524"/>
      <c r="Q156" s="524"/>
      <c r="R156" s="524"/>
      <c r="S156" s="524"/>
      <c r="T156" s="524"/>
      <c r="U156" s="524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305">
        <v>30101016</v>
      </c>
      <c r="B157" s="522" t="s">
        <v>443</v>
      </c>
      <c r="C157" s="522" t="s">
        <v>60</v>
      </c>
      <c r="D157" s="108">
        <v>6</v>
      </c>
      <c r="E157" s="108"/>
      <c r="F157" s="127"/>
      <c r="G157" s="128"/>
      <c r="H157" s="516">
        <f t="shared" si="63"/>
        <v>0</v>
      </c>
      <c r="I157" s="129"/>
      <c r="J157" s="130"/>
      <c r="K157" s="131"/>
      <c r="L157" s="129">
        <v>6</v>
      </c>
      <c r="M157" s="109"/>
      <c r="N157" s="130"/>
      <c r="O157" s="524"/>
      <c r="P157" s="524"/>
      <c r="Q157" s="524"/>
      <c r="R157" s="524"/>
      <c r="S157" s="524"/>
      <c r="T157" s="524"/>
      <c r="U157" s="524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299">
        <v>30700018</v>
      </c>
      <c r="B158" s="515" t="s">
        <v>240</v>
      </c>
      <c r="C158" s="126"/>
      <c r="D158" s="108">
        <v>7.3</v>
      </c>
      <c r="E158" s="108"/>
      <c r="F158" s="127"/>
      <c r="G158" s="128"/>
      <c r="H158" s="516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1">IF(ISERROR(I158-K158),"",I158-K158)</f>
        <v/>
      </c>
      <c r="N158" s="130">
        <f t="shared" ref="N158:N159" si="72">SUM(O158:U158)</f>
        <v>0</v>
      </c>
      <c r="O158" s="524"/>
      <c r="P158" s="524"/>
      <c r="Q158" s="524"/>
      <c r="R158" s="524"/>
      <c r="S158" s="524"/>
      <c r="T158" s="524"/>
      <c r="U158" s="524"/>
      <c r="V158" s="132">
        <f t="shared" ref="V158:V159" si="73">SUM(X158:AA158)</f>
        <v>0</v>
      </c>
      <c r="W158" s="133" t="str">
        <f t="shared" ref="W158:W159" si="74">IF(ISERROR(V158/G158),"",V158/G158)</f>
        <v/>
      </c>
      <c r="X158" s="132"/>
      <c r="Y158" s="132"/>
      <c r="Z158" s="132"/>
      <c r="AA158" s="132"/>
    </row>
    <row r="159" spans="1:27" ht="20.100000000000001" hidden="1" customHeight="1">
      <c r="A159" s="299">
        <v>30700010</v>
      </c>
      <c r="B159" s="515" t="s">
        <v>241</v>
      </c>
      <c r="C159" s="126"/>
      <c r="D159" s="108">
        <f>78*120/1000</f>
        <v>9.36</v>
      </c>
      <c r="E159" s="108"/>
      <c r="F159" s="127"/>
      <c r="G159" s="128"/>
      <c r="H159" s="516">
        <f t="shared" si="63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2"/>
        <v>0</v>
      </c>
      <c r="O159" s="524"/>
      <c r="P159" s="524"/>
      <c r="Q159" s="524"/>
      <c r="R159" s="524"/>
      <c r="S159" s="524"/>
      <c r="T159" s="524"/>
      <c r="U159" s="524"/>
      <c r="V159" s="132">
        <f t="shared" si="73"/>
        <v>0</v>
      </c>
      <c r="W159" s="133" t="str">
        <f t="shared" si="74"/>
        <v/>
      </c>
      <c r="X159" s="132"/>
      <c r="Y159" s="132"/>
      <c r="Z159" s="132"/>
      <c r="AA159" s="132"/>
    </row>
    <row r="160" spans="1:27" ht="20.100000000000001" hidden="1" customHeight="1">
      <c r="A160" s="299">
        <v>30700015</v>
      </c>
      <c r="B160" s="515" t="s">
        <v>242</v>
      </c>
      <c r="C160" s="126"/>
      <c r="D160" s="108">
        <v>4.5</v>
      </c>
      <c r="E160" s="108"/>
      <c r="F160" s="127"/>
      <c r="G160" s="128"/>
      <c r="H160" s="516">
        <f t="shared" si="63"/>
        <v>0</v>
      </c>
      <c r="I160" s="129"/>
      <c r="J160" s="130"/>
      <c r="K160" s="131"/>
      <c r="L160" s="129"/>
      <c r="M160" s="109"/>
      <c r="N160" s="130"/>
      <c r="O160" s="524"/>
      <c r="P160" s="524"/>
      <c r="Q160" s="524"/>
      <c r="R160" s="524"/>
      <c r="S160" s="524"/>
      <c r="T160" s="524"/>
      <c r="U160" s="524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299">
        <v>30700012</v>
      </c>
      <c r="B161" s="515" t="s">
        <v>243</v>
      </c>
      <c r="C161" s="126"/>
      <c r="D161" s="108">
        <v>4.5</v>
      </c>
      <c r="E161" s="108"/>
      <c r="F161" s="127"/>
      <c r="G161" s="128"/>
      <c r="H161" s="516">
        <f t="shared" si="63"/>
        <v>0</v>
      </c>
      <c r="I161" s="129"/>
      <c r="J161" s="130"/>
      <c r="K161" s="131"/>
      <c r="L161" s="129"/>
      <c r="M161" s="109"/>
      <c r="N161" s="130"/>
      <c r="O161" s="524"/>
      <c r="P161" s="524"/>
      <c r="Q161" s="524"/>
      <c r="R161" s="524"/>
      <c r="S161" s="524"/>
      <c r="T161" s="524"/>
      <c r="U161" s="524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306">
        <v>30101063</v>
      </c>
      <c r="B162" s="254" t="s">
        <v>436</v>
      </c>
      <c r="C162" s="126"/>
      <c r="D162" s="108">
        <v>5.03</v>
      </c>
      <c r="E162" s="108"/>
      <c r="F162" s="127"/>
      <c r="G162" s="128"/>
      <c r="H162" s="516">
        <f t="shared" si="63"/>
        <v>0</v>
      </c>
      <c r="I162" s="129"/>
      <c r="J162" s="130"/>
      <c r="K162" s="131"/>
      <c r="L162" s="129"/>
      <c r="M162" s="109"/>
      <c r="N162" s="130"/>
      <c r="O162" s="524"/>
      <c r="P162" s="524"/>
      <c r="Q162" s="524"/>
      <c r="R162" s="524"/>
      <c r="S162" s="524"/>
      <c r="T162" s="524"/>
      <c r="U162" s="524"/>
      <c r="V162" s="132"/>
      <c r="W162" s="133"/>
      <c r="X162" s="132"/>
      <c r="Y162" s="132"/>
      <c r="Z162" s="132"/>
      <c r="AA162" s="132"/>
    </row>
    <row r="163" spans="1:27" ht="20.100000000000001" customHeight="1">
      <c r="A163" s="578" t="s">
        <v>244</v>
      </c>
      <c r="B163" s="579"/>
      <c r="C163" s="525" t="s">
        <v>202</v>
      </c>
      <c r="D163" s="143"/>
      <c r="E163" s="143"/>
      <c r="F163" s="144"/>
      <c r="G163" s="145">
        <f>SUM(G149:G161)</f>
        <v>282</v>
      </c>
      <c r="H163" s="146">
        <f>SUM(H149:H159)</f>
        <v>1711.82</v>
      </c>
      <c r="I163" s="146">
        <f>SUM(I149:I161)</f>
        <v>102</v>
      </c>
      <c r="J163" s="130">
        <f t="array" ref="J163">IF(ISERROR(G163/I163),"",G163/I163)</f>
        <v>2.7647058823529411</v>
      </c>
      <c r="K163" s="146">
        <f>SUM(K149:K159)</f>
        <v>53.738530734632675</v>
      </c>
      <c r="L163" s="147"/>
      <c r="M163" s="150">
        <f t="shared" ref="M163:V163" si="75">SUM(M149:M159)</f>
        <v>48.261469265367325</v>
      </c>
      <c r="N163" s="146">
        <f t="shared" si="75"/>
        <v>0</v>
      </c>
      <c r="O163" s="148">
        <f t="shared" si="75"/>
        <v>0</v>
      </c>
      <c r="P163" s="148">
        <f t="shared" si="75"/>
        <v>0</v>
      </c>
      <c r="Q163" s="148">
        <f t="shared" si="75"/>
        <v>0</v>
      </c>
      <c r="R163" s="148">
        <f t="shared" si="75"/>
        <v>0</v>
      </c>
      <c r="S163" s="148">
        <f t="shared" si="75"/>
        <v>0</v>
      </c>
      <c r="T163" s="148">
        <f t="shared" si="75"/>
        <v>0</v>
      </c>
      <c r="U163" s="148">
        <f t="shared" si="75"/>
        <v>0</v>
      </c>
      <c r="V163" s="149">
        <f t="shared" si="75"/>
        <v>0</v>
      </c>
      <c r="W163" s="133">
        <f>IF(ISERROR(V163/G163),"",V163/G163)</f>
        <v>0</v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580" t="s">
        <v>246</v>
      </c>
      <c r="B164" s="581"/>
      <c r="C164" s="581"/>
      <c r="D164" s="581"/>
      <c r="E164" s="581"/>
      <c r="F164" s="582"/>
      <c r="G164" s="154">
        <f>SUM(G28,G86,G121,G137,G148,G163)</f>
        <v>2707</v>
      </c>
      <c r="H164" s="154">
        <f>SUM(H28,H86,H121,H137,H148,H163)</f>
        <v>13909.25</v>
      </c>
      <c r="I164" s="154">
        <f>SUM(I28,I86,I121,I137,I148,I163)</f>
        <v>231.5</v>
      </c>
      <c r="J164" s="155">
        <f t="array" ref="J164">IF(ISERROR(G164/I164),"",G164/I164)</f>
        <v>11.693304535637148</v>
      </c>
      <c r="K164" s="154">
        <f>SUM(K28,K86,K121,K137,K148,K163)</f>
        <v>278.964927101032</v>
      </c>
      <c r="L164" s="155">
        <f>IF(ISERROR(G164/K164),"",G164/K164)</f>
        <v>9.7037288096779744</v>
      </c>
      <c r="M164" s="154">
        <f t="shared" ref="M164:AA164" si="76">SUM(M28,M86,M121,M137,M148,M163)</f>
        <v>-47.464927101031975</v>
      </c>
      <c r="N164" s="154">
        <f t="shared" si="76"/>
        <v>0</v>
      </c>
      <c r="O164" s="154">
        <f t="shared" si="76"/>
        <v>0</v>
      </c>
      <c r="P164" s="154">
        <f t="shared" si="76"/>
        <v>0</v>
      </c>
      <c r="Q164" s="154">
        <f t="shared" si="76"/>
        <v>0</v>
      </c>
      <c r="R164" s="154">
        <f t="shared" si="76"/>
        <v>0</v>
      </c>
      <c r="S164" s="154">
        <f t="shared" si="76"/>
        <v>0</v>
      </c>
      <c r="T164" s="154">
        <f t="shared" si="76"/>
        <v>0</v>
      </c>
      <c r="U164" s="154">
        <f t="shared" si="76"/>
        <v>0</v>
      </c>
      <c r="V164" s="154">
        <f t="shared" si="76"/>
        <v>0</v>
      </c>
      <c r="W164" s="154">
        <f t="shared" si="76"/>
        <v>0</v>
      </c>
      <c r="X164" s="154">
        <f t="shared" si="76"/>
        <v>0</v>
      </c>
      <c r="Y164" s="154">
        <f t="shared" si="76"/>
        <v>0</v>
      </c>
      <c r="Z164" s="154">
        <f t="shared" si="76"/>
        <v>0</v>
      </c>
      <c r="AA164" s="154">
        <f t="shared" si="76"/>
        <v>0</v>
      </c>
    </row>
    <row r="165" spans="1:27" ht="20.100000000000001" customHeight="1">
      <c r="A165" s="583" t="s">
        <v>476</v>
      </c>
      <c r="B165" s="518" t="s">
        <v>247</v>
      </c>
      <c r="C165" s="586" t="s">
        <v>248</v>
      </c>
      <c r="D165" s="587"/>
      <c r="E165" s="588" t="s">
        <v>249</v>
      </c>
      <c r="F165" s="588"/>
      <c r="G165" s="591" t="s">
        <v>250</v>
      </c>
      <c r="H165" s="591"/>
      <c r="I165" s="588" t="s">
        <v>251</v>
      </c>
      <c r="J165" s="588"/>
      <c r="K165" s="588" t="s">
        <v>252</v>
      </c>
      <c r="L165" s="588"/>
      <c r="M165" s="588" t="s">
        <v>253</v>
      </c>
      <c r="N165" s="588"/>
      <c r="O165" s="588" t="s">
        <v>254</v>
      </c>
      <c r="P165" s="591" t="s">
        <v>255</v>
      </c>
      <c r="Q165" s="591"/>
      <c r="R165" s="591" t="s">
        <v>252</v>
      </c>
      <c r="S165" s="591"/>
      <c r="T165" s="591" t="s">
        <v>256</v>
      </c>
      <c r="U165" s="591"/>
      <c r="V165" s="591" t="s">
        <v>257</v>
      </c>
      <c r="W165" s="591"/>
      <c r="X165" s="591" t="s">
        <v>252</v>
      </c>
      <c r="Y165" s="591"/>
      <c r="Z165" s="591" t="s">
        <v>256</v>
      </c>
      <c r="AA165" s="591"/>
    </row>
    <row r="166" spans="1:27" ht="20.100000000000001" customHeight="1">
      <c r="A166" s="584"/>
      <c r="B166" s="518" t="s">
        <v>258</v>
      </c>
      <c r="C166" s="586">
        <v>1</v>
      </c>
      <c r="D166" s="587"/>
      <c r="E166" s="590">
        <f>C166*11</f>
        <v>11</v>
      </c>
      <c r="F166" s="590"/>
      <c r="G166" s="591">
        <v>1</v>
      </c>
      <c r="H166" s="591"/>
      <c r="I166" s="590">
        <f>G166*11</f>
        <v>11</v>
      </c>
      <c r="J166" s="590"/>
      <c r="K166" s="590">
        <f>E166-I166</f>
        <v>0</v>
      </c>
      <c r="L166" s="590"/>
      <c r="M166" s="592">
        <f>IF(ISERROR(K166/E166),"",K166/E166)</f>
        <v>0</v>
      </c>
      <c r="N166" s="592"/>
      <c r="O166" s="588"/>
      <c r="P166" s="591" t="s">
        <v>201</v>
      </c>
      <c r="Q166" s="591"/>
      <c r="R166" s="593">
        <f>SUM(O28:U28)</f>
        <v>0</v>
      </c>
      <c r="S166" s="593"/>
      <c r="T166" s="594" t="str">
        <f t="array" ref="T166">IF(ISERROR(R166/R173),"",R166/R173)</f>
        <v/>
      </c>
      <c r="U166" s="594"/>
      <c r="V166" s="591" t="s">
        <v>259</v>
      </c>
      <c r="W166" s="591"/>
      <c r="X166" s="595">
        <f>SUM(P27,P85,P120,P136,P147,P161)</f>
        <v>0</v>
      </c>
      <c r="Y166" s="595"/>
      <c r="Z166" s="594" t="str">
        <f t="array" ref="Z166">IF(ISERROR(X166/X173),"",X166/X173)</f>
        <v/>
      </c>
      <c r="AA166" s="594"/>
    </row>
    <row r="167" spans="1:27" ht="20.100000000000001" customHeight="1">
      <c r="A167" s="584"/>
      <c r="B167" s="518" t="s">
        <v>260</v>
      </c>
      <c r="C167" s="586">
        <v>1</v>
      </c>
      <c r="D167" s="587"/>
      <c r="E167" s="590">
        <f>C167*11</f>
        <v>11</v>
      </c>
      <c r="F167" s="590"/>
      <c r="G167" s="591">
        <v>1</v>
      </c>
      <c r="H167" s="591"/>
      <c r="I167" s="590">
        <f>G167*11</f>
        <v>11</v>
      </c>
      <c r="J167" s="590"/>
      <c r="K167" s="590">
        <f>E167-I167</f>
        <v>0</v>
      </c>
      <c r="L167" s="590"/>
      <c r="M167" s="592">
        <f>IF(ISERROR(K167/E167),"",K167/E167)</f>
        <v>0</v>
      </c>
      <c r="N167" s="592"/>
      <c r="O167" s="588"/>
      <c r="P167" s="591" t="s">
        <v>216</v>
      </c>
      <c r="Q167" s="591"/>
      <c r="R167" s="593">
        <f>SUM(O86:U86)</f>
        <v>0</v>
      </c>
      <c r="S167" s="593"/>
      <c r="T167" s="594" t="str">
        <f>IF(ISERROR(R167/R173),"",R167/R173)</f>
        <v/>
      </c>
      <c r="U167" s="594"/>
      <c r="V167" s="591" t="s">
        <v>261</v>
      </c>
      <c r="W167" s="591"/>
      <c r="X167" s="595">
        <f>SUM(P28,P86,P121,P137,P148,P163)</f>
        <v>0</v>
      </c>
      <c r="Y167" s="595"/>
      <c r="Z167" s="594" t="str">
        <f>IF(ISERROR(X167/X173),"",X167/X173)</f>
        <v/>
      </c>
      <c r="AA167" s="594"/>
    </row>
    <row r="168" spans="1:27" ht="20.100000000000001" customHeight="1">
      <c r="A168" s="584"/>
      <c r="B168" s="518" t="s">
        <v>262</v>
      </c>
      <c r="C168" s="586">
        <v>1</v>
      </c>
      <c r="D168" s="587"/>
      <c r="E168" s="590">
        <f>C168*8</f>
        <v>8</v>
      </c>
      <c r="F168" s="590"/>
      <c r="G168" s="591">
        <v>1</v>
      </c>
      <c r="H168" s="591"/>
      <c r="I168" s="590">
        <f>G168*8</f>
        <v>8</v>
      </c>
      <c r="J168" s="590"/>
      <c r="K168" s="590">
        <f>E168-I168</f>
        <v>0</v>
      </c>
      <c r="L168" s="590"/>
      <c r="M168" s="592">
        <f>IF(ISERROR(K168/E168),"",K168/E168)</f>
        <v>0</v>
      </c>
      <c r="N168" s="592"/>
      <c r="O168" s="588"/>
      <c r="P168" s="591" t="s">
        <v>224</v>
      </c>
      <c r="Q168" s="591"/>
      <c r="R168" s="593">
        <f>SUM(O121:U121)</f>
        <v>0</v>
      </c>
      <c r="S168" s="593"/>
      <c r="T168" s="594" t="str">
        <f>IF(ISERROR(R168/R173),"",R168/R173)</f>
        <v/>
      </c>
      <c r="U168" s="594"/>
      <c r="V168" s="591" t="s">
        <v>263</v>
      </c>
      <c r="W168" s="591"/>
      <c r="X168" s="595">
        <f>SUM(P29,P87,P122,P138,P149,P164)</f>
        <v>0</v>
      </c>
      <c r="Y168" s="595"/>
      <c r="Z168" s="594" t="str">
        <f>IF(ISERROR(X168/X173),"",X168/X173)</f>
        <v/>
      </c>
      <c r="AA168" s="594"/>
    </row>
    <row r="169" spans="1:27" ht="20.100000000000001" customHeight="1">
      <c r="A169" s="584"/>
      <c r="B169" s="518" t="s">
        <v>264</v>
      </c>
      <c r="C169" s="586">
        <v>1</v>
      </c>
      <c r="D169" s="587"/>
      <c r="E169" s="590">
        <f>C169*11</f>
        <v>11</v>
      </c>
      <c r="F169" s="590"/>
      <c r="G169" s="591">
        <v>1</v>
      </c>
      <c r="H169" s="591"/>
      <c r="I169" s="590">
        <f>G169*11</f>
        <v>11</v>
      </c>
      <c r="J169" s="590"/>
      <c r="K169" s="590">
        <f>E169-I169</f>
        <v>0</v>
      </c>
      <c r="L169" s="590"/>
      <c r="M169" s="592">
        <f>IF(ISERROR(K169/E169),"",K169/E169)</f>
        <v>0</v>
      </c>
      <c r="N169" s="592"/>
      <c r="O169" s="588"/>
      <c r="P169" s="591" t="s">
        <v>231</v>
      </c>
      <c r="Q169" s="591"/>
      <c r="R169" s="593">
        <f>SUM(O137:U137)</f>
        <v>0</v>
      </c>
      <c r="S169" s="593"/>
      <c r="T169" s="594" t="str">
        <f>IF(ISERROR(R169/R173),"",R169/R173)</f>
        <v/>
      </c>
      <c r="U169" s="594"/>
      <c r="V169" s="591" t="s">
        <v>265</v>
      </c>
      <c r="W169" s="591"/>
      <c r="X169" s="595">
        <f>SUM(P31,P88,P123,P139,P150,P165)</f>
        <v>0</v>
      </c>
      <c r="Y169" s="595"/>
      <c r="Z169" s="594" t="str">
        <f>IF(ISERROR(X169/X173),"",X169/X173)</f>
        <v/>
      </c>
      <c r="AA169" s="594"/>
    </row>
    <row r="170" spans="1:27" ht="20.100000000000001" customHeight="1">
      <c r="A170" s="585"/>
      <c r="B170" s="518" t="s">
        <v>266</v>
      </c>
      <c r="C170" s="596">
        <f>SUM(C166:D169)</f>
        <v>4</v>
      </c>
      <c r="D170" s="597"/>
      <c r="E170" s="590">
        <f>SUM(E166:F169)</f>
        <v>41</v>
      </c>
      <c r="F170" s="590"/>
      <c r="G170" s="591">
        <f>SUM(G166:H169)</f>
        <v>4</v>
      </c>
      <c r="H170" s="591"/>
      <c r="I170" s="590">
        <f>SUM(I166:J169)</f>
        <v>41</v>
      </c>
      <c r="J170" s="590"/>
      <c r="K170" s="590">
        <f>SUM(K166:L169)</f>
        <v>0</v>
      </c>
      <c r="L170" s="590"/>
      <c r="M170" s="592">
        <f>IF(ISERROR(K170/E170),"",K170/E170)</f>
        <v>0</v>
      </c>
      <c r="N170" s="592"/>
      <c r="O170" s="588"/>
      <c r="P170" s="591" t="s">
        <v>234</v>
      </c>
      <c r="Q170" s="591"/>
      <c r="R170" s="593">
        <f>SUM(O148:U148)</f>
        <v>0</v>
      </c>
      <c r="S170" s="593"/>
      <c r="T170" s="594" t="str">
        <f>IF(ISERROR(R170/R173),"",R170/R173)</f>
        <v/>
      </c>
      <c r="U170" s="594"/>
      <c r="V170" s="591" t="s">
        <v>267</v>
      </c>
      <c r="W170" s="591"/>
      <c r="X170" s="595">
        <f>SUM(P32,P89,P124,P140,P151,P166)</f>
        <v>0</v>
      </c>
      <c r="Y170" s="595"/>
      <c r="Z170" s="594" t="str">
        <f>IF(ISERROR(X170/X173),"",X170/X173)</f>
        <v/>
      </c>
      <c r="AA170" s="594"/>
    </row>
    <row r="171" spans="1:27" ht="20.100000000000001" customHeight="1">
      <c r="A171" s="307" t="s">
        <v>477</v>
      </c>
      <c r="B171" s="518">
        <f>G164</f>
        <v>2707</v>
      </c>
      <c r="C171" s="598" t="s">
        <v>269</v>
      </c>
      <c r="D171" s="599"/>
      <c r="E171" s="591">
        <f>H164</f>
        <v>13909.25</v>
      </c>
      <c r="F171" s="591"/>
      <c r="G171" s="591" t="s">
        <v>270</v>
      </c>
      <c r="H171" s="591"/>
      <c r="I171" s="600">
        <f>L164</f>
        <v>9.7037288096779744</v>
      </c>
      <c r="J171" s="600"/>
      <c r="K171" s="588" t="s">
        <v>271</v>
      </c>
      <c r="L171" s="588"/>
      <c r="M171" s="600">
        <f>J164</f>
        <v>11.693304535637148</v>
      </c>
      <c r="N171" s="600"/>
      <c r="O171" s="588"/>
      <c r="P171" s="591" t="s">
        <v>244</v>
      </c>
      <c r="Q171" s="591"/>
      <c r="R171" s="593">
        <f>SUM(O163:U163)</f>
        <v>0</v>
      </c>
      <c r="S171" s="593"/>
      <c r="T171" s="594" t="str">
        <f>IF(ISERROR(R171/R173),"",R171/R173)</f>
        <v/>
      </c>
      <c r="U171" s="594"/>
      <c r="V171" s="591" t="s">
        <v>272</v>
      </c>
      <c r="W171" s="591"/>
      <c r="X171" s="595">
        <f>SUM(P33,P90,P125,P141,P152,P167)</f>
        <v>0</v>
      </c>
      <c r="Y171" s="595"/>
      <c r="Z171" s="594" t="str">
        <f>IF(ISERROR(X171/X173),"",X171/X173)</f>
        <v/>
      </c>
      <c r="AA171" s="594"/>
    </row>
    <row r="172" spans="1:27" ht="20.100000000000001" customHeight="1">
      <c r="A172" s="308" t="s">
        <v>478</v>
      </c>
      <c r="B172" s="518">
        <f>I164+C170</f>
        <v>235.5</v>
      </c>
      <c r="C172" s="601" t="s">
        <v>251</v>
      </c>
      <c r="D172" s="602"/>
      <c r="E172" s="603">
        <f>K164+I170</f>
        <v>319.964927101032</v>
      </c>
      <c r="F172" s="603"/>
      <c r="G172" s="591" t="s">
        <v>274</v>
      </c>
      <c r="H172" s="591"/>
      <c r="I172" s="600">
        <f>B172-E172</f>
        <v>-84.464927101032004</v>
      </c>
      <c r="J172" s="600"/>
      <c r="K172" s="588" t="s">
        <v>275</v>
      </c>
      <c r="L172" s="588"/>
      <c r="M172" s="592">
        <f>IF(ISERROR(I172/E172),"",I172/E172)</f>
        <v>-0.26398183034092793</v>
      </c>
      <c r="N172" s="592"/>
      <c r="O172" s="588"/>
      <c r="P172" s="591" t="s">
        <v>245</v>
      </c>
      <c r="Q172" s="591"/>
      <c r="R172" s="593"/>
      <c r="S172" s="593"/>
      <c r="T172" s="594" t="str">
        <f>IF(ISERROR(R172/R173),"",R172/R173)</f>
        <v/>
      </c>
      <c r="U172" s="594"/>
      <c r="V172" s="591" t="s">
        <v>264</v>
      </c>
      <c r="W172" s="591"/>
      <c r="X172" s="595"/>
      <c r="Y172" s="595"/>
      <c r="Z172" s="594" t="str">
        <f>IF(ISERROR(X172/X173),"",X172/X173)</f>
        <v/>
      </c>
      <c r="AA172" s="594"/>
    </row>
    <row r="173" spans="1:27" ht="20.100000000000001" customHeight="1">
      <c r="A173" s="308" t="s">
        <v>479</v>
      </c>
      <c r="B173" s="518">
        <f>N164</f>
        <v>0</v>
      </c>
      <c r="C173" s="601" t="s">
        <v>277</v>
      </c>
      <c r="D173" s="602"/>
      <c r="E173" s="594">
        <f>IF(ISERROR(B173/B172),"",B173/B172)</f>
        <v>0</v>
      </c>
      <c r="F173" s="594"/>
      <c r="G173" s="591" t="s">
        <v>278</v>
      </c>
      <c r="H173" s="591"/>
      <c r="I173" s="588">
        <f>V164</f>
        <v>0</v>
      </c>
      <c r="J173" s="588"/>
      <c r="K173" s="588" t="s">
        <v>279</v>
      </c>
      <c r="L173" s="588"/>
      <c r="M173" s="592">
        <f t="array" ref="M173">IF(ISERROR(I173/B171),"",I173/B171)</f>
        <v>0</v>
      </c>
      <c r="N173" s="592"/>
      <c r="O173" s="588"/>
      <c r="P173" s="591" t="s">
        <v>266</v>
      </c>
      <c r="Q173" s="591"/>
      <c r="R173" s="593">
        <f>SUM(R166:S172)</f>
        <v>0</v>
      </c>
      <c r="S173" s="593"/>
      <c r="T173" s="594"/>
      <c r="U173" s="594"/>
      <c r="V173" s="591" t="s">
        <v>266</v>
      </c>
      <c r="W173" s="591"/>
      <c r="X173" s="595">
        <f>SUM(X166:Y172)</f>
        <v>0</v>
      </c>
      <c r="Y173" s="595"/>
      <c r="Z173" s="594"/>
      <c r="AA173" s="594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4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604" t="s">
        <v>480</v>
      </c>
      <c r="B175" s="607" t="s">
        <v>280</v>
      </c>
      <c r="C175" s="607" t="s">
        <v>281</v>
      </c>
      <c r="D175" s="607" t="s">
        <v>282</v>
      </c>
      <c r="E175" s="610" t="s">
        <v>283</v>
      </c>
      <c r="F175" s="623" t="s">
        <v>284</v>
      </c>
      <c r="G175" s="588" t="s">
        <v>285</v>
      </c>
      <c r="H175" s="588"/>
      <c r="I175" s="607" t="s">
        <v>286</v>
      </c>
      <c r="J175" s="613" t="s">
        <v>271</v>
      </c>
      <c r="K175" s="616" t="s">
        <v>287</v>
      </c>
      <c r="L175" s="607" t="s">
        <v>270</v>
      </c>
      <c r="M175" s="619" t="s">
        <v>288</v>
      </c>
      <c r="N175" s="621" t="s">
        <v>252</v>
      </c>
      <c r="O175" s="588" t="s">
        <v>289</v>
      </c>
      <c r="P175" s="588"/>
      <c r="Q175" s="588"/>
      <c r="R175" s="588"/>
      <c r="S175" s="588"/>
      <c r="T175" s="588"/>
      <c r="U175" s="588"/>
      <c r="V175" s="588" t="s">
        <v>290</v>
      </c>
      <c r="W175" s="621" t="s">
        <v>291</v>
      </c>
      <c r="X175" s="588" t="s">
        <v>292</v>
      </c>
      <c r="Y175" s="588"/>
      <c r="Z175" s="588"/>
      <c r="AA175" s="588"/>
    </row>
    <row r="176" spans="1:27" ht="21.95" customHeight="1">
      <c r="A176" s="605"/>
      <c r="B176" s="608"/>
      <c r="C176" s="608"/>
      <c r="D176" s="608"/>
      <c r="E176" s="611"/>
      <c r="F176" s="624"/>
      <c r="G176" s="588"/>
      <c r="H176" s="588"/>
      <c r="I176" s="608"/>
      <c r="J176" s="614"/>
      <c r="K176" s="617"/>
      <c r="L176" s="608"/>
      <c r="M176" s="620"/>
      <c r="N176" s="621"/>
      <c r="O176" s="588" t="s">
        <v>259</v>
      </c>
      <c r="P176" s="588" t="s">
        <v>261</v>
      </c>
      <c r="Q176" s="588" t="s">
        <v>263</v>
      </c>
      <c r="R176" s="622" t="s">
        <v>265</v>
      </c>
      <c r="S176" s="591" t="s">
        <v>267</v>
      </c>
      <c r="T176" s="588" t="s">
        <v>272</v>
      </c>
      <c r="U176" s="588" t="s">
        <v>264</v>
      </c>
      <c r="V176" s="588"/>
      <c r="W176" s="621"/>
      <c r="X176" s="588" t="s">
        <v>293</v>
      </c>
      <c r="Y176" s="588" t="s">
        <v>294</v>
      </c>
      <c r="Z176" s="588" t="s">
        <v>295</v>
      </c>
      <c r="AA176" s="588" t="s">
        <v>264</v>
      </c>
    </row>
    <row r="177" spans="1:27" ht="21.95" customHeight="1">
      <c r="A177" s="606"/>
      <c r="B177" s="609"/>
      <c r="C177" s="609"/>
      <c r="D177" s="609"/>
      <c r="E177" s="612"/>
      <c r="F177" s="625"/>
      <c r="G177" s="348" t="s">
        <v>548</v>
      </c>
      <c r="H177" s="522" t="s">
        <v>297</v>
      </c>
      <c r="I177" s="609"/>
      <c r="J177" s="615"/>
      <c r="K177" s="618"/>
      <c r="L177" s="609"/>
      <c r="M177" s="620"/>
      <c r="N177" s="621"/>
      <c r="O177" s="588"/>
      <c r="P177" s="588"/>
      <c r="Q177" s="588"/>
      <c r="R177" s="622"/>
      <c r="S177" s="591"/>
      <c r="T177" s="588"/>
      <c r="U177" s="588"/>
      <c r="V177" s="588"/>
      <c r="W177" s="621"/>
      <c r="X177" s="588"/>
      <c r="Y177" s="588"/>
      <c r="Z177" s="588"/>
      <c r="AA177" s="588"/>
    </row>
    <row r="178" spans="1:27" ht="20.100000000000001" hidden="1" customHeight="1">
      <c r="A178" s="299">
        <v>30100030</v>
      </c>
      <c r="B178" s="515" t="s">
        <v>178</v>
      </c>
      <c r="C178" s="126" t="s">
        <v>179</v>
      </c>
      <c r="D178" s="108">
        <v>5.03</v>
      </c>
      <c r="E178" s="108"/>
      <c r="F178" s="127"/>
      <c r="G178" s="128"/>
      <c r="H178" s="516">
        <f t="shared" ref="H178:H187" si="77">D178*G178</f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16</v>
      </c>
      <c r="M178" s="109">
        <f t="shared" ref="M178:M187" si="78">IF(ISERROR(I178-K178),"",I178-K178)</f>
        <v>0</v>
      </c>
      <c r="N178" s="130">
        <f>SUM(O178:U178)</f>
        <v>0</v>
      </c>
      <c r="O178" s="524"/>
      <c r="P178" s="524"/>
      <c r="Q178" s="524"/>
      <c r="R178" s="524"/>
      <c r="S178" s="524"/>
      <c r="T178" s="524"/>
      <c r="U178" s="524"/>
      <c r="V178" s="132">
        <f t="shared" ref="V178:V183" si="79">SUM(X178:AA178)</f>
        <v>0</v>
      </c>
      <c r="W178" s="133" t="str">
        <f t="shared" ref="W178:W183" si="80">IF(ISERROR(V178/G178),"",V178/G178)</f>
        <v/>
      </c>
      <c r="X178" s="132"/>
      <c r="Y178" s="132"/>
      <c r="Z178" s="132"/>
      <c r="AA178" s="132"/>
    </row>
    <row r="179" spans="1:27" ht="20.100000000000001" hidden="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28"/>
      <c r="H179" s="516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ref="N179:N187" si="81">SUM(O179:U179)</f>
        <v>0</v>
      </c>
      <c r="O179" s="524"/>
      <c r="P179" s="524"/>
      <c r="Q179" s="524"/>
      <c r="R179" s="524"/>
      <c r="S179" s="524"/>
      <c r="T179" s="524"/>
      <c r="U179" s="524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28"/>
      <c r="H180" s="516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524"/>
      <c r="P180" s="524"/>
      <c r="Q180" s="524"/>
      <c r="R180" s="524"/>
      <c r="S180" s="524"/>
      <c r="T180" s="524"/>
      <c r="U180" s="524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/>
      <c r="G181" s="128"/>
      <c r="H181" s="516">
        <f t="shared" si="77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19</v>
      </c>
      <c r="M181" s="109">
        <f t="shared" si="78"/>
        <v>0</v>
      </c>
      <c r="N181" s="130">
        <f t="shared" si="81"/>
        <v>0</v>
      </c>
      <c r="O181" s="524"/>
      <c r="P181" s="524"/>
      <c r="Q181" s="524"/>
      <c r="R181" s="524"/>
      <c r="S181" s="524"/>
      <c r="T181" s="524"/>
      <c r="U181" s="524"/>
      <c r="V181" s="132">
        <f t="shared" si="79"/>
        <v>0</v>
      </c>
      <c r="W181" s="133" t="str">
        <f t="shared" si="80"/>
        <v/>
      </c>
      <c r="X181" s="132"/>
      <c r="Y181" s="132"/>
      <c r="Z181" s="132"/>
      <c r="AA181" s="132"/>
    </row>
    <row r="182" spans="1:27" ht="20.100000000000001" hidden="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/>
      <c r="G182" s="128"/>
      <c r="H182" s="516">
        <f t="shared" si="77"/>
        <v>0</v>
      </c>
      <c r="I182" s="129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20</v>
      </c>
      <c r="M182" s="109">
        <f t="shared" si="78"/>
        <v>0</v>
      </c>
      <c r="N182" s="130">
        <f t="shared" si="81"/>
        <v>0</v>
      </c>
      <c r="O182" s="524"/>
      <c r="P182" s="524"/>
      <c r="Q182" s="524"/>
      <c r="R182" s="524"/>
      <c r="S182" s="524"/>
      <c r="T182" s="524"/>
      <c r="U182" s="524"/>
      <c r="V182" s="132">
        <f t="shared" si="79"/>
        <v>0</v>
      </c>
      <c r="W182" s="133" t="str">
        <f t="shared" si="80"/>
        <v/>
      </c>
      <c r="X182" s="132"/>
      <c r="Y182" s="132"/>
      <c r="Z182" s="132"/>
      <c r="AA182" s="132"/>
    </row>
    <row r="183" spans="1:27" ht="20.100000000000001" hidden="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58"/>
      <c r="G183" s="137"/>
      <c r="H183" s="516">
        <f t="shared" si="77"/>
        <v>0</v>
      </c>
      <c r="I183" s="138"/>
      <c r="J183" s="130" t="str">
        <f t="array" ref="J183">IF(ISERROR(G183/I183),"",G183/I183)</f>
        <v/>
      </c>
      <c r="K183" s="131">
        <f t="array" ref="K183">IF(ISERROR(G183/L183),"",G183/L183)</f>
        <v>0</v>
      </c>
      <c r="L183" s="129">
        <v>19</v>
      </c>
      <c r="M183" s="109">
        <f t="shared" si="78"/>
        <v>0</v>
      </c>
      <c r="N183" s="130">
        <f t="shared" si="81"/>
        <v>0</v>
      </c>
      <c r="O183" s="524"/>
      <c r="P183" s="524"/>
      <c r="Q183" s="524"/>
      <c r="R183" s="524"/>
      <c r="S183" s="524"/>
      <c r="T183" s="524"/>
      <c r="U183" s="524"/>
      <c r="V183" s="132">
        <f t="shared" si="79"/>
        <v>0</v>
      </c>
      <c r="W183" s="133" t="str">
        <f t="shared" si="80"/>
        <v/>
      </c>
      <c r="X183" s="132"/>
      <c r="Y183" s="132"/>
      <c r="Z183" s="132"/>
      <c r="AA183" s="132"/>
    </row>
    <row r="184" spans="1:27" ht="20.10000000000000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>
        <v>42745</v>
      </c>
      <c r="G184" s="128">
        <f>108*5</f>
        <v>540</v>
      </c>
      <c r="H184" s="516">
        <f t="shared" si="77"/>
        <v>2716.2000000000003</v>
      </c>
      <c r="I184" s="129">
        <f>11.5*3</f>
        <v>34.5</v>
      </c>
      <c r="J184" s="130">
        <f t="array" ref="J184">IF(ISERROR(G184/I184),"",G184/I184)</f>
        <v>15.652173913043478</v>
      </c>
      <c r="K184" s="131">
        <f t="array" ref="K184">IF(ISERROR(G184/L184),"",G184/L184)</f>
        <v>180</v>
      </c>
      <c r="L184" s="129">
        <v>3</v>
      </c>
      <c r="M184" s="109">
        <f t="shared" si="78"/>
        <v>-145.5</v>
      </c>
      <c r="N184" s="130">
        <f t="shared" si="81"/>
        <v>0</v>
      </c>
      <c r="O184" s="524"/>
      <c r="P184" s="524"/>
      <c r="Q184" s="524"/>
      <c r="R184" s="524"/>
      <c r="S184" s="524"/>
      <c r="T184" s="524"/>
      <c r="U184" s="524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28"/>
      <c r="H185" s="516">
        <f t="shared" si="77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78"/>
        <v>0</v>
      </c>
      <c r="N185" s="130">
        <f t="shared" si="81"/>
        <v>0</v>
      </c>
      <c r="O185" s="524"/>
      <c r="P185" s="524"/>
      <c r="Q185" s="524"/>
      <c r="R185" s="524"/>
      <c r="S185" s="524"/>
      <c r="T185" s="524"/>
      <c r="U185" s="524"/>
      <c r="V185" s="132"/>
      <c r="W185" s="133"/>
      <c r="X185" s="132"/>
      <c r="Y185" s="132"/>
      <c r="Z185" s="132"/>
      <c r="AA185" s="132"/>
    </row>
    <row r="186" spans="1:27" ht="20.100000000000001" hidden="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/>
      <c r="G186" s="128"/>
      <c r="H186" s="516">
        <f t="shared" si="77"/>
        <v>0</v>
      </c>
      <c r="I186" s="516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524"/>
      <c r="P186" s="524"/>
      <c r="Q186" s="524"/>
      <c r="R186" s="524"/>
      <c r="S186" s="524"/>
      <c r="T186" s="524"/>
      <c r="U186" s="524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>
        <v>42744</v>
      </c>
      <c r="G187" s="527">
        <f>100</f>
        <v>100</v>
      </c>
      <c r="H187" s="516">
        <f t="shared" si="77"/>
        <v>504</v>
      </c>
      <c r="I187" s="516">
        <v>6</v>
      </c>
      <c r="J187" s="130">
        <f t="array" ref="J187">IF(ISERROR(G187/I187),"",G187/I187)</f>
        <v>16.666666666666668</v>
      </c>
      <c r="K187" s="131">
        <f t="array" ref="K187">IF(ISERROR(G187/L187),"",G187/L187)</f>
        <v>5.882352941176471</v>
      </c>
      <c r="L187" s="129">
        <v>17</v>
      </c>
      <c r="M187" s="109">
        <f t="shared" si="78"/>
        <v>0.11764705882352899</v>
      </c>
      <c r="N187" s="130">
        <f t="shared" si="81"/>
        <v>0</v>
      </c>
      <c r="O187" s="524"/>
      <c r="P187" s="524"/>
      <c r="Q187" s="524"/>
      <c r="R187" s="524"/>
      <c r="S187" s="524"/>
      <c r="T187" s="524"/>
      <c r="U187" s="524"/>
      <c r="V187" s="132">
        <f>SUM(X187:AA187)</f>
        <v>0</v>
      </c>
      <c r="W187" s="133">
        <f>IF(ISERROR(V187/G187),"",V187/G187)</f>
        <v>0</v>
      </c>
      <c r="X187" s="132"/>
      <c r="Y187" s="132"/>
      <c r="Z187" s="132"/>
      <c r="AA187" s="132"/>
    </row>
    <row r="188" spans="1:27" ht="20.100000000000001" hidden="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28"/>
      <c r="H188" s="516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524"/>
      <c r="P188" s="524"/>
      <c r="Q188" s="524"/>
      <c r="R188" s="524"/>
      <c r="S188" s="524"/>
      <c r="T188" s="524"/>
      <c r="U188" s="524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28"/>
      <c r="H189" s="516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524"/>
      <c r="P189" s="524"/>
      <c r="Q189" s="524"/>
      <c r="R189" s="524"/>
      <c r="S189" s="524"/>
      <c r="T189" s="524"/>
      <c r="U189" s="524"/>
      <c r="V189" s="132"/>
      <c r="W189" s="133"/>
      <c r="X189" s="132"/>
      <c r="Y189" s="132"/>
      <c r="Z189" s="132"/>
      <c r="AA189" s="132"/>
    </row>
    <row r="190" spans="1:27" ht="20.100000000000001" hidden="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E190" s="108"/>
      <c r="F190" s="127"/>
      <c r="G190" s="128"/>
      <c r="H190" s="516">
        <f t="shared" ref="H190:H198" si="82">D190*G190</f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19</v>
      </c>
      <c r="M190" s="109">
        <f t="shared" ref="M190:M198" si="83">IF(ISERROR(I190-K190),"",I190-K190)</f>
        <v>0</v>
      </c>
      <c r="N190" s="130">
        <f t="shared" ref="N190:N192" si="84">SUM(O190:U190)</f>
        <v>0</v>
      </c>
      <c r="O190" s="524"/>
      <c r="P190" s="524"/>
      <c r="Q190" s="524"/>
      <c r="R190" s="524"/>
      <c r="S190" s="524"/>
      <c r="T190" s="524"/>
      <c r="U190" s="524"/>
      <c r="V190" s="132">
        <f t="shared" ref="V190:V192" si="85">SUM(X190:AA190)</f>
        <v>0</v>
      </c>
      <c r="W190" s="133" t="str">
        <f t="shared" ref="W190:W192" si="86">IF(ISERROR(V190/G190),"",V190/G190)</f>
        <v/>
      </c>
      <c r="X190" s="132"/>
      <c r="Y190" s="132"/>
      <c r="Z190" s="132"/>
      <c r="AA190" s="132"/>
    </row>
    <row r="191" spans="1:27" ht="20.10000000000000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27">
        <v>42745</v>
      </c>
      <c r="G191" s="128">
        <f>100*10+31</f>
        <v>1031</v>
      </c>
      <c r="H191" s="516">
        <f t="shared" si="82"/>
        <v>5247.79</v>
      </c>
      <c r="I191" s="129">
        <f>1*4+9*5</f>
        <v>49</v>
      </c>
      <c r="J191" s="130">
        <f t="array" ref="J191">IF(ISERROR(G191/I191),"",G191/I191)</f>
        <v>21.040816326530614</v>
      </c>
      <c r="K191" s="131">
        <f t="array" ref="K191">IF(ISERROR(G191/L191),"",G191/L191)</f>
        <v>44.826086956521742</v>
      </c>
      <c r="L191" s="129">
        <v>23</v>
      </c>
      <c r="M191" s="109">
        <f t="shared" si="83"/>
        <v>4.1739130434782581</v>
      </c>
      <c r="N191" s="130">
        <f t="shared" si="84"/>
        <v>0</v>
      </c>
      <c r="O191" s="524"/>
      <c r="P191" s="524"/>
      <c r="Q191" s="524"/>
      <c r="R191" s="524"/>
      <c r="S191" s="524"/>
      <c r="T191" s="524"/>
      <c r="U191" s="524"/>
      <c r="V191" s="132">
        <f t="shared" si="85"/>
        <v>0</v>
      </c>
      <c r="W191" s="133">
        <f t="shared" si="86"/>
        <v>0</v>
      </c>
      <c r="X191" s="132"/>
      <c r="Y191" s="132"/>
      <c r="Z191" s="132"/>
      <c r="AA191" s="132"/>
    </row>
    <row r="192" spans="1:27" ht="20.100000000000001" hidden="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/>
      <c r="G192" s="128"/>
      <c r="H192" s="516">
        <f t="shared" si="82"/>
        <v>0</v>
      </c>
      <c r="I192" s="129"/>
      <c r="J192" s="130" t="str">
        <f t="array" ref="J192">IF(ISERROR(G192/I192),"",G192/I192)</f>
        <v/>
      </c>
      <c r="K192" s="131">
        <f t="array" ref="K192">IF(ISERROR(G192/L192),"",G192/L192)</f>
        <v>0</v>
      </c>
      <c r="L192" s="129">
        <v>23</v>
      </c>
      <c r="M192" s="109">
        <f t="shared" si="83"/>
        <v>0</v>
      </c>
      <c r="N192" s="130">
        <f t="shared" si="84"/>
        <v>0</v>
      </c>
      <c r="O192" s="524"/>
      <c r="P192" s="524"/>
      <c r="Q192" s="524"/>
      <c r="R192" s="524"/>
      <c r="S192" s="524"/>
      <c r="T192" s="524"/>
      <c r="U192" s="524"/>
      <c r="V192" s="132">
        <f t="shared" si="85"/>
        <v>0</v>
      </c>
      <c r="W192" s="133" t="str">
        <f t="shared" si="86"/>
        <v/>
      </c>
      <c r="X192" s="132"/>
      <c r="Y192" s="132"/>
      <c r="Z192" s="132"/>
      <c r="AA192" s="132"/>
    </row>
    <row r="193" spans="1:27" ht="20.100000000000001" hidden="1" customHeight="1">
      <c r="A193" s="300">
        <v>30100003</v>
      </c>
      <c r="B193" s="141" t="s">
        <v>198</v>
      </c>
      <c r="C193" s="522" t="s">
        <v>190</v>
      </c>
      <c r="D193" s="108">
        <v>4.8</v>
      </c>
      <c r="E193" s="108"/>
      <c r="F193" s="127"/>
      <c r="G193" s="128"/>
      <c r="H193" s="516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524"/>
      <c r="P193" s="524"/>
      <c r="Q193" s="524"/>
      <c r="R193" s="524"/>
      <c r="S193" s="524"/>
      <c r="T193" s="524"/>
      <c r="U193" s="524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30100004</v>
      </c>
      <c r="B194" s="141" t="s">
        <v>198</v>
      </c>
      <c r="C194" s="522" t="s">
        <v>187</v>
      </c>
      <c r="D194" s="108">
        <v>4.8</v>
      </c>
      <c r="E194" s="108"/>
      <c r="F194" s="127"/>
      <c r="G194" s="128"/>
      <c r="H194" s="516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524"/>
      <c r="P194" s="524"/>
      <c r="Q194" s="524"/>
      <c r="R194" s="524"/>
      <c r="S194" s="524"/>
      <c r="T194" s="524"/>
      <c r="U194" s="524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30100006</v>
      </c>
      <c r="B195" s="141" t="s">
        <v>198</v>
      </c>
      <c r="C195" s="522" t="s">
        <v>179</v>
      </c>
      <c r="D195" s="108">
        <v>4.8</v>
      </c>
      <c r="E195" s="108"/>
      <c r="F195" s="127"/>
      <c r="G195" s="128"/>
      <c r="H195" s="516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524"/>
      <c r="P195" s="524"/>
      <c r="Q195" s="524"/>
      <c r="R195" s="524"/>
      <c r="S195" s="524"/>
      <c r="T195" s="524"/>
      <c r="U195" s="524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30100005</v>
      </c>
      <c r="B196" s="141" t="s">
        <v>198</v>
      </c>
      <c r="C196" s="522" t="s">
        <v>199</v>
      </c>
      <c r="D196" s="108">
        <v>4.8</v>
      </c>
      <c r="E196" s="108"/>
      <c r="F196" s="127"/>
      <c r="G196" s="128"/>
      <c r="H196" s="516">
        <f t="shared" si="82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3"/>
        <v>0</v>
      </c>
      <c r="N196" s="130"/>
      <c r="O196" s="524"/>
      <c r="P196" s="524"/>
      <c r="Q196" s="524"/>
      <c r="R196" s="524"/>
      <c r="S196" s="524"/>
      <c r="T196" s="524"/>
      <c r="U196" s="524"/>
      <c r="V196" s="132"/>
      <c r="W196" s="133"/>
      <c r="X196" s="132"/>
      <c r="Y196" s="132"/>
      <c r="Z196" s="132"/>
      <c r="AA196" s="132"/>
    </row>
    <row r="197" spans="1:27" ht="20.100000000000001" hidden="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/>
      <c r="G197" s="128"/>
      <c r="H197" s="516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ref="N197:N198" si="87">SUM(O197:U197)</f>
        <v>0</v>
      </c>
      <c r="O197" s="524"/>
      <c r="P197" s="524"/>
      <c r="Q197" s="524"/>
      <c r="R197" s="524"/>
      <c r="S197" s="524"/>
      <c r="T197" s="524"/>
      <c r="U197" s="524"/>
      <c r="V197" s="132">
        <f t="shared" ref="V197:V198" si="88">SUM(X197:AA197)</f>
        <v>0</v>
      </c>
      <c r="W197" s="133" t="str">
        <f t="shared" ref="W197:W198" si="89">IF(ISERROR(V197/G197),"",V197/G197)</f>
        <v/>
      </c>
      <c r="X197" s="132"/>
      <c r="Y197" s="132"/>
      <c r="Z197" s="132"/>
      <c r="AA197" s="132"/>
    </row>
    <row r="198" spans="1:27" ht="20.10000000000000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27">
        <v>42745</v>
      </c>
      <c r="G198" s="128">
        <v>34</v>
      </c>
      <c r="H198" s="516">
        <f t="shared" si="82"/>
        <v>169.66</v>
      </c>
      <c r="I198" s="129">
        <f>1.5*4</f>
        <v>6</v>
      </c>
      <c r="J198" s="130">
        <f t="array" ref="J198">IF(ISERROR(G198/I198),"",G198/I198)</f>
        <v>5.666666666666667</v>
      </c>
      <c r="K198" s="131">
        <f t="array" ref="K198">IF(ISERROR(G198/L198),"",G198/L198)</f>
        <v>1.446808510638298</v>
      </c>
      <c r="L198" s="129">
        <v>23.5</v>
      </c>
      <c r="M198" s="109">
        <f t="shared" si="83"/>
        <v>4.5531914893617023</v>
      </c>
      <c r="N198" s="130">
        <f t="shared" si="87"/>
        <v>0</v>
      </c>
      <c r="O198" s="524"/>
      <c r="P198" s="524"/>
      <c r="Q198" s="524"/>
      <c r="R198" s="524"/>
      <c r="S198" s="524"/>
      <c r="T198" s="524"/>
      <c r="U198" s="524"/>
      <c r="V198" s="132">
        <f t="shared" si="88"/>
        <v>0</v>
      </c>
      <c r="W198" s="133">
        <f t="shared" si="89"/>
        <v>0</v>
      </c>
      <c r="X198" s="132"/>
      <c r="Y198" s="132"/>
      <c r="Z198" s="132"/>
      <c r="AA198" s="132"/>
    </row>
    <row r="199" spans="1:27" ht="20.100000000000001" customHeight="1">
      <c r="A199" s="578" t="s">
        <v>201</v>
      </c>
      <c r="B199" s="579"/>
      <c r="C199" s="525" t="s">
        <v>202</v>
      </c>
      <c r="D199" s="143"/>
      <c r="E199" s="143"/>
      <c r="F199" s="144"/>
      <c r="G199" s="145">
        <f>SUM(G178:G198)</f>
        <v>1705</v>
      </c>
      <c r="H199" s="146">
        <f>SUM(H178:H198)</f>
        <v>8637.65</v>
      </c>
      <c r="I199" s="146">
        <f>SUM(I178:I198)</f>
        <v>95.5</v>
      </c>
      <c r="J199" s="130">
        <f t="array" ref="J199">IF(ISERROR(G199/I199),"",G199/I199)</f>
        <v>17.853403141361255</v>
      </c>
      <c r="K199" s="146">
        <f>SUM(K178:K198)</f>
        <v>232.15524840833652</v>
      </c>
      <c r="L199" s="147"/>
      <c r="M199" s="150">
        <f t="shared" ref="M199:AA199" si="90">SUM(M178:M198)</f>
        <v>-136.65524840833652</v>
      </c>
      <c r="N199" s="146">
        <f t="shared" si="90"/>
        <v>0</v>
      </c>
      <c r="O199" s="148">
        <f t="shared" si="90"/>
        <v>0</v>
      </c>
      <c r="P199" s="148">
        <f t="shared" si="90"/>
        <v>0</v>
      </c>
      <c r="Q199" s="148">
        <f t="shared" si="90"/>
        <v>0</v>
      </c>
      <c r="R199" s="148">
        <f t="shared" si="90"/>
        <v>0</v>
      </c>
      <c r="S199" s="148">
        <f t="shared" si="90"/>
        <v>0</v>
      </c>
      <c r="T199" s="148">
        <f t="shared" si="90"/>
        <v>0</v>
      </c>
      <c r="U199" s="148">
        <f t="shared" si="90"/>
        <v>0</v>
      </c>
      <c r="V199" s="149">
        <f t="shared" si="90"/>
        <v>0</v>
      </c>
      <c r="W199" s="133">
        <f t="shared" si="90"/>
        <v>0</v>
      </c>
      <c r="X199" s="149">
        <f t="shared" si="90"/>
        <v>0</v>
      </c>
      <c r="Y199" s="149">
        <f t="shared" si="90"/>
        <v>0</v>
      </c>
      <c r="Z199" s="149">
        <f t="shared" si="90"/>
        <v>0</v>
      </c>
      <c r="AA199" s="149">
        <f t="shared" si="90"/>
        <v>0</v>
      </c>
    </row>
    <row r="200" spans="1:27" ht="20.100000000000001" customHeight="1">
      <c r="A200" s="300">
        <v>30100012</v>
      </c>
      <c r="B200" s="515" t="s">
        <v>206</v>
      </c>
      <c r="C200" s="126" t="s">
        <v>199</v>
      </c>
      <c r="D200" s="108">
        <v>5.03</v>
      </c>
      <c r="E200" s="108"/>
      <c r="F200" s="127">
        <v>42746</v>
      </c>
      <c r="G200" s="128">
        <f>108*7+33</f>
        <v>789</v>
      </c>
      <c r="H200" s="516">
        <f t="shared" ref="H200:H256" si="91">D200*G200</f>
        <v>3968.67</v>
      </c>
      <c r="I200" s="129">
        <v>8</v>
      </c>
      <c r="J200" s="130">
        <f t="array" ref="J200">IF(ISERROR(G200/I200),"",G200/I200)</f>
        <v>98.625</v>
      </c>
      <c r="K200" s="131">
        <f t="array" ref="K200">IF(ISERROR(G200/L200),"",G200/L200)</f>
        <v>15.173076923076923</v>
      </c>
      <c r="L200" s="129">
        <v>52</v>
      </c>
      <c r="M200" s="109">
        <f t="shared" ref="M200" si="92">IF(ISERROR(I200-K200),"",I200-K200)</f>
        <v>-7.1730769230769234</v>
      </c>
      <c r="N200" s="130">
        <f t="shared" ref="N200" si="93">SUM(O200:U200)</f>
        <v>0</v>
      </c>
      <c r="O200" s="520"/>
      <c r="P200" s="520"/>
      <c r="Q200" s="520"/>
      <c r="R200" s="520"/>
      <c r="S200" s="520"/>
      <c r="T200" s="520"/>
      <c r="U200" s="520"/>
      <c r="V200" s="132">
        <f t="shared" ref="V200" si="94">SUM(X200:AA200)</f>
        <v>0</v>
      </c>
      <c r="W200" s="133">
        <f t="shared" ref="W200" si="95">IF(ISERROR(V200/G200),"",V200/G200)</f>
        <v>0</v>
      </c>
      <c r="X200" s="132"/>
      <c r="Y200" s="132"/>
      <c r="Z200" s="132"/>
      <c r="AA200" s="132"/>
    </row>
    <row r="201" spans="1:27" ht="20.100000000000001" hidden="1" customHeight="1">
      <c r="A201" s="300">
        <v>30100011</v>
      </c>
      <c r="B201" s="515" t="s">
        <v>425</v>
      </c>
      <c r="C201" s="187" t="s">
        <v>427</v>
      </c>
      <c r="D201" s="108">
        <v>5.03</v>
      </c>
      <c r="E201" s="108"/>
      <c r="F201" s="127"/>
      <c r="G201" s="128"/>
      <c r="H201" s="516">
        <f t="shared" si="91"/>
        <v>0</v>
      </c>
      <c r="I201" s="129"/>
      <c r="J201" s="130"/>
      <c r="K201" s="131"/>
      <c r="L201" s="129">
        <v>52</v>
      </c>
      <c r="M201" s="109"/>
      <c r="N201" s="130"/>
      <c r="O201" s="520"/>
      <c r="P201" s="520"/>
      <c r="Q201" s="520"/>
      <c r="R201" s="520"/>
      <c r="S201" s="520"/>
      <c r="T201" s="520"/>
      <c r="U201" s="520"/>
      <c r="V201" s="132"/>
      <c r="W201" s="133"/>
      <c r="X201" s="132"/>
      <c r="Y201" s="132"/>
      <c r="Z201" s="132"/>
      <c r="AA201" s="132"/>
    </row>
    <row r="202" spans="1:27" ht="20.100000000000001" hidden="1" customHeight="1">
      <c r="A202" s="300">
        <v>30100010</v>
      </c>
      <c r="B202" s="515" t="s">
        <v>206</v>
      </c>
      <c r="C202" s="126" t="s">
        <v>186</v>
      </c>
      <c r="D202" s="108">
        <v>5.03</v>
      </c>
      <c r="E202" s="108"/>
      <c r="F202" s="127"/>
      <c r="G202" s="128"/>
      <c r="H202" s="516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 t="shared" ref="M202" si="96">IF(ISERROR(I202-K202),"",I202-K202)</f>
        <v>0</v>
      </c>
      <c r="N202" s="130">
        <f t="shared" ref="N202:N204" si="97">SUM(O202:U202)</f>
        <v>0</v>
      </c>
      <c r="O202" s="520"/>
      <c r="P202" s="520"/>
      <c r="Q202" s="520"/>
      <c r="R202" s="520"/>
      <c r="S202" s="520"/>
      <c r="T202" s="520"/>
      <c r="U202" s="520"/>
      <c r="V202" s="132">
        <f t="shared" ref="V202:V204" si="98">SUM(X202:AA202)</f>
        <v>0</v>
      </c>
      <c r="W202" s="133" t="str">
        <f t="shared" ref="W202:W204" si="99">IF(ISERROR(V202/G202),"",V202/G202)</f>
        <v/>
      </c>
      <c r="X202" s="132"/>
      <c r="Y202" s="132"/>
      <c r="Z202" s="132"/>
      <c r="AA202" s="132"/>
    </row>
    <row r="203" spans="1:27" ht="20.100000000000001" hidden="1" customHeight="1">
      <c r="A203" s="300">
        <v>30100014</v>
      </c>
      <c r="B203" s="515" t="s">
        <v>206</v>
      </c>
      <c r="C203" s="126" t="s">
        <v>203</v>
      </c>
      <c r="D203" s="108">
        <v>5.03</v>
      </c>
      <c r="E203" s="108"/>
      <c r="F203" s="127"/>
      <c r="G203" s="128"/>
      <c r="H203" s="516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>IF(ISERROR(I203-K203),"",I203-K203)</f>
        <v>0</v>
      </c>
      <c r="N203" s="130">
        <f t="shared" si="97"/>
        <v>0</v>
      </c>
      <c r="O203" s="520"/>
      <c r="P203" s="520"/>
      <c r="Q203" s="520"/>
      <c r="R203" s="520"/>
      <c r="S203" s="520"/>
      <c r="T203" s="520"/>
      <c r="U203" s="520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30100013</v>
      </c>
      <c r="B204" s="515" t="s">
        <v>206</v>
      </c>
      <c r="C204" s="126" t="s">
        <v>207</v>
      </c>
      <c r="D204" s="108">
        <v>5.03</v>
      </c>
      <c r="E204" s="108"/>
      <c r="F204" s="127"/>
      <c r="G204" s="128"/>
      <c r="H204" s="516">
        <f t="shared" si="91"/>
        <v>0</v>
      </c>
      <c r="I204" s="129"/>
      <c r="J204" s="130" t="str">
        <f t="array" ref="J204">IF(ISERROR(G204/I204),"",G204/I204)</f>
        <v/>
      </c>
      <c r="K204" s="131">
        <f t="array" ref="K204">IF(ISERROR(G204/L204),"",G204/L204)</f>
        <v>0</v>
      </c>
      <c r="L204" s="129">
        <v>52</v>
      </c>
      <c r="M204" s="109">
        <f t="shared" ref="M204" si="100">IF(ISERROR(I204-K204),"",I204-K204)</f>
        <v>0</v>
      </c>
      <c r="N204" s="130">
        <f t="shared" si="97"/>
        <v>0</v>
      </c>
      <c r="O204" s="520"/>
      <c r="P204" s="520"/>
      <c r="Q204" s="520"/>
      <c r="R204" s="520"/>
      <c r="S204" s="520"/>
      <c r="T204" s="520"/>
      <c r="U204" s="520"/>
      <c r="V204" s="132">
        <f t="shared" si="98"/>
        <v>0</v>
      </c>
      <c r="W204" s="133" t="str">
        <f t="shared" si="99"/>
        <v/>
      </c>
      <c r="X204" s="132"/>
      <c r="Y204" s="132"/>
      <c r="Z204" s="132"/>
      <c r="AA204" s="132"/>
    </row>
    <row r="205" spans="1:27" ht="20.100000000000001" hidden="1" customHeight="1">
      <c r="A205" s="300">
        <v>30100016</v>
      </c>
      <c r="B205" s="515" t="s">
        <v>414</v>
      </c>
      <c r="C205" s="187" t="s">
        <v>415</v>
      </c>
      <c r="D205" s="108">
        <v>5.03</v>
      </c>
      <c r="E205" s="108"/>
      <c r="F205" s="127"/>
      <c r="G205" s="128"/>
      <c r="H205" s="516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520"/>
      <c r="P205" s="520"/>
      <c r="Q205" s="520"/>
      <c r="R205" s="520"/>
      <c r="S205" s="520"/>
      <c r="T205" s="520"/>
      <c r="U205" s="520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30100017</v>
      </c>
      <c r="B206" s="515" t="s">
        <v>414</v>
      </c>
      <c r="C206" s="187" t="s">
        <v>416</v>
      </c>
      <c r="D206" s="108">
        <v>5.03</v>
      </c>
      <c r="E206" s="108"/>
      <c r="F206" s="127"/>
      <c r="G206" s="128"/>
      <c r="H206" s="516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520"/>
      <c r="P206" s="520"/>
      <c r="Q206" s="520"/>
      <c r="R206" s="520"/>
      <c r="S206" s="520"/>
      <c r="T206" s="520"/>
      <c r="U206" s="520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30100015</v>
      </c>
      <c r="B207" s="515" t="s">
        <v>414</v>
      </c>
      <c r="C207" s="187" t="s">
        <v>61</v>
      </c>
      <c r="D207" s="108">
        <v>5.03</v>
      </c>
      <c r="E207" s="108"/>
      <c r="F207" s="127"/>
      <c r="G207" s="128"/>
      <c r="H207" s="516">
        <f t="shared" si="91"/>
        <v>0</v>
      </c>
      <c r="I207" s="129"/>
      <c r="J207" s="130"/>
      <c r="K207" s="131"/>
      <c r="L207" s="129">
        <v>52</v>
      </c>
      <c r="M207" s="109"/>
      <c r="N207" s="130"/>
      <c r="O207" s="520"/>
      <c r="P207" s="520"/>
      <c r="Q207" s="520"/>
      <c r="R207" s="520"/>
      <c r="S207" s="520"/>
      <c r="T207" s="520"/>
      <c r="U207" s="520"/>
      <c r="V207" s="132"/>
      <c r="W207" s="133"/>
      <c r="X207" s="132"/>
      <c r="Y207" s="132"/>
      <c r="Z207" s="132"/>
      <c r="AA207" s="132"/>
    </row>
    <row r="208" spans="1:27" ht="20.100000000000001" hidden="1" customHeight="1">
      <c r="A208" s="300">
        <v>30100027</v>
      </c>
      <c r="B208" s="515" t="s">
        <v>208</v>
      </c>
      <c r="C208" s="126" t="s">
        <v>179</v>
      </c>
      <c r="D208" s="108">
        <v>5.08</v>
      </c>
      <c r="E208" s="108"/>
      <c r="F208" s="127"/>
      <c r="G208" s="128"/>
      <c r="H208" s="516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ref="M208:M238" si="101">IF(ISERROR(I208-K208),"",I208-K208)</f>
        <v>0</v>
      </c>
      <c r="N208" s="130">
        <f t="shared" ref="N208:N237" si="102">SUM(O208:U208)</f>
        <v>0</v>
      </c>
      <c r="O208" s="520"/>
      <c r="P208" s="520"/>
      <c r="Q208" s="520"/>
      <c r="R208" s="520"/>
      <c r="S208" s="520"/>
      <c r="T208" s="520"/>
      <c r="U208" s="520"/>
      <c r="V208" s="132">
        <f t="shared" ref="V208:V219" si="103">SUM(X208:AA208)</f>
        <v>0</v>
      </c>
      <c r="W208" s="133" t="str">
        <f t="shared" ref="W208:W219" si="104">IF(ISERROR(V208/G208),"",V208/G208)</f>
        <v/>
      </c>
      <c r="X208" s="132"/>
      <c r="Y208" s="132"/>
      <c r="Z208" s="132"/>
      <c r="AA208" s="132"/>
    </row>
    <row r="209" spans="1:27" ht="20.100000000000001" hidden="1" customHeight="1">
      <c r="A209" s="300">
        <v>30100023</v>
      </c>
      <c r="B209" s="515" t="s">
        <v>208</v>
      </c>
      <c r="C209" s="126" t="s">
        <v>204</v>
      </c>
      <c r="D209" s="108">
        <v>5.08</v>
      </c>
      <c r="E209" s="108"/>
      <c r="F209" s="127"/>
      <c r="G209" s="128"/>
      <c r="H209" s="516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520"/>
      <c r="P209" s="520"/>
      <c r="Q209" s="520"/>
      <c r="R209" s="520"/>
      <c r="S209" s="520"/>
      <c r="T209" s="520"/>
      <c r="U209" s="520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30100024</v>
      </c>
      <c r="B210" s="515" t="s">
        <v>208</v>
      </c>
      <c r="C210" s="126" t="s">
        <v>205</v>
      </c>
      <c r="D210" s="108">
        <v>5.08</v>
      </c>
      <c r="E210" s="108"/>
      <c r="F210" s="127"/>
      <c r="G210" s="128"/>
      <c r="H210" s="516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520"/>
      <c r="P210" s="520"/>
      <c r="Q210" s="520"/>
      <c r="R210" s="520"/>
      <c r="S210" s="520"/>
      <c r="T210" s="520"/>
      <c r="U210" s="520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30100022</v>
      </c>
      <c r="B211" s="515" t="s">
        <v>208</v>
      </c>
      <c r="C211" s="126" t="s">
        <v>186</v>
      </c>
      <c r="D211" s="108">
        <v>5.08</v>
      </c>
      <c r="E211" s="108"/>
      <c r="F211" s="127"/>
      <c r="G211" s="128"/>
      <c r="H211" s="516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520"/>
      <c r="P211" s="520"/>
      <c r="Q211" s="520"/>
      <c r="R211" s="520"/>
      <c r="S211" s="520"/>
      <c r="T211" s="520"/>
      <c r="U211" s="520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customHeight="1">
      <c r="A212" s="300">
        <v>30100029</v>
      </c>
      <c r="B212" s="515" t="s">
        <v>208</v>
      </c>
      <c r="C212" s="126" t="s">
        <v>203</v>
      </c>
      <c r="D212" s="108">
        <v>5.08</v>
      </c>
      <c r="E212" s="108"/>
      <c r="F212" s="127">
        <v>42746</v>
      </c>
      <c r="G212" s="128">
        <f>108*6+72</f>
        <v>720</v>
      </c>
      <c r="H212" s="516">
        <f t="shared" si="91"/>
        <v>3657.6</v>
      </c>
      <c r="I212" s="129">
        <f>11.5*4</f>
        <v>46</v>
      </c>
      <c r="J212" s="130">
        <f t="array" ref="J212">IF(ISERROR(G212/I212),"",G212/I212)</f>
        <v>15.652173913043478</v>
      </c>
      <c r="K212" s="131">
        <f t="array" ref="K212">IF(ISERROR(G212/L212),"",G212/L212)</f>
        <v>34.285714285714285</v>
      </c>
      <c r="L212" s="129">
        <v>21</v>
      </c>
      <c r="M212" s="109">
        <f t="shared" si="101"/>
        <v>11.714285714285715</v>
      </c>
      <c r="N212" s="130">
        <f t="shared" si="102"/>
        <v>0</v>
      </c>
      <c r="O212" s="520"/>
      <c r="P212" s="520"/>
      <c r="Q212" s="520"/>
      <c r="R212" s="520"/>
      <c r="S212" s="520"/>
      <c r="T212" s="520"/>
      <c r="U212" s="520"/>
      <c r="V212" s="132">
        <f t="shared" si="103"/>
        <v>0</v>
      </c>
      <c r="W212" s="133">
        <f t="shared" si="104"/>
        <v>0</v>
      </c>
      <c r="X212" s="132"/>
      <c r="Y212" s="132"/>
      <c r="Z212" s="132"/>
      <c r="AA212" s="132"/>
    </row>
    <row r="213" spans="1:27" ht="20.100000000000001" hidden="1" customHeight="1">
      <c r="A213" s="300">
        <v>30100026</v>
      </c>
      <c r="B213" s="515" t="s">
        <v>208</v>
      </c>
      <c r="C213" s="126" t="s">
        <v>199</v>
      </c>
      <c r="D213" s="108">
        <v>5.08</v>
      </c>
      <c r="E213" s="108"/>
      <c r="F213" s="127"/>
      <c r="G213" s="128"/>
      <c r="H213" s="516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1"/>
        <v>0</v>
      </c>
      <c r="N213" s="130">
        <f t="shared" si="102"/>
        <v>0</v>
      </c>
      <c r="O213" s="524"/>
      <c r="P213" s="524"/>
      <c r="Q213" s="524"/>
      <c r="R213" s="524"/>
      <c r="S213" s="524"/>
      <c r="T213" s="524"/>
      <c r="U213" s="524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30100025</v>
      </c>
      <c r="B214" s="515" t="s">
        <v>208</v>
      </c>
      <c r="C214" s="126" t="s">
        <v>187</v>
      </c>
      <c r="D214" s="108">
        <v>5.08</v>
      </c>
      <c r="E214" s="108"/>
      <c r="F214" s="127"/>
      <c r="G214" s="128"/>
      <c r="H214" s="516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520"/>
      <c r="P214" s="520"/>
      <c r="Q214" s="520"/>
      <c r="R214" s="520"/>
      <c r="S214" s="520"/>
      <c r="T214" s="520"/>
      <c r="U214" s="520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hidden="1" customHeight="1">
      <c r="A215" s="300">
        <v>30100028</v>
      </c>
      <c r="B215" s="515" t="s">
        <v>208</v>
      </c>
      <c r="C215" s="126" t="s">
        <v>207</v>
      </c>
      <c r="D215" s="108">
        <v>5.08</v>
      </c>
      <c r="E215" s="108"/>
      <c r="F215" s="127"/>
      <c r="G215" s="128"/>
      <c r="H215" s="516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21</v>
      </c>
      <c r="M215" s="109">
        <f t="shared" si="101"/>
        <v>0</v>
      </c>
      <c r="N215" s="130">
        <f t="shared" si="102"/>
        <v>0</v>
      </c>
      <c r="O215" s="524"/>
      <c r="P215" s="524"/>
      <c r="Q215" s="524"/>
      <c r="R215" s="524"/>
      <c r="S215" s="524"/>
      <c r="T215" s="524"/>
      <c r="U215" s="524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30100032</v>
      </c>
      <c r="B216" s="515" t="s">
        <v>209</v>
      </c>
      <c r="C216" s="126" t="s">
        <v>194</v>
      </c>
      <c r="D216" s="108">
        <v>5.03</v>
      </c>
      <c r="E216" s="108"/>
      <c r="F216" s="127"/>
      <c r="G216" s="128"/>
      <c r="H216" s="516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520"/>
      <c r="P216" s="520"/>
      <c r="Q216" s="520"/>
      <c r="R216" s="520"/>
      <c r="S216" s="520"/>
      <c r="T216" s="520"/>
      <c r="U216" s="520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hidden="1" customHeight="1">
      <c r="A217" s="300">
        <v>30100033</v>
      </c>
      <c r="B217" s="515" t="s">
        <v>209</v>
      </c>
      <c r="C217" s="126" t="s">
        <v>179</v>
      </c>
      <c r="D217" s="108">
        <v>5.03</v>
      </c>
      <c r="E217" s="108"/>
      <c r="F217" s="127"/>
      <c r="G217" s="128"/>
      <c r="H217" s="516">
        <f t="shared" si="91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1"/>
        <v>0</v>
      </c>
      <c r="N217" s="130">
        <f t="shared" si="102"/>
        <v>0</v>
      </c>
      <c r="O217" s="520"/>
      <c r="P217" s="520"/>
      <c r="Q217" s="520"/>
      <c r="R217" s="520"/>
      <c r="S217" s="520"/>
      <c r="T217" s="520"/>
      <c r="U217" s="520"/>
      <c r="V217" s="132">
        <f t="shared" si="103"/>
        <v>0</v>
      </c>
      <c r="W217" s="133" t="str">
        <f t="shared" si="104"/>
        <v/>
      </c>
      <c r="X217" s="132"/>
      <c r="Y217" s="132"/>
      <c r="Z217" s="132"/>
      <c r="AA217" s="132"/>
    </row>
    <row r="218" spans="1:27" ht="20.100000000000001" hidden="1" customHeight="1">
      <c r="A218" s="300">
        <v>30100062</v>
      </c>
      <c r="B218" s="515" t="s">
        <v>209</v>
      </c>
      <c r="C218" s="126" t="s">
        <v>195</v>
      </c>
      <c r="D218" s="108">
        <v>5.03</v>
      </c>
      <c r="E218" s="108"/>
      <c r="F218" s="127"/>
      <c r="G218" s="128"/>
      <c r="H218" s="516">
        <f t="shared" si="91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1"/>
        <v>0</v>
      </c>
      <c r="N218" s="130">
        <f t="shared" si="102"/>
        <v>0</v>
      </c>
      <c r="O218" s="520"/>
      <c r="P218" s="520"/>
      <c r="Q218" s="520"/>
      <c r="R218" s="520"/>
      <c r="S218" s="520"/>
      <c r="T218" s="520"/>
      <c r="U218" s="520"/>
      <c r="V218" s="132">
        <f t="shared" si="103"/>
        <v>0</v>
      </c>
      <c r="W218" s="133" t="str">
        <f t="shared" si="104"/>
        <v/>
      </c>
      <c r="X218" s="132"/>
      <c r="Y218" s="132"/>
      <c r="Z218" s="132"/>
      <c r="AA218" s="132"/>
    </row>
    <row r="219" spans="1:27" ht="20.100000000000001" customHeight="1">
      <c r="A219" s="300">
        <v>30100031</v>
      </c>
      <c r="B219" s="515" t="s">
        <v>209</v>
      </c>
      <c r="C219" s="126" t="s">
        <v>204</v>
      </c>
      <c r="D219" s="108">
        <v>5.03</v>
      </c>
      <c r="E219" s="108"/>
      <c r="F219" s="127">
        <v>42746</v>
      </c>
      <c r="G219" s="128">
        <f>108*2</f>
        <v>216</v>
      </c>
      <c r="H219" s="516">
        <f t="shared" si="91"/>
        <v>1086.48</v>
      </c>
      <c r="I219" s="129">
        <v>3.5</v>
      </c>
      <c r="J219" s="130">
        <f t="array" ref="J219">IF(ISERROR(G219/I219),"",G219/I219)</f>
        <v>61.714285714285715</v>
      </c>
      <c r="K219" s="131">
        <f t="array" ref="K219">IF(ISERROR(G219/L219),"",G219/L219)</f>
        <v>3.8571428571428572</v>
      </c>
      <c r="L219" s="129">
        <v>56</v>
      </c>
      <c r="M219" s="109">
        <f t="shared" si="101"/>
        <v>-0.35714285714285721</v>
      </c>
      <c r="N219" s="130">
        <f t="shared" si="102"/>
        <v>0</v>
      </c>
      <c r="O219" s="520"/>
      <c r="P219" s="520"/>
      <c r="Q219" s="520"/>
      <c r="R219" s="520"/>
      <c r="S219" s="520"/>
      <c r="T219" s="520"/>
      <c r="U219" s="520"/>
      <c r="V219" s="132">
        <f t="shared" si="103"/>
        <v>0</v>
      </c>
      <c r="W219" s="133">
        <f t="shared" si="104"/>
        <v>0</v>
      </c>
      <c r="X219" s="132"/>
      <c r="Y219" s="132"/>
      <c r="Z219" s="132"/>
      <c r="AA219" s="132"/>
    </row>
    <row r="220" spans="1:27" ht="20.100000000000001" hidden="1" customHeight="1">
      <c r="A220" s="300">
        <v>30100019</v>
      </c>
      <c r="B220" s="515" t="s">
        <v>382</v>
      </c>
      <c r="C220" s="187" t="s">
        <v>383</v>
      </c>
      <c r="D220" s="108">
        <v>5.03</v>
      </c>
      <c r="E220" s="108"/>
      <c r="F220" s="127"/>
      <c r="G220" s="128"/>
      <c r="H220" s="516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520"/>
      <c r="P220" s="520"/>
      <c r="Q220" s="520"/>
      <c r="R220" s="520"/>
      <c r="S220" s="520"/>
      <c r="T220" s="520"/>
      <c r="U220" s="520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30100020</v>
      </c>
      <c r="B221" s="515" t="s">
        <v>382</v>
      </c>
      <c r="C221" s="187" t="s">
        <v>384</v>
      </c>
      <c r="D221" s="108">
        <v>5.03</v>
      </c>
      <c r="E221" s="108"/>
      <c r="F221" s="127"/>
      <c r="G221" s="128"/>
      <c r="H221" s="516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520"/>
      <c r="P221" s="520"/>
      <c r="Q221" s="520"/>
      <c r="R221" s="520"/>
      <c r="S221" s="520"/>
      <c r="T221" s="520"/>
      <c r="U221" s="520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30100021</v>
      </c>
      <c r="B222" s="515" t="s">
        <v>382</v>
      </c>
      <c r="C222" s="187" t="s">
        <v>389</v>
      </c>
      <c r="D222" s="108">
        <v>5.03</v>
      </c>
      <c r="E222" s="108"/>
      <c r="F222" s="127"/>
      <c r="G222" s="128"/>
      <c r="H222" s="516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520"/>
      <c r="P222" s="520"/>
      <c r="Q222" s="520"/>
      <c r="R222" s="520"/>
      <c r="S222" s="520"/>
      <c r="T222" s="520"/>
      <c r="U222" s="520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0">
        <v>30100018</v>
      </c>
      <c r="B223" s="515" t="s">
        <v>382</v>
      </c>
      <c r="C223" s="187" t="s">
        <v>391</v>
      </c>
      <c r="D223" s="108">
        <v>5.03</v>
      </c>
      <c r="E223" s="108"/>
      <c r="F223" s="127"/>
      <c r="G223" s="128"/>
      <c r="H223" s="516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54</v>
      </c>
      <c r="M223" s="109">
        <f t="shared" si="101"/>
        <v>0</v>
      </c>
      <c r="N223" s="130">
        <f t="shared" si="102"/>
        <v>0</v>
      </c>
      <c r="O223" s="520"/>
      <c r="P223" s="520"/>
      <c r="Q223" s="520"/>
      <c r="R223" s="520"/>
      <c r="S223" s="520"/>
      <c r="T223" s="520"/>
      <c r="U223" s="520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30700007</v>
      </c>
      <c r="B224" s="515" t="s">
        <v>418</v>
      </c>
      <c r="C224" s="187" t="s">
        <v>364</v>
      </c>
      <c r="D224" s="108">
        <v>5.03</v>
      </c>
      <c r="E224" s="108"/>
      <c r="F224" s="127"/>
      <c r="G224" s="128"/>
      <c r="H224" s="516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520"/>
      <c r="P224" s="520"/>
      <c r="Q224" s="520"/>
      <c r="R224" s="520"/>
      <c r="S224" s="520"/>
      <c r="T224" s="520"/>
      <c r="U224" s="520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30700006</v>
      </c>
      <c r="B225" s="515" t="s">
        <v>418</v>
      </c>
      <c r="C225" s="187" t="s">
        <v>365</v>
      </c>
      <c r="D225" s="108">
        <v>5.03</v>
      </c>
      <c r="E225" s="108"/>
      <c r="F225" s="127"/>
      <c r="G225" s="128"/>
      <c r="H225" s="516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520"/>
      <c r="P225" s="520"/>
      <c r="Q225" s="520"/>
      <c r="R225" s="520"/>
      <c r="S225" s="520"/>
      <c r="T225" s="520"/>
      <c r="U225" s="520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30700008</v>
      </c>
      <c r="B226" s="515" t="s">
        <v>418</v>
      </c>
      <c r="C226" s="187" t="s">
        <v>366</v>
      </c>
      <c r="D226" s="108">
        <v>5.03</v>
      </c>
      <c r="E226" s="108"/>
      <c r="F226" s="127"/>
      <c r="G226" s="128"/>
      <c r="H226" s="516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520"/>
      <c r="P226" s="520"/>
      <c r="Q226" s="520"/>
      <c r="R226" s="520"/>
      <c r="S226" s="520"/>
      <c r="T226" s="520"/>
      <c r="U226" s="520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3">
        <v>30700009</v>
      </c>
      <c r="B227" s="515" t="s">
        <v>418</v>
      </c>
      <c r="C227" s="187" t="s">
        <v>367</v>
      </c>
      <c r="D227" s="108">
        <v>5.03</v>
      </c>
      <c r="E227" s="108"/>
      <c r="F227" s="127"/>
      <c r="G227" s="128"/>
      <c r="H227" s="516">
        <f t="shared" si="91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101"/>
        <v>0</v>
      </c>
      <c r="N227" s="130">
        <f t="shared" si="102"/>
        <v>0</v>
      </c>
      <c r="O227" s="520"/>
      <c r="P227" s="520"/>
      <c r="Q227" s="520"/>
      <c r="R227" s="520"/>
      <c r="S227" s="520"/>
      <c r="T227" s="520"/>
      <c r="U227" s="520"/>
      <c r="V227" s="132"/>
      <c r="W227" s="133"/>
      <c r="X227" s="132"/>
      <c r="Y227" s="132"/>
      <c r="Z227" s="132"/>
      <c r="AA227" s="132"/>
    </row>
    <row r="228" spans="1:27" ht="20.100000000000001" hidden="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/>
      <c r="G228" s="128"/>
      <c r="H228" s="516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524"/>
      <c r="P228" s="524"/>
      <c r="Q228" s="524"/>
      <c r="R228" s="524"/>
      <c r="S228" s="524"/>
      <c r="T228" s="524"/>
      <c r="U228" s="524"/>
      <c r="V228" s="132">
        <f t="shared" ref="V228:V237" si="105">SUM(X228:AA228)</f>
        <v>0</v>
      </c>
      <c r="W228" s="133" t="str">
        <f t="shared" ref="W228:W237" si="106">IF(ISERROR(V228/G228),"",V228/G228)</f>
        <v/>
      </c>
      <c r="X228" s="132"/>
      <c r="Y228" s="132"/>
      <c r="Z228" s="132"/>
      <c r="AA228" s="132"/>
    </row>
    <row r="229" spans="1:27" ht="20.100000000000001" hidden="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/>
      <c r="G229" s="128"/>
      <c r="H229" s="516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524"/>
      <c r="P229" s="524"/>
      <c r="Q229" s="524"/>
      <c r="R229" s="524"/>
      <c r="S229" s="524"/>
      <c r="T229" s="524"/>
      <c r="U229" s="524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/>
      <c r="G230" s="128"/>
      <c r="H230" s="516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40</v>
      </c>
      <c r="M230" s="109">
        <f t="shared" si="101"/>
        <v>0</v>
      </c>
      <c r="N230" s="130">
        <f t="shared" si="102"/>
        <v>0</v>
      </c>
      <c r="O230" s="524"/>
      <c r="P230" s="524"/>
      <c r="Q230" s="524"/>
      <c r="R230" s="524"/>
      <c r="S230" s="524"/>
      <c r="T230" s="524"/>
      <c r="U230" s="524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28"/>
      <c r="H231" s="516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524"/>
      <c r="P231" s="524"/>
      <c r="Q231" s="524"/>
      <c r="R231" s="524"/>
      <c r="S231" s="524"/>
      <c r="T231" s="524"/>
      <c r="U231" s="524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28"/>
      <c r="H232" s="516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524"/>
      <c r="P232" s="524"/>
      <c r="Q232" s="524"/>
      <c r="R232" s="524"/>
      <c r="S232" s="524"/>
      <c r="T232" s="524"/>
      <c r="U232" s="524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28"/>
      <c r="H233" s="516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524"/>
      <c r="P233" s="524"/>
      <c r="Q233" s="524"/>
      <c r="R233" s="524"/>
      <c r="S233" s="524"/>
      <c r="T233" s="524"/>
      <c r="U233" s="524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28"/>
      <c r="H234" s="516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524"/>
      <c r="P234" s="524"/>
      <c r="Q234" s="524"/>
      <c r="R234" s="524"/>
      <c r="S234" s="524"/>
      <c r="T234" s="524"/>
      <c r="U234" s="524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/>
      <c r="G235" s="128"/>
      <c r="H235" s="516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524"/>
      <c r="P235" s="524"/>
      <c r="Q235" s="524"/>
      <c r="R235" s="524"/>
      <c r="S235" s="524"/>
      <c r="T235" s="524"/>
      <c r="U235" s="524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/>
      <c r="G236" s="128"/>
      <c r="H236" s="516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524"/>
      <c r="P236" s="524"/>
      <c r="Q236" s="524"/>
      <c r="R236" s="524"/>
      <c r="S236" s="524"/>
      <c r="T236" s="524"/>
      <c r="U236" s="524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>
        <v>42744</v>
      </c>
      <c r="G237" s="128">
        <f>90*6</f>
        <v>540</v>
      </c>
      <c r="H237" s="516">
        <f t="shared" si="91"/>
        <v>2716.2000000000003</v>
      </c>
      <c r="I237" s="129">
        <f>11.5*2</f>
        <v>23</v>
      </c>
      <c r="J237" s="130">
        <f t="array" ref="J237">IF(ISERROR(G237/I237),"",G237/I237)</f>
        <v>23.478260869565219</v>
      </c>
      <c r="K237" s="131">
        <f t="array" ref="K237">IF(ISERROR(G237/L237),"",G237/L237)</f>
        <v>10.8</v>
      </c>
      <c r="L237" s="129">
        <v>50</v>
      </c>
      <c r="M237" s="109">
        <f t="shared" si="101"/>
        <v>12.2</v>
      </c>
      <c r="N237" s="130">
        <f t="shared" si="102"/>
        <v>0</v>
      </c>
      <c r="O237" s="524"/>
      <c r="P237" s="524"/>
      <c r="Q237" s="524"/>
      <c r="R237" s="524"/>
      <c r="S237" s="524"/>
      <c r="T237" s="524"/>
      <c r="U237" s="524"/>
      <c r="V237" s="132">
        <f t="shared" si="105"/>
        <v>0</v>
      </c>
      <c r="W237" s="133">
        <f t="shared" si="106"/>
        <v>0</v>
      </c>
      <c r="X237" s="132"/>
      <c r="Y237" s="132"/>
      <c r="Z237" s="132"/>
      <c r="AA237" s="132"/>
    </row>
    <row r="238" spans="1:27" ht="20.100000000000001" customHeight="1">
      <c r="A238" s="300">
        <v>30100043</v>
      </c>
      <c r="B238" s="134" t="s">
        <v>429</v>
      </c>
      <c r="C238" s="187" t="s">
        <v>427</v>
      </c>
      <c r="D238" s="108">
        <v>5.03</v>
      </c>
      <c r="E238" s="108"/>
      <c r="F238" s="127">
        <v>42744</v>
      </c>
      <c r="G238" s="128">
        <f>25+90*2+90</f>
        <v>295</v>
      </c>
      <c r="H238" s="516">
        <f t="shared" si="91"/>
        <v>1483.8500000000001</v>
      </c>
      <c r="I238" s="129">
        <f>11.5*2</f>
        <v>23</v>
      </c>
      <c r="J238" s="130">
        <f t="array" ref="J238">IF(ISERROR(G238/I238),"",G238/I238)</f>
        <v>12.826086956521738</v>
      </c>
      <c r="K238" s="131">
        <f t="array" ref="K238">IF(ISERROR(G238/L238),"",G238/L238)</f>
        <v>5.9</v>
      </c>
      <c r="L238" s="129">
        <v>50</v>
      </c>
      <c r="M238" s="109">
        <f t="shared" si="101"/>
        <v>17.100000000000001</v>
      </c>
      <c r="N238" s="130"/>
      <c r="O238" s="524"/>
      <c r="P238" s="524"/>
      <c r="Q238" s="524"/>
      <c r="R238" s="524"/>
      <c r="S238" s="524"/>
      <c r="T238" s="524"/>
      <c r="U238" s="524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/>
      <c r="G239" s="128"/>
      <c r="H239" s="516">
        <f t="shared" si="91"/>
        <v>0</v>
      </c>
      <c r="I239" s="129"/>
      <c r="J239" s="130"/>
      <c r="K239" s="131">
        <f t="array" ref="K239">IF(ISERROR(G239/L239),"",G239/L239)</f>
        <v>0</v>
      </c>
      <c r="L239" s="129">
        <v>50</v>
      </c>
      <c r="M239" s="109">
        <f t="shared" ref="M239:M250" si="107">IF(ISERROR(I239-K239),"",I239-K239)</f>
        <v>0</v>
      </c>
      <c r="N239" s="130"/>
      <c r="O239" s="524"/>
      <c r="P239" s="524"/>
      <c r="Q239" s="524"/>
      <c r="R239" s="524"/>
      <c r="S239" s="524"/>
      <c r="T239" s="524"/>
      <c r="U239" s="524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/>
      <c r="G240" s="128"/>
      <c r="H240" s="516">
        <f t="shared" si="91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7"/>
        <v>0</v>
      </c>
      <c r="N240" s="130">
        <f t="shared" ref="N240:N241" si="108">SUM(O240:U240)</f>
        <v>0</v>
      </c>
      <c r="O240" s="524"/>
      <c r="P240" s="524"/>
      <c r="Q240" s="524"/>
      <c r="R240" s="524"/>
      <c r="S240" s="524"/>
      <c r="T240" s="524"/>
      <c r="U240" s="524"/>
      <c r="V240" s="132">
        <f t="shared" ref="V240:V241" si="109">SUM(X240:AA240)</f>
        <v>0</v>
      </c>
      <c r="W240" s="133" t="str">
        <f t="shared" ref="W240:W241" si="110">IF(ISERROR(V240/G240),"",V240/G240)</f>
        <v/>
      </c>
      <c r="X240" s="132"/>
      <c r="Y240" s="132"/>
      <c r="Z240" s="132"/>
      <c r="AA240" s="132"/>
    </row>
    <row r="241" spans="1:27" ht="20.100000000000001" hidden="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/>
      <c r="G241" s="128"/>
      <c r="H241" s="516">
        <f t="shared" si="91"/>
        <v>0</v>
      </c>
      <c r="I241" s="129"/>
      <c r="J241" s="130" t="str">
        <f t="array" ref="J241">IF(ISERROR(G241/I241),"",G241/I241)</f>
        <v/>
      </c>
      <c r="K241" s="131">
        <f t="array" ref="K241">IF(ISERROR(G241/L241),"",G241/L241)</f>
        <v>0</v>
      </c>
      <c r="L241" s="129">
        <v>21.5</v>
      </c>
      <c r="M241" s="109">
        <f t="shared" si="107"/>
        <v>0</v>
      </c>
      <c r="N241" s="130">
        <f t="shared" si="108"/>
        <v>0</v>
      </c>
      <c r="O241" s="524"/>
      <c r="P241" s="524"/>
      <c r="Q241" s="524"/>
      <c r="R241" s="524"/>
      <c r="S241" s="524"/>
      <c r="T241" s="524"/>
      <c r="U241" s="524"/>
      <c r="V241" s="132">
        <f t="shared" si="109"/>
        <v>0</v>
      </c>
      <c r="W241" s="133" t="str">
        <f t="shared" si="110"/>
        <v/>
      </c>
      <c r="X241" s="132"/>
      <c r="Y241" s="132"/>
      <c r="Z241" s="132"/>
      <c r="AA241" s="132"/>
    </row>
    <row r="242" spans="1:27" ht="20.100000000000001" hidden="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28"/>
      <c r="H242" s="516">
        <f t="shared" si="91"/>
        <v>0</v>
      </c>
      <c r="I242" s="129"/>
      <c r="J242" s="130"/>
      <c r="K242" s="131"/>
      <c r="L242" s="129"/>
      <c r="M242" s="109">
        <f t="shared" si="107"/>
        <v>0</v>
      </c>
      <c r="N242" s="130"/>
      <c r="O242" s="524"/>
      <c r="P242" s="524"/>
      <c r="Q242" s="524"/>
      <c r="R242" s="524"/>
      <c r="S242" s="524"/>
      <c r="T242" s="524"/>
      <c r="U242" s="524"/>
      <c r="V242" s="132"/>
      <c r="W242" s="133"/>
      <c r="X242" s="132"/>
      <c r="Y242" s="132"/>
      <c r="Z242" s="132"/>
      <c r="AA242" s="132"/>
    </row>
    <row r="243" spans="1:27" ht="20.100000000000001" hidden="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28"/>
      <c r="H243" s="516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ref="N243:N246" si="111">SUM(O243:U243)</f>
        <v>0</v>
      </c>
      <c r="O243" s="524"/>
      <c r="P243" s="524"/>
      <c r="Q243" s="524"/>
      <c r="R243" s="524"/>
      <c r="S243" s="524"/>
      <c r="T243" s="524"/>
      <c r="U243" s="524"/>
      <c r="V243" s="132">
        <f t="shared" ref="V243:V246" si="112">SUM(X243:AA243)</f>
        <v>0</v>
      </c>
      <c r="W243" s="133" t="str">
        <f t="shared" ref="W243:W246" si="113">IF(ISERROR(V243/G243),"",V243/G243)</f>
        <v/>
      </c>
      <c r="X243" s="132"/>
      <c r="Y243" s="132"/>
      <c r="Z243" s="132"/>
      <c r="AA243" s="132"/>
    </row>
    <row r="244" spans="1:27" ht="20.100000000000001" hidden="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28"/>
      <c r="H244" s="516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524"/>
      <c r="P244" s="524"/>
      <c r="Q244" s="524"/>
      <c r="R244" s="524"/>
      <c r="S244" s="524"/>
      <c r="T244" s="524"/>
      <c r="U244" s="524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28"/>
      <c r="H245" s="516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524"/>
      <c r="P245" s="524"/>
      <c r="Q245" s="524"/>
      <c r="R245" s="524"/>
      <c r="S245" s="524"/>
      <c r="T245" s="524"/>
      <c r="U245" s="524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28"/>
      <c r="H246" s="516">
        <f t="shared" si="91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7"/>
        <v/>
      </c>
      <c r="N246" s="130">
        <f t="shared" si="111"/>
        <v>0</v>
      </c>
      <c r="O246" s="524"/>
      <c r="P246" s="524"/>
      <c r="Q246" s="524"/>
      <c r="R246" s="524"/>
      <c r="S246" s="524"/>
      <c r="T246" s="524"/>
      <c r="U246" s="524"/>
      <c r="V246" s="132">
        <f t="shared" si="112"/>
        <v>0</v>
      </c>
      <c r="W246" s="133" t="str">
        <f t="shared" si="113"/>
        <v/>
      </c>
      <c r="X246" s="132"/>
      <c r="Y246" s="132"/>
      <c r="Z246" s="132"/>
      <c r="AA246" s="132"/>
    </row>
    <row r="247" spans="1:27" ht="20.100000000000001" hidden="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28"/>
      <c r="H247" s="516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524"/>
      <c r="P247" s="524"/>
      <c r="Q247" s="524"/>
      <c r="R247" s="524"/>
      <c r="S247" s="524"/>
      <c r="T247" s="524"/>
      <c r="U247" s="524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28"/>
      <c r="H248" s="516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524"/>
      <c r="P248" s="524"/>
      <c r="Q248" s="524"/>
      <c r="R248" s="524"/>
      <c r="S248" s="524"/>
      <c r="T248" s="524"/>
      <c r="U248" s="524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28"/>
      <c r="H249" s="516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524"/>
      <c r="P249" s="524"/>
      <c r="Q249" s="524"/>
      <c r="R249" s="524"/>
      <c r="S249" s="524"/>
      <c r="T249" s="524"/>
      <c r="U249" s="524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28"/>
      <c r="H250" s="516">
        <f t="shared" si="91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7"/>
        <v>0</v>
      </c>
      <c r="N250" s="130"/>
      <c r="O250" s="524"/>
      <c r="P250" s="524"/>
      <c r="Q250" s="524"/>
      <c r="R250" s="524"/>
      <c r="S250" s="524"/>
      <c r="T250" s="524"/>
      <c r="U250" s="524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28"/>
      <c r="H251" s="516">
        <f t="shared" si="91"/>
        <v>0</v>
      </c>
      <c r="I251" s="129"/>
      <c r="J251" s="130"/>
      <c r="K251" s="131"/>
      <c r="L251" s="129">
        <v>4</v>
      </c>
      <c r="M251" s="109"/>
      <c r="N251" s="130"/>
      <c r="O251" s="524"/>
      <c r="P251" s="524"/>
      <c r="Q251" s="524"/>
      <c r="R251" s="524"/>
      <c r="S251" s="524"/>
      <c r="T251" s="524"/>
      <c r="U251" s="524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28"/>
      <c r="H252" s="516">
        <f t="shared" si="91"/>
        <v>0</v>
      </c>
      <c r="I252" s="129"/>
      <c r="J252" s="130"/>
      <c r="K252" s="131"/>
      <c r="L252" s="129">
        <v>4</v>
      </c>
      <c r="M252" s="109"/>
      <c r="N252" s="130"/>
      <c r="O252" s="524"/>
      <c r="P252" s="524"/>
      <c r="Q252" s="524"/>
      <c r="R252" s="524"/>
      <c r="S252" s="524"/>
      <c r="T252" s="524"/>
      <c r="U252" s="524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28"/>
      <c r="H253" s="516">
        <f t="shared" si="91"/>
        <v>0</v>
      </c>
      <c r="I253" s="129"/>
      <c r="J253" s="130"/>
      <c r="K253" s="131"/>
      <c r="L253" s="129">
        <v>4</v>
      </c>
      <c r="M253" s="109"/>
      <c r="N253" s="130"/>
      <c r="O253" s="524"/>
      <c r="P253" s="524"/>
      <c r="Q253" s="524"/>
      <c r="R253" s="524"/>
      <c r="S253" s="524"/>
      <c r="T253" s="524"/>
      <c r="U253" s="524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28"/>
      <c r="H254" s="516">
        <f t="shared" si="91"/>
        <v>0</v>
      </c>
      <c r="I254" s="129"/>
      <c r="J254" s="130"/>
      <c r="K254" s="131"/>
      <c r="L254" s="129">
        <v>4</v>
      </c>
      <c r="M254" s="109"/>
      <c r="N254" s="130"/>
      <c r="O254" s="524"/>
      <c r="P254" s="524"/>
      <c r="Q254" s="524"/>
      <c r="R254" s="524"/>
      <c r="S254" s="524"/>
      <c r="T254" s="524"/>
      <c r="U254" s="524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28"/>
      <c r="H255" s="516">
        <f t="shared" si="91"/>
        <v>0</v>
      </c>
      <c r="I255" s="129"/>
      <c r="J255" s="130"/>
      <c r="K255" s="131"/>
      <c r="L255" s="129">
        <v>4</v>
      </c>
      <c r="M255" s="109"/>
      <c r="N255" s="130"/>
      <c r="O255" s="524"/>
      <c r="P255" s="524"/>
      <c r="Q255" s="524"/>
      <c r="R255" s="524"/>
      <c r="S255" s="524"/>
      <c r="T255" s="524"/>
      <c r="U255" s="524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28"/>
      <c r="H256" s="516">
        <f t="shared" si="91"/>
        <v>0</v>
      </c>
      <c r="I256" s="129"/>
      <c r="J256" s="130"/>
      <c r="K256" s="131"/>
      <c r="L256" s="129">
        <v>4</v>
      </c>
      <c r="M256" s="109"/>
      <c r="N256" s="130"/>
      <c r="O256" s="524"/>
      <c r="P256" s="524"/>
      <c r="Q256" s="524"/>
      <c r="R256" s="524"/>
      <c r="S256" s="524"/>
      <c r="T256" s="524"/>
      <c r="U256" s="524"/>
      <c r="V256" s="132"/>
      <c r="W256" s="133"/>
      <c r="X256" s="132"/>
      <c r="Y256" s="132"/>
      <c r="Z256" s="132"/>
      <c r="AA256" s="132"/>
    </row>
    <row r="257" spans="1:27" ht="20.100000000000001" customHeight="1">
      <c r="A257" s="589" t="s">
        <v>216</v>
      </c>
      <c r="B257" s="589"/>
      <c r="C257" s="525" t="s">
        <v>202</v>
      </c>
      <c r="D257" s="143"/>
      <c r="E257" s="143"/>
      <c r="F257" s="144"/>
      <c r="G257" s="145">
        <f>SUM(G200:G256)</f>
        <v>2560</v>
      </c>
      <c r="H257" s="146">
        <f>SUM(H200:H256)</f>
        <v>12912.800000000001</v>
      </c>
      <c r="I257" s="146">
        <f>SUM(I200:I256)</f>
        <v>103.5</v>
      </c>
      <c r="J257" s="130">
        <f t="array" ref="J257">IF(ISERROR(G257/I257),"",G257/I257)</f>
        <v>24.734299516908212</v>
      </c>
      <c r="K257" s="146">
        <f>SUM(K200:K256)</f>
        <v>70.015934065934076</v>
      </c>
      <c r="L257" s="147"/>
      <c r="M257" s="150">
        <f t="shared" ref="M257:V257" si="114">SUM(M200:M256)</f>
        <v>33.484065934065939</v>
      </c>
      <c r="N257" s="146">
        <f t="shared" si="114"/>
        <v>0</v>
      </c>
      <c r="O257" s="148">
        <f t="shared" si="114"/>
        <v>0</v>
      </c>
      <c r="P257" s="148">
        <f t="shared" si="114"/>
        <v>0</v>
      </c>
      <c r="Q257" s="148">
        <f t="shared" si="114"/>
        <v>0</v>
      </c>
      <c r="R257" s="148">
        <f t="shared" si="114"/>
        <v>0</v>
      </c>
      <c r="S257" s="148">
        <f t="shared" si="114"/>
        <v>0</v>
      </c>
      <c r="T257" s="148">
        <f t="shared" si="114"/>
        <v>0</v>
      </c>
      <c r="U257" s="148">
        <f t="shared" si="114"/>
        <v>0</v>
      </c>
      <c r="V257" s="149">
        <f t="shared" si="114"/>
        <v>0</v>
      </c>
      <c r="W257" s="133">
        <f t="shared" ref="W257:W264" si="115">IF(ISERROR(V257/G257),"",V257/G257)</f>
        <v>0</v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hidden="1" customHeight="1">
      <c r="A258" s="299">
        <v>30400012</v>
      </c>
      <c r="B258" s="515" t="s">
        <v>217</v>
      </c>
      <c r="C258" s="126" t="s">
        <v>179</v>
      </c>
      <c r="D258" s="108">
        <v>5.03</v>
      </c>
      <c r="E258" s="108"/>
      <c r="F258" s="127"/>
      <c r="G258" s="128"/>
      <c r="H258" s="516">
        <f t="shared" ref="H258:H291" si="116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7">IF(ISERROR(I258-K258),"",I258-K258)</f>
        <v>0</v>
      </c>
      <c r="N258" s="130">
        <f t="shared" ref="N258:N265" si="118">SUM(O258:U258)</f>
        <v>0</v>
      </c>
      <c r="O258" s="524"/>
      <c r="P258" s="524"/>
      <c r="Q258" s="524"/>
      <c r="R258" s="524"/>
      <c r="S258" s="524"/>
      <c r="T258" s="524"/>
      <c r="U258" s="524"/>
      <c r="V258" s="132">
        <f t="shared" ref="V258:V264" si="119">SUM(X258:AA258)</f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30400010</v>
      </c>
      <c r="B259" s="515" t="s">
        <v>217</v>
      </c>
      <c r="C259" s="126" t="s">
        <v>186</v>
      </c>
      <c r="D259" s="108">
        <v>5.03</v>
      </c>
      <c r="E259" s="108"/>
      <c r="F259" s="127"/>
      <c r="G259" s="128"/>
      <c r="H259" s="516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524"/>
      <c r="P259" s="524"/>
      <c r="Q259" s="524"/>
      <c r="R259" s="524"/>
      <c r="S259" s="524"/>
      <c r="T259" s="524"/>
      <c r="U259" s="524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30400011</v>
      </c>
      <c r="B260" s="515" t="s">
        <v>217</v>
      </c>
      <c r="C260" s="126" t="s">
        <v>204</v>
      </c>
      <c r="D260" s="108">
        <v>5.03</v>
      </c>
      <c r="E260" s="108"/>
      <c r="F260" s="127"/>
      <c r="G260" s="128"/>
      <c r="H260" s="516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8.8000000000000007</v>
      </c>
      <c r="M260" s="109">
        <f t="shared" si="117"/>
        <v>0</v>
      </c>
      <c r="N260" s="130">
        <f t="shared" si="118"/>
        <v>0</v>
      </c>
      <c r="O260" s="524"/>
      <c r="P260" s="524"/>
      <c r="Q260" s="524"/>
      <c r="R260" s="524"/>
      <c r="S260" s="524"/>
      <c r="T260" s="524"/>
      <c r="U260" s="524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28"/>
      <c r="H261" s="516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524"/>
      <c r="P261" s="524"/>
      <c r="Q261" s="524"/>
      <c r="R261" s="524"/>
      <c r="S261" s="524"/>
      <c r="T261" s="524"/>
      <c r="U261" s="524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/>
      <c r="G262" s="128"/>
      <c r="H262" s="516">
        <f t="shared" si="116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524"/>
      <c r="P262" s="524"/>
      <c r="Q262" s="524"/>
      <c r="R262" s="524"/>
      <c r="S262" s="524"/>
      <c r="T262" s="524"/>
      <c r="U262" s="524"/>
      <c r="V262" s="132">
        <f t="shared" si="119"/>
        <v>0</v>
      </c>
      <c r="W262" s="133" t="str">
        <f t="shared" si="115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/>
      <c r="G263" s="128"/>
      <c r="H263" s="516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7"/>
        <v>0</v>
      </c>
      <c r="N263" s="130">
        <f t="shared" si="118"/>
        <v>0</v>
      </c>
      <c r="O263" s="524"/>
      <c r="P263" s="524"/>
      <c r="Q263" s="524"/>
      <c r="R263" s="524"/>
      <c r="S263" s="524"/>
      <c r="T263" s="524"/>
      <c r="U263" s="524"/>
      <c r="V263" s="132">
        <f t="shared" si="119"/>
        <v>0</v>
      </c>
      <c r="W263" s="133" t="str">
        <f t="shared" si="115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/>
      <c r="G264" s="128"/>
      <c r="H264" s="516">
        <f t="shared" si="116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524"/>
      <c r="P264" s="524"/>
      <c r="Q264" s="524"/>
      <c r="R264" s="524"/>
      <c r="S264" s="524"/>
      <c r="T264" s="524"/>
      <c r="U264" s="524"/>
      <c r="V264" s="132">
        <f t="shared" si="119"/>
        <v>0</v>
      </c>
      <c r="W264" s="133" t="str">
        <f t="shared" si="115"/>
        <v/>
      </c>
      <c r="X264" s="132"/>
      <c r="Y264" s="132"/>
      <c r="Z264" s="132"/>
      <c r="AA264" s="132"/>
    </row>
    <row r="265" spans="1:27" ht="20.100000000000001" hidden="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/>
      <c r="G265" s="128"/>
      <c r="H265" s="516">
        <f t="shared" si="116"/>
        <v>0</v>
      </c>
      <c r="I265" s="129"/>
      <c r="J265" s="130"/>
      <c r="K265" s="131">
        <f t="array" ref="K265">IF(ISERROR(G265/L265),"",G265/L265)</f>
        <v>0</v>
      </c>
      <c r="L265" s="129">
        <v>9.3000000000000007</v>
      </c>
      <c r="M265" s="109">
        <f t="shared" si="117"/>
        <v>0</v>
      </c>
      <c r="N265" s="130">
        <f t="shared" si="118"/>
        <v>0</v>
      </c>
      <c r="O265" s="524"/>
      <c r="P265" s="524"/>
      <c r="Q265" s="524"/>
      <c r="R265" s="524"/>
      <c r="S265" s="524"/>
      <c r="T265" s="524"/>
      <c r="U265" s="524"/>
      <c r="V265" s="132"/>
      <c r="W265" s="133"/>
      <c r="X265" s="132"/>
      <c r="Y265" s="132"/>
      <c r="Z265" s="132"/>
      <c r="AA265" s="132"/>
    </row>
    <row r="266" spans="1:27" ht="20.100000000000001" hidden="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28"/>
      <c r="H266" s="516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524"/>
      <c r="P266" s="524"/>
      <c r="Q266" s="524"/>
      <c r="R266" s="524"/>
      <c r="S266" s="524"/>
      <c r="T266" s="524"/>
      <c r="U266" s="524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28"/>
      <c r="H267" s="516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524"/>
      <c r="P267" s="524"/>
      <c r="Q267" s="524"/>
      <c r="R267" s="524"/>
      <c r="S267" s="524"/>
      <c r="T267" s="524"/>
      <c r="U267" s="524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28"/>
      <c r="H268" s="516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524"/>
      <c r="P268" s="524"/>
      <c r="Q268" s="524"/>
      <c r="R268" s="524"/>
      <c r="S268" s="524"/>
      <c r="T268" s="524"/>
      <c r="U268" s="524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28"/>
      <c r="H269" s="516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524"/>
      <c r="P269" s="524"/>
      <c r="Q269" s="524"/>
      <c r="R269" s="524"/>
      <c r="S269" s="524"/>
      <c r="T269" s="524"/>
      <c r="U269" s="524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28"/>
      <c r="H270" s="516">
        <f t="shared" si="116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5" si="120">IF(ISERROR(I270-K270),"",I270-K270)</f>
        <v>0</v>
      </c>
      <c r="N270" s="130">
        <f t="shared" ref="N270:N285" si="121">SUM(O270:U270)</f>
        <v>0</v>
      </c>
      <c r="O270" s="524"/>
      <c r="P270" s="524"/>
      <c r="Q270" s="524"/>
      <c r="R270" s="524"/>
      <c r="S270" s="524"/>
      <c r="T270" s="524"/>
      <c r="U270" s="524"/>
      <c r="V270" s="132">
        <f t="shared" ref="V270:V273" si="122">SUM(X270:AA270)</f>
        <v>0</v>
      </c>
      <c r="W270" s="133" t="str">
        <f t="shared" ref="W270:W277" si="123">IF(ISERROR(V270/G270),"",V270/G270)</f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28"/>
      <c r="H271" s="516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524"/>
      <c r="P271" s="524"/>
      <c r="Q271" s="524"/>
      <c r="R271" s="524"/>
      <c r="S271" s="524"/>
      <c r="T271" s="524"/>
      <c r="U271" s="524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28"/>
      <c r="H272" s="516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524"/>
      <c r="P272" s="524"/>
      <c r="Q272" s="524"/>
      <c r="R272" s="524"/>
      <c r="S272" s="524"/>
      <c r="T272" s="524"/>
      <c r="U272" s="524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28"/>
      <c r="H273" s="516">
        <f t="shared" si="116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20"/>
        <v/>
      </c>
      <c r="N273" s="130">
        <f t="shared" si="121"/>
        <v>0</v>
      </c>
      <c r="O273" s="524"/>
      <c r="P273" s="524"/>
      <c r="Q273" s="524"/>
      <c r="R273" s="524"/>
      <c r="S273" s="524"/>
      <c r="T273" s="524"/>
      <c r="U273" s="524"/>
      <c r="V273" s="132">
        <f t="shared" si="122"/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30600005</v>
      </c>
      <c r="B274" s="515" t="s">
        <v>222</v>
      </c>
      <c r="C274" s="126" t="s">
        <v>181</v>
      </c>
      <c r="D274" s="108">
        <v>9.36</v>
      </c>
      <c r="E274" s="108"/>
      <c r="F274" s="127"/>
      <c r="G274" s="128"/>
      <c r="H274" s="516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524"/>
      <c r="P274" s="524"/>
      <c r="Q274" s="524"/>
      <c r="R274" s="524"/>
      <c r="S274" s="524"/>
      <c r="T274" s="524"/>
      <c r="U274" s="524"/>
      <c r="V274" s="132">
        <f t="shared" ref="V274:V277" si="124">SUM(X274:AA274)</f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30600008</v>
      </c>
      <c r="B275" s="515" t="s">
        <v>222</v>
      </c>
      <c r="C275" s="126" t="s">
        <v>179</v>
      </c>
      <c r="D275" s="108">
        <v>9.36</v>
      </c>
      <c r="E275" s="108"/>
      <c r="F275" s="127"/>
      <c r="G275" s="128"/>
      <c r="H275" s="516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524"/>
      <c r="P275" s="524"/>
      <c r="Q275" s="524"/>
      <c r="R275" s="524"/>
      <c r="S275" s="524"/>
      <c r="T275" s="524"/>
      <c r="U275" s="524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30600007</v>
      </c>
      <c r="B276" s="515" t="s">
        <v>222</v>
      </c>
      <c r="C276" s="126" t="s">
        <v>221</v>
      </c>
      <c r="D276" s="108">
        <v>9.36</v>
      </c>
      <c r="E276" s="108"/>
      <c r="F276" s="127"/>
      <c r="G276" s="128"/>
      <c r="H276" s="516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524"/>
      <c r="P276" s="524"/>
      <c r="Q276" s="524"/>
      <c r="R276" s="524"/>
      <c r="S276" s="524"/>
      <c r="T276" s="524"/>
      <c r="U276" s="524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304">
        <v>30600006</v>
      </c>
      <c r="B277" s="515" t="s">
        <v>222</v>
      </c>
      <c r="C277" s="126" t="s">
        <v>186</v>
      </c>
      <c r="D277" s="108">
        <v>9.36</v>
      </c>
      <c r="E277" s="108"/>
      <c r="F277" s="127"/>
      <c r="G277" s="128"/>
      <c r="H277" s="516">
        <f t="shared" si="116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20"/>
        <v>0</v>
      </c>
      <c r="N277" s="130">
        <f t="shared" si="121"/>
        <v>0</v>
      </c>
      <c r="O277" s="524"/>
      <c r="P277" s="524"/>
      <c r="Q277" s="524"/>
      <c r="R277" s="524"/>
      <c r="S277" s="524"/>
      <c r="T277" s="524"/>
      <c r="U277" s="524"/>
      <c r="V277" s="132">
        <f t="shared" si="124"/>
        <v>0</v>
      </c>
      <c r="W277" s="133" t="str">
        <f t="shared" si="123"/>
        <v/>
      </c>
      <c r="X277" s="132"/>
      <c r="Y277" s="132"/>
      <c r="Z277" s="132"/>
      <c r="AA277" s="132"/>
    </row>
    <row r="278" spans="1:27" ht="20.100000000000001" hidden="1" customHeight="1">
      <c r="A278" s="299">
        <v>30400026</v>
      </c>
      <c r="B278" s="515" t="s">
        <v>393</v>
      </c>
      <c r="C278" s="187" t="s">
        <v>395</v>
      </c>
      <c r="D278" s="108">
        <v>5</v>
      </c>
      <c r="E278" s="108"/>
      <c r="F278" s="127"/>
      <c r="G278" s="128"/>
      <c r="H278" s="516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524"/>
      <c r="P278" s="524"/>
      <c r="Q278" s="524"/>
      <c r="R278" s="524"/>
      <c r="S278" s="524"/>
      <c r="T278" s="524"/>
      <c r="U278" s="524"/>
      <c r="V278" s="132"/>
      <c r="W278" s="133"/>
      <c r="X278" s="132"/>
      <c r="Y278" s="132"/>
      <c r="Z278" s="132"/>
      <c r="AA278" s="132"/>
    </row>
    <row r="279" spans="1:27" ht="20.100000000000001" customHeight="1">
      <c r="A279" s="299">
        <v>30400028</v>
      </c>
      <c r="B279" s="515" t="s">
        <v>393</v>
      </c>
      <c r="C279" s="187" t="s">
        <v>402</v>
      </c>
      <c r="D279" s="108">
        <v>5</v>
      </c>
      <c r="E279" s="108"/>
      <c r="F279" s="127">
        <v>42745</v>
      </c>
      <c r="G279" s="128">
        <v>17</v>
      </c>
      <c r="H279" s="516">
        <f t="shared" si="116"/>
        <v>85</v>
      </c>
      <c r="I279" s="129">
        <v>4</v>
      </c>
      <c r="J279" s="130">
        <f t="array" ref="J279">IF(ISERROR(G279/I279),"",G279/I279)</f>
        <v>4.25</v>
      </c>
      <c r="K279" s="131">
        <f t="array" ref="K279">IF(ISERROR(G279/L279),"",G279/L279)</f>
        <v>3.4</v>
      </c>
      <c r="L279" s="129">
        <v>5</v>
      </c>
      <c r="M279" s="109">
        <f t="shared" si="120"/>
        <v>0.60000000000000009</v>
      </c>
      <c r="N279" s="130">
        <f t="shared" si="121"/>
        <v>0</v>
      </c>
      <c r="O279" s="524"/>
      <c r="P279" s="524"/>
      <c r="Q279" s="524"/>
      <c r="R279" s="524"/>
      <c r="S279" s="524"/>
      <c r="T279" s="524"/>
      <c r="U279" s="524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>
        <v>30400027</v>
      </c>
      <c r="B280" s="515" t="s">
        <v>404</v>
      </c>
      <c r="C280" s="187" t="s">
        <v>405</v>
      </c>
      <c r="D280" s="108">
        <v>5</v>
      </c>
      <c r="E280" s="108"/>
      <c r="F280" s="127"/>
      <c r="G280" s="128"/>
      <c r="H280" s="516">
        <f t="shared" si="116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524"/>
      <c r="P280" s="524"/>
      <c r="Q280" s="524"/>
      <c r="R280" s="524"/>
      <c r="S280" s="524"/>
      <c r="T280" s="524"/>
      <c r="U280" s="524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/>
      <c r="B281" s="515" t="s">
        <v>342</v>
      </c>
      <c r="C281" s="187" t="s">
        <v>372</v>
      </c>
      <c r="D281" s="108">
        <v>5</v>
      </c>
      <c r="E281" s="108"/>
      <c r="F281" s="127"/>
      <c r="G281" s="128"/>
      <c r="H281" s="516">
        <f t="shared" si="116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524"/>
      <c r="P281" s="524"/>
      <c r="Q281" s="524"/>
      <c r="R281" s="524"/>
      <c r="S281" s="524"/>
      <c r="T281" s="524"/>
      <c r="U281" s="524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30600009</v>
      </c>
      <c r="B282" s="515" t="s">
        <v>343</v>
      </c>
      <c r="C282" s="126" t="s">
        <v>345</v>
      </c>
      <c r="D282" s="108">
        <v>5</v>
      </c>
      <c r="E282" s="108"/>
      <c r="F282" s="127"/>
      <c r="G282" s="128"/>
      <c r="H282" s="516">
        <f t="shared" si="116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524"/>
      <c r="P282" s="524"/>
      <c r="Q282" s="524"/>
      <c r="R282" s="524"/>
      <c r="S282" s="524"/>
      <c r="T282" s="524"/>
      <c r="U282" s="524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30600010</v>
      </c>
      <c r="B283" s="515" t="s">
        <v>343</v>
      </c>
      <c r="C283" s="126" t="s">
        <v>347</v>
      </c>
      <c r="D283" s="108">
        <v>5</v>
      </c>
      <c r="E283" s="108"/>
      <c r="F283" s="127"/>
      <c r="G283" s="128"/>
      <c r="H283" s="516">
        <f t="shared" si="116"/>
        <v>0</v>
      </c>
      <c r="I283" s="129"/>
      <c r="J283" s="130"/>
      <c r="K283" s="131">
        <f t="array" ref="K283">IF(ISERROR(G283/L283),"",G283/L283)</f>
        <v>0</v>
      </c>
      <c r="L283" s="129">
        <v>5</v>
      </c>
      <c r="M283" s="109">
        <f t="shared" si="120"/>
        <v>0</v>
      </c>
      <c r="N283" s="130">
        <f t="shared" si="121"/>
        <v>0</v>
      </c>
      <c r="O283" s="524"/>
      <c r="P283" s="524"/>
      <c r="Q283" s="524"/>
      <c r="R283" s="524"/>
      <c r="S283" s="524"/>
      <c r="T283" s="524"/>
      <c r="U283" s="524"/>
      <c r="V283" s="132"/>
      <c r="W283" s="133"/>
      <c r="X283" s="132"/>
      <c r="Y283" s="132"/>
      <c r="Z283" s="132"/>
      <c r="AA283" s="132"/>
    </row>
    <row r="284" spans="1:27" ht="20.100000000000001" hidden="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/>
      <c r="G284" s="128"/>
      <c r="H284" s="516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524"/>
      <c r="P284" s="524"/>
      <c r="Q284" s="524"/>
      <c r="R284" s="524"/>
      <c r="S284" s="524"/>
      <c r="T284" s="524"/>
      <c r="U284" s="524"/>
      <c r="V284" s="132">
        <f t="shared" ref="V284:V285" si="125">SUM(X284:AA284)</f>
        <v>0</v>
      </c>
      <c r="W284" s="133" t="str">
        <f t="shared" ref="W284:W285" si="126">IF(ISERROR(V284/G284),"",V284/G284)</f>
        <v/>
      </c>
      <c r="X284" s="132"/>
      <c r="Y284" s="132"/>
      <c r="Z284" s="132"/>
      <c r="AA284" s="132"/>
    </row>
    <row r="285" spans="1:27" ht="20.100000000000001" hidden="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28"/>
      <c r="H285" s="516">
        <f t="shared" si="116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20"/>
        <v>0</v>
      </c>
      <c r="N285" s="130">
        <f t="shared" si="121"/>
        <v>0</v>
      </c>
      <c r="O285" s="524"/>
      <c r="P285" s="524"/>
      <c r="Q285" s="524"/>
      <c r="R285" s="524"/>
      <c r="S285" s="524"/>
      <c r="T285" s="524"/>
      <c r="U285" s="524"/>
      <c r="V285" s="132">
        <f t="shared" si="125"/>
        <v>0</v>
      </c>
      <c r="W285" s="133" t="str">
        <f t="shared" si="126"/>
        <v/>
      </c>
      <c r="X285" s="132"/>
      <c r="Y285" s="132"/>
      <c r="Z285" s="132"/>
      <c r="AA285" s="132"/>
    </row>
    <row r="286" spans="1:27" ht="20.100000000000001" hidden="1" customHeight="1">
      <c r="A286" s="299">
        <v>30400004</v>
      </c>
      <c r="B286" s="151" t="s">
        <v>419</v>
      </c>
      <c r="C286" s="187" t="s">
        <v>73</v>
      </c>
      <c r="D286" s="108">
        <v>5.03</v>
      </c>
      <c r="E286" s="108"/>
      <c r="F286" s="127"/>
      <c r="G286" s="128"/>
      <c r="H286" s="516">
        <f t="shared" si="116"/>
        <v>0</v>
      </c>
      <c r="I286" s="129"/>
      <c r="J286" s="130"/>
      <c r="K286" s="131"/>
      <c r="L286" s="129">
        <v>24</v>
      </c>
      <c r="M286" s="109"/>
      <c r="N286" s="130"/>
      <c r="O286" s="524"/>
      <c r="P286" s="524"/>
      <c r="Q286" s="524"/>
      <c r="R286" s="524"/>
      <c r="S286" s="524"/>
      <c r="T286" s="524"/>
      <c r="U286" s="524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/>
      <c r="G287" s="128"/>
      <c r="H287" s="516">
        <f t="shared" si="116"/>
        <v>0</v>
      </c>
      <c r="I287" s="129"/>
      <c r="J287" s="130"/>
      <c r="K287" s="131"/>
      <c r="L287" s="129">
        <v>24</v>
      </c>
      <c r="M287" s="109"/>
      <c r="N287" s="130"/>
      <c r="O287" s="524"/>
      <c r="P287" s="524"/>
      <c r="Q287" s="524"/>
      <c r="R287" s="524"/>
      <c r="S287" s="524"/>
      <c r="T287" s="524"/>
      <c r="U287" s="524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/>
      <c r="G288" s="128"/>
      <c r="H288" s="516">
        <f t="shared" si="116"/>
        <v>0</v>
      </c>
      <c r="I288" s="129"/>
      <c r="J288" s="130"/>
      <c r="K288" s="131"/>
      <c r="L288" s="129">
        <v>24</v>
      </c>
      <c r="M288" s="109"/>
      <c r="N288" s="130"/>
      <c r="O288" s="524"/>
      <c r="P288" s="524"/>
      <c r="Q288" s="524"/>
      <c r="R288" s="524"/>
      <c r="S288" s="524"/>
      <c r="T288" s="524"/>
      <c r="U288" s="524"/>
      <c r="V288" s="132"/>
      <c r="W288" s="133"/>
      <c r="X288" s="132"/>
      <c r="Y288" s="132"/>
      <c r="Z288" s="132"/>
      <c r="AA288" s="132"/>
    </row>
    <row r="289" spans="1:27" ht="20.100000000000001" hidden="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/>
      <c r="G289" s="128"/>
      <c r="H289" s="516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ref="M289:M291" si="127">IF(ISERROR(I289-K289),"",I289-K289)</f>
        <v>0</v>
      </c>
      <c r="N289" s="130">
        <f t="shared" ref="N289:N291" si="128">SUM(O289:U289)</f>
        <v>0</v>
      </c>
      <c r="O289" s="524"/>
      <c r="P289" s="524"/>
      <c r="Q289" s="524"/>
      <c r="R289" s="524"/>
      <c r="S289" s="524"/>
      <c r="T289" s="524"/>
      <c r="U289" s="524"/>
      <c r="V289" s="132">
        <f t="shared" ref="V289:V291" si="129">SUM(X289:AA289)</f>
        <v>0</v>
      </c>
      <c r="W289" s="133" t="str">
        <f t="shared" ref="W289:W313" si="130">IF(ISERROR(V289/G289),"",V289/G289)</f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28"/>
      <c r="H290" s="516">
        <f t="shared" si="116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524"/>
      <c r="P290" s="524"/>
      <c r="Q290" s="524"/>
      <c r="R290" s="524"/>
      <c r="S290" s="524"/>
      <c r="T290" s="524"/>
      <c r="U290" s="524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>
        <v>42745</v>
      </c>
      <c r="G291" s="128">
        <f>100*2+52</f>
        <v>252</v>
      </c>
      <c r="H291" s="516">
        <f t="shared" si="116"/>
        <v>1275.1199999999999</v>
      </c>
      <c r="I291" s="129">
        <f>11.5*3</f>
        <v>34.5</v>
      </c>
      <c r="J291" s="130">
        <f t="array" ref="J291">IF(ISERROR(G291/I291),"",G291/I291)</f>
        <v>7.3043478260869561</v>
      </c>
      <c r="K291" s="516">
        <f t="array" ref="K291">IF(ISERROR(G291/L291),"",G291/L291)</f>
        <v>28</v>
      </c>
      <c r="L291" s="129">
        <v>9</v>
      </c>
      <c r="M291" s="109">
        <f t="shared" si="127"/>
        <v>6.5</v>
      </c>
      <c r="N291" s="130">
        <f t="shared" si="128"/>
        <v>0</v>
      </c>
      <c r="O291" s="524"/>
      <c r="P291" s="524"/>
      <c r="Q291" s="524"/>
      <c r="R291" s="524"/>
      <c r="S291" s="524"/>
      <c r="T291" s="524"/>
      <c r="U291" s="524"/>
      <c r="V291" s="132">
        <f t="shared" si="129"/>
        <v>0</v>
      </c>
      <c r="W291" s="133">
        <f t="shared" si="130"/>
        <v>0</v>
      </c>
      <c r="X291" s="132"/>
      <c r="Y291" s="132"/>
      <c r="Z291" s="132"/>
      <c r="AA291" s="132"/>
    </row>
    <row r="292" spans="1:27" ht="20.100000000000001" customHeight="1">
      <c r="A292" s="578" t="s">
        <v>224</v>
      </c>
      <c r="B292" s="579"/>
      <c r="C292" s="525" t="s">
        <v>202</v>
      </c>
      <c r="D292" s="143"/>
      <c r="E292" s="143"/>
      <c r="F292" s="144"/>
      <c r="G292" s="145">
        <f>SUM(G258:G291)</f>
        <v>269</v>
      </c>
      <c r="H292" s="146">
        <f>SUM(H258:H291)</f>
        <v>1360.12</v>
      </c>
      <c r="I292" s="146">
        <f>SUM(I258:I291)</f>
        <v>38.5</v>
      </c>
      <c r="J292" s="130">
        <f t="array" ref="J292">IF(ISERROR(G292/I292),"",G292/I292)</f>
        <v>6.9870129870129869</v>
      </c>
      <c r="K292" s="146">
        <f>SUM(K258:K291)</f>
        <v>31.4</v>
      </c>
      <c r="L292" s="147"/>
      <c r="M292" s="150">
        <f t="shared" ref="M292:V292" si="131">SUM(M258:M291)</f>
        <v>7.1</v>
      </c>
      <c r="N292" s="146">
        <f t="shared" si="131"/>
        <v>0</v>
      </c>
      <c r="O292" s="148">
        <f t="shared" si="131"/>
        <v>0</v>
      </c>
      <c r="P292" s="148">
        <f t="shared" si="131"/>
        <v>0</v>
      </c>
      <c r="Q292" s="148">
        <f t="shared" si="131"/>
        <v>0</v>
      </c>
      <c r="R292" s="148">
        <f t="shared" si="131"/>
        <v>0</v>
      </c>
      <c r="S292" s="148">
        <f t="shared" si="131"/>
        <v>0</v>
      </c>
      <c r="T292" s="148">
        <f t="shared" si="131"/>
        <v>0</v>
      </c>
      <c r="U292" s="148">
        <f t="shared" si="131"/>
        <v>0</v>
      </c>
      <c r="V292" s="149">
        <f t="shared" si="131"/>
        <v>0</v>
      </c>
      <c r="W292" s="133">
        <f t="shared" si="130"/>
        <v>0</v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>
        <v>42742</v>
      </c>
      <c r="G293" s="527">
        <f>2</f>
        <v>2</v>
      </c>
      <c r="H293" s="516">
        <f t="shared" ref="H293:H307" si="132">D293*G293</f>
        <v>10.06</v>
      </c>
      <c r="I293" s="129">
        <v>0.08</v>
      </c>
      <c r="J293" s="130">
        <f t="array" ref="J293">IF(ISERROR(G293/I293),"",G293/I293)</f>
        <v>25</v>
      </c>
      <c r="K293" s="131">
        <f t="array" ref="K293">IF(ISERROR(G293/L293),"",G293/L293)</f>
        <v>0.08</v>
      </c>
      <c r="L293" s="129">
        <v>25</v>
      </c>
      <c r="M293" s="109">
        <f t="shared" ref="M293:M307" si="133">IF(ISERROR(I293-K293),"",I293-K293)</f>
        <v>0</v>
      </c>
      <c r="N293" s="130">
        <f t="shared" ref="N293:N307" si="134">SUM(O293:U293)</f>
        <v>0</v>
      </c>
      <c r="O293" s="524"/>
      <c r="P293" s="524"/>
      <c r="Q293" s="524"/>
      <c r="R293" s="524"/>
      <c r="S293" s="524"/>
      <c r="T293" s="524"/>
      <c r="U293" s="524"/>
      <c r="V293" s="132">
        <f t="shared" ref="V293:V307" si="135">SUM(X293:AA293)</f>
        <v>0</v>
      </c>
      <c r="W293" s="133">
        <f t="shared" si="130"/>
        <v>0</v>
      </c>
      <c r="X293" s="132"/>
      <c r="Y293" s="132"/>
      <c r="Z293" s="132"/>
      <c r="AA293" s="132"/>
    </row>
    <row r="294" spans="1:27" ht="20.10000000000000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 t="s">
        <v>547</v>
      </c>
      <c r="G294" s="128">
        <f>90*6+47+1-47</f>
        <v>541</v>
      </c>
      <c r="H294" s="516">
        <f t="shared" si="132"/>
        <v>2721.23</v>
      </c>
      <c r="I294" s="129">
        <f>9.5*2+11.5*2</f>
        <v>42</v>
      </c>
      <c r="J294" s="130">
        <f t="array" ref="J294">IF(ISERROR(G294/I294),"",G294/I294)</f>
        <v>12.880952380952381</v>
      </c>
      <c r="K294" s="131">
        <f t="array" ref="K294">IF(ISERROR(G294/L294),"",G294/L294)</f>
        <v>21.64</v>
      </c>
      <c r="L294" s="129">
        <v>25</v>
      </c>
      <c r="M294" s="109">
        <f t="shared" si="133"/>
        <v>20.36</v>
      </c>
      <c r="N294" s="130">
        <f t="shared" si="134"/>
        <v>0</v>
      </c>
      <c r="O294" s="524"/>
      <c r="P294" s="524"/>
      <c r="Q294" s="524"/>
      <c r="R294" s="524"/>
      <c r="S294" s="524"/>
      <c r="T294" s="524"/>
      <c r="U294" s="524"/>
      <c r="V294" s="132">
        <f t="shared" si="135"/>
        <v>0</v>
      </c>
      <c r="W294" s="133">
        <f t="shared" si="130"/>
        <v>0</v>
      </c>
      <c r="X294" s="132"/>
      <c r="Y294" s="132"/>
      <c r="Z294" s="132"/>
      <c r="AA294" s="132"/>
    </row>
    <row r="295" spans="1:27" ht="20.100000000000001" hidden="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/>
      <c r="G295" s="128"/>
      <c r="H295" s="516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20</v>
      </c>
      <c r="M295" s="109">
        <f t="shared" si="133"/>
        <v>0</v>
      </c>
      <c r="N295" s="130">
        <f t="shared" si="134"/>
        <v>0</v>
      </c>
      <c r="O295" s="524"/>
      <c r="P295" s="524"/>
      <c r="Q295" s="524"/>
      <c r="R295" s="524"/>
      <c r="S295" s="524"/>
      <c r="T295" s="524"/>
      <c r="U295" s="524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28"/>
      <c r="H296" s="516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524"/>
      <c r="P296" s="524"/>
      <c r="Q296" s="524"/>
      <c r="R296" s="524"/>
      <c r="S296" s="524"/>
      <c r="T296" s="524"/>
      <c r="U296" s="524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30100054</v>
      </c>
      <c r="B297" s="140" t="s">
        <v>227</v>
      </c>
      <c r="C297" s="521" t="s">
        <v>203</v>
      </c>
      <c r="D297" s="108">
        <v>5.03</v>
      </c>
      <c r="E297" s="108"/>
      <c r="F297" s="127"/>
      <c r="G297" s="128"/>
      <c r="H297" s="516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524"/>
      <c r="P297" s="524"/>
      <c r="Q297" s="524"/>
      <c r="R297" s="524"/>
      <c r="S297" s="524"/>
      <c r="T297" s="524"/>
      <c r="U297" s="524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/>
      <c r="G298" s="128"/>
      <c r="H298" s="516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524"/>
      <c r="P298" s="524"/>
      <c r="Q298" s="524"/>
      <c r="R298" s="524"/>
      <c r="S298" s="524"/>
      <c r="T298" s="524"/>
      <c r="U298" s="524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28"/>
      <c r="H299" s="516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524"/>
      <c r="P299" s="524"/>
      <c r="Q299" s="524"/>
      <c r="R299" s="524"/>
      <c r="S299" s="524"/>
      <c r="T299" s="524"/>
      <c r="U299" s="524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/>
      <c r="B300" s="140" t="s">
        <v>227</v>
      </c>
      <c r="C300" s="521" t="s">
        <v>228</v>
      </c>
      <c r="D300" s="108">
        <v>5.03</v>
      </c>
      <c r="E300" s="108"/>
      <c r="F300" s="127"/>
      <c r="G300" s="128"/>
      <c r="H300" s="516">
        <f t="shared" si="132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3"/>
        <v>0</v>
      </c>
      <c r="N300" s="130">
        <f t="shared" si="134"/>
        <v>0</v>
      </c>
      <c r="O300" s="524"/>
      <c r="P300" s="524"/>
      <c r="Q300" s="524"/>
      <c r="R300" s="524"/>
      <c r="S300" s="524"/>
      <c r="T300" s="524"/>
      <c r="U300" s="524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30101067</v>
      </c>
      <c r="B301" s="140" t="s">
        <v>229</v>
      </c>
      <c r="C301" s="521" t="s">
        <v>212</v>
      </c>
      <c r="D301" s="108">
        <v>5.03</v>
      </c>
      <c r="E301" s="108"/>
      <c r="F301" s="127"/>
      <c r="G301" s="128"/>
      <c r="H301" s="516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524"/>
      <c r="P301" s="524"/>
      <c r="Q301" s="524"/>
      <c r="R301" s="524"/>
      <c r="S301" s="524"/>
      <c r="T301" s="524"/>
      <c r="U301" s="524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30101068</v>
      </c>
      <c r="B302" s="140" t="s">
        <v>229</v>
      </c>
      <c r="C302" s="521" t="s">
        <v>203</v>
      </c>
      <c r="D302" s="108">
        <v>5.03</v>
      </c>
      <c r="E302" s="108"/>
      <c r="F302" s="127"/>
      <c r="G302" s="128"/>
      <c r="H302" s="516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524"/>
      <c r="P302" s="524"/>
      <c r="Q302" s="524"/>
      <c r="R302" s="524"/>
      <c r="S302" s="524"/>
      <c r="T302" s="524"/>
      <c r="U302" s="524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30101069</v>
      </c>
      <c r="B303" s="140" t="s">
        <v>229</v>
      </c>
      <c r="C303" s="521" t="s">
        <v>186</v>
      </c>
      <c r="D303" s="108">
        <v>5.03</v>
      </c>
      <c r="E303" s="108"/>
      <c r="F303" s="127"/>
      <c r="G303" s="128"/>
      <c r="H303" s="516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524"/>
      <c r="P303" s="524"/>
      <c r="Q303" s="524"/>
      <c r="R303" s="524"/>
      <c r="S303" s="524"/>
      <c r="T303" s="524"/>
      <c r="U303" s="524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30101070</v>
      </c>
      <c r="B304" s="140" t="s">
        <v>229</v>
      </c>
      <c r="C304" s="521" t="s">
        <v>228</v>
      </c>
      <c r="D304" s="108">
        <v>5.03</v>
      </c>
      <c r="E304" s="108"/>
      <c r="F304" s="127"/>
      <c r="G304" s="128"/>
      <c r="H304" s="516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524"/>
      <c r="P304" s="524"/>
      <c r="Q304" s="524"/>
      <c r="R304" s="524"/>
      <c r="S304" s="524"/>
      <c r="T304" s="524"/>
      <c r="U304" s="524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299">
        <v>30101071</v>
      </c>
      <c r="B305" s="140" t="s">
        <v>229</v>
      </c>
      <c r="C305" s="521" t="s">
        <v>199</v>
      </c>
      <c r="D305" s="108">
        <v>5.03</v>
      </c>
      <c r="E305" s="108"/>
      <c r="F305" s="127"/>
      <c r="G305" s="128"/>
      <c r="H305" s="516">
        <f t="shared" si="132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3"/>
        <v/>
      </c>
      <c r="N305" s="130">
        <f t="shared" si="134"/>
        <v>0</v>
      </c>
      <c r="O305" s="524"/>
      <c r="P305" s="524"/>
      <c r="Q305" s="524"/>
      <c r="R305" s="524"/>
      <c r="S305" s="524"/>
      <c r="T305" s="524"/>
      <c r="U305" s="524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/>
      <c r="G306" s="128"/>
      <c r="H306" s="516">
        <f t="shared" si="132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3"/>
        <v>0</v>
      </c>
      <c r="N306" s="130">
        <f t="shared" si="134"/>
        <v>0</v>
      </c>
      <c r="O306" s="524"/>
      <c r="P306" s="524"/>
      <c r="Q306" s="524"/>
      <c r="R306" s="524"/>
      <c r="S306" s="524"/>
      <c r="T306" s="524"/>
      <c r="U306" s="524"/>
      <c r="V306" s="132">
        <f t="shared" si="135"/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hidden="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/>
      <c r="G307" s="128"/>
      <c r="H307" s="516">
        <f t="shared" si="132"/>
        <v>0</v>
      </c>
      <c r="I307" s="129"/>
      <c r="J307" s="130" t="str">
        <f t="array" ref="J307">IF(ISERROR(G307/I307),"",G307/I307)</f>
        <v/>
      </c>
      <c r="K307" s="131">
        <f t="array" ref="K307">IF(ISERROR(G307/L307),"",G307/L307)</f>
        <v>0</v>
      </c>
      <c r="L307" s="129">
        <v>25</v>
      </c>
      <c r="M307" s="109">
        <f t="shared" si="133"/>
        <v>0</v>
      </c>
      <c r="N307" s="130">
        <f t="shared" si="134"/>
        <v>0</v>
      </c>
      <c r="O307" s="524"/>
      <c r="P307" s="524"/>
      <c r="Q307" s="524"/>
      <c r="R307" s="524"/>
      <c r="S307" s="524"/>
      <c r="T307" s="524"/>
      <c r="U307" s="524"/>
      <c r="V307" s="132">
        <f t="shared" si="135"/>
        <v>0</v>
      </c>
      <c r="W307" s="133" t="str">
        <f t="shared" si="130"/>
        <v/>
      </c>
      <c r="X307" s="132"/>
      <c r="Y307" s="132"/>
      <c r="Z307" s="132"/>
      <c r="AA307" s="132"/>
    </row>
    <row r="308" spans="1:27" ht="20.100000000000001" customHeight="1">
      <c r="A308" s="578" t="s">
        <v>231</v>
      </c>
      <c r="B308" s="579"/>
      <c r="C308" s="525" t="s">
        <v>202</v>
      </c>
      <c r="D308" s="143"/>
      <c r="E308" s="143"/>
      <c r="F308" s="144"/>
      <c r="G308" s="145">
        <f>SUM(G293:G307)</f>
        <v>543</v>
      </c>
      <c r="H308" s="146">
        <f>SUM(H293:H307)</f>
        <v>2731.29</v>
      </c>
      <c r="I308" s="146">
        <f>SUM(I293:I307)</f>
        <v>42.08</v>
      </c>
      <c r="J308" s="130">
        <f t="array" ref="J308">IF(ISERROR(G308/I308),"",G308/I308)</f>
        <v>12.903992395437262</v>
      </c>
      <c r="K308" s="146">
        <f>SUM(K293:K307)</f>
        <v>21.72</v>
      </c>
      <c r="L308" s="146"/>
      <c r="M308" s="150">
        <f>SUM(M293:M307)</f>
        <v>20.36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>
        <f t="shared" si="130"/>
        <v>0</v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hidden="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28"/>
      <c r="H309" s="516">
        <f t="shared" ref="H309:H318" si="136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7" si="137">IF(ISERROR(I309-K309),"",I309-K309)</f>
        <v>0</v>
      </c>
      <c r="N309" s="130">
        <f t="shared" ref="N309:N313" si="138">SUM(O309:U309)</f>
        <v>0</v>
      </c>
      <c r="O309" s="524"/>
      <c r="P309" s="524"/>
      <c r="Q309" s="524"/>
      <c r="R309" s="524"/>
      <c r="S309" s="524"/>
      <c r="T309" s="524"/>
      <c r="U309" s="524"/>
      <c r="V309" s="132">
        <f t="shared" ref="V309:V313" si="139">SUM(X309:AA309)</f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28"/>
      <c r="H310" s="516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524"/>
      <c r="P310" s="524"/>
      <c r="Q310" s="524"/>
      <c r="R310" s="524"/>
      <c r="S310" s="524"/>
      <c r="T310" s="524"/>
      <c r="U310" s="524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28"/>
      <c r="H311" s="516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524"/>
      <c r="P311" s="524"/>
      <c r="Q311" s="524"/>
      <c r="R311" s="524"/>
      <c r="S311" s="524"/>
      <c r="T311" s="524"/>
      <c r="U311" s="524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28"/>
      <c r="H312" s="516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524"/>
      <c r="P312" s="524"/>
      <c r="Q312" s="524"/>
      <c r="R312" s="524"/>
      <c r="S312" s="524"/>
      <c r="T312" s="524"/>
      <c r="U312" s="524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28"/>
      <c r="H313" s="516">
        <f t="shared" si="136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37"/>
        <v>0</v>
      </c>
      <c r="N313" s="130">
        <f t="shared" si="138"/>
        <v>0</v>
      </c>
      <c r="O313" s="524"/>
      <c r="P313" s="524"/>
      <c r="Q313" s="524"/>
      <c r="R313" s="524"/>
      <c r="S313" s="524"/>
      <c r="T313" s="524"/>
      <c r="U313" s="524"/>
      <c r="V313" s="132">
        <f t="shared" si="139"/>
        <v>0</v>
      </c>
      <c r="W313" s="133" t="str">
        <f t="shared" si="130"/>
        <v/>
      </c>
      <c r="X313" s="132"/>
      <c r="Y313" s="132"/>
      <c r="Z313" s="132"/>
      <c r="AA313" s="132"/>
    </row>
    <row r="314" spans="1:27" ht="20.10000000000000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>
        <v>42741</v>
      </c>
      <c r="G314" s="128">
        <v>2</v>
      </c>
      <c r="H314" s="516">
        <f t="shared" si="136"/>
        <v>10.06</v>
      </c>
      <c r="I314" s="129">
        <v>0.15</v>
      </c>
      <c r="J314" s="130">
        <f t="array" ref="J314">IF(ISERROR(G314/I314),"",G314/I314)</f>
        <v>13.333333333333334</v>
      </c>
      <c r="K314" s="131">
        <f t="array" ref="K314">IF(ISERROR(G314/L314),"",G314/L314)</f>
        <v>0.14814814814814814</v>
      </c>
      <c r="L314" s="129">
        <v>13.5</v>
      </c>
      <c r="M314" s="109">
        <f t="shared" si="137"/>
        <v>1.8518518518518545E-3</v>
      </c>
      <c r="N314" s="130"/>
      <c r="O314" s="524"/>
      <c r="P314" s="524"/>
      <c r="Q314" s="524"/>
      <c r="R314" s="524"/>
      <c r="S314" s="524"/>
      <c r="T314" s="524"/>
      <c r="U314" s="524"/>
      <c r="V314" s="132"/>
      <c r="W314" s="133"/>
      <c r="X314" s="132"/>
      <c r="Y314" s="132"/>
      <c r="Z314" s="132"/>
      <c r="AA314" s="132"/>
    </row>
    <row r="315" spans="1:27" ht="20.100000000000001" hidden="1" customHeight="1">
      <c r="A315" s="300">
        <v>30400020</v>
      </c>
      <c r="B315" s="134" t="s">
        <v>439</v>
      </c>
      <c r="C315" s="187" t="s">
        <v>74</v>
      </c>
      <c r="D315" s="108">
        <v>5.03</v>
      </c>
      <c r="E315" s="108"/>
      <c r="F315" s="127"/>
      <c r="G315" s="128"/>
      <c r="H315" s="516">
        <f t="shared" si="136"/>
        <v>0</v>
      </c>
      <c r="I315" s="129"/>
      <c r="J315" s="130" t="str">
        <f t="array" ref="J315">IF(ISERROR(G315/I315),"",G315/I315)</f>
        <v/>
      </c>
      <c r="K315" s="131">
        <f t="array" ref="K315">IF(ISERROR(G315/L315),"",G315/L315)</f>
        <v>0</v>
      </c>
      <c r="L315" s="129">
        <v>13.5</v>
      </c>
      <c r="M315" s="109">
        <f t="shared" si="137"/>
        <v>0</v>
      </c>
      <c r="N315" s="130"/>
      <c r="O315" s="524"/>
      <c r="P315" s="524"/>
      <c r="Q315" s="524"/>
      <c r="R315" s="524"/>
      <c r="S315" s="524"/>
      <c r="T315" s="524"/>
      <c r="U315" s="524"/>
      <c r="V315" s="132"/>
      <c r="W315" s="133"/>
      <c r="X315" s="132"/>
      <c r="Y315" s="132"/>
      <c r="Z315" s="132"/>
      <c r="AA315" s="132"/>
    </row>
    <row r="316" spans="1:27" ht="20.100000000000001" customHeight="1">
      <c r="A316" s="300">
        <v>30400021</v>
      </c>
      <c r="B316" s="134" t="s">
        <v>439</v>
      </c>
      <c r="C316" s="187" t="s">
        <v>53</v>
      </c>
      <c r="D316" s="108">
        <v>5.03</v>
      </c>
      <c r="E316" s="108"/>
      <c r="F316" s="127">
        <v>42743</v>
      </c>
      <c r="G316" s="128">
        <f>4+11</f>
        <v>15</v>
      </c>
      <c r="H316" s="516">
        <f t="shared" si="136"/>
        <v>75.45</v>
      </c>
      <c r="I316" s="129">
        <v>1</v>
      </c>
      <c r="J316" s="130">
        <f t="array" ref="J316">IF(ISERROR(G316/I316),"",G316/I316)</f>
        <v>15</v>
      </c>
      <c r="K316" s="131">
        <f t="array" ref="K316">IF(ISERROR(G316/L316),"",G316/L316)</f>
        <v>1.1111111111111112</v>
      </c>
      <c r="L316" s="129">
        <v>13.5</v>
      </c>
      <c r="M316" s="109">
        <f t="shared" si="137"/>
        <v>-0.11111111111111116</v>
      </c>
      <c r="N316" s="130"/>
      <c r="O316" s="524"/>
      <c r="P316" s="524"/>
      <c r="Q316" s="524"/>
      <c r="R316" s="524"/>
      <c r="S316" s="524"/>
      <c r="T316" s="524"/>
      <c r="U316" s="524"/>
      <c r="V316" s="132"/>
      <c r="W316" s="133"/>
      <c r="X316" s="132"/>
      <c r="Y316" s="132"/>
      <c r="Z316" s="132"/>
      <c r="AA316" s="132"/>
    </row>
    <row r="317" spans="1:27" ht="20.10000000000000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>
        <v>42737</v>
      </c>
      <c r="G317" s="128">
        <v>7</v>
      </c>
      <c r="H317" s="516">
        <f t="shared" si="136"/>
        <v>35.21</v>
      </c>
      <c r="I317" s="129">
        <v>0.5</v>
      </c>
      <c r="J317" s="130">
        <f t="array" ref="J317">IF(ISERROR(G317/I317),"",G317/I317)</f>
        <v>14</v>
      </c>
      <c r="K317" s="131">
        <f t="array" ref="K317">IF(ISERROR(G317/L317),"",G317/L317)</f>
        <v>0.51851851851851849</v>
      </c>
      <c r="L317" s="129">
        <v>13.5</v>
      </c>
      <c r="M317" s="109">
        <f t="shared" si="137"/>
        <v>-1.851851851851849E-2</v>
      </c>
      <c r="N317" s="130"/>
      <c r="O317" s="524"/>
      <c r="P317" s="524"/>
      <c r="Q317" s="524"/>
      <c r="R317" s="524"/>
      <c r="S317" s="524"/>
      <c r="T317" s="524"/>
      <c r="U317" s="524"/>
      <c r="V317" s="132"/>
      <c r="W317" s="133"/>
      <c r="X317" s="132"/>
      <c r="Y317" s="132"/>
      <c r="Z317" s="132"/>
      <c r="AA317" s="132"/>
    </row>
    <row r="318" spans="1:27" ht="20.100000000000001" hidden="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28"/>
      <c r="H318" s="516">
        <f t="shared" si="136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ref="M318" si="140">IF(ISERROR(I318-K318),"",I318-K318)</f>
        <v>0</v>
      </c>
      <c r="N318" s="130">
        <f t="shared" ref="N318" si="141">SUM(O318:U318)</f>
        <v>0</v>
      </c>
      <c r="O318" s="524"/>
      <c r="P318" s="524"/>
      <c r="Q318" s="524"/>
      <c r="R318" s="524"/>
      <c r="S318" s="524"/>
      <c r="T318" s="524"/>
      <c r="U318" s="524"/>
      <c r="V318" s="132">
        <f t="shared" ref="V318" si="142">SUM(X318:AA318)</f>
        <v>0</v>
      </c>
      <c r="W318" s="133" t="str">
        <f t="shared" ref="W318:W323" si="143">IF(ISERROR(V318/G318),"",V318/G318)</f>
        <v/>
      </c>
      <c r="X318" s="132"/>
      <c r="Y318" s="132"/>
      <c r="Z318" s="132"/>
      <c r="AA318" s="132"/>
    </row>
    <row r="319" spans="1:27" ht="20.100000000000001" customHeight="1">
      <c r="A319" s="578" t="s">
        <v>234</v>
      </c>
      <c r="B319" s="579"/>
      <c r="C319" s="525" t="s">
        <v>202</v>
      </c>
      <c r="D319" s="143"/>
      <c r="E319" s="143"/>
      <c r="F319" s="144"/>
      <c r="G319" s="145">
        <f>SUM(G309:G318)</f>
        <v>24</v>
      </c>
      <c r="H319" s="146">
        <f>SUM(H309:H318)</f>
        <v>120.72</v>
      </c>
      <c r="I319" s="146">
        <f>SUM(I309:I318)</f>
        <v>1.65</v>
      </c>
      <c r="J319" s="130">
        <f t="array" ref="J319">IF(ISERROR(G319/I319),"",G319/I319)</f>
        <v>14.545454545454547</v>
      </c>
      <c r="K319" s="146">
        <f>SUM(K309:K318)</f>
        <v>1.7777777777777777</v>
      </c>
      <c r="L319" s="147"/>
      <c r="M319" s="150">
        <f>SUM(M309:M318)</f>
        <v>-0.1277777777777778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>
        <f t="shared" si="143"/>
        <v>0</v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hidden="1" customHeight="1">
      <c r="A320" s="299">
        <v>30700013</v>
      </c>
      <c r="B320" s="141" t="s">
        <v>235</v>
      </c>
      <c r="C320" s="522"/>
      <c r="D320" s="108">
        <v>3.65</v>
      </c>
      <c r="E320" s="108"/>
      <c r="F320" s="153"/>
      <c r="G320" s="128"/>
      <c r="H320" s="516">
        <f t="shared" ref="H320:H333" si="144">D320*G320</f>
        <v>0</v>
      </c>
      <c r="I320" s="129"/>
      <c r="J320" s="130" t="str">
        <f t="array" ref="J320">IF(ISERROR(G320/I320),"",G320/I320)</f>
        <v/>
      </c>
      <c r="K320" s="516">
        <f t="array" ref="K320">IF(ISERROR(G320/L320),"",G320/L320)</f>
        <v>0</v>
      </c>
      <c r="L320" s="129">
        <v>5</v>
      </c>
      <c r="M320" s="109">
        <f t="shared" ref="M320:M323" si="145">IF(ISERROR(I320-K320),"",I320-K320)</f>
        <v>0</v>
      </c>
      <c r="N320" s="130">
        <f t="shared" ref="N320:N323" si="146">SUM(O320:U320)</f>
        <v>0</v>
      </c>
      <c r="O320" s="524"/>
      <c r="P320" s="524"/>
      <c r="Q320" s="524"/>
      <c r="R320" s="524"/>
      <c r="S320" s="524"/>
      <c r="T320" s="524"/>
      <c r="U320" s="524"/>
      <c r="V320" s="132">
        <f t="shared" ref="V320:V323" si="147">SUM(X320:AA320)</f>
        <v>0</v>
      </c>
      <c r="W320" s="133" t="str">
        <f t="shared" si="143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30700014</v>
      </c>
      <c r="B321" s="141" t="s">
        <v>236</v>
      </c>
      <c r="C321" s="522"/>
      <c r="D321" s="108">
        <v>6.58</v>
      </c>
      <c r="E321" s="108"/>
      <c r="F321" s="127"/>
      <c r="G321" s="128"/>
      <c r="H321" s="516">
        <f t="shared" si="144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</v>
      </c>
      <c r="M321" s="109">
        <f t="shared" si="145"/>
        <v>0</v>
      </c>
      <c r="N321" s="130">
        <f t="shared" si="146"/>
        <v>0</v>
      </c>
      <c r="O321" s="524"/>
      <c r="P321" s="524"/>
      <c r="Q321" s="524"/>
      <c r="R321" s="524"/>
      <c r="S321" s="524"/>
      <c r="T321" s="524"/>
      <c r="U321" s="524"/>
      <c r="V321" s="132">
        <f t="shared" si="147"/>
        <v>0</v>
      </c>
      <c r="W321" s="133" t="str">
        <f t="shared" si="143"/>
        <v/>
      </c>
      <c r="X321" s="132"/>
      <c r="Y321" s="132"/>
      <c r="Z321" s="132"/>
      <c r="AA321" s="132"/>
    </row>
    <row r="322" spans="1:27" ht="20.100000000000001" hidden="1" customHeight="1">
      <c r="A322" s="299">
        <v>30700016</v>
      </c>
      <c r="B322" s="141" t="s">
        <v>237</v>
      </c>
      <c r="C322" s="522"/>
      <c r="D322" s="108">
        <v>7.8</v>
      </c>
      <c r="E322" s="108"/>
      <c r="F322" s="127"/>
      <c r="G322" s="128"/>
      <c r="H322" s="516">
        <f t="shared" si="144"/>
        <v>0</v>
      </c>
      <c r="I322" s="129"/>
      <c r="J322" s="130" t="str">
        <f t="array" ref="J322">IF(ISERROR(G322/I322),"",G322/I322)</f>
        <v/>
      </c>
      <c r="K322" s="131">
        <f t="array" ref="K322">IF(ISERROR(G322/L322),"",G322/L322)</f>
        <v>0</v>
      </c>
      <c r="L322" s="129">
        <v>4.5999999999999996</v>
      </c>
      <c r="M322" s="109">
        <f t="shared" si="145"/>
        <v>0</v>
      </c>
      <c r="N322" s="130">
        <f t="shared" si="146"/>
        <v>0</v>
      </c>
      <c r="O322" s="524"/>
      <c r="P322" s="524"/>
      <c r="Q322" s="524"/>
      <c r="R322" s="524"/>
      <c r="S322" s="524"/>
      <c r="T322" s="524"/>
      <c r="U322" s="524"/>
      <c r="V322" s="132">
        <f t="shared" si="147"/>
        <v>0</v>
      </c>
      <c r="W322" s="133" t="str">
        <f t="shared" si="143"/>
        <v/>
      </c>
      <c r="X322" s="132"/>
      <c r="Y322" s="132"/>
      <c r="Z322" s="132"/>
      <c r="AA322" s="132"/>
    </row>
    <row r="323" spans="1:27" ht="20.100000000000001" hidden="1" customHeight="1">
      <c r="A323" s="299">
        <v>30700017</v>
      </c>
      <c r="B323" s="141" t="s">
        <v>238</v>
      </c>
      <c r="C323" s="522"/>
      <c r="D323" s="108">
        <v>4.4000000000000004</v>
      </c>
      <c r="E323" s="108"/>
      <c r="F323" s="127"/>
      <c r="G323" s="128"/>
      <c r="H323" s="516">
        <f t="shared" si="144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5.8</v>
      </c>
      <c r="M323" s="109">
        <f t="shared" si="145"/>
        <v>0</v>
      </c>
      <c r="N323" s="130">
        <f t="shared" si="146"/>
        <v>0</v>
      </c>
      <c r="O323" s="524"/>
      <c r="P323" s="524"/>
      <c r="Q323" s="524"/>
      <c r="R323" s="524"/>
      <c r="S323" s="524"/>
      <c r="T323" s="524"/>
      <c r="U323" s="524"/>
      <c r="V323" s="132">
        <f t="shared" si="147"/>
        <v>0</v>
      </c>
      <c r="W323" s="133" t="str">
        <f t="shared" si="143"/>
        <v/>
      </c>
      <c r="X323" s="132"/>
      <c r="Y323" s="132"/>
      <c r="Z323" s="132"/>
      <c r="AA323" s="132"/>
    </row>
    <row r="324" spans="1:27" ht="20.100000000000001" hidden="1" customHeight="1">
      <c r="A324" s="299">
        <v>30700001</v>
      </c>
      <c r="B324" s="127" t="s">
        <v>359</v>
      </c>
      <c r="C324" s="522"/>
      <c r="D324" s="108"/>
      <c r="E324" s="108"/>
      <c r="F324" s="127"/>
      <c r="G324" s="128"/>
      <c r="H324" s="516">
        <f t="shared" si="144"/>
        <v>0</v>
      </c>
      <c r="I324" s="129"/>
      <c r="J324" s="130"/>
      <c r="K324" s="131"/>
      <c r="L324" s="129">
        <v>6</v>
      </c>
      <c r="M324" s="109"/>
      <c r="N324" s="130"/>
      <c r="O324" s="524"/>
      <c r="P324" s="524"/>
      <c r="Q324" s="524"/>
      <c r="R324" s="524"/>
      <c r="S324" s="524"/>
      <c r="T324" s="524"/>
      <c r="U324" s="524"/>
      <c r="V324" s="132"/>
      <c r="W324" s="133"/>
      <c r="X324" s="132"/>
      <c r="Y324" s="132"/>
      <c r="Z324" s="132"/>
      <c r="AA324" s="132"/>
    </row>
    <row r="325" spans="1:27" ht="20.100000000000001" hidden="1" customHeight="1">
      <c r="A325" s="305"/>
      <c r="B325" s="522" t="s">
        <v>239</v>
      </c>
      <c r="C325" s="522" t="s">
        <v>179</v>
      </c>
      <c r="D325" s="108">
        <v>6.04</v>
      </c>
      <c r="E325" s="108"/>
      <c r="F325" s="127"/>
      <c r="G325" s="128"/>
      <c r="H325" s="516">
        <f t="shared" si="144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7" si="148">IF(ISERROR(I325-K325),"",I325-K325)</f>
        <v>0</v>
      </c>
      <c r="N325" s="130">
        <f t="shared" ref="N325:N326" si="149">SUM(O325:U325)</f>
        <v>0</v>
      </c>
      <c r="O325" s="524"/>
      <c r="P325" s="524"/>
      <c r="Q325" s="524"/>
      <c r="R325" s="524"/>
      <c r="S325" s="524"/>
      <c r="T325" s="524"/>
      <c r="U325" s="524"/>
      <c r="V325" s="132">
        <f t="shared" ref="V325:V326" si="150">SUM(X325:AA325)</f>
        <v>0</v>
      </c>
      <c r="W325" s="133" t="str">
        <f t="shared" ref="W325:W326" si="151">IF(ISERROR(V325/G325),"",V325/G325)</f>
        <v/>
      </c>
      <c r="X325" s="132"/>
      <c r="Y325" s="132"/>
      <c r="Z325" s="132"/>
      <c r="AA325" s="132"/>
    </row>
    <row r="326" spans="1:27" ht="20.100000000000001" hidden="1" customHeight="1">
      <c r="A326" s="305">
        <v>30700019</v>
      </c>
      <c r="B326" s="522" t="s">
        <v>239</v>
      </c>
      <c r="C326" s="522" t="s">
        <v>186</v>
      </c>
      <c r="D326" s="108">
        <v>6.04</v>
      </c>
      <c r="E326" s="108"/>
      <c r="F326" s="127"/>
      <c r="G326" s="128"/>
      <c r="H326" s="516">
        <f t="shared" si="144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48"/>
        <v>0</v>
      </c>
      <c r="N326" s="130">
        <f t="shared" si="149"/>
        <v>0</v>
      </c>
      <c r="O326" s="524"/>
      <c r="P326" s="524"/>
      <c r="Q326" s="524"/>
      <c r="R326" s="524"/>
      <c r="S326" s="524"/>
      <c r="T326" s="524"/>
      <c r="U326" s="524"/>
      <c r="V326" s="132">
        <f t="shared" si="150"/>
        <v>0</v>
      </c>
      <c r="W326" s="133" t="str">
        <f t="shared" si="151"/>
        <v/>
      </c>
      <c r="X326" s="132"/>
      <c r="Y326" s="132"/>
      <c r="Z326" s="132"/>
      <c r="AA326" s="132"/>
    </row>
    <row r="327" spans="1:27" ht="20.100000000000001" customHeight="1">
      <c r="A327" s="305">
        <v>30601015</v>
      </c>
      <c r="B327" s="522" t="s">
        <v>443</v>
      </c>
      <c r="C327" s="522" t="s">
        <v>179</v>
      </c>
      <c r="D327" s="108">
        <v>6</v>
      </c>
      <c r="E327" s="108"/>
      <c r="F327" s="127">
        <v>42746</v>
      </c>
      <c r="G327" s="128">
        <f>42+27</f>
        <v>69</v>
      </c>
      <c r="H327" s="516">
        <f t="shared" si="144"/>
        <v>414</v>
      </c>
      <c r="I327" s="129">
        <f>11.5*4</f>
        <v>46</v>
      </c>
      <c r="J327" s="130">
        <f t="array" ref="J327">IF(ISERROR(G327/I327),"",G327/I327)</f>
        <v>1.5</v>
      </c>
      <c r="K327" s="131">
        <f t="array" ref="K327">IF(ISERROR(G327/L327),"",G327/L327)</f>
        <v>11.5</v>
      </c>
      <c r="L327" s="129">
        <v>6</v>
      </c>
      <c r="M327" s="109">
        <f t="shared" si="148"/>
        <v>34.5</v>
      </c>
      <c r="N327" s="130"/>
      <c r="O327" s="524"/>
      <c r="P327" s="524"/>
      <c r="Q327" s="524"/>
      <c r="R327" s="524"/>
      <c r="S327" s="524"/>
      <c r="T327" s="524"/>
      <c r="U327" s="524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305">
        <v>30101016</v>
      </c>
      <c r="B328" s="522" t="s">
        <v>443</v>
      </c>
      <c r="C328" s="522" t="s">
        <v>60</v>
      </c>
      <c r="D328" s="108">
        <v>6</v>
      </c>
      <c r="E328" s="108"/>
      <c r="F328" s="127"/>
      <c r="G328" s="128"/>
      <c r="H328" s="516">
        <f t="shared" si="144"/>
        <v>0</v>
      </c>
      <c r="I328" s="129"/>
      <c r="J328" s="130"/>
      <c r="K328" s="131">
        <f t="array" ref="K328">IF(ISERROR(G328/L328),"",G328/L328)</f>
        <v>0</v>
      </c>
      <c r="L328" s="129">
        <v>6</v>
      </c>
      <c r="M328" s="109"/>
      <c r="N328" s="130"/>
      <c r="O328" s="524"/>
      <c r="P328" s="524"/>
      <c r="Q328" s="524"/>
      <c r="R328" s="524"/>
      <c r="S328" s="524"/>
      <c r="T328" s="524"/>
      <c r="U328" s="524"/>
      <c r="V328" s="132"/>
      <c r="W328" s="133"/>
      <c r="X328" s="132"/>
      <c r="Y328" s="132"/>
      <c r="Z328" s="132"/>
      <c r="AA328" s="132"/>
    </row>
    <row r="329" spans="1:27" ht="20.100000000000001" hidden="1" customHeight="1">
      <c r="A329" s="299">
        <v>30700018</v>
      </c>
      <c r="B329" s="515" t="s">
        <v>240</v>
      </c>
      <c r="C329" s="126"/>
      <c r="D329" s="108">
        <v>7.3</v>
      </c>
      <c r="E329" s="108"/>
      <c r="F329" s="127"/>
      <c r="G329" s="128"/>
      <c r="H329" s="516">
        <f t="shared" si="144"/>
        <v>0</v>
      </c>
      <c r="I329" s="129"/>
      <c r="J329" s="130"/>
      <c r="K329" s="131"/>
      <c r="L329" s="129"/>
      <c r="M329" s="109"/>
      <c r="N329" s="130"/>
      <c r="O329" s="524"/>
      <c r="P329" s="524"/>
      <c r="Q329" s="524"/>
      <c r="R329" s="524"/>
      <c r="S329" s="524"/>
      <c r="T329" s="524"/>
      <c r="U329" s="524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30700010</v>
      </c>
      <c r="B330" s="515" t="s">
        <v>241</v>
      </c>
      <c r="C330" s="126"/>
      <c r="D330" s="108">
        <f>78*120/1000</f>
        <v>9.36</v>
      </c>
      <c r="E330" s="108"/>
      <c r="F330" s="127"/>
      <c r="G330" s="128"/>
      <c r="H330" s="516">
        <f t="shared" si="144"/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2">SUM(O330:U330)</f>
        <v>0</v>
      </c>
      <c r="O330" s="524"/>
      <c r="P330" s="524"/>
      <c r="Q330" s="524"/>
      <c r="R330" s="524"/>
      <c r="S330" s="524"/>
      <c r="T330" s="524"/>
      <c r="U330" s="524"/>
      <c r="V330" s="132">
        <f t="shared" ref="V330" si="153">SUM(X330:AA330)</f>
        <v>0</v>
      </c>
      <c r="W330" s="133" t="str">
        <f t="shared" ref="W330" si="154">IF(ISERROR(V330/G330),"",V330/G330)</f>
        <v/>
      </c>
      <c r="X330" s="132"/>
      <c r="Y330" s="132"/>
      <c r="Z330" s="132"/>
      <c r="AA330" s="132"/>
    </row>
    <row r="331" spans="1:27" ht="20.100000000000001" hidden="1" customHeight="1">
      <c r="A331" s="299">
        <v>30700015</v>
      </c>
      <c r="B331" s="515" t="s">
        <v>242</v>
      </c>
      <c r="C331" s="126"/>
      <c r="D331" s="108">
        <v>4.5</v>
      </c>
      <c r="E331" s="108"/>
      <c r="F331" s="127"/>
      <c r="G331" s="128"/>
      <c r="H331" s="516">
        <f t="shared" si="144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524"/>
      <c r="P331" s="524"/>
      <c r="Q331" s="524"/>
      <c r="R331" s="524"/>
      <c r="S331" s="524"/>
      <c r="T331" s="524"/>
      <c r="U331" s="524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299">
        <v>30700012</v>
      </c>
      <c r="B332" s="515" t="s">
        <v>243</v>
      </c>
      <c r="C332" s="126"/>
      <c r="D332" s="108">
        <v>4.5</v>
      </c>
      <c r="E332" s="108"/>
      <c r="F332" s="127"/>
      <c r="G332" s="128"/>
      <c r="H332" s="516">
        <f t="shared" si="144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524"/>
      <c r="P332" s="524"/>
      <c r="Q332" s="524"/>
      <c r="R332" s="524"/>
      <c r="S332" s="524"/>
      <c r="T332" s="524"/>
      <c r="U332" s="524"/>
      <c r="V332" s="132"/>
      <c r="W332" s="133"/>
      <c r="X332" s="132"/>
      <c r="Y332" s="132"/>
      <c r="Z332" s="132"/>
      <c r="AA332" s="132"/>
    </row>
    <row r="333" spans="1:27" ht="20.100000000000001" hidden="1" customHeight="1">
      <c r="A333" s="299"/>
      <c r="B333" s="199" t="s">
        <v>438</v>
      </c>
      <c r="C333" s="126"/>
      <c r="D333" s="108">
        <v>4.5</v>
      </c>
      <c r="E333" s="108"/>
      <c r="F333" s="127"/>
      <c r="G333" s="128"/>
      <c r="H333" s="516">
        <f t="shared" si="144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524"/>
      <c r="P333" s="524"/>
      <c r="Q333" s="524"/>
      <c r="R333" s="524"/>
      <c r="S333" s="524"/>
      <c r="T333" s="524"/>
      <c r="U333" s="524"/>
      <c r="V333" s="132"/>
      <c r="W333" s="133"/>
      <c r="X333" s="132"/>
      <c r="Y333" s="132"/>
      <c r="Z333" s="132"/>
      <c r="AA333" s="132"/>
    </row>
    <row r="334" spans="1:27" ht="20.100000000000001" customHeight="1">
      <c r="A334" s="578" t="s">
        <v>244</v>
      </c>
      <c r="B334" s="579"/>
      <c r="C334" s="525" t="s">
        <v>202</v>
      </c>
      <c r="D334" s="143"/>
      <c r="E334" s="143"/>
      <c r="F334" s="144"/>
      <c r="G334" s="145">
        <f>SUM(G320:G333)</f>
        <v>69</v>
      </c>
      <c r="H334" s="146">
        <f>SUM(H320:H330)</f>
        <v>414</v>
      </c>
      <c r="I334" s="146">
        <f>SUM(I320:I333)</f>
        <v>46</v>
      </c>
      <c r="J334" s="130">
        <f t="array" ref="J334">IF(ISERROR(G334/I334),"",G334/I334)</f>
        <v>1.5</v>
      </c>
      <c r="K334" s="146">
        <f>SUM(K320:K330)</f>
        <v>11.5</v>
      </c>
      <c r="L334" s="147"/>
      <c r="M334" s="150">
        <f t="shared" ref="M334:AA334" si="155">SUM(M320:M330)</f>
        <v>34.5</v>
      </c>
      <c r="N334" s="146">
        <f t="shared" si="155"/>
        <v>0</v>
      </c>
      <c r="O334" s="148">
        <f t="shared" si="155"/>
        <v>0</v>
      </c>
      <c r="P334" s="148">
        <f t="shared" si="155"/>
        <v>0</v>
      </c>
      <c r="Q334" s="148">
        <f t="shared" si="155"/>
        <v>0</v>
      </c>
      <c r="R334" s="148">
        <f t="shared" si="155"/>
        <v>0</v>
      </c>
      <c r="S334" s="148">
        <f t="shared" si="155"/>
        <v>0</v>
      </c>
      <c r="T334" s="148">
        <f t="shared" si="155"/>
        <v>0</v>
      </c>
      <c r="U334" s="148">
        <f t="shared" si="155"/>
        <v>0</v>
      </c>
      <c r="V334" s="149">
        <f t="shared" si="155"/>
        <v>0</v>
      </c>
      <c r="W334" s="133">
        <f t="shared" si="155"/>
        <v>0</v>
      </c>
      <c r="X334" s="149">
        <f t="shared" si="155"/>
        <v>0</v>
      </c>
      <c r="Y334" s="149">
        <f t="shared" si="155"/>
        <v>0</v>
      </c>
      <c r="Z334" s="149">
        <f t="shared" si="155"/>
        <v>0</v>
      </c>
      <c r="AA334" s="149">
        <f t="shared" si="155"/>
        <v>0</v>
      </c>
    </row>
    <row r="335" spans="1:27" ht="20.100000000000001" customHeight="1">
      <c r="A335" s="580" t="s">
        <v>246</v>
      </c>
      <c r="B335" s="581"/>
      <c r="C335" s="581"/>
      <c r="D335" s="581"/>
      <c r="E335" s="581"/>
      <c r="F335" s="582"/>
      <c r="G335" s="154">
        <f>SUM(G199,G257,G292,G308,G319,G334)</f>
        <v>5170</v>
      </c>
      <c r="H335" s="154">
        <f>SUM(H199,H257,H292,H308,H319,H334)</f>
        <v>26176.58</v>
      </c>
      <c r="I335" s="154">
        <f>SUM(I199,I257,I292,I308,I319,I334)</f>
        <v>327.22999999999996</v>
      </c>
      <c r="J335" s="155">
        <f t="array" ref="J335">IF(ISERROR(G335/I335),"",G335/I335)</f>
        <v>15.79928490664059</v>
      </c>
      <c r="K335" s="154">
        <f>SUM(K199,K257,K292,K308,K319,K334)</f>
        <v>368.56896025204838</v>
      </c>
      <c r="L335" s="155">
        <f>IF(ISERROR(G335/K335),"",G335/K335)</f>
        <v>14.027225723144078</v>
      </c>
      <c r="M335" s="154">
        <f t="shared" ref="M335:AA335" si="156">SUM(M199,M257,M292,M308,M319,M334)</f>
        <v>-41.338960252048366</v>
      </c>
      <c r="N335" s="154">
        <f t="shared" si="156"/>
        <v>0</v>
      </c>
      <c r="O335" s="154">
        <f t="shared" si="156"/>
        <v>0</v>
      </c>
      <c r="P335" s="154">
        <f t="shared" si="156"/>
        <v>0</v>
      </c>
      <c r="Q335" s="154">
        <f t="shared" si="156"/>
        <v>0</v>
      </c>
      <c r="R335" s="154">
        <f t="shared" si="156"/>
        <v>0</v>
      </c>
      <c r="S335" s="154">
        <f t="shared" si="156"/>
        <v>0</v>
      </c>
      <c r="T335" s="154">
        <f t="shared" si="156"/>
        <v>0</v>
      </c>
      <c r="U335" s="154">
        <f t="shared" si="156"/>
        <v>0</v>
      </c>
      <c r="V335" s="154">
        <f t="shared" si="156"/>
        <v>0</v>
      </c>
      <c r="W335" s="154">
        <f t="shared" si="156"/>
        <v>0</v>
      </c>
      <c r="X335" s="154">
        <f t="shared" si="156"/>
        <v>0</v>
      </c>
      <c r="Y335" s="154">
        <f t="shared" si="156"/>
        <v>0</v>
      </c>
      <c r="Z335" s="154">
        <f t="shared" si="156"/>
        <v>0</v>
      </c>
      <c r="AA335" s="154">
        <f t="shared" si="156"/>
        <v>0</v>
      </c>
    </row>
    <row r="336" spans="1:27" ht="20.100000000000001" customHeight="1">
      <c r="A336" s="583" t="s">
        <v>476</v>
      </c>
      <c r="B336" s="518" t="s">
        <v>247</v>
      </c>
      <c r="C336" s="586" t="s">
        <v>248</v>
      </c>
      <c r="D336" s="587"/>
      <c r="E336" s="588" t="s">
        <v>249</v>
      </c>
      <c r="F336" s="588"/>
      <c r="G336" s="591" t="s">
        <v>250</v>
      </c>
      <c r="H336" s="591"/>
      <c r="I336" s="588" t="s">
        <v>251</v>
      </c>
      <c r="J336" s="588"/>
      <c r="K336" s="588" t="s">
        <v>252</v>
      </c>
      <c r="L336" s="588"/>
      <c r="M336" s="588" t="s">
        <v>253</v>
      </c>
      <c r="N336" s="588"/>
      <c r="O336" s="588" t="s">
        <v>254</v>
      </c>
      <c r="P336" s="591" t="s">
        <v>255</v>
      </c>
      <c r="Q336" s="591"/>
      <c r="R336" s="591" t="s">
        <v>252</v>
      </c>
      <c r="S336" s="591"/>
      <c r="T336" s="591" t="s">
        <v>256</v>
      </c>
      <c r="U336" s="591"/>
      <c r="V336" s="591" t="s">
        <v>257</v>
      </c>
      <c r="W336" s="591"/>
      <c r="X336" s="591" t="s">
        <v>252</v>
      </c>
      <c r="Y336" s="591"/>
      <c r="Z336" s="591" t="s">
        <v>256</v>
      </c>
      <c r="AA336" s="591"/>
    </row>
    <row r="337" spans="1:27" ht="20.100000000000001" customHeight="1">
      <c r="A337" s="584"/>
      <c r="B337" s="518" t="s">
        <v>258</v>
      </c>
      <c r="C337" s="626">
        <v>1</v>
      </c>
      <c r="D337" s="627"/>
      <c r="E337" s="590">
        <f>C337*11</f>
        <v>11</v>
      </c>
      <c r="F337" s="590"/>
      <c r="G337" s="591">
        <v>1</v>
      </c>
      <c r="H337" s="591"/>
      <c r="I337" s="590">
        <f>G337*11</f>
        <v>11</v>
      </c>
      <c r="J337" s="590"/>
      <c r="K337" s="590">
        <f>E337-I337</f>
        <v>0</v>
      </c>
      <c r="L337" s="590"/>
      <c r="M337" s="592">
        <f>IF(ISERROR(K337/E337),"",K337/E337)</f>
        <v>0</v>
      </c>
      <c r="N337" s="592"/>
      <c r="O337" s="588"/>
      <c r="P337" s="591" t="s">
        <v>201</v>
      </c>
      <c r="Q337" s="591"/>
      <c r="R337" s="593">
        <f>SUM(O199:U199)</f>
        <v>0</v>
      </c>
      <c r="S337" s="593"/>
      <c r="T337" s="594" t="str">
        <f t="array" ref="T337">IF(ISERROR(R337/R344),"",R337/R344)</f>
        <v/>
      </c>
      <c r="U337" s="594"/>
      <c r="V337" s="591" t="s">
        <v>259</v>
      </c>
      <c r="W337" s="591"/>
      <c r="X337" s="628">
        <f>SUM(P198,P256,P291,P307,P318,P333)</f>
        <v>0</v>
      </c>
      <c r="Y337" s="629"/>
      <c r="Z337" s="594" t="str">
        <f t="array" ref="Z337">IF(ISERROR(X337/X344),"",X337/X344)</f>
        <v/>
      </c>
      <c r="AA337" s="594"/>
    </row>
    <row r="338" spans="1:27" ht="20.100000000000001" customHeight="1">
      <c r="A338" s="584"/>
      <c r="B338" s="518" t="s">
        <v>260</v>
      </c>
      <c r="C338" s="586">
        <v>0</v>
      </c>
      <c r="D338" s="587"/>
      <c r="E338" s="590">
        <f>C338*11</f>
        <v>0</v>
      </c>
      <c r="F338" s="590"/>
      <c r="G338" s="591">
        <v>0</v>
      </c>
      <c r="H338" s="591"/>
      <c r="I338" s="590">
        <f>G338*11</f>
        <v>0</v>
      </c>
      <c r="J338" s="590"/>
      <c r="K338" s="590">
        <f>E338-I338</f>
        <v>0</v>
      </c>
      <c r="L338" s="590"/>
      <c r="M338" s="592" t="str">
        <f>IF(ISERROR(K338/E338),"",K338/E338)</f>
        <v/>
      </c>
      <c r="N338" s="592"/>
      <c r="O338" s="588"/>
      <c r="P338" s="591" t="s">
        <v>216</v>
      </c>
      <c r="Q338" s="591"/>
      <c r="R338" s="593">
        <f>SUM(O257:U257)</f>
        <v>0</v>
      </c>
      <c r="S338" s="593"/>
      <c r="T338" s="594" t="str">
        <f>IF(ISERROR(R338/R344),"",R338/R344)</f>
        <v/>
      </c>
      <c r="U338" s="594"/>
      <c r="V338" s="591" t="s">
        <v>261</v>
      </c>
      <c r="W338" s="591"/>
      <c r="X338" s="628">
        <f>SUM(P199,P257,P292,P308,P319,P334)</f>
        <v>0</v>
      </c>
      <c r="Y338" s="629"/>
      <c r="Z338" s="594" t="str">
        <f>IF(ISERROR(X338/X344),"",X338/X344)</f>
        <v/>
      </c>
      <c r="AA338" s="594"/>
    </row>
    <row r="339" spans="1:27" ht="20.100000000000001" customHeight="1">
      <c r="A339" s="584"/>
      <c r="B339" s="518" t="s">
        <v>262</v>
      </c>
      <c r="C339" s="586">
        <v>0</v>
      </c>
      <c r="D339" s="587"/>
      <c r="E339" s="590">
        <f>C339*8</f>
        <v>0</v>
      </c>
      <c r="F339" s="590"/>
      <c r="G339" s="591">
        <v>1</v>
      </c>
      <c r="H339" s="591"/>
      <c r="I339" s="590">
        <f>G339*8</f>
        <v>8</v>
      </c>
      <c r="J339" s="590"/>
      <c r="K339" s="590">
        <f>E339-I339</f>
        <v>-8</v>
      </c>
      <c r="L339" s="590"/>
      <c r="M339" s="592" t="str">
        <f>IF(ISERROR(K339/E339),"",K339/E339)</f>
        <v/>
      </c>
      <c r="N339" s="592"/>
      <c r="O339" s="588"/>
      <c r="P339" s="591" t="s">
        <v>224</v>
      </c>
      <c r="Q339" s="591"/>
      <c r="R339" s="593">
        <f>SUM(O292:U292)</f>
        <v>0</v>
      </c>
      <c r="S339" s="593"/>
      <c r="T339" s="594" t="str">
        <f>IF(ISERROR(R339/R344),"",R339/R344)</f>
        <v/>
      </c>
      <c r="U339" s="594"/>
      <c r="V339" s="591" t="s">
        <v>263</v>
      </c>
      <c r="W339" s="591"/>
      <c r="X339" s="628">
        <f>SUM(P200,P258,P293,P309,P320,P335)</f>
        <v>0</v>
      </c>
      <c r="Y339" s="629"/>
      <c r="Z339" s="594" t="str">
        <f>IF(ISERROR(X339/X344),"",X339/X344)</f>
        <v/>
      </c>
      <c r="AA339" s="594"/>
    </row>
    <row r="340" spans="1:27" ht="20.100000000000001" customHeight="1">
      <c r="A340" s="584"/>
      <c r="B340" s="518" t="s">
        <v>264</v>
      </c>
      <c r="C340" s="586">
        <v>1</v>
      </c>
      <c r="D340" s="587"/>
      <c r="E340" s="590">
        <f>C340*11</f>
        <v>11</v>
      </c>
      <c r="F340" s="590"/>
      <c r="G340" s="591">
        <v>1</v>
      </c>
      <c r="H340" s="591"/>
      <c r="I340" s="590">
        <f>G340*11</f>
        <v>11</v>
      </c>
      <c r="J340" s="590"/>
      <c r="K340" s="590">
        <f>E340-I340</f>
        <v>0</v>
      </c>
      <c r="L340" s="590"/>
      <c r="M340" s="592">
        <f>IF(ISERROR(K340/E340),"",K340/E340)</f>
        <v>0</v>
      </c>
      <c r="N340" s="592"/>
      <c r="O340" s="588"/>
      <c r="P340" s="591" t="s">
        <v>231</v>
      </c>
      <c r="Q340" s="591"/>
      <c r="R340" s="593">
        <f>SUM(O308:U308)</f>
        <v>0</v>
      </c>
      <c r="S340" s="593"/>
      <c r="T340" s="594" t="str">
        <f>IF(ISERROR(R340/R344),"",R340/R344)</f>
        <v/>
      </c>
      <c r="U340" s="594"/>
      <c r="V340" s="591" t="s">
        <v>265</v>
      </c>
      <c r="W340" s="591"/>
      <c r="X340" s="628">
        <f>SUM(P202,P259,P294,P310,P321,P336)</f>
        <v>0</v>
      </c>
      <c r="Y340" s="629"/>
      <c r="Z340" s="594" t="str">
        <f>IF(ISERROR(X340/X344),"",X340/X344)</f>
        <v/>
      </c>
      <c r="AA340" s="594"/>
    </row>
    <row r="341" spans="1:27" ht="20.100000000000001" customHeight="1">
      <c r="A341" s="585"/>
      <c r="B341" s="518" t="s">
        <v>266</v>
      </c>
      <c r="C341" s="596">
        <f>SUM(C337:D340)</f>
        <v>2</v>
      </c>
      <c r="D341" s="597"/>
      <c r="E341" s="590">
        <f>SUM(E337:F340)</f>
        <v>22</v>
      </c>
      <c r="F341" s="590"/>
      <c r="G341" s="591">
        <f>SUM(G337:H340)</f>
        <v>3</v>
      </c>
      <c r="H341" s="591"/>
      <c r="I341" s="590">
        <f>SUM(I337:J340)</f>
        <v>30</v>
      </c>
      <c r="J341" s="590"/>
      <c r="K341" s="590">
        <f>SUM(K337:L340)</f>
        <v>-8</v>
      </c>
      <c r="L341" s="590"/>
      <c r="M341" s="592">
        <f>IF(ISERROR(K341/E341),"",K341/E341)</f>
        <v>-0.36363636363636365</v>
      </c>
      <c r="N341" s="592"/>
      <c r="O341" s="588"/>
      <c r="P341" s="591" t="s">
        <v>234</v>
      </c>
      <c r="Q341" s="591"/>
      <c r="R341" s="593">
        <f>SUM(O319:U319)</f>
        <v>0</v>
      </c>
      <c r="S341" s="593"/>
      <c r="T341" s="594" t="str">
        <f>IF(ISERROR(R341/R344),"",R341/R344)</f>
        <v/>
      </c>
      <c r="U341" s="594"/>
      <c r="V341" s="591" t="s">
        <v>267</v>
      </c>
      <c r="W341" s="591"/>
      <c r="X341" s="628">
        <f>SUM(P203,P260,P295,P311,P322,P337)</f>
        <v>0</v>
      </c>
      <c r="Y341" s="629"/>
      <c r="Z341" s="594" t="str">
        <f>IF(ISERROR(X341/X344),"",X341/X344)</f>
        <v/>
      </c>
      <c r="AA341" s="594"/>
    </row>
    <row r="342" spans="1:27" ht="20.100000000000001" customHeight="1">
      <c r="A342" s="309" t="s">
        <v>477</v>
      </c>
      <c r="B342" s="518">
        <f>G335</f>
        <v>5170</v>
      </c>
      <c r="C342" s="598" t="s">
        <v>269</v>
      </c>
      <c r="D342" s="599"/>
      <c r="E342" s="591">
        <f>H335</f>
        <v>26176.58</v>
      </c>
      <c r="F342" s="591"/>
      <c r="G342" s="591" t="s">
        <v>270</v>
      </c>
      <c r="H342" s="591"/>
      <c r="I342" s="600">
        <f>L335</f>
        <v>14.027225723144078</v>
      </c>
      <c r="J342" s="600"/>
      <c r="K342" s="588" t="s">
        <v>271</v>
      </c>
      <c r="L342" s="588"/>
      <c r="M342" s="600">
        <f>J335</f>
        <v>15.79928490664059</v>
      </c>
      <c r="N342" s="600"/>
      <c r="O342" s="588"/>
      <c r="P342" s="591" t="s">
        <v>244</v>
      </c>
      <c r="Q342" s="591"/>
      <c r="R342" s="593">
        <f>SUM(O334:U334)</f>
        <v>0</v>
      </c>
      <c r="S342" s="593"/>
      <c r="T342" s="594" t="str">
        <f>IF(ISERROR(R342/R344),"",R342/R344)</f>
        <v/>
      </c>
      <c r="U342" s="594"/>
      <c r="V342" s="591" t="s">
        <v>272</v>
      </c>
      <c r="W342" s="591"/>
      <c r="X342" s="628">
        <f>SUM(P204,P261,P296,P312,P323,P338)</f>
        <v>0</v>
      </c>
      <c r="Y342" s="629"/>
      <c r="Z342" s="594" t="str">
        <f>IF(ISERROR(X342/X344),"",X342/X344)</f>
        <v/>
      </c>
      <c r="AA342" s="594"/>
    </row>
    <row r="343" spans="1:27" ht="20.100000000000001" customHeight="1">
      <c r="A343" s="310" t="s">
        <v>478</v>
      </c>
      <c r="B343" s="518">
        <f>I335+C341</f>
        <v>329.22999999999996</v>
      </c>
      <c r="C343" s="601" t="s">
        <v>251</v>
      </c>
      <c r="D343" s="602"/>
      <c r="E343" s="603">
        <f>K335+I341</f>
        <v>398.56896025204838</v>
      </c>
      <c r="F343" s="603"/>
      <c r="G343" s="591" t="s">
        <v>274</v>
      </c>
      <c r="H343" s="591"/>
      <c r="I343" s="600">
        <f>B343-E343</f>
        <v>-69.338960252048423</v>
      </c>
      <c r="J343" s="600"/>
      <c r="K343" s="588" t="s">
        <v>275</v>
      </c>
      <c r="L343" s="588"/>
      <c r="M343" s="592">
        <f>IF(ISERROR(I343/E343),"",I343/E343)</f>
        <v>-0.17396979485858513</v>
      </c>
      <c r="N343" s="592"/>
      <c r="O343" s="588"/>
      <c r="P343" s="591" t="s">
        <v>245</v>
      </c>
      <c r="Q343" s="591"/>
      <c r="R343" s="593"/>
      <c r="S343" s="593"/>
      <c r="T343" s="594" t="str">
        <f>IF(ISERROR(R343/R344),"",R343/R344)</f>
        <v/>
      </c>
      <c r="U343" s="594"/>
      <c r="V343" s="591" t="s">
        <v>264</v>
      </c>
      <c r="W343" s="591"/>
      <c r="X343" s="628">
        <f>SUM(P205,P262,P297,P313,P324,P339)</f>
        <v>0</v>
      </c>
      <c r="Y343" s="629"/>
      <c r="Z343" s="594" t="str">
        <f>IF(ISERROR(X343/X344),"",X343/X344)</f>
        <v/>
      </c>
      <c r="AA343" s="594"/>
    </row>
    <row r="344" spans="1:27" ht="20.100000000000001" customHeight="1">
      <c r="A344" s="310" t="s">
        <v>479</v>
      </c>
      <c r="B344" s="518">
        <f>N335</f>
        <v>0</v>
      </c>
      <c r="C344" s="601" t="s">
        <v>277</v>
      </c>
      <c r="D344" s="602"/>
      <c r="E344" s="594">
        <f>IF(ISERROR(B344/B343),"",B344/B343)</f>
        <v>0</v>
      </c>
      <c r="F344" s="594"/>
      <c r="G344" s="591" t="s">
        <v>278</v>
      </c>
      <c r="H344" s="591"/>
      <c r="I344" s="588">
        <f>V335</f>
        <v>0</v>
      </c>
      <c r="J344" s="588"/>
      <c r="K344" s="588" t="s">
        <v>279</v>
      </c>
      <c r="L344" s="588"/>
      <c r="M344" s="592">
        <f t="array" ref="M344">IF(ISERROR(I344/B342),"",I344/B342)</f>
        <v>0</v>
      </c>
      <c r="N344" s="592"/>
      <c r="O344" s="588"/>
      <c r="P344" s="591" t="s">
        <v>266</v>
      </c>
      <c r="Q344" s="591"/>
      <c r="R344" s="593">
        <f>SUM(R337:S343)</f>
        <v>0</v>
      </c>
      <c r="S344" s="593"/>
      <c r="T344" s="594"/>
      <c r="U344" s="594"/>
      <c r="V344" s="591" t="s">
        <v>266</v>
      </c>
      <c r="W344" s="591"/>
      <c r="X344" s="595">
        <f>SUM(X337:Y343)</f>
        <v>0</v>
      </c>
      <c r="Y344" s="595"/>
      <c r="Z344" s="594"/>
      <c r="AA344" s="594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4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604" t="s">
        <v>480</v>
      </c>
      <c r="B346" s="607" t="s">
        <v>280</v>
      </c>
      <c r="C346" s="607" t="s">
        <v>281</v>
      </c>
      <c r="D346" s="607" t="s">
        <v>282</v>
      </c>
      <c r="E346" s="610" t="s">
        <v>283</v>
      </c>
      <c r="F346" s="623" t="s">
        <v>284</v>
      </c>
      <c r="G346" s="588" t="s">
        <v>285</v>
      </c>
      <c r="H346" s="588"/>
      <c r="I346" s="607" t="s">
        <v>286</v>
      </c>
      <c r="J346" s="613" t="s">
        <v>271</v>
      </c>
      <c r="K346" s="616" t="s">
        <v>287</v>
      </c>
      <c r="L346" s="607" t="s">
        <v>270</v>
      </c>
      <c r="M346" s="619" t="s">
        <v>288</v>
      </c>
      <c r="N346" s="621" t="s">
        <v>252</v>
      </c>
      <c r="O346" s="588" t="s">
        <v>289</v>
      </c>
      <c r="P346" s="588"/>
      <c r="Q346" s="588"/>
      <c r="R346" s="588"/>
      <c r="S346" s="588"/>
      <c r="T346" s="588"/>
      <c r="U346" s="588"/>
      <c r="V346" s="588" t="s">
        <v>290</v>
      </c>
      <c r="W346" s="621" t="s">
        <v>291</v>
      </c>
      <c r="X346" s="588" t="s">
        <v>292</v>
      </c>
      <c r="Y346" s="588"/>
      <c r="Z346" s="588"/>
      <c r="AA346" s="588"/>
    </row>
    <row r="347" spans="1:27" ht="21.95" customHeight="1">
      <c r="A347" s="605"/>
      <c r="B347" s="608"/>
      <c r="C347" s="608"/>
      <c r="D347" s="608"/>
      <c r="E347" s="611"/>
      <c r="F347" s="624"/>
      <c r="G347" s="588"/>
      <c r="H347" s="588"/>
      <c r="I347" s="608"/>
      <c r="J347" s="614"/>
      <c r="K347" s="617"/>
      <c r="L347" s="608"/>
      <c r="M347" s="620"/>
      <c r="N347" s="621"/>
      <c r="O347" s="588" t="s">
        <v>259</v>
      </c>
      <c r="P347" s="588" t="s">
        <v>261</v>
      </c>
      <c r="Q347" s="588" t="s">
        <v>263</v>
      </c>
      <c r="R347" s="622" t="s">
        <v>265</v>
      </c>
      <c r="S347" s="591" t="s">
        <v>267</v>
      </c>
      <c r="T347" s="588" t="s">
        <v>272</v>
      </c>
      <c r="U347" s="588" t="s">
        <v>264</v>
      </c>
      <c r="V347" s="588"/>
      <c r="W347" s="621"/>
      <c r="X347" s="588" t="s">
        <v>293</v>
      </c>
      <c r="Y347" s="588" t="s">
        <v>294</v>
      </c>
      <c r="Z347" s="588" t="s">
        <v>295</v>
      </c>
      <c r="AA347" s="588" t="s">
        <v>264</v>
      </c>
    </row>
    <row r="348" spans="1:27" ht="21.95" customHeight="1">
      <c r="A348" s="606"/>
      <c r="B348" s="609"/>
      <c r="C348" s="609"/>
      <c r="D348" s="609"/>
      <c r="E348" s="612"/>
      <c r="F348" s="625"/>
      <c r="G348" s="348" t="s">
        <v>296</v>
      </c>
      <c r="H348" s="522" t="s">
        <v>297</v>
      </c>
      <c r="I348" s="609"/>
      <c r="J348" s="615"/>
      <c r="K348" s="618"/>
      <c r="L348" s="609"/>
      <c r="M348" s="620"/>
      <c r="N348" s="621"/>
      <c r="O348" s="588"/>
      <c r="P348" s="588"/>
      <c r="Q348" s="588"/>
      <c r="R348" s="622"/>
      <c r="S348" s="591"/>
      <c r="T348" s="588"/>
      <c r="U348" s="588"/>
      <c r="V348" s="588"/>
      <c r="W348" s="621"/>
      <c r="X348" s="588"/>
      <c r="Y348" s="588"/>
      <c r="Z348" s="588"/>
      <c r="AA348" s="588"/>
    </row>
    <row r="349" spans="1:27" ht="20.100000000000001" hidden="1" customHeight="1">
      <c r="A349" s="299">
        <v>30100030</v>
      </c>
      <c r="B349" s="515" t="s">
        <v>178</v>
      </c>
      <c r="C349" s="126" t="s">
        <v>179</v>
      </c>
      <c r="D349" s="108">
        <v>5.03</v>
      </c>
      <c r="E349" s="108"/>
      <c r="F349" s="127"/>
      <c r="G349" s="128"/>
      <c r="H349" s="516">
        <f t="shared" ref="H349:H369" si="157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58" si="158">IF(ISERROR(I349-K349),"",I349-K349)</f>
        <v>0</v>
      </c>
      <c r="N349" s="130">
        <f t="shared" ref="N349:N354" si="159">SUM(O349:U349)</f>
        <v>0</v>
      </c>
      <c r="O349" s="524"/>
      <c r="P349" s="524"/>
      <c r="Q349" s="524"/>
      <c r="R349" s="524"/>
      <c r="S349" s="524"/>
      <c r="T349" s="524"/>
      <c r="U349" s="524"/>
      <c r="V349" s="132">
        <f t="shared" ref="V349:V354" si="160">SUM(X349:AA349)</f>
        <v>0</v>
      </c>
      <c r="W349" s="133" t="str">
        <f t="shared" ref="W349:W354" si="161">IF(ISERROR(V349/G349),"",V349/G349)</f>
        <v/>
      </c>
      <c r="X349" s="132"/>
      <c r="Y349" s="132"/>
      <c r="Z349" s="132"/>
      <c r="AA349" s="132"/>
    </row>
    <row r="350" spans="1:27" ht="20.100000000000001" hidden="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28"/>
      <c r="H350" s="516">
        <f t="shared" si="157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8"/>
        <v>0</v>
      </c>
      <c r="N350" s="130">
        <f t="shared" si="159"/>
        <v>0</v>
      </c>
      <c r="O350" s="524"/>
      <c r="P350" s="524"/>
      <c r="Q350" s="524"/>
      <c r="R350" s="524"/>
      <c r="S350" s="524"/>
      <c r="T350" s="524"/>
      <c r="U350" s="524"/>
      <c r="V350" s="132">
        <f t="shared" si="160"/>
        <v>0</v>
      </c>
      <c r="W350" s="133" t="str">
        <f t="shared" si="161"/>
        <v/>
      </c>
      <c r="X350" s="132"/>
      <c r="Y350" s="132"/>
      <c r="Z350" s="132"/>
      <c r="AA350" s="132"/>
    </row>
    <row r="351" spans="1:27" ht="20.100000000000001" hidden="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28"/>
      <c r="H351" s="516">
        <f t="shared" si="157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58"/>
        <v>0</v>
      </c>
      <c r="N351" s="130">
        <f t="shared" si="159"/>
        <v>0</v>
      </c>
      <c r="O351" s="524"/>
      <c r="P351" s="524"/>
      <c r="Q351" s="524"/>
      <c r="R351" s="524"/>
      <c r="S351" s="524"/>
      <c r="T351" s="524"/>
      <c r="U351" s="524"/>
      <c r="V351" s="132">
        <f t="shared" si="160"/>
        <v>0</v>
      </c>
      <c r="W351" s="133" t="str">
        <f t="shared" si="161"/>
        <v/>
      </c>
      <c r="X351" s="132"/>
      <c r="Y351" s="132"/>
      <c r="Z351" s="132"/>
      <c r="AA351" s="132"/>
    </row>
    <row r="352" spans="1:27" ht="20.100000000000001" hidden="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28"/>
      <c r="H352" s="516">
        <f t="shared" si="157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8"/>
        <v>0</v>
      </c>
      <c r="N352" s="130">
        <f t="shared" si="159"/>
        <v>0</v>
      </c>
      <c r="O352" s="524"/>
      <c r="P352" s="524"/>
      <c r="Q352" s="524"/>
      <c r="R352" s="524"/>
      <c r="S352" s="524"/>
      <c r="T352" s="524"/>
      <c r="U352" s="524"/>
      <c r="V352" s="132">
        <f t="shared" si="160"/>
        <v>0</v>
      </c>
      <c r="W352" s="133" t="str">
        <f t="shared" si="161"/>
        <v/>
      </c>
      <c r="X352" s="132"/>
      <c r="Y352" s="132"/>
      <c r="Z352" s="132"/>
      <c r="AA352" s="132"/>
    </row>
    <row r="353" spans="1:27" ht="20.100000000000001" hidden="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28"/>
      <c r="H353" s="516">
        <f t="shared" si="157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58"/>
        <v>0</v>
      </c>
      <c r="N353" s="130">
        <f t="shared" si="159"/>
        <v>0</v>
      </c>
      <c r="O353" s="524"/>
      <c r="P353" s="524"/>
      <c r="Q353" s="524"/>
      <c r="R353" s="524"/>
      <c r="S353" s="524"/>
      <c r="T353" s="524"/>
      <c r="U353" s="524"/>
      <c r="V353" s="132">
        <f t="shared" si="160"/>
        <v>0</v>
      </c>
      <c r="W353" s="133" t="str">
        <f t="shared" si="161"/>
        <v/>
      </c>
      <c r="X353" s="132"/>
      <c r="Y353" s="132"/>
      <c r="Z353" s="132"/>
      <c r="AA353" s="132"/>
    </row>
    <row r="354" spans="1:27" ht="20.100000000000001" hidden="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137"/>
      <c r="H354" s="516">
        <f t="shared" si="157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58"/>
        <v>0</v>
      </c>
      <c r="N354" s="130">
        <f t="shared" si="159"/>
        <v>0</v>
      </c>
      <c r="O354" s="524"/>
      <c r="P354" s="524"/>
      <c r="Q354" s="524"/>
      <c r="R354" s="524"/>
      <c r="S354" s="524"/>
      <c r="T354" s="524"/>
      <c r="U354" s="524"/>
      <c r="V354" s="132">
        <f t="shared" si="160"/>
        <v>0</v>
      </c>
      <c r="W354" s="133" t="str">
        <f t="shared" si="161"/>
        <v/>
      </c>
      <c r="X354" s="132"/>
      <c r="Y354" s="132"/>
      <c r="Z354" s="132"/>
      <c r="AA354" s="132"/>
    </row>
    <row r="355" spans="1:27" ht="20.100000000000001" hidden="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28"/>
      <c r="H355" s="516">
        <f t="shared" si="157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58"/>
        <v>0</v>
      </c>
      <c r="N355" s="130"/>
      <c r="O355" s="524"/>
      <c r="P355" s="524"/>
      <c r="Q355" s="524"/>
      <c r="R355" s="524"/>
      <c r="S355" s="524"/>
      <c r="T355" s="524"/>
      <c r="U355" s="524"/>
      <c r="V355" s="132"/>
      <c r="W355" s="133"/>
      <c r="X355" s="132"/>
      <c r="Y355" s="132"/>
      <c r="Z355" s="132"/>
      <c r="AA355" s="132"/>
    </row>
    <row r="356" spans="1:27" ht="20.100000000000001" hidden="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28"/>
      <c r="H356" s="516">
        <f t="shared" si="157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58"/>
        <v>0</v>
      </c>
      <c r="N356" s="130"/>
      <c r="O356" s="524"/>
      <c r="P356" s="524"/>
      <c r="Q356" s="524"/>
      <c r="R356" s="524"/>
      <c r="S356" s="524"/>
      <c r="T356" s="524"/>
      <c r="U356" s="524"/>
      <c r="V356" s="132"/>
      <c r="W356" s="133"/>
      <c r="X356" s="132"/>
      <c r="Y356" s="132"/>
      <c r="Z356" s="132"/>
      <c r="AA356" s="132"/>
    </row>
    <row r="357" spans="1:27" ht="20.100000000000001" hidden="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28"/>
      <c r="H357" s="516">
        <f t="shared" si="157"/>
        <v>0</v>
      </c>
      <c r="I357" s="516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58"/>
        <v>0</v>
      </c>
      <c r="N357" s="130">
        <f>SUM(O357:U357)</f>
        <v>0</v>
      </c>
      <c r="O357" s="524"/>
      <c r="P357" s="524"/>
      <c r="Q357" s="524"/>
      <c r="R357" s="524"/>
      <c r="S357" s="524"/>
      <c r="T357" s="524"/>
      <c r="U357" s="524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hidden="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28"/>
      <c r="H358" s="516">
        <f t="shared" si="157"/>
        <v>0</v>
      </c>
      <c r="I358" s="516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58"/>
        <v>0</v>
      </c>
      <c r="N358" s="130">
        <f>SUM(O358:U358)</f>
        <v>0</v>
      </c>
      <c r="O358" s="524"/>
      <c r="P358" s="524"/>
      <c r="Q358" s="524"/>
      <c r="R358" s="524"/>
      <c r="S358" s="524"/>
      <c r="T358" s="524"/>
      <c r="U358" s="524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hidden="1" customHeight="1">
      <c r="A359" s="302">
        <v>30100063</v>
      </c>
      <c r="B359" s="134" t="s">
        <v>191</v>
      </c>
      <c r="C359" s="126" t="s">
        <v>192</v>
      </c>
      <c r="D359" s="108">
        <v>5.03</v>
      </c>
      <c r="E359" s="108"/>
      <c r="F359" s="126"/>
      <c r="G359" s="128"/>
      <c r="H359" s="516">
        <f t="shared" si="157"/>
        <v>0</v>
      </c>
      <c r="I359" s="516"/>
      <c r="J359" s="130"/>
      <c r="K359" s="131"/>
      <c r="L359" s="129"/>
      <c r="M359" s="109"/>
      <c r="N359" s="130"/>
      <c r="O359" s="524"/>
      <c r="P359" s="524"/>
      <c r="Q359" s="524"/>
      <c r="R359" s="524"/>
      <c r="S359" s="524"/>
      <c r="T359" s="524"/>
      <c r="U359" s="524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30100061</v>
      </c>
      <c r="B360" s="134" t="s">
        <v>191</v>
      </c>
      <c r="C360" s="126" t="s">
        <v>193</v>
      </c>
      <c r="D360" s="108">
        <v>5.03</v>
      </c>
      <c r="E360" s="108"/>
      <c r="F360" s="126"/>
      <c r="G360" s="128"/>
      <c r="H360" s="516">
        <f t="shared" si="157"/>
        <v>0</v>
      </c>
      <c r="I360" s="516"/>
      <c r="J360" s="130"/>
      <c r="K360" s="131"/>
      <c r="L360" s="129"/>
      <c r="M360" s="109"/>
      <c r="N360" s="130"/>
      <c r="O360" s="524"/>
      <c r="P360" s="524"/>
      <c r="Q360" s="524"/>
      <c r="R360" s="524"/>
      <c r="S360" s="524"/>
      <c r="T360" s="524"/>
      <c r="U360" s="524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28"/>
      <c r="H361" s="516">
        <f t="shared" si="157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ref="M361:M369" si="162">IF(ISERROR(I361-K361),"",I361-K361)</f>
        <v>0</v>
      </c>
      <c r="N361" s="130">
        <f t="shared" ref="N361:N363" si="163">SUM(O361:U361)</f>
        <v>0</v>
      </c>
      <c r="O361" s="524"/>
      <c r="P361" s="524"/>
      <c r="Q361" s="524"/>
      <c r="R361" s="524"/>
      <c r="S361" s="524"/>
      <c r="T361" s="524"/>
      <c r="U361" s="524"/>
      <c r="V361" s="132">
        <f t="shared" ref="V361:V363" si="164">SUM(X361:AA361)</f>
        <v>0</v>
      </c>
      <c r="W361" s="133" t="str">
        <f t="shared" ref="W361:W363" si="165">IF(ISERROR(V361/G361),"",V361/G361)</f>
        <v/>
      </c>
      <c r="X361" s="132"/>
      <c r="Y361" s="132"/>
      <c r="Z361" s="132"/>
      <c r="AA361" s="132"/>
    </row>
    <row r="362" spans="1:27" ht="20.100000000000001" hidden="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28"/>
      <c r="H362" s="516">
        <f t="shared" si="157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2"/>
        <v>0</v>
      </c>
      <c r="N362" s="130">
        <f t="shared" si="163"/>
        <v>0</v>
      </c>
      <c r="O362" s="524"/>
      <c r="P362" s="524"/>
      <c r="Q362" s="524"/>
      <c r="R362" s="524"/>
      <c r="S362" s="524"/>
      <c r="T362" s="524"/>
      <c r="U362" s="524"/>
      <c r="V362" s="132">
        <f t="shared" si="164"/>
        <v>0</v>
      </c>
      <c r="W362" s="133" t="str">
        <f t="shared" si="165"/>
        <v/>
      </c>
      <c r="X362" s="132"/>
      <c r="Y362" s="132"/>
      <c r="Z362" s="132"/>
      <c r="AA362" s="132"/>
    </row>
    <row r="363" spans="1:27" ht="20.100000000000001" hidden="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28"/>
      <c r="H363" s="516">
        <f t="shared" si="157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2"/>
        <v>0</v>
      </c>
      <c r="N363" s="130">
        <f t="shared" si="163"/>
        <v>0</v>
      </c>
      <c r="O363" s="524"/>
      <c r="P363" s="524"/>
      <c r="Q363" s="524"/>
      <c r="R363" s="524"/>
      <c r="S363" s="524"/>
      <c r="T363" s="524"/>
      <c r="U363" s="524"/>
      <c r="V363" s="132">
        <f t="shared" si="164"/>
        <v>0</v>
      </c>
      <c r="W363" s="133" t="str">
        <f t="shared" si="165"/>
        <v/>
      </c>
      <c r="X363" s="132"/>
      <c r="Y363" s="132"/>
      <c r="Z363" s="132"/>
      <c r="AA363" s="132"/>
    </row>
    <row r="364" spans="1:27" ht="20.100000000000001" hidden="1" customHeight="1">
      <c r="A364" s="300">
        <v>30100003</v>
      </c>
      <c r="B364" s="141" t="s">
        <v>198</v>
      </c>
      <c r="C364" s="522" t="s">
        <v>190</v>
      </c>
      <c r="D364" s="108">
        <v>4.8</v>
      </c>
      <c r="E364" s="108"/>
      <c r="F364" s="127"/>
      <c r="G364" s="128"/>
      <c r="H364" s="516">
        <f t="shared" si="157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2"/>
        <v>0</v>
      </c>
      <c r="N364" s="130"/>
      <c r="O364" s="524"/>
      <c r="P364" s="524"/>
      <c r="Q364" s="524"/>
      <c r="R364" s="524"/>
      <c r="S364" s="524"/>
      <c r="T364" s="524"/>
      <c r="U364" s="524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30100004</v>
      </c>
      <c r="B365" s="141" t="s">
        <v>198</v>
      </c>
      <c r="C365" s="522" t="s">
        <v>187</v>
      </c>
      <c r="D365" s="108">
        <v>4.8</v>
      </c>
      <c r="E365" s="108"/>
      <c r="F365" s="127"/>
      <c r="G365" s="128"/>
      <c r="H365" s="516">
        <f t="shared" si="157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2"/>
        <v>0</v>
      </c>
      <c r="N365" s="130"/>
      <c r="O365" s="524"/>
      <c r="P365" s="524"/>
      <c r="Q365" s="524"/>
      <c r="R365" s="524"/>
      <c r="S365" s="524"/>
      <c r="T365" s="524"/>
      <c r="U365" s="524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30100006</v>
      </c>
      <c r="B366" s="141" t="s">
        <v>198</v>
      </c>
      <c r="C366" s="522" t="s">
        <v>179</v>
      </c>
      <c r="D366" s="108">
        <v>4.8</v>
      </c>
      <c r="E366" s="108"/>
      <c r="F366" s="127"/>
      <c r="G366" s="128"/>
      <c r="H366" s="516">
        <f t="shared" si="157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2"/>
        <v>0</v>
      </c>
      <c r="N366" s="130"/>
      <c r="O366" s="524"/>
      <c r="P366" s="524"/>
      <c r="Q366" s="524"/>
      <c r="R366" s="524"/>
      <c r="S366" s="524"/>
      <c r="T366" s="524"/>
      <c r="U366" s="524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0">
        <v>30100005</v>
      </c>
      <c r="B367" s="141" t="s">
        <v>198</v>
      </c>
      <c r="C367" s="522" t="s">
        <v>199</v>
      </c>
      <c r="D367" s="108">
        <v>4.8</v>
      </c>
      <c r="E367" s="108"/>
      <c r="F367" s="127"/>
      <c r="G367" s="128"/>
      <c r="H367" s="516">
        <f t="shared" si="157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2"/>
        <v>0</v>
      </c>
      <c r="N367" s="130"/>
      <c r="O367" s="524"/>
      <c r="P367" s="524"/>
      <c r="Q367" s="524"/>
      <c r="R367" s="524"/>
      <c r="S367" s="524"/>
      <c r="T367" s="524"/>
      <c r="U367" s="524"/>
      <c r="V367" s="132"/>
      <c r="W367" s="133"/>
      <c r="X367" s="132"/>
      <c r="Y367" s="132"/>
      <c r="Z367" s="132"/>
      <c r="AA367" s="132"/>
    </row>
    <row r="368" spans="1:27" ht="20.100000000000001" hidden="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28"/>
      <c r="H368" s="516">
        <f t="shared" si="157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2"/>
        <v>0</v>
      </c>
      <c r="N368" s="130">
        <f t="shared" ref="N368:N369" si="166">SUM(O368:U368)</f>
        <v>0</v>
      </c>
      <c r="O368" s="524"/>
      <c r="P368" s="524"/>
      <c r="Q368" s="524"/>
      <c r="R368" s="524"/>
      <c r="S368" s="524"/>
      <c r="T368" s="524"/>
      <c r="U368" s="524"/>
      <c r="V368" s="132">
        <f t="shared" ref="V368:V369" si="167">SUM(X368:AA368)</f>
        <v>0</v>
      </c>
      <c r="W368" s="133" t="str">
        <f t="shared" ref="W368:W369" si="168">IF(ISERROR(V368/G368),"",V368/G368)</f>
        <v/>
      </c>
      <c r="X368" s="132"/>
      <c r="Y368" s="132"/>
      <c r="Z368" s="132"/>
      <c r="AA368" s="132"/>
    </row>
    <row r="369" spans="1:27" ht="20.100000000000001" hidden="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28"/>
      <c r="H369" s="516">
        <f t="shared" si="157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2"/>
        <v>0</v>
      </c>
      <c r="N369" s="130">
        <f t="shared" si="166"/>
        <v>0</v>
      </c>
      <c r="O369" s="524"/>
      <c r="P369" s="524"/>
      <c r="Q369" s="524"/>
      <c r="R369" s="524"/>
      <c r="S369" s="524"/>
      <c r="T369" s="524"/>
      <c r="U369" s="524"/>
      <c r="V369" s="132">
        <f t="shared" si="167"/>
        <v>0</v>
      </c>
      <c r="W369" s="133" t="str">
        <f t="shared" si="168"/>
        <v/>
      </c>
      <c r="X369" s="132"/>
      <c r="Y369" s="132"/>
      <c r="Z369" s="132"/>
      <c r="AA369" s="132"/>
    </row>
    <row r="370" spans="1:27" ht="20.100000000000001" hidden="1" customHeight="1">
      <c r="A370" s="578" t="s">
        <v>201</v>
      </c>
      <c r="B370" s="579"/>
      <c r="C370" s="525" t="s">
        <v>202</v>
      </c>
      <c r="D370" s="143"/>
      <c r="E370" s="143"/>
      <c r="F370" s="144"/>
      <c r="G370" s="145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69">SUM(M349:M369)</f>
        <v>0</v>
      </c>
      <c r="N370" s="146">
        <f t="shared" si="169"/>
        <v>0</v>
      </c>
      <c r="O370" s="148">
        <f t="shared" si="169"/>
        <v>0</v>
      </c>
      <c r="P370" s="148">
        <f t="shared" si="169"/>
        <v>0</v>
      </c>
      <c r="Q370" s="148">
        <f t="shared" si="169"/>
        <v>0</v>
      </c>
      <c r="R370" s="148">
        <f t="shared" si="169"/>
        <v>0</v>
      </c>
      <c r="S370" s="148">
        <f t="shared" si="169"/>
        <v>0</v>
      </c>
      <c r="T370" s="148">
        <f t="shared" si="169"/>
        <v>0</v>
      </c>
      <c r="U370" s="148">
        <f t="shared" si="169"/>
        <v>0</v>
      </c>
      <c r="V370" s="149">
        <f t="shared" si="169"/>
        <v>0</v>
      </c>
      <c r="W370" s="133">
        <f t="shared" si="169"/>
        <v>0</v>
      </c>
      <c r="X370" s="149">
        <f t="shared" si="169"/>
        <v>0</v>
      </c>
      <c r="Y370" s="149">
        <f t="shared" si="169"/>
        <v>0</v>
      </c>
      <c r="Z370" s="149">
        <f t="shared" si="169"/>
        <v>0</v>
      </c>
      <c r="AA370" s="149">
        <f t="shared" si="169"/>
        <v>0</v>
      </c>
    </row>
    <row r="371" spans="1:27" ht="20.100000000000001" hidden="1" customHeight="1">
      <c r="A371" s="300">
        <v>30100012</v>
      </c>
      <c r="B371" s="515" t="s">
        <v>206</v>
      </c>
      <c r="C371" s="126" t="s">
        <v>199</v>
      </c>
      <c r="D371" s="108">
        <v>5.03</v>
      </c>
      <c r="E371" s="108"/>
      <c r="F371" s="127"/>
      <c r="G371" s="128"/>
      <c r="H371" s="516">
        <f t="shared" ref="H371:H427" si="170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" si="171">IF(ISERROR(I371-K371),"",I371-K371)</f>
        <v>0</v>
      </c>
      <c r="N371" s="130">
        <f t="shared" ref="N371" si="172">SUM(O371:U371)</f>
        <v>0</v>
      </c>
      <c r="O371" s="520"/>
      <c r="P371" s="520"/>
      <c r="Q371" s="520"/>
      <c r="R371" s="520"/>
      <c r="S371" s="520"/>
      <c r="T371" s="520"/>
      <c r="U371" s="520"/>
      <c r="V371" s="132">
        <f t="shared" ref="V371" si="173">SUM(X371:AA371)</f>
        <v>0</v>
      </c>
      <c r="W371" s="133" t="str">
        <f t="shared" ref="W371" si="174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30100011</v>
      </c>
      <c r="B372" s="515" t="s">
        <v>425</v>
      </c>
      <c r="C372" s="187" t="s">
        <v>427</v>
      </c>
      <c r="D372" s="108">
        <v>5.03</v>
      </c>
      <c r="E372" s="108"/>
      <c r="F372" s="127"/>
      <c r="G372" s="128"/>
      <c r="H372" s="516">
        <f t="shared" si="170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520"/>
      <c r="P372" s="520"/>
      <c r="Q372" s="520"/>
      <c r="R372" s="520"/>
      <c r="S372" s="520"/>
      <c r="T372" s="520"/>
      <c r="U372" s="520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0">
        <v>30100010</v>
      </c>
      <c r="B373" s="515" t="s">
        <v>206</v>
      </c>
      <c r="C373" s="126" t="s">
        <v>186</v>
      </c>
      <c r="D373" s="108">
        <v>5.03</v>
      </c>
      <c r="E373" s="108"/>
      <c r="F373" s="127"/>
      <c r="G373" s="128"/>
      <c r="H373" s="516">
        <f t="shared" si="170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ref="M373:M408" si="175">IF(ISERROR(I373-K373),"",I373-K373)</f>
        <v>0</v>
      </c>
      <c r="N373" s="130">
        <f t="shared" ref="N373:N375" si="176">SUM(O373:U373)</f>
        <v>0</v>
      </c>
      <c r="O373" s="520"/>
      <c r="P373" s="520"/>
      <c r="Q373" s="520"/>
      <c r="R373" s="520"/>
      <c r="S373" s="520"/>
      <c r="T373" s="520"/>
      <c r="U373" s="520"/>
      <c r="V373" s="132">
        <f t="shared" ref="V373:V375" si="177">SUM(X373:AA373)</f>
        <v>0</v>
      </c>
      <c r="W373" s="133" t="str">
        <f t="shared" ref="W373:W375" si="178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0">
        <v>30100014</v>
      </c>
      <c r="B374" s="515" t="s">
        <v>206</v>
      </c>
      <c r="C374" s="126" t="s">
        <v>203</v>
      </c>
      <c r="D374" s="108">
        <v>5.03</v>
      </c>
      <c r="E374" s="108"/>
      <c r="F374" s="127"/>
      <c r="G374" s="128"/>
      <c r="H374" s="516">
        <f t="shared" si="170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5"/>
        <v>0</v>
      </c>
      <c r="N374" s="130">
        <f t="shared" si="176"/>
        <v>0</v>
      </c>
      <c r="O374" s="520"/>
      <c r="P374" s="520"/>
      <c r="Q374" s="520"/>
      <c r="R374" s="520"/>
      <c r="S374" s="520"/>
      <c r="T374" s="520"/>
      <c r="U374" s="520"/>
      <c r="V374" s="132">
        <f t="shared" si="177"/>
        <v>0</v>
      </c>
      <c r="W374" s="133" t="str">
        <f t="shared" si="178"/>
        <v/>
      </c>
      <c r="X374" s="132"/>
      <c r="Y374" s="132"/>
      <c r="Z374" s="132"/>
      <c r="AA374" s="132"/>
    </row>
    <row r="375" spans="1:27" ht="20.100000000000001" hidden="1" customHeight="1">
      <c r="A375" s="300">
        <v>30100013</v>
      </c>
      <c r="B375" s="515" t="s">
        <v>206</v>
      </c>
      <c r="C375" s="126" t="s">
        <v>207</v>
      </c>
      <c r="D375" s="108">
        <v>5.03</v>
      </c>
      <c r="E375" s="108"/>
      <c r="F375" s="127"/>
      <c r="G375" s="128"/>
      <c r="H375" s="516">
        <f t="shared" si="170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5"/>
        <v>0</v>
      </c>
      <c r="N375" s="130">
        <f t="shared" si="176"/>
        <v>0</v>
      </c>
      <c r="O375" s="520"/>
      <c r="P375" s="520"/>
      <c r="Q375" s="520"/>
      <c r="R375" s="520"/>
      <c r="S375" s="520"/>
      <c r="T375" s="520"/>
      <c r="U375" s="520"/>
      <c r="V375" s="132">
        <f t="shared" si="177"/>
        <v>0</v>
      </c>
      <c r="W375" s="133" t="str">
        <f t="shared" si="178"/>
        <v/>
      </c>
      <c r="X375" s="132"/>
      <c r="Y375" s="132"/>
      <c r="Z375" s="132"/>
      <c r="AA375" s="132"/>
    </row>
    <row r="376" spans="1:27" ht="20.100000000000001" hidden="1" customHeight="1">
      <c r="A376" s="300">
        <v>30100016</v>
      </c>
      <c r="B376" s="515" t="s">
        <v>414</v>
      </c>
      <c r="C376" s="187" t="s">
        <v>415</v>
      </c>
      <c r="D376" s="108"/>
      <c r="E376" s="108"/>
      <c r="F376" s="127"/>
      <c r="G376" s="128"/>
      <c r="H376" s="516">
        <f t="shared" si="170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5"/>
        <v>0</v>
      </c>
      <c r="N376" s="130"/>
      <c r="O376" s="520"/>
      <c r="P376" s="520"/>
      <c r="Q376" s="520"/>
      <c r="R376" s="520"/>
      <c r="S376" s="520"/>
      <c r="T376" s="520"/>
      <c r="U376" s="520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30100017</v>
      </c>
      <c r="B377" s="515" t="s">
        <v>414</v>
      </c>
      <c r="C377" s="187" t="s">
        <v>416</v>
      </c>
      <c r="D377" s="108"/>
      <c r="E377" s="108"/>
      <c r="F377" s="127"/>
      <c r="G377" s="128"/>
      <c r="H377" s="516">
        <f t="shared" si="170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5"/>
        <v>0</v>
      </c>
      <c r="N377" s="130"/>
      <c r="O377" s="520"/>
      <c r="P377" s="520"/>
      <c r="Q377" s="520"/>
      <c r="R377" s="520"/>
      <c r="S377" s="520"/>
      <c r="T377" s="520"/>
      <c r="U377" s="520"/>
      <c r="V377" s="132"/>
      <c r="W377" s="133"/>
      <c r="X377" s="132"/>
      <c r="Y377" s="132"/>
      <c r="Z377" s="132"/>
      <c r="AA377" s="132"/>
    </row>
    <row r="378" spans="1:27" ht="20.100000000000001" hidden="1" customHeight="1">
      <c r="A378" s="300">
        <v>30100015</v>
      </c>
      <c r="B378" s="515" t="s">
        <v>414</v>
      </c>
      <c r="C378" s="187" t="s">
        <v>61</v>
      </c>
      <c r="D378" s="108"/>
      <c r="E378" s="108"/>
      <c r="F378" s="127"/>
      <c r="G378" s="128"/>
      <c r="H378" s="516">
        <f t="shared" si="170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5"/>
        <v>0</v>
      </c>
      <c r="N378" s="130"/>
      <c r="O378" s="520"/>
      <c r="P378" s="520"/>
      <c r="Q378" s="520"/>
      <c r="R378" s="520"/>
      <c r="S378" s="520"/>
      <c r="T378" s="520"/>
      <c r="U378" s="520"/>
      <c r="V378" s="132"/>
      <c r="W378" s="133"/>
      <c r="X378" s="132"/>
      <c r="Y378" s="132"/>
      <c r="Z378" s="132"/>
      <c r="AA378" s="132"/>
    </row>
    <row r="379" spans="1:27" ht="20.100000000000001" hidden="1" customHeight="1">
      <c r="A379" s="300">
        <v>30100027</v>
      </c>
      <c r="B379" s="515" t="s">
        <v>208</v>
      </c>
      <c r="C379" s="126" t="s">
        <v>179</v>
      </c>
      <c r="D379" s="108">
        <v>5.08</v>
      </c>
      <c r="E379" s="108"/>
      <c r="F379" s="127"/>
      <c r="G379" s="128"/>
      <c r="H379" s="516">
        <f t="shared" si="170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5"/>
        <v>0</v>
      </c>
      <c r="N379" s="130">
        <f t="shared" ref="N379:N394" si="179">SUM(O379:U379)</f>
        <v>0</v>
      </c>
      <c r="O379" s="520"/>
      <c r="P379" s="520"/>
      <c r="Q379" s="520"/>
      <c r="R379" s="520"/>
      <c r="S379" s="520"/>
      <c r="T379" s="520"/>
      <c r="U379" s="520"/>
      <c r="V379" s="132">
        <f t="shared" ref="V379:V390" si="180">SUM(X379:AA379)</f>
        <v>0</v>
      </c>
      <c r="W379" s="133" t="str">
        <f t="shared" ref="W379:W390" si="181">IF(ISERROR(V379/G379),"",V379/G379)</f>
        <v/>
      </c>
      <c r="X379" s="132"/>
      <c r="Y379" s="132"/>
      <c r="Z379" s="132"/>
      <c r="AA379" s="132"/>
    </row>
    <row r="380" spans="1:27" ht="20.100000000000001" hidden="1" customHeight="1">
      <c r="A380" s="300">
        <v>30100023</v>
      </c>
      <c r="B380" s="515" t="s">
        <v>208</v>
      </c>
      <c r="C380" s="126" t="s">
        <v>204</v>
      </c>
      <c r="D380" s="108">
        <v>5.08</v>
      </c>
      <c r="E380" s="108"/>
      <c r="F380" s="127"/>
      <c r="G380" s="128"/>
      <c r="H380" s="516">
        <f t="shared" si="170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5"/>
        <v>0</v>
      </c>
      <c r="N380" s="130">
        <f t="shared" si="179"/>
        <v>0</v>
      </c>
      <c r="O380" s="520"/>
      <c r="P380" s="520"/>
      <c r="Q380" s="520"/>
      <c r="R380" s="520"/>
      <c r="S380" s="520"/>
      <c r="T380" s="520"/>
      <c r="U380" s="520"/>
      <c r="V380" s="132">
        <f t="shared" si="180"/>
        <v>0</v>
      </c>
      <c r="W380" s="133" t="str">
        <f t="shared" si="181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30100024</v>
      </c>
      <c r="B381" s="515" t="s">
        <v>208</v>
      </c>
      <c r="C381" s="126" t="s">
        <v>205</v>
      </c>
      <c r="D381" s="108">
        <v>5.08</v>
      </c>
      <c r="E381" s="108"/>
      <c r="F381" s="127"/>
      <c r="G381" s="128"/>
      <c r="H381" s="516">
        <f t="shared" si="170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5"/>
        <v>0</v>
      </c>
      <c r="N381" s="130">
        <f t="shared" si="179"/>
        <v>0</v>
      </c>
      <c r="O381" s="520"/>
      <c r="P381" s="520"/>
      <c r="Q381" s="520"/>
      <c r="R381" s="520"/>
      <c r="S381" s="520"/>
      <c r="T381" s="520"/>
      <c r="U381" s="520"/>
      <c r="V381" s="132">
        <f t="shared" si="180"/>
        <v>0</v>
      </c>
      <c r="W381" s="133" t="str">
        <f t="shared" si="181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30100022</v>
      </c>
      <c r="B382" s="515" t="s">
        <v>208</v>
      </c>
      <c r="C382" s="126" t="s">
        <v>186</v>
      </c>
      <c r="D382" s="108">
        <v>5.08</v>
      </c>
      <c r="E382" s="108"/>
      <c r="F382" s="127"/>
      <c r="G382" s="128"/>
      <c r="H382" s="516">
        <f t="shared" si="170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5"/>
        <v>0</v>
      </c>
      <c r="N382" s="130">
        <f t="shared" si="179"/>
        <v>0</v>
      </c>
      <c r="O382" s="520"/>
      <c r="P382" s="520"/>
      <c r="Q382" s="520"/>
      <c r="R382" s="520"/>
      <c r="S382" s="520"/>
      <c r="T382" s="520"/>
      <c r="U382" s="520"/>
      <c r="V382" s="132">
        <f t="shared" si="180"/>
        <v>0</v>
      </c>
      <c r="W382" s="133" t="str">
        <f t="shared" si="181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30100029</v>
      </c>
      <c r="B383" s="515" t="s">
        <v>208</v>
      </c>
      <c r="C383" s="126" t="s">
        <v>203</v>
      </c>
      <c r="D383" s="108">
        <v>5.08</v>
      </c>
      <c r="E383" s="108"/>
      <c r="F383" s="127"/>
      <c r="G383" s="128"/>
      <c r="H383" s="516">
        <f t="shared" si="170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5"/>
        <v>0</v>
      </c>
      <c r="N383" s="130">
        <f t="shared" si="179"/>
        <v>0</v>
      </c>
      <c r="O383" s="520"/>
      <c r="P383" s="520"/>
      <c r="Q383" s="520"/>
      <c r="R383" s="520"/>
      <c r="S383" s="520"/>
      <c r="T383" s="520"/>
      <c r="U383" s="520"/>
      <c r="V383" s="132">
        <f t="shared" si="180"/>
        <v>0</v>
      </c>
      <c r="W383" s="133" t="str">
        <f t="shared" si="181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30100026</v>
      </c>
      <c r="B384" s="515" t="s">
        <v>208</v>
      </c>
      <c r="C384" s="126" t="s">
        <v>199</v>
      </c>
      <c r="D384" s="108">
        <v>5.08</v>
      </c>
      <c r="E384" s="108"/>
      <c r="F384" s="127"/>
      <c r="G384" s="128"/>
      <c r="H384" s="516">
        <f t="shared" si="170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5"/>
        <v>0</v>
      </c>
      <c r="N384" s="130">
        <f t="shared" si="179"/>
        <v>0</v>
      </c>
      <c r="O384" s="524"/>
      <c r="P384" s="524"/>
      <c r="Q384" s="524"/>
      <c r="R384" s="524"/>
      <c r="S384" s="524"/>
      <c r="T384" s="524"/>
      <c r="U384" s="524"/>
      <c r="V384" s="132">
        <f t="shared" si="180"/>
        <v>0</v>
      </c>
      <c r="W384" s="133" t="str">
        <f t="shared" si="181"/>
        <v/>
      </c>
      <c r="X384" s="132"/>
      <c r="Y384" s="132"/>
      <c r="Z384" s="132"/>
      <c r="AA384" s="132"/>
    </row>
    <row r="385" spans="1:27" ht="20.100000000000001" hidden="1" customHeight="1">
      <c r="A385" s="300">
        <v>30100025</v>
      </c>
      <c r="B385" s="515" t="s">
        <v>208</v>
      </c>
      <c r="C385" s="126" t="s">
        <v>187</v>
      </c>
      <c r="D385" s="108">
        <v>5.08</v>
      </c>
      <c r="E385" s="108"/>
      <c r="F385" s="127"/>
      <c r="G385" s="128"/>
      <c r="H385" s="516">
        <f t="shared" si="170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5"/>
        <v>0</v>
      </c>
      <c r="N385" s="130">
        <f t="shared" si="179"/>
        <v>0</v>
      </c>
      <c r="O385" s="520"/>
      <c r="P385" s="520"/>
      <c r="Q385" s="520"/>
      <c r="R385" s="520"/>
      <c r="S385" s="520"/>
      <c r="T385" s="520"/>
      <c r="U385" s="520"/>
      <c r="V385" s="132">
        <f t="shared" si="180"/>
        <v>0</v>
      </c>
      <c r="W385" s="133" t="str">
        <f t="shared" si="181"/>
        <v/>
      </c>
      <c r="X385" s="132"/>
      <c r="Y385" s="132"/>
      <c r="Z385" s="132"/>
      <c r="AA385" s="132"/>
    </row>
    <row r="386" spans="1:27" ht="20.100000000000001" hidden="1" customHeight="1">
      <c r="A386" s="300">
        <v>30100028</v>
      </c>
      <c r="B386" s="515" t="s">
        <v>208</v>
      </c>
      <c r="C386" s="126" t="s">
        <v>207</v>
      </c>
      <c r="D386" s="108">
        <v>5.08</v>
      </c>
      <c r="E386" s="108"/>
      <c r="F386" s="127"/>
      <c r="G386" s="128"/>
      <c r="H386" s="516">
        <f t="shared" si="170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5"/>
        <v>0</v>
      </c>
      <c r="N386" s="130">
        <f t="shared" si="179"/>
        <v>0</v>
      </c>
      <c r="O386" s="524"/>
      <c r="P386" s="524"/>
      <c r="Q386" s="524"/>
      <c r="R386" s="524"/>
      <c r="S386" s="524"/>
      <c r="T386" s="524"/>
      <c r="U386" s="524"/>
      <c r="V386" s="132">
        <f t="shared" si="180"/>
        <v>0</v>
      </c>
      <c r="W386" s="133" t="str">
        <f t="shared" si="181"/>
        <v/>
      </c>
      <c r="X386" s="132"/>
      <c r="Y386" s="132"/>
      <c r="Z386" s="132"/>
      <c r="AA386" s="132"/>
    </row>
    <row r="387" spans="1:27" ht="20.100000000000001" hidden="1" customHeight="1">
      <c r="A387" s="300">
        <v>30100032</v>
      </c>
      <c r="B387" s="515" t="s">
        <v>209</v>
      </c>
      <c r="C387" s="126" t="s">
        <v>194</v>
      </c>
      <c r="D387" s="108">
        <v>5.03</v>
      </c>
      <c r="E387" s="108"/>
      <c r="F387" s="127"/>
      <c r="G387" s="128"/>
      <c r="H387" s="516">
        <f t="shared" si="170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5"/>
        <v>0</v>
      </c>
      <c r="N387" s="130">
        <f t="shared" si="179"/>
        <v>0</v>
      </c>
      <c r="O387" s="520"/>
      <c r="P387" s="520"/>
      <c r="Q387" s="520"/>
      <c r="R387" s="520"/>
      <c r="S387" s="520"/>
      <c r="T387" s="520"/>
      <c r="U387" s="520"/>
      <c r="V387" s="132">
        <f t="shared" si="180"/>
        <v>0</v>
      </c>
      <c r="W387" s="133" t="str">
        <f t="shared" si="181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30100033</v>
      </c>
      <c r="B388" s="515" t="s">
        <v>209</v>
      </c>
      <c r="C388" s="126" t="s">
        <v>179</v>
      </c>
      <c r="D388" s="108">
        <v>5.03</v>
      </c>
      <c r="E388" s="108"/>
      <c r="F388" s="127"/>
      <c r="G388" s="128"/>
      <c r="H388" s="516">
        <f t="shared" si="170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5"/>
        <v>0</v>
      </c>
      <c r="N388" s="130">
        <f t="shared" si="179"/>
        <v>0</v>
      </c>
      <c r="O388" s="520"/>
      <c r="P388" s="520"/>
      <c r="Q388" s="520"/>
      <c r="R388" s="520"/>
      <c r="S388" s="520"/>
      <c r="T388" s="520"/>
      <c r="U388" s="520"/>
      <c r="V388" s="132">
        <f t="shared" si="180"/>
        <v>0</v>
      </c>
      <c r="W388" s="133" t="str">
        <f t="shared" si="181"/>
        <v/>
      </c>
      <c r="X388" s="132"/>
      <c r="Y388" s="132"/>
      <c r="Z388" s="132"/>
      <c r="AA388" s="132"/>
    </row>
    <row r="389" spans="1:27" ht="20.100000000000001" hidden="1" customHeight="1">
      <c r="A389" s="300">
        <v>30100062</v>
      </c>
      <c r="B389" s="515" t="s">
        <v>209</v>
      </c>
      <c r="C389" s="126" t="s">
        <v>195</v>
      </c>
      <c r="D389" s="108">
        <v>5.03</v>
      </c>
      <c r="E389" s="108"/>
      <c r="F389" s="127"/>
      <c r="G389" s="128"/>
      <c r="H389" s="516">
        <f t="shared" si="170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5"/>
        <v>0</v>
      </c>
      <c r="N389" s="130">
        <f t="shared" si="179"/>
        <v>0</v>
      </c>
      <c r="O389" s="520"/>
      <c r="P389" s="520"/>
      <c r="Q389" s="520"/>
      <c r="R389" s="520"/>
      <c r="S389" s="520"/>
      <c r="T389" s="520"/>
      <c r="U389" s="520"/>
      <c r="V389" s="132">
        <f t="shared" si="180"/>
        <v>0</v>
      </c>
      <c r="W389" s="133" t="str">
        <f t="shared" si="181"/>
        <v/>
      </c>
      <c r="X389" s="132"/>
      <c r="Y389" s="132"/>
      <c r="Z389" s="132"/>
      <c r="AA389" s="132"/>
    </row>
    <row r="390" spans="1:27" ht="20.100000000000001" hidden="1" customHeight="1">
      <c r="A390" s="300">
        <v>30100031</v>
      </c>
      <c r="B390" s="515" t="s">
        <v>209</v>
      </c>
      <c r="C390" s="126" t="s">
        <v>204</v>
      </c>
      <c r="D390" s="108">
        <v>5.03</v>
      </c>
      <c r="E390" s="108"/>
      <c r="F390" s="127"/>
      <c r="G390" s="128"/>
      <c r="H390" s="516">
        <f t="shared" si="170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5"/>
        <v>0</v>
      </c>
      <c r="N390" s="130">
        <f t="shared" si="179"/>
        <v>0</v>
      </c>
      <c r="O390" s="520"/>
      <c r="P390" s="520"/>
      <c r="Q390" s="520"/>
      <c r="R390" s="520"/>
      <c r="S390" s="520"/>
      <c r="T390" s="520"/>
      <c r="U390" s="520"/>
      <c r="V390" s="132">
        <f t="shared" si="180"/>
        <v>0</v>
      </c>
      <c r="W390" s="133" t="str">
        <f t="shared" si="181"/>
        <v/>
      </c>
      <c r="X390" s="132"/>
      <c r="Y390" s="132"/>
      <c r="Z390" s="132"/>
      <c r="AA390" s="132"/>
    </row>
    <row r="391" spans="1:27" ht="20.100000000000001" hidden="1" customHeight="1">
      <c r="A391" s="300">
        <v>30100019</v>
      </c>
      <c r="B391" s="515" t="s">
        <v>382</v>
      </c>
      <c r="C391" s="187" t="s">
        <v>383</v>
      </c>
      <c r="D391" s="108">
        <v>5.03</v>
      </c>
      <c r="E391" s="108"/>
      <c r="F391" s="127"/>
      <c r="G391" s="128"/>
      <c r="H391" s="516">
        <f t="shared" si="170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5"/>
        <v>0</v>
      </c>
      <c r="N391" s="130">
        <f t="shared" si="179"/>
        <v>0</v>
      </c>
      <c r="O391" s="520"/>
      <c r="P391" s="520"/>
      <c r="Q391" s="520"/>
      <c r="R391" s="520"/>
      <c r="S391" s="520"/>
      <c r="T391" s="520"/>
      <c r="U391" s="520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30100020</v>
      </c>
      <c r="B392" s="515" t="s">
        <v>382</v>
      </c>
      <c r="C392" s="187" t="s">
        <v>384</v>
      </c>
      <c r="D392" s="108">
        <v>5.03</v>
      </c>
      <c r="E392" s="108"/>
      <c r="F392" s="127"/>
      <c r="G392" s="128"/>
      <c r="H392" s="516">
        <f t="shared" si="170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5"/>
        <v>0</v>
      </c>
      <c r="N392" s="130">
        <f t="shared" si="179"/>
        <v>0</v>
      </c>
      <c r="O392" s="520"/>
      <c r="P392" s="520"/>
      <c r="Q392" s="520"/>
      <c r="R392" s="520"/>
      <c r="S392" s="520"/>
      <c r="T392" s="520"/>
      <c r="U392" s="520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0">
        <v>30100021</v>
      </c>
      <c r="B393" s="515" t="s">
        <v>382</v>
      </c>
      <c r="C393" s="187" t="s">
        <v>389</v>
      </c>
      <c r="D393" s="108">
        <v>5.03</v>
      </c>
      <c r="E393" s="108"/>
      <c r="F393" s="127"/>
      <c r="G393" s="128"/>
      <c r="H393" s="516">
        <f t="shared" si="170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5"/>
        <v>0</v>
      </c>
      <c r="N393" s="130">
        <f t="shared" si="179"/>
        <v>0</v>
      </c>
      <c r="O393" s="520"/>
      <c r="P393" s="520"/>
      <c r="Q393" s="520"/>
      <c r="R393" s="520"/>
      <c r="S393" s="520"/>
      <c r="T393" s="520"/>
      <c r="U393" s="520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0">
        <v>30100018</v>
      </c>
      <c r="B394" s="515" t="s">
        <v>382</v>
      </c>
      <c r="C394" s="187" t="s">
        <v>391</v>
      </c>
      <c r="D394" s="108">
        <v>5.03</v>
      </c>
      <c r="E394" s="108"/>
      <c r="F394" s="127"/>
      <c r="G394" s="128"/>
      <c r="H394" s="516">
        <f t="shared" si="170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5"/>
        <v>0</v>
      </c>
      <c r="N394" s="130">
        <f t="shared" si="179"/>
        <v>0</v>
      </c>
      <c r="O394" s="520"/>
      <c r="P394" s="520"/>
      <c r="Q394" s="520"/>
      <c r="R394" s="520"/>
      <c r="S394" s="520"/>
      <c r="T394" s="520"/>
      <c r="U394" s="520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30700007</v>
      </c>
      <c r="B395" s="515" t="s">
        <v>418</v>
      </c>
      <c r="C395" s="187" t="s">
        <v>364</v>
      </c>
      <c r="D395" s="108">
        <v>5.03</v>
      </c>
      <c r="E395" s="108"/>
      <c r="F395" s="127"/>
      <c r="G395" s="128"/>
      <c r="H395" s="516">
        <f t="shared" si="170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5"/>
        <v>0</v>
      </c>
      <c r="N395" s="130"/>
      <c r="O395" s="520"/>
      <c r="P395" s="520"/>
      <c r="Q395" s="520"/>
      <c r="R395" s="520"/>
      <c r="S395" s="520"/>
      <c r="T395" s="520"/>
      <c r="U395" s="520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30700006</v>
      </c>
      <c r="B396" s="515" t="s">
        <v>418</v>
      </c>
      <c r="C396" s="187" t="s">
        <v>365</v>
      </c>
      <c r="D396" s="108">
        <v>5.03</v>
      </c>
      <c r="E396" s="108"/>
      <c r="F396" s="127"/>
      <c r="G396" s="128"/>
      <c r="H396" s="516">
        <f t="shared" si="170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5"/>
        <v>0</v>
      </c>
      <c r="N396" s="130"/>
      <c r="O396" s="520"/>
      <c r="P396" s="520"/>
      <c r="Q396" s="520"/>
      <c r="R396" s="520"/>
      <c r="S396" s="520"/>
      <c r="T396" s="520"/>
      <c r="U396" s="520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3">
        <v>30700008</v>
      </c>
      <c r="B397" s="515" t="s">
        <v>418</v>
      </c>
      <c r="C397" s="187" t="s">
        <v>366</v>
      </c>
      <c r="D397" s="108">
        <v>5.03</v>
      </c>
      <c r="E397" s="108"/>
      <c r="F397" s="127"/>
      <c r="G397" s="128"/>
      <c r="H397" s="516">
        <f t="shared" si="170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5"/>
        <v>0</v>
      </c>
      <c r="N397" s="130"/>
      <c r="O397" s="520"/>
      <c r="P397" s="520"/>
      <c r="Q397" s="520"/>
      <c r="R397" s="520"/>
      <c r="S397" s="520"/>
      <c r="T397" s="520"/>
      <c r="U397" s="520"/>
      <c r="V397" s="132"/>
      <c r="W397" s="133"/>
      <c r="X397" s="132"/>
      <c r="Y397" s="132"/>
      <c r="Z397" s="132"/>
      <c r="AA397" s="132"/>
    </row>
    <row r="398" spans="1:27" ht="20.100000000000001" hidden="1" customHeight="1">
      <c r="A398" s="303">
        <v>30700009</v>
      </c>
      <c r="B398" s="515" t="s">
        <v>418</v>
      </c>
      <c r="C398" s="187" t="s">
        <v>367</v>
      </c>
      <c r="D398" s="108">
        <v>5.03</v>
      </c>
      <c r="E398" s="108"/>
      <c r="F398" s="127"/>
      <c r="G398" s="128"/>
      <c r="H398" s="516">
        <f t="shared" si="170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5"/>
        <v>0</v>
      </c>
      <c r="N398" s="130"/>
      <c r="O398" s="520"/>
      <c r="P398" s="520"/>
      <c r="Q398" s="520"/>
      <c r="R398" s="520"/>
      <c r="S398" s="520"/>
      <c r="T398" s="520"/>
      <c r="U398" s="520"/>
      <c r="V398" s="132"/>
      <c r="W398" s="133"/>
      <c r="X398" s="132"/>
      <c r="Y398" s="132"/>
      <c r="Z398" s="132"/>
      <c r="AA398" s="132"/>
    </row>
    <row r="399" spans="1:27" ht="20.100000000000001" hidden="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28"/>
      <c r="H399" s="516">
        <f t="shared" si="170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5"/>
        <v>0</v>
      </c>
      <c r="N399" s="130">
        <f t="shared" ref="N399:N408" si="182">SUM(O399:U399)</f>
        <v>0</v>
      </c>
      <c r="O399" s="524"/>
      <c r="P399" s="524"/>
      <c r="Q399" s="524"/>
      <c r="R399" s="524"/>
      <c r="S399" s="524"/>
      <c r="T399" s="524"/>
      <c r="U399" s="524"/>
      <c r="V399" s="132">
        <f t="shared" ref="V399:V408" si="183">SUM(X399:AA399)</f>
        <v>0</v>
      </c>
      <c r="W399" s="133" t="str">
        <f t="shared" ref="W399:W408" si="184">IF(ISERROR(V399/G399),"",V399/G399)</f>
        <v/>
      </c>
      <c r="X399" s="132"/>
      <c r="Y399" s="132"/>
      <c r="Z399" s="132"/>
      <c r="AA399" s="132"/>
    </row>
    <row r="400" spans="1:27" ht="20.100000000000001" hidden="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28"/>
      <c r="H400" s="516">
        <f t="shared" si="170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75"/>
        <v>0</v>
      </c>
      <c r="N400" s="130">
        <f t="shared" si="182"/>
        <v>0</v>
      </c>
      <c r="O400" s="524"/>
      <c r="P400" s="524"/>
      <c r="Q400" s="524"/>
      <c r="R400" s="524"/>
      <c r="S400" s="524"/>
      <c r="T400" s="524"/>
      <c r="U400" s="524"/>
      <c r="V400" s="132">
        <f t="shared" si="183"/>
        <v>0</v>
      </c>
      <c r="W400" s="133" t="str">
        <f t="shared" si="184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28"/>
      <c r="H401" s="516">
        <f t="shared" si="170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75"/>
        <v>0</v>
      </c>
      <c r="N401" s="130">
        <f t="shared" si="182"/>
        <v>0</v>
      </c>
      <c r="O401" s="524"/>
      <c r="P401" s="524"/>
      <c r="Q401" s="524"/>
      <c r="R401" s="524"/>
      <c r="S401" s="524"/>
      <c r="T401" s="524"/>
      <c r="U401" s="524"/>
      <c r="V401" s="132">
        <f t="shared" si="183"/>
        <v>0</v>
      </c>
      <c r="W401" s="133" t="str">
        <f t="shared" si="184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28"/>
      <c r="H402" s="516">
        <f t="shared" si="170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5"/>
        <v>0</v>
      </c>
      <c r="N402" s="130">
        <f t="shared" si="182"/>
        <v>0</v>
      </c>
      <c r="O402" s="524"/>
      <c r="P402" s="524"/>
      <c r="Q402" s="524"/>
      <c r="R402" s="524"/>
      <c r="S402" s="524"/>
      <c r="T402" s="524"/>
      <c r="U402" s="524"/>
      <c r="V402" s="132">
        <f t="shared" si="183"/>
        <v>0</v>
      </c>
      <c r="W402" s="133" t="str">
        <f t="shared" si="184"/>
        <v/>
      </c>
      <c r="X402" s="132"/>
      <c r="Y402" s="132"/>
      <c r="Z402" s="132"/>
      <c r="AA402" s="132"/>
    </row>
    <row r="403" spans="1:27" ht="20.100000000000001" hidden="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28"/>
      <c r="H403" s="516">
        <f t="shared" si="170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5"/>
        <v>0</v>
      </c>
      <c r="N403" s="130">
        <f t="shared" si="182"/>
        <v>0</v>
      </c>
      <c r="O403" s="524"/>
      <c r="P403" s="524"/>
      <c r="Q403" s="524"/>
      <c r="R403" s="524"/>
      <c r="S403" s="524"/>
      <c r="T403" s="524"/>
      <c r="U403" s="524"/>
      <c r="V403" s="132">
        <f t="shared" si="183"/>
        <v>0</v>
      </c>
      <c r="W403" s="133" t="str">
        <f t="shared" si="184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28"/>
      <c r="H404" s="516">
        <f t="shared" si="170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5"/>
        <v>0</v>
      </c>
      <c r="N404" s="130">
        <f t="shared" si="182"/>
        <v>0</v>
      </c>
      <c r="O404" s="524"/>
      <c r="P404" s="524"/>
      <c r="Q404" s="524"/>
      <c r="R404" s="524"/>
      <c r="S404" s="524"/>
      <c r="T404" s="524"/>
      <c r="U404" s="524"/>
      <c r="V404" s="132">
        <f t="shared" si="183"/>
        <v>0</v>
      </c>
      <c r="W404" s="133" t="str">
        <f t="shared" si="184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28"/>
      <c r="H405" s="516">
        <f t="shared" si="170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5"/>
        <v>0</v>
      </c>
      <c r="N405" s="130">
        <f t="shared" si="182"/>
        <v>0</v>
      </c>
      <c r="O405" s="524"/>
      <c r="P405" s="524"/>
      <c r="Q405" s="524"/>
      <c r="R405" s="524"/>
      <c r="S405" s="524"/>
      <c r="T405" s="524"/>
      <c r="U405" s="524"/>
      <c r="V405" s="132">
        <f t="shared" si="183"/>
        <v>0</v>
      </c>
      <c r="W405" s="133" t="str">
        <f t="shared" si="184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28"/>
      <c r="H406" s="516">
        <f t="shared" si="170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5"/>
        <v>0</v>
      </c>
      <c r="N406" s="130">
        <f t="shared" si="182"/>
        <v>0</v>
      </c>
      <c r="O406" s="524"/>
      <c r="P406" s="524"/>
      <c r="Q406" s="524"/>
      <c r="R406" s="524"/>
      <c r="S406" s="524"/>
      <c r="T406" s="524"/>
      <c r="U406" s="524"/>
      <c r="V406" s="132">
        <f t="shared" si="183"/>
        <v>0</v>
      </c>
      <c r="W406" s="133" t="str">
        <f t="shared" si="184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28"/>
      <c r="H407" s="516">
        <f t="shared" si="170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75"/>
        <v>0</v>
      </c>
      <c r="N407" s="130">
        <f t="shared" si="182"/>
        <v>0</v>
      </c>
      <c r="O407" s="524"/>
      <c r="P407" s="524"/>
      <c r="Q407" s="524"/>
      <c r="R407" s="524"/>
      <c r="S407" s="524"/>
      <c r="T407" s="524"/>
      <c r="U407" s="524"/>
      <c r="V407" s="132">
        <f t="shared" si="183"/>
        <v>0</v>
      </c>
      <c r="W407" s="133" t="str">
        <f t="shared" si="184"/>
        <v/>
      </c>
      <c r="X407" s="132"/>
      <c r="Y407" s="132"/>
      <c r="Z407" s="132"/>
      <c r="AA407" s="132"/>
    </row>
    <row r="408" spans="1:27" ht="20.100000000000001" hidden="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28"/>
      <c r="H408" s="516">
        <f t="shared" si="170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75"/>
        <v>0</v>
      </c>
      <c r="N408" s="130">
        <f t="shared" si="182"/>
        <v>0</v>
      </c>
      <c r="O408" s="524"/>
      <c r="P408" s="524"/>
      <c r="Q408" s="524"/>
      <c r="R408" s="524"/>
      <c r="S408" s="524"/>
      <c r="T408" s="524"/>
      <c r="U408" s="524"/>
      <c r="V408" s="132">
        <f t="shared" si="183"/>
        <v>0</v>
      </c>
      <c r="W408" s="133" t="str">
        <f t="shared" si="184"/>
        <v/>
      </c>
      <c r="X408" s="132"/>
      <c r="Y408" s="132"/>
      <c r="Z408" s="132"/>
      <c r="AA408" s="132"/>
    </row>
    <row r="409" spans="1:27" ht="20.100000000000001" hidden="1" customHeight="1">
      <c r="A409" s="300">
        <v>30100043</v>
      </c>
      <c r="B409" s="134" t="s">
        <v>429</v>
      </c>
      <c r="C409" s="187" t="s">
        <v>427</v>
      </c>
      <c r="D409" s="108">
        <v>50.3</v>
      </c>
      <c r="E409" s="108"/>
      <c r="F409" s="127"/>
      <c r="G409" s="128"/>
      <c r="H409" s="516">
        <f t="shared" si="170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524"/>
      <c r="P409" s="524"/>
      <c r="Q409" s="524"/>
      <c r="R409" s="524"/>
      <c r="S409" s="524"/>
      <c r="T409" s="524"/>
      <c r="U409" s="524"/>
      <c r="V409" s="132"/>
      <c r="W409" s="133"/>
      <c r="X409" s="132"/>
      <c r="Y409" s="132"/>
      <c r="Z409" s="132"/>
      <c r="AA409" s="132"/>
    </row>
    <row r="410" spans="1:27" ht="20.100000000000001" hidden="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28"/>
      <c r="H410" s="516">
        <f t="shared" si="170"/>
        <v>0</v>
      </c>
      <c r="I410" s="129"/>
      <c r="J410" s="130"/>
      <c r="K410" s="131"/>
      <c r="L410" s="129">
        <v>50</v>
      </c>
      <c r="M410" s="109"/>
      <c r="N410" s="130"/>
      <c r="O410" s="524"/>
      <c r="P410" s="524"/>
      <c r="Q410" s="524"/>
      <c r="R410" s="524"/>
      <c r="S410" s="524"/>
      <c r="T410" s="524"/>
      <c r="U410" s="524"/>
      <c r="V410" s="132"/>
      <c r="W410" s="133"/>
      <c r="X410" s="132"/>
      <c r="Y410" s="132"/>
      <c r="Z410" s="132"/>
      <c r="AA410" s="132"/>
    </row>
    <row r="411" spans="1:27" ht="20.100000000000001" hidden="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28"/>
      <c r="H411" s="516">
        <f t="shared" si="170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5">IF(ISERROR(I411-K411),"",I411-K411)</f>
        <v>0</v>
      </c>
      <c r="N411" s="130">
        <f t="shared" ref="N411:N412" si="186">SUM(O411:U411)</f>
        <v>0</v>
      </c>
      <c r="O411" s="524"/>
      <c r="P411" s="524"/>
      <c r="Q411" s="524"/>
      <c r="R411" s="524"/>
      <c r="S411" s="524"/>
      <c r="T411" s="524"/>
      <c r="U411" s="524"/>
      <c r="V411" s="132">
        <f t="shared" ref="V411:V412" si="187">SUM(X411:AA411)</f>
        <v>0</v>
      </c>
      <c r="W411" s="133" t="str">
        <f t="shared" ref="W411:W412" si="188">IF(ISERROR(V411/G411),"",V411/G411)</f>
        <v/>
      </c>
      <c r="X411" s="132"/>
      <c r="Y411" s="132"/>
      <c r="Z411" s="132"/>
      <c r="AA411" s="132"/>
    </row>
    <row r="412" spans="1:27" ht="20.100000000000001" hidden="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28"/>
      <c r="H412" s="516">
        <f t="shared" si="170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5"/>
        <v>0</v>
      </c>
      <c r="N412" s="130">
        <f t="shared" si="186"/>
        <v>0</v>
      </c>
      <c r="O412" s="524"/>
      <c r="P412" s="524"/>
      <c r="Q412" s="524"/>
      <c r="R412" s="524"/>
      <c r="S412" s="524"/>
      <c r="T412" s="524"/>
      <c r="U412" s="524"/>
      <c r="V412" s="132">
        <f t="shared" si="187"/>
        <v>0</v>
      </c>
      <c r="W412" s="133" t="str">
        <f t="shared" si="188"/>
        <v/>
      </c>
      <c r="X412" s="132"/>
      <c r="Y412" s="132"/>
      <c r="Z412" s="132"/>
      <c r="AA412" s="132"/>
    </row>
    <row r="413" spans="1:27" ht="20.100000000000001" hidden="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28"/>
      <c r="H413" s="516">
        <f t="shared" si="170"/>
        <v>0</v>
      </c>
      <c r="I413" s="129"/>
      <c r="J413" s="130"/>
      <c r="K413" s="131"/>
      <c r="L413" s="129"/>
      <c r="M413" s="109"/>
      <c r="N413" s="130"/>
      <c r="O413" s="524"/>
      <c r="P413" s="524"/>
      <c r="Q413" s="524"/>
      <c r="R413" s="524"/>
      <c r="S413" s="524"/>
      <c r="T413" s="524"/>
      <c r="U413" s="524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28"/>
      <c r="H414" s="516">
        <f t="shared" si="170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89">IF(ISERROR(I414-K414),"",I414-K414)</f>
        <v/>
      </c>
      <c r="N414" s="130">
        <f t="shared" ref="N414:N417" si="190">SUM(O414:U414)</f>
        <v>0</v>
      </c>
      <c r="O414" s="524"/>
      <c r="P414" s="524"/>
      <c r="Q414" s="524"/>
      <c r="R414" s="524"/>
      <c r="S414" s="524"/>
      <c r="T414" s="524"/>
      <c r="U414" s="524"/>
      <c r="V414" s="132">
        <f t="shared" ref="V414:V417" si="191">SUM(X414:AA414)</f>
        <v>0</v>
      </c>
      <c r="W414" s="133" t="str">
        <f t="shared" ref="W414:W417" si="192">IF(ISERROR(V414/G414),"",V414/G414)</f>
        <v/>
      </c>
      <c r="X414" s="132"/>
      <c r="Y414" s="132"/>
      <c r="Z414" s="132"/>
      <c r="AA414" s="132"/>
    </row>
    <row r="415" spans="1:27" ht="20.100000000000001" hidden="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28"/>
      <c r="H415" s="516">
        <f t="shared" si="170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89"/>
        <v/>
      </c>
      <c r="N415" s="130">
        <f t="shared" si="190"/>
        <v>0</v>
      </c>
      <c r="O415" s="524"/>
      <c r="P415" s="524"/>
      <c r="Q415" s="524"/>
      <c r="R415" s="524"/>
      <c r="S415" s="524"/>
      <c r="T415" s="524"/>
      <c r="U415" s="524"/>
      <c r="V415" s="132">
        <f t="shared" si="191"/>
        <v>0</v>
      </c>
      <c r="W415" s="133" t="str">
        <f t="shared" si="192"/>
        <v/>
      </c>
      <c r="X415" s="132"/>
      <c r="Y415" s="132"/>
      <c r="Z415" s="132"/>
      <c r="AA415" s="132"/>
    </row>
    <row r="416" spans="1:27" ht="20.100000000000001" hidden="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28"/>
      <c r="H416" s="516">
        <f t="shared" si="170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89"/>
        <v/>
      </c>
      <c r="N416" s="130">
        <f t="shared" si="190"/>
        <v>0</v>
      </c>
      <c r="O416" s="524"/>
      <c r="P416" s="524"/>
      <c r="Q416" s="524"/>
      <c r="R416" s="524"/>
      <c r="S416" s="524"/>
      <c r="T416" s="524"/>
      <c r="U416" s="524"/>
      <c r="V416" s="132">
        <f t="shared" si="191"/>
        <v>0</v>
      </c>
      <c r="W416" s="133" t="str">
        <f t="shared" si="192"/>
        <v/>
      </c>
      <c r="X416" s="132"/>
      <c r="Y416" s="132"/>
      <c r="Z416" s="132"/>
      <c r="AA416" s="132"/>
    </row>
    <row r="417" spans="1:27" ht="20.100000000000001" hidden="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28"/>
      <c r="H417" s="516">
        <f t="shared" si="170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89"/>
        <v/>
      </c>
      <c r="N417" s="130">
        <f t="shared" si="190"/>
        <v>0</v>
      </c>
      <c r="O417" s="524"/>
      <c r="P417" s="524"/>
      <c r="Q417" s="524"/>
      <c r="R417" s="524"/>
      <c r="S417" s="524"/>
      <c r="T417" s="524"/>
      <c r="U417" s="524"/>
      <c r="V417" s="132">
        <f t="shared" si="191"/>
        <v>0</v>
      </c>
      <c r="W417" s="133" t="str">
        <f t="shared" si="192"/>
        <v/>
      </c>
      <c r="X417" s="132"/>
      <c r="Y417" s="132"/>
      <c r="Z417" s="132"/>
      <c r="AA417" s="132"/>
    </row>
    <row r="418" spans="1:27" ht="20.100000000000001" hidden="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28"/>
      <c r="H418" s="516">
        <f t="shared" si="170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89"/>
        <v>0</v>
      </c>
      <c r="N418" s="130"/>
      <c r="O418" s="524"/>
      <c r="P418" s="524"/>
      <c r="Q418" s="524"/>
      <c r="R418" s="524"/>
      <c r="S418" s="524"/>
      <c r="T418" s="524"/>
      <c r="U418" s="524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28"/>
      <c r="H419" s="516">
        <f t="shared" si="170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89"/>
        <v>0</v>
      </c>
      <c r="N419" s="130"/>
      <c r="O419" s="524"/>
      <c r="P419" s="524"/>
      <c r="Q419" s="524"/>
      <c r="R419" s="524"/>
      <c r="S419" s="524"/>
      <c r="T419" s="524"/>
      <c r="U419" s="524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28"/>
      <c r="H420" s="516">
        <f t="shared" si="170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89"/>
        <v>0</v>
      </c>
      <c r="N420" s="130"/>
      <c r="O420" s="524"/>
      <c r="P420" s="524"/>
      <c r="Q420" s="524"/>
      <c r="R420" s="524"/>
      <c r="S420" s="524"/>
      <c r="T420" s="524"/>
      <c r="U420" s="524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28"/>
      <c r="H421" s="516">
        <f t="shared" si="170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89"/>
        <v>0</v>
      </c>
      <c r="N421" s="130"/>
      <c r="O421" s="524"/>
      <c r="P421" s="524"/>
      <c r="Q421" s="524"/>
      <c r="R421" s="524"/>
      <c r="S421" s="524"/>
      <c r="T421" s="524"/>
      <c r="U421" s="524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28"/>
      <c r="H422" s="516">
        <f t="shared" si="170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89"/>
        <v>0</v>
      </c>
      <c r="N422" s="130"/>
      <c r="O422" s="524"/>
      <c r="P422" s="524"/>
      <c r="Q422" s="524"/>
      <c r="R422" s="524"/>
      <c r="S422" s="524"/>
      <c r="T422" s="524"/>
      <c r="U422" s="524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28"/>
      <c r="H423" s="516">
        <f t="shared" si="170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89"/>
        <v>0</v>
      </c>
      <c r="N423" s="130"/>
      <c r="O423" s="524"/>
      <c r="P423" s="524"/>
      <c r="Q423" s="524"/>
      <c r="R423" s="524"/>
      <c r="S423" s="524"/>
      <c r="T423" s="524"/>
      <c r="U423" s="524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28"/>
      <c r="H424" s="516">
        <f t="shared" si="170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89"/>
        <v>0</v>
      </c>
      <c r="N424" s="130"/>
      <c r="O424" s="524"/>
      <c r="P424" s="524"/>
      <c r="Q424" s="524"/>
      <c r="R424" s="524"/>
      <c r="S424" s="524"/>
      <c r="T424" s="524"/>
      <c r="U424" s="524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28"/>
      <c r="H425" s="516">
        <f t="shared" si="170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89"/>
        <v>0</v>
      </c>
      <c r="N425" s="130"/>
      <c r="O425" s="524"/>
      <c r="P425" s="524"/>
      <c r="Q425" s="524"/>
      <c r="R425" s="524"/>
      <c r="S425" s="524"/>
      <c r="T425" s="524"/>
      <c r="U425" s="524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28"/>
      <c r="H426" s="516">
        <f t="shared" si="170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89"/>
        <v>0</v>
      </c>
      <c r="N426" s="130"/>
      <c r="O426" s="524"/>
      <c r="P426" s="524"/>
      <c r="Q426" s="524"/>
      <c r="R426" s="524"/>
      <c r="S426" s="524"/>
      <c r="T426" s="524"/>
      <c r="U426" s="524"/>
      <c r="V426" s="132"/>
      <c r="W426" s="133"/>
      <c r="X426" s="132"/>
      <c r="Y426" s="132"/>
      <c r="Z426" s="132"/>
      <c r="AA426" s="132"/>
    </row>
    <row r="427" spans="1:27" ht="20.100000000000001" hidden="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28"/>
      <c r="H427" s="516">
        <f t="shared" si="170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89"/>
        <v>0</v>
      </c>
      <c r="N427" s="130"/>
      <c r="O427" s="524"/>
      <c r="P427" s="524"/>
      <c r="Q427" s="524"/>
      <c r="R427" s="524"/>
      <c r="S427" s="524"/>
      <c r="T427" s="524"/>
      <c r="U427" s="524"/>
      <c r="V427" s="132"/>
      <c r="W427" s="133"/>
      <c r="X427" s="132"/>
      <c r="Y427" s="132"/>
      <c r="Z427" s="132"/>
      <c r="AA427" s="132"/>
    </row>
    <row r="428" spans="1:27" ht="20.100000000000001" hidden="1" customHeight="1">
      <c r="A428" s="589" t="s">
        <v>216</v>
      </c>
      <c r="B428" s="589"/>
      <c r="C428" s="525" t="s">
        <v>202</v>
      </c>
      <c r="D428" s="143"/>
      <c r="E428" s="143"/>
      <c r="F428" s="144"/>
      <c r="G428" s="145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3">SUM(M371:M427)</f>
        <v>0</v>
      </c>
      <c r="N428" s="146">
        <f t="shared" si="193"/>
        <v>0</v>
      </c>
      <c r="O428" s="148">
        <f t="shared" si="193"/>
        <v>0</v>
      </c>
      <c r="P428" s="148">
        <f t="shared" si="193"/>
        <v>0</v>
      </c>
      <c r="Q428" s="148">
        <f t="shared" si="193"/>
        <v>0</v>
      </c>
      <c r="R428" s="148">
        <f t="shared" si="193"/>
        <v>0</v>
      </c>
      <c r="S428" s="148">
        <f t="shared" si="193"/>
        <v>0</v>
      </c>
      <c r="T428" s="148">
        <f t="shared" si="193"/>
        <v>0</v>
      </c>
      <c r="U428" s="148">
        <f t="shared" si="193"/>
        <v>0</v>
      </c>
      <c r="V428" s="149">
        <f t="shared" si="193"/>
        <v>0</v>
      </c>
      <c r="W428" s="133" t="str">
        <f t="shared" ref="W428:W435" si="194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hidden="1" customHeight="1">
      <c r="A429" s="299">
        <v>30400012</v>
      </c>
      <c r="B429" s="515" t="s">
        <v>217</v>
      </c>
      <c r="C429" s="126" t="s">
        <v>179</v>
      </c>
      <c r="D429" s="108">
        <v>5.03</v>
      </c>
      <c r="E429" s="108"/>
      <c r="F429" s="127"/>
      <c r="G429" s="128"/>
      <c r="H429" s="516">
        <f t="shared" ref="H429:H462" si="195">D429*G429</f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ref="M429:M436" si="196">IF(ISERROR(I429-K429),"",I429-K429)</f>
        <v>0</v>
      </c>
      <c r="N429" s="130">
        <f t="shared" ref="N429:N436" si="197">SUM(O429:U429)</f>
        <v>0</v>
      </c>
      <c r="O429" s="524"/>
      <c r="P429" s="524"/>
      <c r="Q429" s="524"/>
      <c r="R429" s="524"/>
      <c r="S429" s="524"/>
      <c r="T429" s="524"/>
      <c r="U429" s="524"/>
      <c r="V429" s="132">
        <f t="shared" ref="V429:V435" si="198">SUM(X429:AA429)</f>
        <v>0</v>
      </c>
      <c r="W429" s="133" t="str">
        <f t="shared" si="194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30400010</v>
      </c>
      <c r="B430" s="515" t="s">
        <v>217</v>
      </c>
      <c r="C430" s="126" t="s">
        <v>186</v>
      </c>
      <c r="D430" s="108">
        <v>5.03</v>
      </c>
      <c r="E430" s="108"/>
      <c r="F430" s="127"/>
      <c r="G430" s="128"/>
      <c r="H430" s="516">
        <f t="shared" si="195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8.8000000000000007</v>
      </c>
      <c r="M430" s="109">
        <f t="shared" si="196"/>
        <v>0</v>
      </c>
      <c r="N430" s="130">
        <f t="shared" si="197"/>
        <v>0</v>
      </c>
      <c r="O430" s="524"/>
      <c r="P430" s="524"/>
      <c r="Q430" s="524"/>
      <c r="R430" s="524"/>
      <c r="S430" s="524"/>
      <c r="T430" s="524"/>
      <c r="U430" s="524"/>
      <c r="V430" s="132">
        <f t="shared" si="198"/>
        <v>0</v>
      </c>
      <c r="W430" s="133" t="str">
        <f t="shared" si="194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30400011</v>
      </c>
      <c r="B431" s="515" t="s">
        <v>217</v>
      </c>
      <c r="C431" s="126" t="s">
        <v>204</v>
      </c>
      <c r="D431" s="108">
        <v>5.03</v>
      </c>
      <c r="E431" s="108"/>
      <c r="F431" s="127"/>
      <c r="G431" s="128"/>
      <c r="H431" s="516">
        <f t="shared" si="195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8.8000000000000007</v>
      </c>
      <c r="M431" s="109">
        <f t="shared" si="196"/>
        <v>0</v>
      </c>
      <c r="N431" s="130">
        <f t="shared" si="197"/>
        <v>0</v>
      </c>
      <c r="O431" s="524"/>
      <c r="P431" s="524"/>
      <c r="Q431" s="524"/>
      <c r="R431" s="524"/>
      <c r="S431" s="524"/>
      <c r="T431" s="524"/>
      <c r="U431" s="524"/>
      <c r="V431" s="132">
        <f t="shared" si="198"/>
        <v>0</v>
      </c>
      <c r="W431" s="133" t="str">
        <f t="shared" si="194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28"/>
      <c r="H432" s="516">
        <f t="shared" si="195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6"/>
        <v>0</v>
      </c>
      <c r="N432" s="130">
        <f t="shared" si="197"/>
        <v>0</v>
      </c>
      <c r="O432" s="524"/>
      <c r="P432" s="524"/>
      <c r="Q432" s="524"/>
      <c r="R432" s="524"/>
      <c r="S432" s="524"/>
      <c r="T432" s="524"/>
      <c r="U432" s="524"/>
      <c r="V432" s="132">
        <f t="shared" si="198"/>
        <v>0</v>
      </c>
      <c r="W432" s="133" t="str">
        <f t="shared" si="194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/>
      <c r="G433" s="128"/>
      <c r="H433" s="516">
        <f t="shared" si="195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6"/>
        <v>0</v>
      </c>
      <c r="N433" s="130">
        <f t="shared" si="197"/>
        <v>0</v>
      </c>
      <c r="O433" s="524"/>
      <c r="P433" s="524"/>
      <c r="Q433" s="524"/>
      <c r="R433" s="524"/>
      <c r="S433" s="524"/>
      <c r="T433" s="524"/>
      <c r="U433" s="524"/>
      <c r="V433" s="132">
        <f t="shared" si="198"/>
        <v>0</v>
      </c>
      <c r="W433" s="133" t="str">
        <f t="shared" si="194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/>
      <c r="G434" s="128"/>
      <c r="H434" s="516">
        <f t="shared" si="195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9.3000000000000007</v>
      </c>
      <c r="M434" s="109">
        <f t="shared" si="196"/>
        <v>0</v>
      </c>
      <c r="N434" s="130">
        <f t="shared" si="197"/>
        <v>0</v>
      </c>
      <c r="O434" s="524"/>
      <c r="P434" s="524"/>
      <c r="Q434" s="524"/>
      <c r="R434" s="524"/>
      <c r="S434" s="524"/>
      <c r="T434" s="524"/>
      <c r="U434" s="524"/>
      <c r="V434" s="132">
        <f t="shared" si="198"/>
        <v>0</v>
      </c>
      <c r="W434" s="133" t="str">
        <f t="shared" si="194"/>
        <v/>
      </c>
      <c r="X434" s="132"/>
      <c r="Y434" s="132"/>
      <c r="Z434" s="132"/>
      <c r="AA434" s="132"/>
    </row>
    <row r="435" spans="1:27" ht="20.100000000000001" hidden="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/>
      <c r="G435" s="128"/>
      <c r="H435" s="516">
        <f t="shared" si="195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9.3000000000000007</v>
      </c>
      <c r="M435" s="109">
        <f t="shared" si="196"/>
        <v>0</v>
      </c>
      <c r="N435" s="130">
        <f t="shared" si="197"/>
        <v>0</v>
      </c>
      <c r="O435" s="524"/>
      <c r="P435" s="524"/>
      <c r="Q435" s="524"/>
      <c r="R435" s="524"/>
      <c r="S435" s="524"/>
      <c r="T435" s="524"/>
      <c r="U435" s="524"/>
      <c r="V435" s="132">
        <f t="shared" si="198"/>
        <v>0</v>
      </c>
      <c r="W435" s="133" t="str">
        <f t="shared" si="194"/>
        <v/>
      </c>
      <c r="X435" s="132"/>
      <c r="Y435" s="132"/>
      <c r="Z435" s="132"/>
      <c r="AA435" s="132"/>
    </row>
    <row r="436" spans="1:27" ht="20.100000000000001" hidden="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/>
      <c r="G436" s="128"/>
      <c r="H436" s="516">
        <f t="shared" si="195"/>
        <v>0</v>
      </c>
      <c r="I436" s="129"/>
      <c r="J436" s="130"/>
      <c r="K436" s="131">
        <f t="array" ref="K436">IF(ISERROR(G436/L436),"",G436/L436)</f>
        <v>0</v>
      </c>
      <c r="L436" s="129">
        <v>9.3000000000000007</v>
      </c>
      <c r="M436" s="109">
        <f t="shared" si="196"/>
        <v>0</v>
      </c>
      <c r="N436" s="130">
        <f t="shared" si="197"/>
        <v>0</v>
      </c>
      <c r="O436" s="524"/>
      <c r="P436" s="524"/>
      <c r="Q436" s="524"/>
      <c r="R436" s="524"/>
      <c r="S436" s="524"/>
      <c r="T436" s="524"/>
      <c r="U436" s="524"/>
      <c r="V436" s="132"/>
      <c r="W436" s="133"/>
      <c r="X436" s="132"/>
      <c r="Y436" s="132"/>
      <c r="Z436" s="132"/>
      <c r="AA436" s="132"/>
    </row>
    <row r="437" spans="1:27" ht="20.100000000000001" hidden="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28"/>
      <c r="H437" s="516">
        <f t="shared" si="195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524"/>
      <c r="P437" s="524"/>
      <c r="Q437" s="524"/>
      <c r="R437" s="524"/>
      <c r="S437" s="524"/>
      <c r="T437" s="524"/>
      <c r="U437" s="524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28"/>
      <c r="H438" s="516">
        <f t="shared" si="195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524"/>
      <c r="P438" s="524"/>
      <c r="Q438" s="524"/>
      <c r="R438" s="524"/>
      <c r="S438" s="524"/>
      <c r="T438" s="524"/>
      <c r="U438" s="524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28"/>
      <c r="H439" s="516">
        <f t="shared" si="195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524"/>
      <c r="P439" s="524"/>
      <c r="Q439" s="524"/>
      <c r="R439" s="524"/>
      <c r="S439" s="524"/>
      <c r="T439" s="524"/>
      <c r="U439" s="524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28"/>
      <c r="H440" s="516">
        <f t="shared" si="195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524"/>
      <c r="P440" s="524"/>
      <c r="Q440" s="524"/>
      <c r="R440" s="524"/>
      <c r="S440" s="524"/>
      <c r="T440" s="524"/>
      <c r="U440" s="524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hidden="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28"/>
      <c r="H441" s="516">
        <f t="shared" si="195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2" si="199">IF(ISERROR(I441-K441),"",I441-K441)</f>
        <v>0</v>
      </c>
      <c r="N441" s="130">
        <f t="shared" ref="N441:N456" si="200">SUM(O441:U441)</f>
        <v>0</v>
      </c>
      <c r="O441" s="524"/>
      <c r="P441" s="524"/>
      <c r="Q441" s="524"/>
      <c r="R441" s="524"/>
      <c r="S441" s="524"/>
      <c r="T441" s="524"/>
      <c r="U441" s="524"/>
      <c r="V441" s="132">
        <f t="shared" ref="V441:V444" si="201">SUM(X441:AA441)</f>
        <v>0</v>
      </c>
      <c r="W441" s="133" t="str">
        <f t="shared" ref="W441:W448" si="202">IF(ISERROR(V441/G441),"",V441/G441)</f>
        <v/>
      </c>
      <c r="X441" s="132"/>
      <c r="Y441" s="132"/>
      <c r="Z441" s="132"/>
      <c r="AA441" s="132"/>
    </row>
    <row r="442" spans="1:27" ht="20.100000000000001" hidden="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28"/>
      <c r="H442" s="516">
        <f t="shared" si="195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199"/>
        <v/>
      </c>
      <c r="N442" s="130">
        <f t="shared" si="200"/>
        <v>0</v>
      </c>
      <c r="O442" s="524"/>
      <c r="P442" s="524"/>
      <c r="Q442" s="524"/>
      <c r="R442" s="524"/>
      <c r="S442" s="524"/>
      <c r="T442" s="524"/>
      <c r="U442" s="524"/>
      <c r="V442" s="132">
        <f t="shared" si="201"/>
        <v>0</v>
      </c>
      <c r="W442" s="133" t="str">
        <f t="shared" si="202"/>
        <v/>
      </c>
      <c r="X442" s="132"/>
      <c r="Y442" s="132"/>
      <c r="Z442" s="132"/>
      <c r="AA442" s="132"/>
    </row>
    <row r="443" spans="1:27" ht="20.100000000000001" hidden="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28"/>
      <c r="H443" s="516">
        <f t="shared" si="195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199"/>
        <v/>
      </c>
      <c r="N443" s="130">
        <f t="shared" si="200"/>
        <v>0</v>
      </c>
      <c r="O443" s="524"/>
      <c r="P443" s="524"/>
      <c r="Q443" s="524"/>
      <c r="R443" s="524"/>
      <c r="S443" s="524"/>
      <c r="T443" s="524"/>
      <c r="U443" s="524"/>
      <c r="V443" s="132">
        <f t="shared" si="201"/>
        <v>0</v>
      </c>
      <c r="W443" s="133" t="str">
        <f t="shared" si="202"/>
        <v/>
      </c>
      <c r="X443" s="132"/>
      <c r="Y443" s="132"/>
      <c r="Z443" s="132"/>
      <c r="AA443" s="132"/>
    </row>
    <row r="444" spans="1:27" ht="20.100000000000001" hidden="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28"/>
      <c r="H444" s="516">
        <f t="shared" si="195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199"/>
        <v/>
      </c>
      <c r="N444" s="130">
        <f t="shared" si="200"/>
        <v>0</v>
      </c>
      <c r="O444" s="524"/>
      <c r="P444" s="524"/>
      <c r="Q444" s="524"/>
      <c r="R444" s="524"/>
      <c r="S444" s="524"/>
      <c r="T444" s="524"/>
      <c r="U444" s="524"/>
      <c r="V444" s="132">
        <f t="shared" si="201"/>
        <v>0</v>
      </c>
      <c r="W444" s="133" t="str">
        <f t="shared" si="202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30600005</v>
      </c>
      <c r="B445" s="515" t="s">
        <v>222</v>
      </c>
      <c r="C445" s="126" t="s">
        <v>181</v>
      </c>
      <c r="D445" s="108">
        <v>9.36</v>
      </c>
      <c r="E445" s="108"/>
      <c r="F445" s="127"/>
      <c r="G445" s="128"/>
      <c r="H445" s="516">
        <f t="shared" si="195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199"/>
        <v>0</v>
      </c>
      <c r="N445" s="130">
        <f t="shared" si="200"/>
        <v>0</v>
      </c>
      <c r="O445" s="524"/>
      <c r="P445" s="524"/>
      <c r="Q445" s="524"/>
      <c r="R445" s="524"/>
      <c r="S445" s="524"/>
      <c r="T445" s="524"/>
      <c r="U445" s="524"/>
      <c r="V445" s="132">
        <f t="shared" ref="V445:V448" si="203">SUM(X445:AA445)</f>
        <v>0</v>
      </c>
      <c r="W445" s="133" t="str">
        <f t="shared" si="202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30600008</v>
      </c>
      <c r="B446" s="515" t="s">
        <v>222</v>
      </c>
      <c r="C446" s="126" t="s">
        <v>179</v>
      </c>
      <c r="D446" s="108">
        <v>9.36</v>
      </c>
      <c r="E446" s="108"/>
      <c r="F446" s="127"/>
      <c r="G446" s="128"/>
      <c r="H446" s="516">
        <f t="shared" si="195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199"/>
        <v>0</v>
      </c>
      <c r="N446" s="130">
        <f t="shared" si="200"/>
        <v>0</v>
      </c>
      <c r="O446" s="524"/>
      <c r="P446" s="524"/>
      <c r="Q446" s="524"/>
      <c r="R446" s="524"/>
      <c r="S446" s="524"/>
      <c r="T446" s="524"/>
      <c r="U446" s="524"/>
      <c r="V446" s="132">
        <f t="shared" si="203"/>
        <v>0</v>
      </c>
      <c r="W446" s="133" t="str">
        <f t="shared" si="202"/>
        <v/>
      </c>
      <c r="X446" s="132"/>
      <c r="Y446" s="132"/>
      <c r="Z446" s="132"/>
      <c r="AA446" s="132"/>
    </row>
    <row r="447" spans="1:27" ht="20.100000000000001" hidden="1" customHeight="1">
      <c r="A447" s="304">
        <v>30600007</v>
      </c>
      <c r="B447" s="515" t="s">
        <v>222</v>
      </c>
      <c r="C447" s="126" t="s">
        <v>221</v>
      </c>
      <c r="D447" s="108">
        <v>9.36</v>
      </c>
      <c r="E447" s="108"/>
      <c r="F447" s="127"/>
      <c r="G447" s="128"/>
      <c r="H447" s="516">
        <f t="shared" si="195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199"/>
        <v>0</v>
      </c>
      <c r="N447" s="130">
        <f t="shared" si="200"/>
        <v>0</v>
      </c>
      <c r="O447" s="524"/>
      <c r="P447" s="524"/>
      <c r="Q447" s="524"/>
      <c r="R447" s="524"/>
      <c r="S447" s="524"/>
      <c r="T447" s="524"/>
      <c r="U447" s="524"/>
      <c r="V447" s="132">
        <f t="shared" si="203"/>
        <v>0</v>
      </c>
      <c r="W447" s="133" t="str">
        <f t="shared" si="202"/>
        <v/>
      </c>
      <c r="X447" s="132"/>
      <c r="Y447" s="132"/>
      <c r="Z447" s="132"/>
      <c r="AA447" s="132"/>
    </row>
    <row r="448" spans="1:27" ht="20.100000000000001" hidden="1" customHeight="1">
      <c r="A448" s="304">
        <v>30600006</v>
      </c>
      <c r="B448" s="515" t="s">
        <v>222</v>
      </c>
      <c r="C448" s="126" t="s">
        <v>186</v>
      </c>
      <c r="D448" s="108">
        <v>9.36</v>
      </c>
      <c r="E448" s="108"/>
      <c r="F448" s="127"/>
      <c r="G448" s="128"/>
      <c r="H448" s="516">
        <f t="shared" si="195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199"/>
        <v>0</v>
      </c>
      <c r="N448" s="130">
        <f t="shared" si="200"/>
        <v>0</v>
      </c>
      <c r="O448" s="524"/>
      <c r="P448" s="524"/>
      <c r="Q448" s="524"/>
      <c r="R448" s="524"/>
      <c r="S448" s="524"/>
      <c r="T448" s="524"/>
      <c r="U448" s="524"/>
      <c r="V448" s="132">
        <f t="shared" si="203"/>
        <v>0</v>
      </c>
      <c r="W448" s="133" t="str">
        <f t="shared" si="202"/>
        <v/>
      </c>
      <c r="X448" s="132"/>
      <c r="Y448" s="132"/>
      <c r="Z448" s="132"/>
      <c r="AA448" s="132"/>
    </row>
    <row r="449" spans="1:27" ht="20.100000000000001" hidden="1" customHeight="1">
      <c r="A449" s="299">
        <v>30400026</v>
      </c>
      <c r="B449" s="515" t="s">
        <v>393</v>
      </c>
      <c r="C449" s="187" t="s">
        <v>395</v>
      </c>
      <c r="D449" s="108">
        <v>5</v>
      </c>
      <c r="E449" s="108"/>
      <c r="F449" s="127"/>
      <c r="G449" s="128"/>
      <c r="H449" s="516">
        <f t="shared" si="195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199"/>
        <v>0</v>
      </c>
      <c r="N449" s="130">
        <f t="shared" si="200"/>
        <v>0</v>
      </c>
      <c r="O449" s="524"/>
      <c r="P449" s="524"/>
      <c r="Q449" s="524"/>
      <c r="R449" s="524"/>
      <c r="S449" s="524"/>
      <c r="T449" s="524"/>
      <c r="U449" s="524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>
        <v>30400028</v>
      </c>
      <c r="B450" s="515" t="s">
        <v>393</v>
      </c>
      <c r="C450" s="187" t="s">
        <v>402</v>
      </c>
      <c r="D450" s="108">
        <v>5</v>
      </c>
      <c r="E450" s="108"/>
      <c r="F450" s="127"/>
      <c r="G450" s="128"/>
      <c r="H450" s="516">
        <f t="shared" si="195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199"/>
        <v>0</v>
      </c>
      <c r="N450" s="130">
        <f t="shared" si="200"/>
        <v>0</v>
      </c>
      <c r="O450" s="524"/>
      <c r="P450" s="524"/>
      <c r="Q450" s="524"/>
      <c r="R450" s="524"/>
      <c r="S450" s="524"/>
      <c r="T450" s="524"/>
      <c r="U450" s="524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30400027</v>
      </c>
      <c r="B451" s="515" t="s">
        <v>404</v>
      </c>
      <c r="C451" s="187" t="s">
        <v>405</v>
      </c>
      <c r="D451" s="108">
        <v>5</v>
      </c>
      <c r="E451" s="108"/>
      <c r="F451" s="127"/>
      <c r="G451" s="128"/>
      <c r="H451" s="516">
        <f t="shared" si="195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199"/>
        <v>0</v>
      </c>
      <c r="N451" s="130">
        <f t="shared" si="200"/>
        <v>0</v>
      </c>
      <c r="O451" s="524"/>
      <c r="P451" s="524"/>
      <c r="Q451" s="524"/>
      <c r="R451" s="524"/>
      <c r="S451" s="524"/>
      <c r="T451" s="524"/>
      <c r="U451" s="524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/>
      <c r="B452" s="515" t="s">
        <v>342</v>
      </c>
      <c r="C452" s="187" t="s">
        <v>372</v>
      </c>
      <c r="D452" s="108">
        <v>5</v>
      </c>
      <c r="E452" s="108"/>
      <c r="F452" s="127"/>
      <c r="G452" s="128"/>
      <c r="H452" s="516">
        <f t="shared" si="195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199"/>
        <v>0</v>
      </c>
      <c r="N452" s="130">
        <f t="shared" si="200"/>
        <v>0</v>
      </c>
      <c r="O452" s="524"/>
      <c r="P452" s="524"/>
      <c r="Q452" s="524"/>
      <c r="R452" s="524"/>
      <c r="S452" s="524"/>
      <c r="T452" s="524"/>
      <c r="U452" s="524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30600009</v>
      </c>
      <c r="B453" s="515" t="s">
        <v>343</v>
      </c>
      <c r="C453" s="126" t="s">
        <v>345</v>
      </c>
      <c r="D453" s="108">
        <v>5</v>
      </c>
      <c r="E453" s="108"/>
      <c r="F453" s="127"/>
      <c r="G453" s="128"/>
      <c r="H453" s="516">
        <f t="shared" si="195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199"/>
        <v>0</v>
      </c>
      <c r="N453" s="130">
        <f t="shared" si="200"/>
        <v>0</v>
      </c>
      <c r="O453" s="524"/>
      <c r="P453" s="524"/>
      <c r="Q453" s="524"/>
      <c r="R453" s="524"/>
      <c r="S453" s="524"/>
      <c r="T453" s="524"/>
      <c r="U453" s="524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299">
        <v>30600010</v>
      </c>
      <c r="B454" s="515" t="s">
        <v>343</v>
      </c>
      <c r="C454" s="126" t="s">
        <v>347</v>
      </c>
      <c r="D454" s="108">
        <v>5</v>
      </c>
      <c r="E454" s="108"/>
      <c r="F454" s="127"/>
      <c r="G454" s="128"/>
      <c r="H454" s="516">
        <f t="shared" si="195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199"/>
        <v>0</v>
      </c>
      <c r="N454" s="130">
        <f t="shared" si="200"/>
        <v>0</v>
      </c>
      <c r="O454" s="524"/>
      <c r="P454" s="524"/>
      <c r="Q454" s="524"/>
      <c r="R454" s="524"/>
      <c r="S454" s="524"/>
      <c r="T454" s="524"/>
      <c r="U454" s="524"/>
      <c r="V454" s="132"/>
      <c r="W454" s="133"/>
      <c r="X454" s="132"/>
      <c r="Y454" s="132"/>
      <c r="Z454" s="132"/>
      <c r="AA454" s="132"/>
    </row>
    <row r="455" spans="1:27" ht="20.100000000000001" hidden="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/>
      <c r="G455" s="128"/>
      <c r="H455" s="516">
        <f t="shared" si="195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15.5</v>
      </c>
      <c r="M455" s="109">
        <f t="shared" si="199"/>
        <v>0</v>
      </c>
      <c r="N455" s="130">
        <f t="shared" si="200"/>
        <v>0</v>
      </c>
      <c r="O455" s="524"/>
      <c r="P455" s="524"/>
      <c r="Q455" s="524"/>
      <c r="R455" s="524"/>
      <c r="S455" s="524"/>
      <c r="T455" s="524"/>
      <c r="U455" s="524"/>
      <c r="V455" s="132">
        <f t="shared" ref="V455:V456" si="204">SUM(X455:AA455)</f>
        <v>0</v>
      </c>
      <c r="W455" s="133" t="str">
        <f t="shared" ref="W455:W456" si="205">IF(ISERROR(V455/G455),"",V455/G455)</f>
        <v/>
      </c>
      <c r="X455" s="132"/>
      <c r="Y455" s="132"/>
      <c r="Z455" s="132"/>
      <c r="AA455" s="132"/>
    </row>
    <row r="456" spans="1:27" ht="20.100000000000001" hidden="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/>
      <c r="G456" s="128"/>
      <c r="H456" s="516">
        <f t="shared" si="195"/>
        <v>0</v>
      </c>
      <c r="I456" s="129"/>
      <c r="J456" s="130" t="str">
        <f t="array" ref="J456">IF(ISERROR(G456/I456),"",G456/I456)</f>
        <v/>
      </c>
      <c r="K456" s="131">
        <f t="array" ref="K456">IF(ISERROR(G456/L456),"",G456/L456)</f>
        <v>0</v>
      </c>
      <c r="L456" s="129">
        <v>15.5</v>
      </c>
      <c r="M456" s="109">
        <f t="shared" si="199"/>
        <v>0</v>
      </c>
      <c r="N456" s="130">
        <f t="shared" si="200"/>
        <v>0</v>
      </c>
      <c r="O456" s="524"/>
      <c r="P456" s="524"/>
      <c r="Q456" s="524"/>
      <c r="R456" s="524"/>
      <c r="S456" s="524"/>
      <c r="T456" s="524"/>
      <c r="U456" s="524"/>
      <c r="V456" s="132">
        <f t="shared" si="204"/>
        <v>0</v>
      </c>
      <c r="W456" s="133" t="str">
        <f t="shared" si="205"/>
        <v/>
      </c>
      <c r="X456" s="132"/>
      <c r="Y456" s="132"/>
      <c r="Z456" s="132"/>
      <c r="AA456" s="132"/>
    </row>
    <row r="457" spans="1:27" ht="20.100000000000001" hidden="1" customHeight="1">
      <c r="A457" s="299">
        <v>30400004</v>
      </c>
      <c r="B457" s="151" t="s">
        <v>419</v>
      </c>
      <c r="C457" s="187" t="s">
        <v>73</v>
      </c>
      <c r="D457" s="108"/>
      <c r="E457" s="108"/>
      <c r="F457" s="127"/>
      <c r="G457" s="128"/>
      <c r="H457" s="516">
        <f t="shared" si="195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199"/>
        <v>0</v>
      </c>
      <c r="N457" s="130"/>
      <c r="O457" s="524"/>
      <c r="P457" s="524"/>
      <c r="Q457" s="524"/>
      <c r="R457" s="524"/>
      <c r="S457" s="524"/>
      <c r="T457" s="524"/>
      <c r="U457" s="524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28"/>
      <c r="H458" s="516">
        <f t="shared" si="195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199"/>
        <v>0</v>
      </c>
      <c r="N458" s="130"/>
      <c r="O458" s="524"/>
      <c r="P458" s="524"/>
      <c r="Q458" s="524"/>
      <c r="R458" s="524"/>
      <c r="S458" s="524"/>
      <c r="T458" s="524"/>
      <c r="U458" s="524"/>
      <c r="V458" s="132"/>
      <c r="W458" s="133"/>
      <c r="X458" s="132"/>
      <c r="Y458" s="132"/>
      <c r="Z458" s="132"/>
      <c r="AA458" s="132"/>
    </row>
    <row r="459" spans="1:27" ht="20.100000000000001" hidden="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28"/>
      <c r="H459" s="516">
        <f t="shared" si="195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199"/>
        <v>0</v>
      </c>
      <c r="N459" s="130"/>
      <c r="O459" s="524"/>
      <c r="P459" s="524"/>
      <c r="Q459" s="524"/>
      <c r="R459" s="524"/>
      <c r="S459" s="524"/>
      <c r="T459" s="524"/>
      <c r="U459" s="524"/>
      <c r="V459" s="132"/>
      <c r="W459" s="133"/>
      <c r="X459" s="132"/>
      <c r="Y459" s="132"/>
      <c r="Z459" s="132"/>
      <c r="AA459" s="132"/>
    </row>
    <row r="460" spans="1:27" ht="20.100000000000001" hidden="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28"/>
      <c r="H460" s="516">
        <f t="shared" si="195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199"/>
        <v>0</v>
      </c>
      <c r="N460" s="130">
        <f t="shared" ref="N460:N462" si="206">SUM(O460:U460)</f>
        <v>0</v>
      </c>
      <c r="O460" s="524"/>
      <c r="P460" s="524"/>
      <c r="Q460" s="524"/>
      <c r="R460" s="524"/>
      <c r="S460" s="524"/>
      <c r="T460" s="524"/>
      <c r="U460" s="524"/>
      <c r="V460" s="132">
        <f t="shared" ref="V460:V462" si="207">SUM(X460:AA460)</f>
        <v>0</v>
      </c>
      <c r="W460" s="133" t="str">
        <f t="shared" ref="W460:W484" si="208">IF(ISERROR(V460/G460),"",V460/G460)</f>
        <v/>
      </c>
      <c r="X460" s="132"/>
      <c r="Y460" s="132"/>
      <c r="Z460" s="132"/>
      <c r="AA460" s="132"/>
    </row>
    <row r="461" spans="1:27" ht="20.100000000000001" hidden="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28"/>
      <c r="H461" s="516">
        <f t="shared" si="195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si="199"/>
        <v>0</v>
      </c>
      <c r="N461" s="130">
        <f t="shared" si="206"/>
        <v>0</v>
      </c>
      <c r="O461" s="524"/>
      <c r="P461" s="524"/>
      <c r="Q461" s="524"/>
      <c r="R461" s="524"/>
      <c r="S461" s="524"/>
      <c r="T461" s="524"/>
      <c r="U461" s="524"/>
      <c r="V461" s="132">
        <f t="shared" si="207"/>
        <v>0</v>
      </c>
      <c r="W461" s="133" t="str">
        <f t="shared" si="208"/>
        <v/>
      </c>
      <c r="X461" s="132"/>
      <c r="Y461" s="132"/>
      <c r="Z461" s="132"/>
      <c r="AA461" s="132"/>
    </row>
    <row r="462" spans="1:27" ht="20.100000000000001" hidden="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28"/>
      <c r="H462" s="516">
        <f t="shared" si="195"/>
        <v>0</v>
      </c>
      <c r="I462" s="129"/>
      <c r="J462" s="130" t="str">
        <f t="array" ref="J462">IF(ISERROR(G462/I462),"",G462/I462)</f>
        <v/>
      </c>
      <c r="K462" s="516">
        <f t="array" ref="K462">IF(ISERROR(G462/L462),"",G462/L462)</f>
        <v>0</v>
      </c>
      <c r="L462" s="129">
        <v>9</v>
      </c>
      <c r="M462" s="109">
        <f t="shared" si="199"/>
        <v>0</v>
      </c>
      <c r="N462" s="130">
        <f t="shared" si="206"/>
        <v>0</v>
      </c>
      <c r="O462" s="524"/>
      <c r="P462" s="524"/>
      <c r="Q462" s="524"/>
      <c r="R462" s="524"/>
      <c r="S462" s="524"/>
      <c r="T462" s="524"/>
      <c r="U462" s="524"/>
      <c r="V462" s="132">
        <f t="shared" si="207"/>
        <v>0</v>
      </c>
      <c r="W462" s="133" t="str">
        <f t="shared" si="208"/>
        <v/>
      </c>
      <c r="X462" s="132"/>
      <c r="Y462" s="132"/>
      <c r="Z462" s="132"/>
      <c r="AA462" s="132"/>
    </row>
    <row r="463" spans="1:27" ht="20.100000000000001" hidden="1" customHeight="1">
      <c r="A463" s="578" t="s">
        <v>224</v>
      </c>
      <c r="B463" s="579"/>
      <c r="C463" s="525" t="s">
        <v>202</v>
      </c>
      <c r="D463" s="143"/>
      <c r="E463" s="143"/>
      <c r="F463" s="144"/>
      <c r="G463" s="145">
        <f>SUM(G429:G462)</f>
        <v>0</v>
      </c>
      <c r="H463" s="146">
        <f>SUM(H429:H462)</f>
        <v>0</v>
      </c>
      <c r="I463" s="146">
        <f>SUM(I429:I462)</f>
        <v>0</v>
      </c>
      <c r="J463" s="130" t="str">
        <f t="array" ref="J463">IF(ISERROR(G463/I463),"",G463/I463)</f>
        <v/>
      </c>
      <c r="K463" s="146">
        <f>SUM(K429:K462)</f>
        <v>0</v>
      </c>
      <c r="L463" s="147"/>
      <c r="M463" s="150">
        <f t="shared" ref="M463:V463" si="209">SUM(M429:M462)</f>
        <v>0</v>
      </c>
      <c r="N463" s="146">
        <f t="shared" si="209"/>
        <v>0</v>
      </c>
      <c r="O463" s="148">
        <f t="shared" si="209"/>
        <v>0</v>
      </c>
      <c r="P463" s="148">
        <f t="shared" si="209"/>
        <v>0</v>
      </c>
      <c r="Q463" s="148">
        <f t="shared" si="209"/>
        <v>0</v>
      </c>
      <c r="R463" s="148">
        <f t="shared" si="209"/>
        <v>0</v>
      </c>
      <c r="S463" s="148">
        <f t="shared" si="209"/>
        <v>0</v>
      </c>
      <c r="T463" s="148">
        <f t="shared" si="209"/>
        <v>0</v>
      </c>
      <c r="U463" s="148">
        <f t="shared" si="209"/>
        <v>0</v>
      </c>
      <c r="V463" s="149">
        <f t="shared" si="209"/>
        <v>0</v>
      </c>
      <c r="W463" s="133" t="str">
        <f t="shared" si="208"/>
        <v/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hidden="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28"/>
      <c r="H464" s="516">
        <f t="shared" ref="H464:H478" si="210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8" si="211">IF(ISERROR(I464-K464),"",I464-K464)</f>
        <v>0</v>
      </c>
      <c r="N464" s="130">
        <f t="shared" ref="N464:N478" si="212">SUM(O464:U464)</f>
        <v>0</v>
      </c>
      <c r="O464" s="524"/>
      <c r="P464" s="524"/>
      <c r="Q464" s="524"/>
      <c r="R464" s="524"/>
      <c r="S464" s="524"/>
      <c r="T464" s="524"/>
      <c r="U464" s="524"/>
      <c r="V464" s="132">
        <f t="shared" ref="V464:V478" si="213">SUM(X464:AA464)</f>
        <v>0</v>
      </c>
      <c r="W464" s="133" t="str">
        <f t="shared" si="208"/>
        <v/>
      </c>
      <c r="X464" s="132"/>
      <c r="Y464" s="132"/>
      <c r="Z464" s="132"/>
      <c r="AA464" s="132"/>
    </row>
    <row r="465" spans="1:27" ht="20.100000000000001" hidden="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28"/>
      <c r="H465" s="516">
        <f t="shared" si="210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1"/>
        <v>0</v>
      </c>
      <c r="N465" s="130">
        <f t="shared" si="212"/>
        <v>0</v>
      </c>
      <c r="O465" s="524"/>
      <c r="P465" s="524"/>
      <c r="Q465" s="524"/>
      <c r="R465" s="524"/>
      <c r="S465" s="524"/>
      <c r="T465" s="524"/>
      <c r="U465" s="524"/>
      <c r="V465" s="132">
        <f t="shared" si="213"/>
        <v>0</v>
      </c>
      <c r="W465" s="133" t="str">
        <f t="shared" si="208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28"/>
      <c r="H466" s="516">
        <f t="shared" si="210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1"/>
        <v>0</v>
      </c>
      <c r="N466" s="130">
        <f t="shared" si="212"/>
        <v>0</v>
      </c>
      <c r="O466" s="524"/>
      <c r="P466" s="524"/>
      <c r="Q466" s="524"/>
      <c r="R466" s="524"/>
      <c r="S466" s="524"/>
      <c r="T466" s="524"/>
      <c r="U466" s="524"/>
      <c r="V466" s="132">
        <f t="shared" si="213"/>
        <v>0</v>
      </c>
      <c r="W466" s="133" t="str">
        <f t="shared" si="208"/>
        <v/>
      </c>
      <c r="X466" s="132"/>
      <c r="Y466" s="132"/>
      <c r="Z466" s="132"/>
      <c r="AA466" s="132"/>
    </row>
    <row r="467" spans="1:27" ht="20.100000000000001" hidden="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28"/>
      <c r="H467" s="516">
        <f t="shared" si="210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1"/>
        <v>0</v>
      </c>
      <c r="N467" s="130">
        <f t="shared" si="212"/>
        <v>0</v>
      </c>
      <c r="O467" s="524"/>
      <c r="P467" s="524"/>
      <c r="Q467" s="524"/>
      <c r="R467" s="524"/>
      <c r="S467" s="524"/>
      <c r="T467" s="524"/>
      <c r="U467" s="524"/>
      <c r="V467" s="132">
        <f t="shared" si="213"/>
        <v>0</v>
      </c>
      <c r="W467" s="133" t="str">
        <f t="shared" si="208"/>
        <v/>
      </c>
      <c r="X467" s="132"/>
      <c r="Y467" s="132"/>
      <c r="Z467" s="132"/>
      <c r="AA467" s="132"/>
    </row>
    <row r="468" spans="1:27" ht="20.100000000000001" hidden="1" customHeight="1">
      <c r="A468" s="299">
        <v>30100054</v>
      </c>
      <c r="B468" s="140" t="s">
        <v>227</v>
      </c>
      <c r="C468" s="521" t="s">
        <v>203</v>
      </c>
      <c r="D468" s="108">
        <v>5.03</v>
      </c>
      <c r="E468" s="108"/>
      <c r="F468" s="127"/>
      <c r="G468" s="128"/>
      <c r="H468" s="516">
        <f t="shared" si="210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1"/>
        <v>0</v>
      </c>
      <c r="N468" s="130">
        <f t="shared" si="212"/>
        <v>0</v>
      </c>
      <c r="O468" s="524"/>
      <c r="P468" s="524"/>
      <c r="Q468" s="524"/>
      <c r="R468" s="524"/>
      <c r="S468" s="524"/>
      <c r="T468" s="524"/>
      <c r="U468" s="524"/>
      <c r="V468" s="132">
        <f t="shared" si="213"/>
        <v>0</v>
      </c>
      <c r="W468" s="133" t="str">
        <f t="shared" si="208"/>
        <v/>
      </c>
      <c r="X468" s="132"/>
      <c r="Y468" s="132"/>
      <c r="Z468" s="132"/>
      <c r="AA468" s="132"/>
    </row>
    <row r="469" spans="1:27" ht="20.100000000000001" hidden="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28"/>
      <c r="H469" s="516">
        <f t="shared" si="210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1"/>
        <v>0</v>
      </c>
      <c r="N469" s="130">
        <f t="shared" si="212"/>
        <v>0</v>
      </c>
      <c r="O469" s="524"/>
      <c r="P469" s="524"/>
      <c r="Q469" s="524"/>
      <c r="R469" s="524"/>
      <c r="S469" s="524"/>
      <c r="T469" s="524"/>
      <c r="U469" s="524"/>
      <c r="V469" s="132">
        <f t="shared" si="213"/>
        <v>0</v>
      </c>
      <c r="W469" s="133" t="str">
        <f t="shared" si="208"/>
        <v/>
      </c>
      <c r="X469" s="132"/>
      <c r="Y469" s="132"/>
      <c r="Z469" s="132"/>
      <c r="AA469" s="132"/>
    </row>
    <row r="470" spans="1:27" ht="20.100000000000001" hidden="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28"/>
      <c r="H470" s="516">
        <f t="shared" si="210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1"/>
        <v>0</v>
      </c>
      <c r="N470" s="130">
        <f t="shared" si="212"/>
        <v>0</v>
      </c>
      <c r="O470" s="524"/>
      <c r="P470" s="524"/>
      <c r="Q470" s="524"/>
      <c r="R470" s="524"/>
      <c r="S470" s="524"/>
      <c r="T470" s="524"/>
      <c r="U470" s="524"/>
      <c r="V470" s="132">
        <f t="shared" si="213"/>
        <v>0</v>
      </c>
      <c r="W470" s="133" t="str">
        <f t="shared" si="208"/>
        <v/>
      </c>
      <c r="X470" s="132"/>
      <c r="Y470" s="132"/>
      <c r="Z470" s="132"/>
      <c r="AA470" s="132"/>
    </row>
    <row r="471" spans="1:27" ht="20.100000000000001" hidden="1" customHeight="1">
      <c r="A471" s="299"/>
      <c r="B471" s="140" t="s">
        <v>227</v>
      </c>
      <c r="C471" s="521" t="s">
        <v>228</v>
      </c>
      <c r="D471" s="108">
        <v>5.03</v>
      </c>
      <c r="E471" s="108"/>
      <c r="F471" s="127"/>
      <c r="G471" s="128"/>
      <c r="H471" s="516">
        <f t="shared" si="210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1"/>
        <v>0</v>
      </c>
      <c r="N471" s="130">
        <f t="shared" si="212"/>
        <v>0</v>
      </c>
      <c r="O471" s="524"/>
      <c r="P471" s="524"/>
      <c r="Q471" s="524"/>
      <c r="R471" s="524"/>
      <c r="S471" s="524"/>
      <c r="T471" s="524"/>
      <c r="U471" s="524"/>
      <c r="V471" s="132">
        <f t="shared" si="213"/>
        <v>0</v>
      </c>
      <c r="W471" s="133" t="str">
        <f t="shared" si="208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30101067</v>
      </c>
      <c r="B472" s="140" t="s">
        <v>229</v>
      </c>
      <c r="C472" s="521" t="s">
        <v>212</v>
      </c>
      <c r="D472" s="108">
        <v>5.03</v>
      </c>
      <c r="E472" s="108"/>
      <c r="F472" s="127"/>
      <c r="G472" s="128"/>
      <c r="H472" s="516">
        <f t="shared" si="210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1"/>
        <v/>
      </c>
      <c r="N472" s="130">
        <f t="shared" si="212"/>
        <v>0</v>
      </c>
      <c r="O472" s="524"/>
      <c r="P472" s="524"/>
      <c r="Q472" s="524"/>
      <c r="R472" s="524"/>
      <c r="S472" s="524"/>
      <c r="T472" s="524"/>
      <c r="U472" s="524"/>
      <c r="V472" s="132">
        <f t="shared" si="213"/>
        <v>0</v>
      </c>
      <c r="W472" s="133" t="str">
        <f t="shared" si="208"/>
        <v/>
      </c>
      <c r="X472" s="132"/>
      <c r="Y472" s="132"/>
      <c r="Z472" s="132"/>
      <c r="AA472" s="132"/>
    </row>
    <row r="473" spans="1:27" ht="20.100000000000001" hidden="1" customHeight="1">
      <c r="A473" s="299">
        <v>30101068</v>
      </c>
      <c r="B473" s="140" t="s">
        <v>229</v>
      </c>
      <c r="C473" s="521" t="s">
        <v>203</v>
      </c>
      <c r="D473" s="108">
        <v>5.03</v>
      </c>
      <c r="E473" s="108"/>
      <c r="F473" s="127"/>
      <c r="G473" s="128"/>
      <c r="H473" s="516">
        <f t="shared" si="210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1"/>
        <v/>
      </c>
      <c r="N473" s="130">
        <f t="shared" si="212"/>
        <v>0</v>
      </c>
      <c r="O473" s="524"/>
      <c r="P473" s="524"/>
      <c r="Q473" s="524"/>
      <c r="R473" s="524"/>
      <c r="S473" s="524"/>
      <c r="T473" s="524"/>
      <c r="U473" s="524"/>
      <c r="V473" s="132">
        <f t="shared" si="213"/>
        <v>0</v>
      </c>
      <c r="W473" s="133" t="str">
        <f t="shared" si="208"/>
        <v/>
      </c>
      <c r="X473" s="132"/>
      <c r="Y473" s="132"/>
      <c r="Z473" s="132"/>
      <c r="AA473" s="132"/>
    </row>
    <row r="474" spans="1:27" ht="20.100000000000001" hidden="1" customHeight="1">
      <c r="A474" s="299">
        <v>30101069</v>
      </c>
      <c r="B474" s="140" t="s">
        <v>229</v>
      </c>
      <c r="C474" s="521" t="s">
        <v>186</v>
      </c>
      <c r="D474" s="108">
        <v>5.03</v>
      </c>
      <c r="E474" s="108"/>
      <c r="F474" s="127"/>
      <c r="G474" s="128"/>
      <c r="H474" s="516">
        <f t="shared" si="210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1"/>
        <v/>
      </c>
      <c r="N474" s="130">
        <f t="shared" si="212"/>
        <v>0</v>
      </c>
      <c r="O474" s="524"/>
      <c r="P474" s="524"/>
      <c r="Q474" s="524"/>
      <c r="R474" s="524"/>
      <c r="S474" s="524"/>
      <c r="T474" s="524"/>
      <c r="U474" s="524"/>
      <c r="V474" s="132">
        <f t="shared" si="213"/>
        <v>0</v>
      </c>
      <c r="W474" s="133" t="str">
        <f t="shared" si="208"/>
        <v/>
      </c>
      <c r="X474" s="132"/>
      <c r="Y474" s="132"/>
      <c r="Z474" s="132"/>
      <c r="AA474" s="132"/>
    </row>
    <row r="475" spans="1:27" ht="20.100000000000001" hidden="1" customHeight="1">
      <c r="A475" s="299">
        <v>30101070</v>
      </c>
      <c r="B475" s="140" t="s">
        <v>229</v>
      </c>
      <c r="C475" s="521" t="s">
        <v>228</v>
      </c>
      <c r="D475" s="108">
        <v>5.03</v>
      </c>
      <c r="E475" s="108"/>
      <c r="F475" s="127"/>
      <c r="G475" s="128"/>
      <c r="H475" s="516">
        <f t="shared" si="210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1"/>
        <v/>
      </c>
      <c r="N475" s="130">
        <f t="shared" si="212"/>
        <v>0</v>
      </c>
      <c r="O475" s="524"/>
      <c r="P475" s="524"/>
      <c r="Q475" s="524"/>
      <c r="R475" s="524"/>
      <c r="S475" s="524"/>
      <c r="T475" s="524"/>
      <c r="U475" s="524"/>
      <c r="V475" s="132">
        <f t="shared" si="213"/>
        <v>0</v>
      </c>
      <c r="W475" s="133" t="str">
        <f t="shared" si="208"/>
        <v/>
      </c>
      <c r="X475" s="132"/>
      <c r="Y475" s="132"/>
      <c r="Z475" s="132"/>
      <c r="AA475" s="132"/>
    </row>
    <row r="476" spans="1:27" ht="20.100000000000001" hidden="1" customHeight="1">
      <c r="A476" s="299">
        <v>30101071</v>
      </c>
      <c r="B476" s="140" t="s">
        <v>229</v>
      </c>
      <c r="C476" s="521" t="s">
        <v>199</v>
      </c>
      <c r="D476" s="108">
        <v>5.03</v>
      </c>
      <c r="E476" s="108"/>
      <c r="F476" s="127"/>
      <c r="G476" s="128"/>
      <c r="H476" s="516">
        <f t="shared" si="210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1"/>
        <v/>
      </c>
      <c r="N476" s="130">
        <f t="shared" si="212"/>
        <v>0</v>
      </c>
      <c r="O476" s="524"/>
      <c r="P476" s="524"/>
      <c r="Q476" s="524"/>
      <c r="R476" s="524"/>
      <c r="S476" s="524"/>
      <c r="T476" s="524"/>
      <c r="U476" s="524"/>
      <c r="V476" s="132">
        <f t="shared" si="213"/>
        <v>0</v>
      </c>
      <c r="W476" s="133" t="str">
        <f t="shared" si="208"/>
        <v/>
      </c>
      <c r="X476" s="132"/>
      <c r="Y476" s="132"/>
      <c r="Z476" s="132"/>
      <c r="AA476" s="132"/>
    </row>
    <row r="477" spans="1:27" ht="20.100000000000001" hidden="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28"/>
      <c r="H477" s="516">
        <f t="shared" si="210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si="211"/>
        <v>0</v>
      </c>
      <c r="N477" s="130">
        <f t="shared" si="212"/>
        <v>0</v>
      </c>
      <c r="O477" s="524"/>
      <c r="P477" s="524"/>
      <c r="Q477" s="524"/>
      <c r="R477" s="524"/>
      <c r="S477" s="524"/>
      <c r="T477" s="524"/>
      <c r="U477" s="524"/>
      <c r="V477" s="132">
        <f t="shared" si="213"/>
        <v>0</v>
      </c>
      <c r="W477" s="133" t="str">
        <f t="shared" si="208"/>
        <v/>
      </c>
      <c r="X477" s="132"/>
      <c r="Y477" s="132"/>
      <c r="Z477" s="132"/>
      <c r="AA477" s="132"/>
    </row>
    <row r="478" spans="1:27" ht="20.100000000000001" hidden="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28"/>
      <c r="H478" s="516">
        <f t="shared" si="210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1"/>
        <v>0</v>
      </c>
      <c r="N478" s="130">
        <f t="shared" si="212"/>
        <v>0</v>
      </c>
      <c r="O478" s="524"/>
      <c r="P478" s="524"/>
      <c r="Q478" s="524"/>
      <c r="R478" s="524"/>
      <c r="S478" s="524"/>
      <c r="T478" s="524"/>
      <c r="U478" s="524"/>
      <c r="V478" s="132">
        <f t="shared" si="213"/>
        <v>0</v>
      </c>
      <c r="W478" s="133" t="str">
        <f t="shared" si="208"/>
        <v/>
      </c>
      <c r="X478" s="132"/>
      <c r="Y478" s="132"/>
      <c r="Z478" s="132"/>
      <c r="AA478" s="132"/>
    </row>
    <row r="479" spans="1:27" ht="20.100000000000001" hidden="1" customHeight="1">
      <c r="A479" s="578" t="s">
        <v>231</v>
      </c>
      <c r="B479" s="579"/>
      <c r="C479" s="525" t="s">
        <v>202</v>
      </c>
      <c r="D479" s="143"/>
      <c r="E479" s="143"/>
      <c r="F479" s="144"/>
      <c r="G479" s="145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08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hidden="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28"/>
      <c r="H480" s="516">
        <f t="shared" ref="H480:H489" si="214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4" si="215">IF(ISERROR(I480-K480),"",I480-K480)</f>
        <v>0</v>
      </c>
      <c r="N480" s="130">
        <f t="shared" ref="N480:N484" si="216">SUM(O480:U480)</f>
        <v>0</v>
      </c>
      <c r="O480" s="524"/>
      <c r="P480" s="524"/>
      <c r="Q480" s="524"/>
      <c r="R480" s="524"/>
      <c r="S480" s="524"/>
      <c r="T480" s="524"/>
      <c r="U480" s="524"/>
      <c r="V480" s="132">
        <f t="shared" ref="V480:V484" si="217">SUM(X480:AA480)</f>
        <v>0</v>
      </c>
      <c r="W480" s="133" t="str">
        <f t="shared" si="208"/>
        <v/>
      </c>
      <c r="X480" s="132"/>
      <c r="Y480" s="132"/>
      <c r="Z480" s="132"/>
      <c r="AA480" s="132"/>
    </row>
    <row r="481" spans="1:27" ht="20.100000000000001" hidden="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28"/>
      <c r="H481" s="516">
        <f t="shared" si="214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5"/>
        <v>0</v>
      </c>
      <c r="N481" s="130">
        <f t="shared" si="216"/>
        <v>0</v>
      </c>
      <c r="O481" s="524"/>
      <c r="P481" s="524"/>
      <c r="Q481" s="524"/>
      <c r="R481" s="524"/>
      <c r="S481" s="524"/>
      <c r="T481" s="524"/>
      <c r="U481" s="524"/>
      <c r="V481" s="132">
        <f t="shared" si="217"/>
        <v>0</v>
      </c>
      <c r="W481" s="133" t="str">
        <f t="shared" si="208"/>
        <v/>
      </c>
      <c r="X481" s="132"/>
      <c r="Y481" s="132"/>
      <c r="Z481" s="132"/>
      <c r="AA481" s="132"/>
    </row>
    <row r="482" spans="1:27" ht="20.100000000000001" hidden="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28"/>
      <c r="H482" s="516">
        <f t="shared" si="214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5"/>
        <v>0</v>
      </c>
      <c r="N482" s="130">
        <f t="shared" si="216"/>
        <v>0</v>
      </c>
      <c r="O482" s="524"/>
      <c r="P482" s="524"/>
      <c r="Q482" s="524"/>
      <c r="R482" s="524"/>
      <c r="S482" s="524"/>
      <c r="T482" s="524"/>
      <c r="U482" s="524"/>
      <c r="V482" s="132">
        <f t="shared" si="217"/>
        <v>0</v>
      </c>
      <c r="W482" s="133" t="str">
        <f t="shared" si="208"/>
        <v/>
      </c>
      <c r="X482" s="132"/>
      <c r="Y482" s="132"/>
      <c r="Z482" s="132"/>
      <c r="AA482" s="132"/>
    </row>
    <row r="483" spans="1:27" ht="20.100000000000001" hidden="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28"/>
      <c r="H483" s="516">
        <f t="shared" si="214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15"/>
        <v>0</v>
      </c>
      <c r="N483" s="130">
        <f t="shared" si="216"/>
        <v>0</v>
      </c>
      <c r="O483" s="524"/>
      <c r="P483" s="524"/>
      <c r="Q483" s="524"/>
      <c r="R483" s="524"/>
      <c r="S483" s="524"/>
      <c r="T483" s="524"/>
      <c r="U483" s="524"/>
      <c r="V483" s="132">
        <f t="shared" si="217"/>
        <v>0</v>
      </c>
      <c r="W483" s="133" t="str">
        <f t="shared" si="208"/>
        <v/>
      </c>
      <c r="X483" s="132"/>
      <c r="Y483" s="132"/>
      <c r="Z483" s="132"/>
      <c r="AA483" s="132"/>
    </row>
    <row r="484" spans="1:27" ht="20.100000000000001" hidden="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28"/>
      <c r="H484" s="516">
        <f t="shared" si="214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15"/>
        <v>0</v>
      </c>
      <c r="N484" s="130">
        <f t="shared" si="216"/>
        <v>0</v>
      </c>
      <c r="O484" s="524"/>
      <c r="P484" s="524"/>
      <c r="Q484" s="524"/>
      <c r="R484" s="524"/>
      <c r="S484" s="524"/>
      <c r="T484" s="524"/>
      <c r="U484" s="524"/>
      <c r="V484" s="132">
        <f t="shared" si="217"/>
        <v>0</v>
      </c>
      <c r="W484" s="133" t="str">
        <f t="shared" si="208"/>
        <v/>
      </c>
      <c r="X484" s="132"/>
      <c r="Y484" s="132"/>
      <c r="Z484" s="132"/>
      <c r="AA484" s="132"/>
    </row>
    <row r="485" spans="1:27" ht="20.100000000000001" hidden="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28"/>
      <c r="H485" s="516">
        <f t="shared" si="214"/>
        <v>0</v>
      </c>
      <c r="I485" s="129"/>
      <c r="J485" s="130"/>
      <c r="K485" s="131"/>
      <c r="L485" s="129">
        <v>13.5</v>
      </c>
      <c r="M485" s="109"/>
      <c r="N485" s="130"/>
      <c r="O485" s="524"/>
      <c r="P485" s="524"/>
      <c r="Q485" s="524"/>
      <c r="R485" s="524"/>
      <c r="S485" s="524"/>
      <c r="T485" s="524"/>
      <c r="U485" s="524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30400020</v>
      </c>
      <c r="B486" s="134" t="s">
        <v>439</v>
      </c>
      <c r="C486" s="187" t="s">
        <v>74</v>
      </c>
      <c r="D486" s="108">
        <v>5.04</v>
      </c>
      <c r="E486" s="108"/>
      <c r="F486" s="127"/>
      <c r="G486" s="128"/>
      <c r="H486" s="516">
        <f t="shared" si="214"/>
        <v>0</v>
      </c>
      <c r="I486" s="129"/>
      <c r="J486" s="130"/>
      <c r="K486" s="131"/>
      <c r="L486" s="129">
        <v>13.5</v>
      </c>
      <c r="M486" s="109"/>
      <c r="N486" s="130"/>
      <c r="O486" s="524"/>
      <c r="P486" s="524"/>
      <c r="Q486" s="524"/>
      <c r="R486" s="524"/>
      <c r="S486" s="524"/>
      <c r="T486" s="524"/>
      <c r="U486" s="524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0">
        <v>30400021</v>
      </c>
      <c r="B487" s="134" t="s">
        <v>439</v>
      </c>
      <c r="C487" s="187" t="s">
        <v>53</v>
      </c>
      <c r="D487" s="108">
        <v>5.04</v>
      </c>
      <c r="E487" s="108"/>
      <c r="F487" s="127"/>
      <c r="G487" s="128"/>
      <c r="H487" s="516">
        <f t="shared" si="214"/>
        <v>0</v>
      </c>
      <c r="I487" s="129"/>
      <c r="J487" s="130"/>
      <c r="K487" s="131"/>
      <c r="L487" s="129">
        <v>13.5</v>
      </c>
      <c r="M487" s="109"/>
      <c r="N487" s="130"/>
      <c r="O487" s="524"/>
      <c r="P487" s="524"/>
      <c r="Q487" s="524"/>
      <c r="R487" s="524"/>
      <c r="S487" s="524"/>
      <c r="T487" s="524"/>
      <c r="U487" s="524"/>
      <c r="V487" s="132"/>
      <c r="W487" s="133"/>
      <c r="X487" s="132"/>
      <c r="Y487" s="132"/>
      <c r="Z487" s="132"/>
      <c r="AA487" s="132"/>
    </row>
    <row r="488" spans="1:27" ht="20.100000000000001" hidden="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28"/>
      <c r="H488" s="516">
        <f t="shared" si="214"/>
        <v>0</v>
      </c>
      <c r="I488" s="129"/>
      <c r="J488" s="130"/>
      <c r="K488" s="131"/>
      <c r="L488" s="129">
        <v>13.5</v>
      </c>
      <c r="M488" s="109"/>
      <c r="N488" s="130"/>
      <c r="O488" s="524"/>
      <c r="P488" s="524"/>
      <c r="Q488" s="524"/>
      <c r="R488" s="524"/>
      <c r="S488" s="524"/>
      <c r="T488" s="524"/>
      <c r="U488" s="524"/>
      <c r="V488" s="132"/>
      <c r="W488" s="133"/>
      <c r="X488" s="132"/>
      <c r="Y488" s="132"/>
      <c r="Z488" s="132"/>
      <c r="AA488" s="132"/>
    </row>
    <row r="489" spans="1:27" ht="20.100000000000001" hidden="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28"/>
      <c r="H489" s="516">
        <f t="shared" si="214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ref="M489" si="218">IF(ISERROR(I489-K489),"",I489-K489)</f>
        <v>0</v>
      </c>
      <c r="N489" s="130">
        <f t="shared" ref="N489" si="219">SUM(O489:U489)</f>
        <v>0</v>
      </c>
      <c r="O489" s="524"/>
      <c r="P489" s="524"/>
      <c r="Q489" s="524"/>
      <c r="R489" s="524"/>
      <c r="S489" s="524"/>
      <c r="T489" s="524"/>
      <c r="U489" s="524"/>
      <c r="V489" s="132">
        <f t="shared" ref="V489" si="220">SUM(X489:AA489)</f>
        <v>0</v>
      </c>
      <c r="W489" s="133" t="str">
        <f t="shared" ref="W489:W494" si="221">IF(ISERROR(V489/G489),"",V489/G489)</f>
        <v/>
      </c>
      <c r="X489" s="132"/>
      <c r="Y489" s="132"/>
      <c r="Z489" s="132"/>
      <c r="AA489" s="132"/>
    </row>
    <row r="490" spans="1:27" ht="20.100000000000001" hidden="1" customHeight="1">
      <c r="A490" s="578" t="s">
        <v>234</v>
      </c>
      <c r="B490" s="579"/>
      <c r="C490" s="525" t="s">
        <v>202</v>
      </c>
      <c r="D490" s="143"/>
      <c r="E490" s="143"/>
      <c r="F490" s="144"/>
      <c r="G490" s="145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1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hidden="1" customHeight="1">
      <c r="A491" s="299">
        <v>30700013</v>
      </c>
      <c r="B491" s="141" t="s">
        <v>235</v>
      </c>
      <c r="C491" s="522"/>
      <c r="D491" s="108">
        <v>3.65</v>
      </c>
      <c r="E491" s="108"/>
      <c r="F491" s="153"/>
      <c r="G491" s="128"/>
      <c r="H491" s="516">
        <f t="shared" ref="H491:H505" si="222">D491*G491</f>
        <v>0</v>
      </c>
      <c r="I491" s="129"/>
      <c r="J491" s="130" t="str">
        <f t="array" ref="J491">IF(ISERROR(G491/I491),"",G491/I491)</f>
        <v/>
      </c>
      <c r="K491" s="516">
        <f t="array" ref="K491">IF(ISERROR(G491/L491),"",G491/L491)</f>
        <v>0</v>
      </c>
      <c r="L491" s="129">
        <v>5</v>
      </c>
      <c r="M491" s="109">
        <f t="shared" ref="M491:M494" si="223">IF(ISERROR(I491-K491),"",I491-K491)</f>
        <v>0</v>
      </c>
      <c r="N491" s="130">
        <f t="shared" ref="N491:N494" si="224">SUM(O491:U491)</f>
        <v>0</v>
      </c>
      <c r="O491" s="524"/>
      <c r="P491" s="524"/>
      <c r="Q491" s="524"/>
      <c r="R491" s="524"/>
      <c r="S491" s="524"/>
      <c r="T491" s="524"/>
      <c r="U491" s="524"/>
      <c r="V491" s="132">
        <f t="shared" ref="V491:V494" si="225">SUM(X491:AA491)</f>
        <v>0</v>
      </c>
      <c r="W491" s="133" t="str">
        <f t="shared" si="221"/>
        <v/>
      </c>
      <c r="X491" s="132"/>
      <c r="Y491" s="132"/>
      <c r="Z491" s="132"/>
      <c r="AA491" s="132"/>
    </row>
    <row r="492" spans="1:27" ht="20.100000000000001" hidden="1" customHeight="1">
      <c r="A492" s="299">
        <v>30700014</v>
      </c>
      <c r="B492" s="141" t="s">
        <v>236</v>
      </c>
      <c r="C492" s="522"/>
      <c r="D492" s="108">
        <v>6.58</v>
      </c>
      <c r="E492" s="108"/>
      <c r="F492" s="127"/>
      <c r="G492" s="128"/>
      <c r="H492" s="516">
        <f t="shared" si="222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3"/>
        <v>0</v>
      </c>
      <c r="N492" s="130">
        <f t="shared" si="224"/>
        <v>0</v>
      </c>
      <c r="O492" s="524"/>
      <c r="P492" s="524"/>
      <c r="Q492" s="524"/>
      <c r="R492" s="524"/>
      <c r="S492" s="524"/>
      <c r="T492" s="524"/>
      <c r="U492" s="524"/>
      <c r="V492" s="132">
        <f t="shared" si="225"/>
        <v>0</v>
      </c>
      <c r="W492" s="133" t="str">
        <f t="shared" si="221"/>
        <v/>
      </c>
      <c r="X492" s="132"/>
      <c r="Y492" s="132"/>
      <c r="Z492" s="132"/>
      <c r="AA492" s="132"/>
    </row>
    <row r="493" spans="1:27" ht="20.100000000000001" hidden="1" customHeight="1">
      <c r="A493" s="299">
        <v>30700016</v>
      </c>
      <c r="B493" s="141" t="s">
        <v>237</v>
      </c>
      <c r="C493" s="522"/>
      <c r="D493" s="108">
        <v>7.8</v>
      </c>
      <c r="E493" s="108"/>
      <c r="F493" s="127"/>
      <c r="G493" s="128"/>
      <c r="H493" s="516">
        <f t="shared" si="222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3"/>
        <v>0</v>
      </c>
      <c r="N493" s="130">
        <f t="shared" si="224"/>
        <v>0</v>
      </c>
      <c r="O493" s="524"/>
      <c r="P493" s="524"/>
      <c r="Q493" s="524"/>
      <c r="R493" s="524"/>
      <c r="S493" s="524"/>
      <c r="T493" s="524"/>
      <c r="U493" s="524"/>
      <c r="V493" s="132">
        <f t="shared" si="225"/>
        <v>0</v>
      </c>
      <c r="W493" s="133" t="str">
        <f t="shared" si="221"/>
        <v/>
      </c>
      <c r="X493" s="132"/>
      <c r="Y493" s="132"/>
      <c r="Z493" s="132"/>
      <c r="AA493" s="132"/>
    </row>
    <row r="494" spans="1:27" ht="20.100000000000001" hidden="1" customHeight="1">
      <c r="A494" s="299">
        <v>30700017</v>
      </c>
      <c r="B494" s="141" t="s">
        <v>238</v>
      </c>
      <c r="C494" s="522"/>
      <c r="D494" s="108">
        <v>4.4000000000000004</v>
      </c>
      <c r="E494" s="108"/>
      <c r="F494" s="127"/>
      <c r="G494" s="128"/>
      <c r="H494" s="516">
        <f t="shared" si="222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3"/>
        <v>0</v>
      </c>
      <c r="N494" s="130">
        <f t="shared" si="224"/>
        <v>0</v>
      </c>
      <c r="O494" s="524"/>
      <c r="P494" s="524"/>
      <c r="Q494" s="524"/>
      <c r="R494" s="524"/>
      <c r="S494" s="524"/>
      <c r="T494" s="524"/>
      <c r="U494" s="524"/>
      <c r="V494" s="132">
        <f t="shared" si="225"/>
        <v>0</v>
      </c>
      <c r="W494" s="133" t="str">
        <f t="shared" si="221"/>
        <v/>
      </c>
      <c r="X494" s="132"/>
      <c r="Y494" s="132"/>
      <c r="Z494" s="132"/>
      <c r="AA494" s="132"/>
    </row>
    <row r="495" spans="1:27" ht="20.100000000000001" hidden="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28"/>
      <c r="H495" s="516">
        <f t="shared" si="222"/>
        <v>0</v>
      </c>
      <c r="I495" s="129"/>
      <c r="J495" s="130"/>
      <c r="K495" s="131"/>
      <c r="L495" s="129"/>
      <c r="M495" s="109"/>
      <c r="N495" s="130"/>
      <c r="O495" s="524"/>
      <c r="P495" s="524"/>
      <c r="Q495" s="524"/>
      <c r="R495" s="524"/>
      <c r="S495" s="524"/>
      <c r="T495" s="524"/>
      <c r="U495" s="524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299">
        <v>30700001</v>
      </c>
      <c r="B496" s="127" t="s">
        <v>359</v>
      </c>
      <c r="C496" s="522"/>
      <c r="D496" s="108"/>
      <c r="E496" s="108"/>
      <c r="F496" s="127"/>
      <c r="G496" s="128"/>
      <c r="H496" s="516">
        <f t="shared" si="222"/>
        <v>0</v>
      </c>
      <c r="I496" s="129"/>
      <c r="J496" s="130"/>
      <c r="K496" s="131"/>
      <c r="L496" s="129">
        <v>6</v>
      </c>
      <c r="M496" s="109"/>
      <c r="N496" s="130"/>
      <c r="O496" s="524"/>
      <c r="P496" s="524"/>
      <c r="Q496" s="524"/>
      <c r="R496" s="524"/>
      <c r="S496" s="524"/>
      <c r="T496" s="524"/>
      <c r="U496" s="524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/>
      <c r="B497" s="522" t="s">
        <v>239</v>
      </c>
      <c r="C497" s="522" t="s">
        <v>179</v>
      </c>
      <c r="D497" s="108">
        <v>6.04</v>
      </c>
      <c r="E497" s="108"/>
      <c r="F497" s="127"/>
      <c r="G497" s="128"/>
      <c r="H497" s="516">
        <f t="shared" si="222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498" si="226">IF(ISERROR(I497-K497),"",I497-K497)</f>
        <v>0</v>
      </c>
      <c r="N497" s="130">
        <f t="shared" ref="N497:N498" si="227">SUM(O497:U497)</f>
        <v>0</v>
      </c>
      <c r="O497" s="524"/>
      <c r="P497" s="524"/>
      <c r="Q497" s="524"/>
      <c r="R497" s="524"/>
      <c r="S497" s="524"/>
      <c r="T497" s="524"/>
      <c r="U497" s="524"/>
      <c r="V497" s="132">
        <f t="shared" ref="V497:V498" si="228">SUM(X497:AA497)</f>
        <v>0</v>
      </c>
      <c r="W497" s="133" t="str">
        <f t="shared" ref="W497:W498" si="229">IF(ISERROR(V497/G497),"",V497/G497)</f>
        <v/>
      </c>
      <c r="X497" s="132"/>
      <c r="Y497" s="132"/>
      <c r="Z497" s="132"/>
      <c r="AA497" s="132"/>
    </row>
    <row r="498" spans="1:27" ht="20.100000000000001" hidden="1" customHeight="1">
      <c r="A498" s="305">
        <v>30700019</v>
      </c>
      <c r="B498" s="522" t="s">
        <v>239</v>
      </c>
      <c r="C498" s="522" t="s">
        <v>186</v>
      </c>
      <c r="D498" s="108">
        <v>6.04</v>
      </c>
      <c r="E498" s="108"/>
      <c r="F498" s="127"/>
      <c r="G498" s="128"/>
      <c r="H498" s="516">
        <f t="shared" si="222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6"/>
        <v>0</v>
      </c>
      <c r="N498" s="130">
        <f t="shared" si="227"/>
        <v>0</v>
      </c>
      <c r="O498" s="524"/>
      <c r="P498" s="524"/>
      <c r="Q498" s="524"/>
      <c r="R498" s="524"/>
      <c r="S498" s="524"/>
      <c r="T498" s="524"/>
      <c r="U498" s="524"/>
      <c r="V498" s="132">
        <f t="shared" si="228"/>
        <v>0</v>
      </c>
      <c r="W498" s="133" t="str">
        <f t="shared" si="229"/>
        <v/>
      </c>
      <c r="X498" s="132"/>
      <c r="Y498" s="132"/>
      <c r="Z498" s="132"/>
      <c r="AA498" s="132"/>
    </row>
    <row r="499" spans="1:27" ht="20.100000000000001" hidden="1" customHeight="1">
      <c r="A499" s="305">
        <v>30601015</v>
      </c>
      <c r="B499" s="522" t="s">
        <v>443</v>
      </c>
      <c r="C499" s="522" t="s">
        <v>179</v>
      </c>
      <c r="D499" s="108"/>
      <c r="E499" s="108"/>
      <c r="F499" s="127"/>
      <c r="G499" s="128"/>
      <c r="H499" s="516">
        <f t="shared" si="222"/>
        <v>0</v>
      </c>
      <c r="I499" s="129"/>
      <c r="J499" s="130"/>
      <c r="K499" s="131"/>
      <c r="L499" s="129"/>
      <c r="M499" s="109"/>
      <c r="N499" s="130"/>
      <c r="O499" s="524"/>
      <c r="P499" s="524"/>
      <c r="Q499" s="524"/>
      <c r="R499" s="524"/>
      <c r="S499" s="524"/>
      <c r="T499" s="524"/>
      <c r="U499" s="524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305">
        <v>30101016</v>
      </c>
      <c r="B500" s="522" t="s">
        <v>443</v>
      </c>
      <c r="C500" s="522" t="s">
        <v>186</v>
      </c>
      <c r="D500" s="108"/>
      <c r="E500" s="108"/>
      <c r="F500" s="127"/>
      <c r="G500" s="128"/>
      <c r="H500" s="516">
        <f t="shared" si="222"/>
        <v>0</v>
      </c>
      <c r="I500" s="129"/>
      <c r="J500" s="130"/>
      <c r="K500" s="131"/>
      <c r="L500" s="129"/>
      <c r="M500" s="109"/>
      <c r="N500" s="130"/>
      <c r="O500" s="524"/>
      <c r="P500" s="524"/>
      <c r="Q500" s="524"/>
      <c r="R500" s="524"/>
      <c r="S500" s="524"/>
      <c r="T500" s="524"/>
      <c r="U500" s="524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30700018</v>
      </c>
      <c r="B501" s="515" t="s">
        <v>240</v>
      </c>
      <c r="C501" s="126"/>
      <c r="D501" s="108">
        <v>7.3</v>
      </c>
      <c r="E501" s="108"/>
      <c r="F501" s="127"/>
      <c r="G501" s="128"/>
      <c r="H501" s="516">
        <f t="shared" si="222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ref="M501" si="230">IF(ISERROR(I501-K501),"",I501-K501)</f>
        <v>0</v>
      </c>
      <c r="N501" s="130">
        <f t="shared" ref="N501" si="231">SUM(O501:U501)</f>
        <v>0</v>
      </c>
      <c r="O501" s="524"/>
      <c r="P501" s="524"/>
      <c r="Q501" s="524"/>
      <c r="R501" s="524"/>
      <c r="S501" s="524"/>
      <c r="T501" s="524"/>
      <c r="U501" s="524"/>
      <c r="V501" s="132">
        <f t="shared" ref="V501" si="232">SUM(X501:AA501)</f>
        <v>0</v>
      </c>
      <c r="W501" s="133" t="str">
        <f t="shared" ref="W501" si="233">IF(ISERROR(V501/G501),"",V501/G501)</f>
        <v/>
      </c>
      <c r="X501" s="132"/>
      <c r="Y501" s="132"/>
      <c r="Z501" s="132"/>
      <c r="AA501" s="132"/>
    </row>
    <row r="502" spans="1:27" ht="20.100000000000001" hidden="1" customHeight="1">
      <c r="A502" s="299">
        <v>30700010</v>
      </c>
      <c r="B502" s="515" t="s">
        <v>241</v>
      </c>
      <c r="C502" s="126"/>
      <c r="D502" s="108">
        <f>78*120/1000</f>
        <v>9.36</v>
      </c>
      <c r="E502" s="108"/>
      <c r="F502" s="127"/>
      <c r="G502" s="128"/>
      <c r="H502" s="516">
        <f t="shared" si="222"/>
        <v>0</v>
      </c>
      <c r="I502" s="129"/>
      <c r="J502" s="130"/>
      <c r="K502" s="131"/>
      <c r="L502" s="129"/>
      <c r="M502" s="109"/>
      <c r="N502" s="130"/>
      <c r="O502" s="524"/>
      <c r="P502" s="524"/>
      <c r="Q502" s="524"/>
      <c r="R502" s="524"/>
      <c r="S502" s="524"/>
      <c r="T502" s="524"/>
      <c r="U502" s="524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299">
        <v>30700015</v>
      </c>
      <c r="B503" s="515" t="s">
        <v>242</v>
      </c>
      <c r="C503" s="126"/>
      <c r="D503" s="108">
        <v>4.5</v>
      </c>
      <c r="E503" s="108"/>
      <c r="F503" s="127"/>
      <c r="G503" s="128"/>
      <c r="H503" s="516">
        <f t="shared" si="222"/>
        <v>0</v>
      </c>
      <c r="I503" s="129"/>
      <c r="J503" s="130"/>
      <c r="K503" s="131"/>
      <c r="L503" s="129"/>
      <c r="M503" s="109"/>
      <c r="N503" s="130"/>
      <c r="O503" s="524"/>
      <c r="P503" s="524"/>
      <c r="Q503" s="524"/>
      <c r="R503" s="524"/>
      <c r="S503" s="524"/>
      <c r="T503" s="524"/>
      <c r="U503" s="524"/>
      <c r="V503" s="132"/>
      <c r="W503" s="133"/>
      <c r="X503" s="132"/>
      <c r="Y503" s="132"/>
      <c r="Z503" s="132"/>
      <c r="AA503" s="132"/>
    </row>
    <row r="504" spans="1:27" ht="20.100000000000001" hidden="1" customHeight="1">
      <c r="A504" s="299">
        <v>30700012</v>
      </c>
      <c r="B504" s="515" t="s">
        <v>243</v>
      </c>
      <c r="C504" s="126"/>
      <c r="D504" s="108">
        <v>4.5</v>
      </c>
      <c r="E504" s="108"/>
      <c r="F504" s="127"/>
      <c r="G504" s="128"/>
      <c r="H504" s="516">
        <f t="shared" si="222"/>
        <v>0</v>
      </c>
      <c r="I504" s="129"/>
      <c r="J504" s="130"/>
      <c r="K504" s="131"/>
      <c r="L504" s="129"/>
      <c r="M504" s="109"/>
      <c r="N504" s="130"/>
      <c r="O504" s="524"/>
      <c r="P504" s="524"/>
      <c r="Q504" s="524"/>
      <c r="R504" s="524"/>
      <c r="S504" s="524"/>
      <c r="T504" s="524"/>
      <c r="U504" s="524"/>
      <c r="V504" s="132"/>
      <c r="W504" s="133"/>
      <c r="X504" s="132"/>
      <c r="Y504" s="132"/>
      <c r="Z504" s="132"/>
      <c r="AA504" s="132"/>
    </row>
    <row r="505" spans="1:27" ht="20.100000000000001" hidden="1" customHeight="1">
      <c r="A505" s="299"/>
      <c r="B505" s="515"/>
      <c r="C505" s="126"/>
      <c r="D505" s="108"/>
      <c r="E505" s="108"/>
      <c r="F505" s="127"/>
      <c r="G505" s="128"/>
      <c r="H505" s="516">
        <f t="shared" si="222"/>
        <v>0</v>
      </c>
      <c r="I505" s="129"/>
      <c r="J505" s="130"/>
      <c r="K505" s="131"/>
      <c r="L505" s="129"/>
      <c r="M505" s="109"/>
      <c r="N505" s="130"/>
      <c r="O505" s="524"/>
      <c r="P505" s="524"/>
      <c r="Q505" s="524"/>
      <c r="R505" s="524"/>
      <c r="S505" s="524"/>
      <c r="T505" s="524"/>
      <c r="U505" s="524"/>
      <c r="V505" s="132"/>
      <c r="W505" s="133"/>
      <c r="X505" s="132"/>
      <c r="Y505" s="132"/>
      <c r="Z505" s="132"/>
      <c r="AA505" s="132"/>
    </row>
    <row r="506" spans="1:27" ht="20.100000000000001" hidden="1" customHeight="1">
      <c r="A506" s="578" t="s">
        <v>244</v>
      </c>
      <c r="B506" s="579"/>
      <c r="C506" s="525" t="s">
        <v>202</v>
      </c>
      <c r="D506" s="143"/>
      <c r="E506" s="143"/>
      <c r="F506" s="144"/>
      <c r="G506" s="145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4">SUM(M491:M501)</f>
        <v>0</v>
      </c>
      <c r="N506" s="146">
        <f t="shared" si="234"/>
        <v>0</v>
      </c>
      <c r="O506" s="148">
        <f t="shared" si="234"/>
        <v>0</v>
      </c>
      <c r="P506" s="148">
        <f t="shared" si="234"/>
        <v>0</v>
      </c>
      <c r="Q506" s="148">
        <f t="shared" si="234"/>
        <v>0</v>
      </c>
      <c r="R506" s="148">
        <f t="shared" si="234"/>
        <v>0</v>
      </c>
      <c r="S506" s="148">
        <f t="shared" si="234"/>
        <v>0</v>
      </c>
      <c r="T506" s="148">
        <f t="shared" si="234"/>
        <v>0</v>
      </c>
      <c r="U506" s="148">
        <f t="shared" si="234"/>
        <v>0</v>
      </c>
      <c r="V506" s="149">
        <f t="shared" si="234"/>
        <v>0</v>
      </c>
      <c r="W506" s="133">
        <f t="shared" si="234"/>
        <v>0</v>
      </c>
      <c r="X506" s="149">
        <f t="shared" si="234"/>
        <v>0</v>
      </c>
      <c r="Y506" s="149">
        <f t="shared" si="234"/>
        <v>0</v>
      </c>
      <c r="Z506" s="149">
        <f t="shared" si="234"/>
        <v>0</v>
      </c>
      <c r="AA506" s="149">
        <f t="shared" si="234"/>
        <v>0</v>
      </c>
    </row>
    <row r="507" spans="1:27" ht="20.100000000000001" customHeight="1">
      <c r="A507" s="580" t="s">
        <v>246</v>
      </c>
      <c r="B507" s="581"/>
      <c r="C507" s="581"/>
      <c r="D507" s="581"/>
      <c r="E507" s="581"/>
      <c r="F507" s="582"/>
      <c r="G507" s="154">
        <f>SUM(G370,G428,G463,G479,G490,G506)</f>
        <v>0</v>
      </c>
      <c r="H507" s="154">
        <f>SUM(H370,H428,H463,H479,H490,H506)</f>
        <v>0</v>
      </c>
      <c r="I507" s="154">
        <f>SUM(I370,I428,I463,I479,I490,I506)</f>
        <v>0</v>
      </c>
      <c r="J507" s="155" t="str">
        <f t="array" ref="J507">IF(ISERROR(G507/I507),"",G507/I507)</f>
        <v/>
      </c>
      <c r="K507" s="154">
        <f>SUM(K370,K428,K463,K479,K490,K506)</f>
        <v>0</v>
      </c>
      <c r="L507" s="155" t="str">
        <f>IF(ISERROR(G507/K507),"",G507/K507)</f>
        <v/>
      </c>
      <c r="M507" s="154">
        <f t="shared" ref="M507:V507" si="235">SUM(M370,M428,M463,M479,M490,M506)</f>
        <v>0</v>
      </c>
      <c r="N507" s="154">
        <f t="shared" si="235"/>
        <v>0</v>
      </c>
      <c r="O507" s="154">
        <f t="shared" si="235"/>
        <v>0</v>
      </c>
      <c r="P507" s="154">
        <f t="shared" si="235"/>
        <v>0</v>
      </c>
      <c r="Q507" s="154">
        <f t="shared" si="235"/>
        <v>0</v>
      </c>
      <c r="R507" s="154">
        <f t="shared" si="235"/>
        <v>0</v>
      </c>
      <c r="S507" s="154">
        <f t="shared" si="235"/>
        <v>0</v>
      </c>
      <c r="T507" s="154">
        <f t="shared" si="235"/>
        <v>0</v>
      </c>
      <c r="U507" s="154">
        <f t="shared" si="235"/>
        <v>0</v>
      </c>
      <c r="V507" s="154">
        <f t="shared" si="235"/>
        <v>0</v>
      </c>
      <c r="W507" s="156" t="str">
        <f t="shared" ref="W507" si="236">IF(ISERROR(V507/G507),"",V507/G507)</f>
        <v/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583" t="s">
        <v>476</v>
      </c>
      <c r="B508" s="518" t="s">
        <v>247</v>
      </c>
      <c r="C508" s="586" t="s">
        <v>248</v>
      </c>
      <c r="D508" s="587"/>
      <c r="E508" s="588" t="s">
        <v>249</v>
      </c>
      <c r="F508" s="588"/>
      <c r="G508" s="591" t="s">
        <v>250</v>
      </c>
      <c r="H508" s="591"/>
      <c r="I508" s="588" t="s">
        <v>251</v>
      </c>
      <c r="J508" s="588"/>
      <c r="K508" s="588" t="s">
        <v>252</v>
      </c>
      <c r="L508" s="588"/>
      <c r="M508" s="588" t="s">
        <v>253</v>
      </c>
      <c r="N508" s="588"/>
      <c r="O508" s="588" t="s">
        <v>254</v>
      </c>
      <c r="P508" s="591" t="s">
        <v>255</v>
      </c>
      <c r="Q508" s="591"/>
      <c r="R508" s="591" t="s">
        <v>252</v>
      </c>
      <c r="S508" s="591"/>
      <c r="T508" s="591" t="s">
        <v>256</v>
      </c>
      <c r="U508" s="591"/>
      <c r="V508" s="591" t="s">
        <v>257</v>
      </c>
      <c r="W508" s="591"/>
      <c r="X508" s="591" t="s">
        <v>252</v>
      </c>
      <c r="Y508" s="591"/>
      <c r="Z508" s="591" t="s">
        <v>256</v>
      </c>
      <c r="AA508" s="591"/>
    </row>
    <row r="509" spans="1:27" ht="20.100000000000001" customHeight="1">
      <c r="A509" s="584"/>
      <c r="B509" s="518" t="s">
        <v>258</v>
      </c>
      <c r="C509" s="586">
        <v>0</v>
      </c>
      <c r="D509" s="587"/>
      <c r="E509" s="590">
        <f>C509*11</f>
        <v>0</v>
      </c>
      <c r="F509" s="590"/>
      <c r="G509" s="591">
        <v>0</v>
      </c>
      <c r="H509" s="591"/>
      <c r="I509" s="590">
        <f>G509*11</f>
        <v>0</v>
      </c>
      <c r="J509" s="590"/>
      <c r="K509" s="590">
        <f>E509-I509</f>
        <v>0</v>
      </c>
      <c r="L509" s="590"/>
      <c r="M509" s="592" t="str">
        <f>IF(ISERROR(K509/E509),"",K509/E509)</f>
        <v/>
      </c>
      <c r="N509" s="592"/>
      <c r="O509" s="588"/>
      <c r="P509" s="591" t="s">
        <v>201</v>
      </c>
      <c r="Q509" s="591"/>
      <c r="R509" s="593">
        <f>SUM(O370:U370)</f>
        <v>0</v>
      </c>
      <c r="S509" s="593"/>
      <c r="T509" s="594" t="str">
        <f t="array" ref="T509">IF(ISERROR(R509/R516),"",R509/R516)</f>
        <v/>
      </c>
      <c r="U509" s="594"/>
      <c r="V509" s="591" t="s">
        <v>259</v>
      </c>
      <c r="W509" s="591"/>
      <c r="X509" s="595">
        <f>SUM(O370,O428,O463,O479,O490,O506)</f>
        <v>0</v>
      </c>
      <c r="Y509" s="595"/>
      <c r="Z509" s="594" t="str">
        <f t="array" ref="Z509">IF(ISERROR(X509/X516),"",X509/X516)</f>
        <v/>
      </c>
      <c r="AA509" s="594"/>
    </row>
    <row r="510" spans="1:27" ht="20.100000000000001" customHeight="1">
      <c r="A510" s="584"/>
      <c r="B510" s="518" t="s">
        <v>260</v>
      </c>
      <c r="C510" s="586">
        <v>0</v>
      </c>
      <c r="D510" s="587"/>
      <c r="E510" s="590">
        <f>C510*11</f>
        <v>0</v>
      </c>
      <c r="F510" s="590"/>
      <c r="G510" s="591">
        <v>0</v>
      </c>
      <c r="H510" s="591"/>
      <c r="I510" s="590">
        <f>G510*11</f>
        <v>0</v>
      </c>
      <c r="J510" s="590"/>
      <c r="K510" s="590">
        <f>E510-I510</f>
        <v>0</v>
      </c>
      <c r="L510" s="590"/>
      <c r="M510" s="592" t="str">
        <f>IF(ISERROR(K510/E510),"",K510/E510)</f>
        <v/>
      </c>
      <c r="N510" s="592"/>
      <c r="O510" s="588"/>
      <c r="P510" s="591" t="s">
        <v>216</v>
      </c>
      <c r="Q510" s="591"/>
      <c r="R510" s="593">
        <f>SUM(O428:U428)</f>
        <v>0</v>
      </c>
      <c r="S510" s="593"/>
      <c r="T510" s="594" t="str">
        <f>IF(ISERROR(R510/R516),"",R510/R516)</f>
        <v/>
      </c>
      <c r="U510" s="594"/>
      <c r="V510" s="591" t="s">
        <v>261</v>
      </c>
      <c r="W510" s="591"/>
      <c r="X510" s="595">
        <f>SUM(O371,O429,O464,O480,O491,O507)</f>
        <v>0</v>
      </c>
      <c r="Y510" s="595"/>
      <c r="Z510" s="594" t="str">
        <f>IF(ISERROR(X510/X516),"",X510/X516)</f>
        <v/>
      </c>
      <c r="AA510" s="594"/>
    </row>
    <row r="511" spans="1:27" ht="20.100000000000001" customHeight="1">
      <c r="A511" s="584"/>
      <c r="B511" s="518" t="s">
        <v>262</v>
      </c>
      <c r="C511" s="586">
        <v>0</v>
      </c>
      <c r="D511" s="587"/>
      <c r="E511" s="590">
        <f>C511*11</f>
        <v>0</v>
      </c>
      <c r="F511" s="590"/>
      <c r="G511" s="591">
        <v>0</v>
      </c>
      <c r="H511" s="591"/>
      <c r="I511" s="590">
        <f>G511*11</f>
        <v>0</v>
      </c>
      <c r="J511" s="590"/>
      <c r="K511" s="590">
        <f>E511-I511</f>
        <v>0</v>
      </c>
      <c r="L511" s="590"/>
      <c r="M511" s="592" t="str">
        <f>IF(ISERROR(K511/E511),"",K511/E511)</f>
        <v/>
      </c>
      <c r="N511" s="592"/>
      <c r="O511" s="588"/>
      <c r="P511" s="591" t="s">
        <v>224</v>
      </c>
      <c r="Q511" s="591"/>
      <c r="R511" s="593">
        <f>SUM(O463:U463)</f>
        <v>0</v>
      </c>
      <c r="S511" s="593"/>
      <c r="T511" s="594" t="str">
        <f>IF(ISERROR(R511/R516),"",R511/R516)</f>
        <v/>
      </c>
      <c r="U511" s="594"/>
      <c r="V511" s="591" t="s">
        <v>263</v>
      </c>
      <c r="W511" s="591"/>
      <c r="X511" s="595">
        <f>SUM(O373,O430,O465,O481,O492,O508)</f>
        <v>0</v>
      </c>
      <c r="Y511" s="595"/>
      <c r="Z511" s="594" t="str">
        <f>IF(ISERROR(X511/X516),"",X511/X516)</f>
        <v/>
      </c>
      <c r="AA511" s="594"/>
    </row>
    <row r="512" spans="1:27" ht="20.100000000000001" customHeight="1">
      <c r="A512" s="584"/>
      <c r="B512" s="518" t="s">
        <v>264</v>
      </c>
      <c r="C512" s="586">
        <v>1</v>
      </c>
      <c r="D512" s="587"/>
      <c r="E512" s="590">
        <f>C512*11</f>
        <v>11</v>
      </c>
      <c r="F512" s="590"/>
      <c r="G512" s="591">
        <v>1</v>
      </c>
      <c r="H512" s="591"/>
      <c r="I512" s="590">
        <f>G512*11</f>
        <v>11</v>
      </c>
      <c r="J512" s="590"/>
      <c r="K512" s="590">
        <f>E512-I512</f>
        <v>0</v>
      </c>
      <c r="L512" s="590"/>
      <c r="M512" s="592">
        <f>IF(ISERROR(K512/E512),"",K512/E512)</f>
        <v>0</v>
      </c>
      <c r="N512" s="592"/>
      <c r="O512" s="588"/>
      <c r="P512" s="591" t="s">
        <v>231</v>
      </c>
      <c r="Q512" s="591"/>
      <c r="R512" s="593">
        <f>SUM(O479:U479)</f>
        <v>0</v>
      </c>
      <c r="S512" s="593"/>
      <c r="T512" s="594" t="str">
        <f>IF(ISERROR(R512/R516),"",R512/R516)</f>
        <v/>
      </c>
      <c r="U512" s="594"/>
      <c r="V512" s="591" t="s">
        <v>265</v>
      </c>
      <c r="W512" s="591"/>
      <c r="X512" s="595">
        <f>SUM(O374,O431,O466,O482,O493,O509)</f>
        <v>0</v>
      </c>
      <c r="Y512" s="595"/>
      <c r="Z512" s="594" t="str">
        <f>IF(ISERROR(X512/X516),"",X512/X516)</f>
        <v/>
      </c>
      <c r="AA512" s="594"/>
    </row>
    <row r="513" spans="1:27" ht="20.100000000000001" customHeight="1">
      <c r="A513" s="585"/>
      <c r="B513" s="518" t="s">
        <v>266</v>
      </c>
      <c r="C513" s="596">
        <f>SUM(C509:D512)</f>
        <v>1</v>
      </c>
      <c r="D513" s="597"/>
      <c r="E513" s="590">
        <f>SUM(E509:F512)</f>
        <v>11</v>
      </c>
      <c r="F513" s="590"/>
      <c r="G513" s="591">
        <f>SUM(G509:H512)</f>
        <v>1</v>
      </c>
      <c r="H513" s="591"/>
      <c r="I513" s="590">
        <f>SUM(I509:J512)</f>
        <v>11</v>
      </c>
      <c r="J513" s="590"/>
      <c r="K513" s="590">
        <f>SUM(K509:L512)</f>
        <v>0</v>
      </c>
      <c r="L513" s="590"/>
      <c r="M513" s="592">
        <f>IF(ISERROR(K513/E513),"",K513/E513)</f>
        <v>0</v>
      </c>
      <c r="N513" s="592"/>
      <c r="O513" s="588"/>
      <c r="P513" s="591" t="s">
        <v>234</v>
      </c>
      <c r="Q513" s="591"/>
      <c r="R513" s="593">
        <f>SUM(O490:U490)</f>
        <v>0</v>
      </c>
      <c r="S513" s="593"/>
      <c r="T513" s="594" t="str">
        <f>IF(ISERROR(R513/R516),"",R513/R516)</f>
        <v/>
      </c>
      <c r="U513" s="594"/>
      <c r="V513" s="591" t="s">
        <v>267</v>
      </c>
      <c r="W513" s="591"/>
      <c r="X513" s="595">
        <f>SUM(O375,O432,O467,O483,O494,O510)</f>
        <v>0</v>
      </c>
      <c r="Y513" s="595"/>
      <c r="Z513" s="594" t="str">
        <f>IF(ISERROR(X513/X516),"",X513/X516)</f>
        <v/>
      </c>
      <c r="AA513" s="594"/>
    </row>
    <row r="514" spans="1:27" ht="20.100000000000001" customHeight="1">
      <c r="A514" s="307" t="s">
        <v>477</v>
      </c>
      <c r="B514" s="518">
        <f>G507</f>
        <v>0</v>
      </c>
      <c r="C514" s="598" t="s">
        <v>269</v>
      </c>
      <c r="D514" s="599"/>
      <c r="E514" s="591">
        <f>H507</f>
        <v>0</v>
      </c>
      <c r="F514" s="591"/>
      <c r="G514" s="591" t="s">
        <v>270</v>
      </c>
      <c r="H514" s="591"/>
      <c r="I514" s="600" t="str">
        <f>L507</f>
        <v/>
      </c>
      <c r="J514" s="600"/>
      <c r="K514" s="588" t="s">
        <v>271</v>
      </c>
      <c r="L514" s="588"/>
      <c r="M514" s="600" t="str">
        <f>J507</f>
        <v/>
      </c>
      <c r="N514" s="600"/>
      <c r="O514" s="588"/>
      <c r="P514" s="591" t="s">
        <v>244</v>
      </c>
      <c r="Q514" s="591"/>
      <c r="R514" s="593">
        <f>SUM(O506:U506)</f>
        <v>0</v>
      </c>
      <c r="S514" s="593"/>
      <c r="T514" s="594" t="str">
        <f>IF(ISERROR(R514/R516),"",R514/R516)</f>
        <v/>
      </c>
      <c r="U514" s="594"/>
      <c r="V514" s="591" t="s">
        <v>272</v>
      </c>
      <c r="W514" s="591"/>
      <c r="X514" s="595">
        <f>SUM(O376,O433,O468,O484,O495,O511)</f>
        <v>0</v>
      </c>
      <c r="Y514" s="595"/>
      <c r="Z514" s="594" t="str">
        <f>IF(ISERROR(X514/X516),"",X514/X516)</f>
        <v/>
      </c>
      <c r="AA514" s="594"/>
    </row>
    <row r="515" spans="1:27" ht="20.100000000000001" customHeight="1">
      <c r="A515" s="308" t="s">
        <v>478</v>
      </c>
      <c r="B515" s="518">
        <f>I507+C513</f>
        <v>1</v>
      </c>
      <c r="C515" s="601" t="s">
        <v>251</v>
      </c>
      <c r="D515" s="602"/>
      <c r="E515" s="603">
        <f>K507+I513</f>
        <v>11</v>
      </c>
      <c r="F515" s="603"/>
      <c r="G515" s="591" t="s">
        <v>274</v>
      </c>
      <c r="H515" s="591"/>
      <c r="I515" s="600">
        <f>B515-E515</f>
        <v>-10</v>
      </c>
      <c r="J515" s="600"/>
      <c r="K515" s="588" t="s">
        <v>275</v>
      </c>
      <c r="L515" s="588"/>
      <c r="M515" s="592">
        <f>IF(ISERROR(I515/E515),"",I515/E515)</f>
        <v>-0.90909090909090906</v>
      </c>
      <c r="N515" s="592"/>
      <c r="O515" s="588"/>
      <c r="P515" s="591" t="s">
        <v>245</v>
      </c>
      <c r="Q515" s="591"/>
      <c r="R515" s="593"/>
      <c r="S515" s="593"/>
      <c r="T515" s="594" t="str">
        <f>IF(ISERROR(R515/R516),"",R515/R516)</f>
        <v/>
      </c>
      <c r="U515" s="594"/>
      <c r="V515" s="591" t="s">
        <v>264</v>
      </c>
      <c r="W515" s="591"/>
      <c r="X515" s="595">
        <f>SUM(O377,O434,O469,O489,O496,O512)</f>
        <v>0</v>
      </c>
      <c r="Y515" s="595"/>
      <c r="Z515" s="594" t="str">
        <f>IF(ISERROR(X515/X516),"",X515/X516)</f>
        <v/>
      </c>
      <c r="AA515" s="594"/>
    </row>
    <row r="516" spans="1:27" ht="20.100000000000001" customHeight="1">
      <c r="A516" s="308" t="s">
        <v>479</v>
      </c>
      <c r="B516" s="518">
        <f>N507</f>
        <v>0</v>
      </c>
      <c r="C516" s="601" t="s">
        <v>277</v>
      </c>
      <c r="D516" s="602"/>
      <c r="E516" s="594">
        <f>IF(ISERROR(B516/B515),"",B516/B515)</f>
        <v>0</v>
      </c>
      <c r="F516" s="594"/>
      <c r="G516" s="591" t="s">
        <v>278</v>
      </c>
      <c r="H516" s="591"/>
      <c r="I516" s="588">
        <f>V507</f>
        <v>0</v>
      </c>
      <c r="J516" s="588"/>
      <c r="K516" s="588" t="s">
        <v>279</v>
      </c>
      <c r="L516" s="588"/>
      <c r="M516" s="592" t="str">
        <f t="array" ref="M516">IF(ISERROR(I516/B514),"",I516/B514)</f>
        <v/>
      </c>
      <c r="N516" s="592"/>
      <c r="O516" s="588"/>
      <c r="P516" s="591" t="s">
        <v>266</v>
      </c>
      <c r="Q516" s="591"/>
      <c r="R516" s="593">
        <f>SUM(R509:S515)</f>
        <v>0</v>
      </c>
      <c r="S516" s="593"/>
      <c r="T516" s="594"/>
      <c r="U516" s="594"/>
      <c r="V516" s="591" t="s">
        <v>266</v>
      </c>
      <c r="W516" s="591"/>
      <c r="X516" s="595">
        <f>SUM(X509:Y515)</f>
        <v>0</v>
      </c>
      <c r="Y516" s="595"/>
      <c r="Z516" s="594"/>
      <c r="AA516" s="594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630" t="str">
        <f>IF(ISERROR(#REF!/#REF!),"",#REF!/#REF!)</f>
        <v/>
      </c>
      <c r="H517" s="630"/>
      <c r="I517" s="630"/>
      <c r="J517" s="125"/>
      <c r="K517" s="160"/>
      <c r="L517" s="122"/>
      <c r="M517" s="122"/>
      <c r="N517" s="630" t="str">
        <f>IF(ISERROR(G517/#REF!),"",G517/#REF!)</f>
        <v/>
      </c>
      <c r="O517" s="630"/>
      <c r="P517" s="630"/>
      <c r="Q517" s="630"/>
      <c r="R517" s="630"/>
      <c r="S517" s="519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6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633" t="s">
        <v>268</v>
      </c>
      <c r="B519" s="633"/>
      <c r="C519" s="586">
        <f>SUM(B171,B342,B514)</f>
        <v>7877</v>
      </c>
      <c r="D519" s="587"/>
      <c r="E519" s="633" t="s">
        <v>269</v>
      </c>
      <c r="F519" s="633"/>
      <c r="G519" s="603">
        <f>SUM(E171,E342,E514)</f>
        <v>40085.83</v>
      </c>
      <c r="H519" s="603"/>
      <c r="I519" s="591" t="s">
        <v>270</v>
      </c>
      <c r="J519" s="633"/>
      <c r="K519" s="586">
        <f>IF(ISERROR(C519/G520),"",C519/G520)</f>
        <v>10.797305151347524</v>
      </c>
      <c r="L519" s="587"/>
      <c r="M519" s="591" t="s">
        <v>271</v>
      </c>
      <c r="N519" s="591"/>
      <c r="O519" s="628">
        <f t="array" ref="O519">IF(ISERROR(C519/C520),"",C519/C520)</f>
        <v>13.923603132236225</v>
      </c>
      <c r="P519" s="629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591" t="s">
        <v>273</v>
      </c>
      <c r="B520" s="591"/>
      <c r="C520" s="586">
        <f>SUM(B172,B343,B515)</f>
        <v>565.73</v>
      </c>
      <c r="D520" s="587"/>
      <c r="E520" s="591" t="s">
        <v>251</v>
      </c>
      <c r="F520" s="591"/>
      <c r="G520" s="603">
        <f>SUM(E172,E343,E515)</f>
        <v>729.53388735308044</v>
      </c>
      <c r="H520" s="603"/>
      <c r="I520" s="601" t="s">
        <v>274</v>
      </c>
      <c r="J520" s="602"/>
      <c r="K520" s="598">
        <f>C520-G520</f>
        <v>-163.80388735308043</v>
      </c>
      <c r="L520" s="599"/>
      <c r="M520" s="598" t="s">
        <v>275</v>
      </c>
      <c r="N520" s="599"/>
      <c r="O520" s="631">
        <f>IF(ISERROR(K520/C520),"",K520/C520)</f>
        <v>-0.28954428323242609</v>
      </c>
      <c r="P520" s="632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601" t="s">
        <v>276</v>
      </c>
      <c r="B521" s="602"/>
      <c r="C521" s="586">
        <f>SUM(B173,B344,B516)</f>
        <v>0</v>
      </c>
      <c r="D521" s="587"/>
      <c r="E521" s="601" t="s">
        <v>277</v>
      </c>
      <c r="F521" s="602"/>
      <c r="G521" s="594">
        <f>IF(ISERROR(C521/C520),"",C521/C520)</f>
        <v>0</v>
      </c>
      <c r="H521" s="594"/>
      <c r="I521" s="591" t="s">
        <v>278</v>
      </c>
      <c r="J521" s="633"/>
      <c r="K521" s="603">
        <f>SUM(I173,I344,I516)</f>
        <v>0</v>
      </c>
      <c r="L521" s="603"/>
      <c r="M521" s="633" t="s">
        <v>279</v>
      </c>
      <c r="N521" s="633"/>
      <c r="O521" s="631">
        <f t="array" ref="O521">IF(ISERROR(K521/C519),"",K521/C519)</f>
        <v>0</v>
      </c>
      <c r="P521" s="632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347"/>
      <c r="H522" s="168"/>
      <c r="I522" s="519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601" t="s">
        <v>298</v>
      </c>
      <c r="B523" s="602"/>
      <c r="C523" s="601" t="s">
        <v>299</v>
      </c>
      <c r="D523" s="602"/>
      <c r="E523" s="601" t="s">
        <v>256</v>
      </c>
      <c r="F523" s="602"/>
      <c r="G523" s="634" t="s">
        <v>254</v>
      </c>
      <c r="H523" s="635"/>
      <c r="I523" s="601" t="s">
        <v>255</v>
      </c>
      <c r="J523" s="599"/>
      <c r="K523" s="601" t="s">
        <v>300</v>
      </c>
      <c r="L523" s="602"/>
      <c r="M523" s="601" t="s">
        <v>256</v>
      </c>
      <c r="N523" s="602"/>
      <c r="O523" s="591" t="s">
        <v>257</v>
      </c>
      <c r="P523" s="591"/>
      <c r="Q523" s="601" t="s">
        <v>300</v>
      </c>
      <c r="R523" s="602"/>
      <c r="S523" s="601" t="s">
        <v>256</v>
      </c>
      <c r="T523" s="602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640" t="s">
        <v>201</v>
      </c>
      <c r="B524" s="602"/>
      <c r="C524" s="601">
        <f>SUM(G28,G199,G370)</f>
        <v>2090</v>
      </c>
      <c r="D524" s="602"/>
      <c r="E524" s="641">
        <f>IF(ISERROR(C524/C530),"",C524/C530)</f>
        <v>0.26532944014218612</v>
      </c>
      <c r="F524" s="642"/>
      <c r="G524" s="636"/>
      <c r="H524" s="637"/>
      <c r="I524" s="643" t="s">
        <v>301</v>
      </c>
      <c r="J524" s="644"/>
      <c r="K524" s="598">
        <f t="shared" ref="K524:K529" si="237">SUM(R166,U337,U509)</f>
        <v>0</v>
      </c>
      <c r="L524" s="599"/>
      <c r="M524" s="641" t="str">
        <f t="array" ref="M524">IF(ISERROR(K524/K530),"",K524/K530)</f>
        <v/>
      </c>
      <c r="N524" s="642"/>
      <c r="O524" s="591" t="s">
        <v>259</v>
      </c>
      <c r="P524" s="591"/>
      <c r="Q524" s="628">
        <f t="shared" ref="Q524:Q529" si="238">SUM(X166,AA337,AA509)</f>
        <v>0</v>
      </c>
      <c r="R524" s="629"/>
      <c r="S524" s="641" t="str">
        <f t="array" ref="S524">IF(ISERROR(Q524/Q530),"",Q524/Q530)</f>
        <v/>
      </c>
      <c r="T524" s="642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640" t="s">
        <v>216</v>
      </c>
      <c r="B525" s="602"/>
      <c r="C525" s="601">
        <f>SUM(G86,G257,G428)</f>
        <v>3418</v>
      </c>
      <c r="D525" s="602"/>
      <c r="E525" s="641">
        <f>IF(ISERROR(C525/C530),"",C525/C530)</f>
        <v>0.43392154373492448</v>
      </c>
      <c r="F525" s="642"/>
      <c r="G525" s="636"/>
      <c r="H525" s="637"/>
      <c r="I525" s="643" t="s">
        <v>302</v>
      </c>
      <c r="J525" s="644"/>
      <c r="K525" s="598">
        <f t="shared" si="237"/>
        <v>0</v>
      </c>
      <c r="L525" s="599"/>
      <c r="M525" s="641" t="str">
        <f>IF(ISERROR(K525/K530),"",K525/K530)</f>
        <v/>
      </c>
      <c r="N525" s="642"/>
      <c r="O525" s="591" t="s">
        <v>261</v>
      </c>
      <c r="P525" s="591"/>
      <c r="Q525" s="628">
        <f t="shared" si="238"/>
        <v>0</v>
      </c>
      <c r="R525" s="629"/>
      <c r="S525" s="641" t="str">
        <f>IF(ISERROR(Q525/Q530),"",Q525/Q530)</f>
        <v/>
      </c>
      <c r="T525" s="642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640" t="s">
        <v>224</v>
      </c>
      <c r="B526" s="602"/>
      <c r="C526" s="601">
        <f>SUM(G121,G292,G463)</f>
        <v>1256</v>
      </c>
      <c r="D526" s="602"/>
      <c r="E526" s="641">
        <f>IF(ISERROR(C526/C530),"",C526/C530)</f>
        <v>0.15945156785578266</v>
      </c>
      <c r="F526" s="642"/>
      <c r="G526" s="636"/>
      <c r="H526" s="637"/>
      <c r="I526" s="643" t="s">
        <v>303</v>
      </c>
      <c r="J526" s="644"/>
      <c r="K526" s="598">
        <f t="shared" si="237"/>
        <v>0</v>
      </c>
      <c r="L526" s="599"/>
      <c r="M526" s="641" t="str">
        <f>IF(ISERROR(K526/K530),"",K526/K530)</f>
        <v/>
      </c>
      <c r="N526" s="642"/>
      <c r="O526" s="591" t="s">
        <v>263</v>
      </c>
      <c r="P526" s="591"/>
      <c r="Q526" s="628">
        <f t="shared" si="238"/>
        <v>0</v>
      </c>
      <c r="R526" s="629"/>
      <c r="S526" s="641" t="str">
        <f>IF(ISERROR(Q526/Q530),"",Q526/Q530)</f>
        <v/>
      </c>
      <c r="T526" s="642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640" t="s">
        <v>231</v>
      </c>
      <c r="B527" s="602"/>
      <c r="C527" s="601">
        <f>SUM(G137,G308,G479)</f>
        <v>738</v>
      </c>
      <c r="D527" s="602"/>
      <c r="E527" s="641">
        <f>IF(ISERROR(C527/C530),"",C527/C530)</f>
        <v>9.3690491303795864E-2</v>
      </c>
      <c r="F527" s="642"/>
      <c r="G527" s="636"/>
      <c r="H527" s="637"/>
      <c r="I527" s="643" t="s">
        <v>304</v>
      </c>
      <c r="J527" s="644"/>
      <c r="K527" s="598">
        <f t="shared" si="237"/>
        <v>0</v>
      </c>
      <c r="L527" s="599"/>
      <c r="M527" s="641" t="str">
        <f>IF(ISERROR(K527/K530),"",K527/K530)</f>
        <v/>
      </c>
      <c r="N527" s="642"/>
      <c r="O527" s="591" t="s">
        <v>305</v>
      </c>
      <c r="P527" s="591"/>
      <c r="Q527" s="628">
        <f t="shared" si="238"/>
        <v>0</v>
      </c>
      <c r="R527" s="629"/>
      <c r="S527" s="641" t="str">
        <f>IF(ISERROR(Q527/Q530),"",Q527/Q530)</f>
        <v/>
      </c>
      <c r="T527" s="642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640" t="s">
        <v>234</v>
      </c>
      <c r="B528" s="602"/>
      <c r="C528" s="601">
        <f>SUM(G148,G319,G490)</f>
        <v>24</v>
      </c>
      <c r="D528" s="602"/>
      <c r="E528" s="641">
        <f>IF(ISERROR(C528/C530),"",C528/C530)</f>
        <v>3.046845245651898E-3</v>
      </c>
      <c r="F528" s="642"/>
      <c r="G528" s="636"/>
      <c r="H528" s="637"/>
      <c r="I528" s="643" t="s">
        <v>306</v>
      </c>
      <c r="J528" s="644"/>
      <c r="K528" s="598">
        <f t="shared" si="237"/>
        <v>0</v>
      </c>
      <c r="L528" s="599"/>
      <c r="M528" s="641" t="str">
        <f>IF(ISERROR(K528/K530),"",K528/K530)</f>
        <v/>
      </c>
      <c r="N528" s="642"/>
      <c r="O528" s="591" t="s">
        <v>267</v>
      </c>
      <c r="P528" s="591"/>
      <c r="Q528" s="628">
        <f t="shared" si="238"/>
        <v>0</v>
      </c>
      <c r="R528" s="629"/>
      <c r="S528" s="641" t="str">
        <f>IF(ISERROR(Q528/Q530),"",Q528/Q530)</f>
        <v/>
      </c>
      <c r="T528" s="642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640" t="s">
        <v>244</v>
      </c>
      <c r="B529" s="602"/>
      <c r="C529" s="601">
        <f>SUM(G163,G334,G506)</f>
        <v>351</v>
      </c>
      <c r="D529" s="602"/>
      <c r="E529" s="641">
        <f>IF(ISERROR(C529/C530),"",C529/C530)</f>
        <v>4.4560111717659008E-2</v>
      </c>
      <c r="F529" s="642"/>
      <c r="G529" s="636"/>
      <c r="H529" s="637"/>
      <c r="I529" s="643" t="s">
        <v>307</v>
      </c>
      <c r="J529" s="644"/>
      <c r="K529" s="598">
        <f t="shared" si="237"/>
        <v>0</v>
      </c>
      <c r="L529" s="599"/>
      <c r="M529" s="641" t="str">
        <f>IF(ISERROR(K529/K530),"",K529/K530)</f>
        <v/>
      </c>
      <c r="N529" s="642"/>
      <c r="O529" s="591" t="s">
        <v>272</v>
      </c>
      <c r="P529" s="591"/>
      <c r="Q529" s="628">
        <f t="shared" si="238"/>
        <v>0</v>
      </c>
      <c r="R529" s="629"/>
      <c r="S529" s="641" t="str">
        <f>IF(ISERROR(Q529/Q530),"",Q529/Q530)</f>
        <v/>
      </c>
      <c r="T529" s="642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601" t="s">
        <v>266</v>
      </c>
      <c r="B530" s="602"/>
      <c r="C530" s="601">
        <f>SUM(C524:C529)</f>
        <v>7877</v>
      </c>
      <c r="D530" s="602"/>
      <c r="E530" s="641">
        <f>SUM(E524:F529)</f>
        <v>1</v>
      </c>
      <c r="F530" s="642"/>
      <c r="G530" s="638"/>
      <c r="H530" s="639"/>
      <c r="I530" s="601" t="s">
        <v>266</v>
      </c>
      <c r="J530" s="599"/>
      <c r="K530" s="598">
        <f>SUM(R173,U344,U516)</f>
        <v>0</v>
      </c>
      <c r="L530" s="599"/>
      <c r="M530" s="641"/>
      <c r="N530" s="642"/>
      <c r="O530" s="591" t="s">
        <v>266</v>
      </c>
      <c r="P530" s="591"/>
      <c r="Q530" s="628">
        <f>SUM(Q524:R529)</f>
        <v>0</v>
      </c>
      <c r="R530" s="629"/>
      <c r="S530" s="641">
        <f>SUM(S524:T529)</f>
        <v>0</v>
      </c>
      <c r="T530" s="642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172"/>
      <c r="D531" s="172"/>
      <c r="E531" s="172"/>
      <c r="F531" s="172"/>
      <c r="G531" s="173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643" t="s">
        <v>308</v>
      </c>
      <c r="B532" s="597"/>
      <c r="C532" s="522" t="s">
        <v>309</v>
      </c>
      <c r="D532" s="522" t="s">
        <v>310</v>
      </c>
      <c r="E532" s="522" t="s">
        <v>311</v>
      </c>
      <c r="F532" s="522" t="s">
        <v>312</v>
      </c>
      <c r="G532" s="348" t="s">
        <v>313</v>
      </c>
      <c r="H532" s="129" t="s">
        <v>314</v>
      </c>
      <c r="I532" s="129" t="s">
        <v>315</v>
      </c>
      <c r="J532" s="129" t="s">
        <v>316</v>
      </c>
      <c r="K532" s="524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516" t="s">
        <v>322</v>
      </c>
      <c r="Q532" s="129" t="s">
        <v>323</v>
      </c>
      <c r="R532" s="109" t="s">
        <v>324</v>
      </c>
      <c r="S532" s="522" t="s">
        <v>325</v>
      </c>
      <c r="T532" s="522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645" t="s">
        <v>327</v>
      </c>
      <c r="B533" s="646"/>
      <c r="C533" s="106">
        <f>D533+E533+F533-G533-O533-P533</f>
        <v>46</v>
      </c>
      <c r="D533" s="106">
        <f>+'10'!C533</f>
        <v>46</v>
      </c>
      <c r="E533" s="106"/>
      <c r="F533" s="106"/>
      <c r="G533" s="107"/>
      <c r="H533" s="106"/>
      <c r="I533" s="106"/>
      <c r="J533" s="106">
        <f>C533-H533-I533</f>
        <v>46</v>
      </c>
      <c r="K533" s="106"/>
      <c r="L533" s="106"/>
      <c r="M533" s="106"/>
      <c r="N533" s="106"/>
      <c r="O533" s="106"/>
      <c r="P533" s="108"/>
      <c r="Q533" s="106">
        <f>J533-K533-L533</f>
        <v>46</v>
      </c>
      <c r="R533" s="109">
        <f>Q533*11-M533-N533</f>
        <v>506</v>
      </c>
      <c r="S533" s="523">
        <f t="array" ref="S533">IF(ISERROR(Q533/J533),"",Q533/J533)</f>
        <v>1</v>
      </c>
      <c r="T533" s="523">
        <f t="array" ref="T533">IF(ISERROR((O533:P533)/C533),"",SUM(O533:P533)/C533)</f>
        <v>0</v>
      </c>
      <c r="X533" s="116"/>
      <c r="Y533" s="116"/>
      <c r="Z533" s="159"/>
      <c r="AA533" s="159"/>
    </row>
    <row r="534" spans="1:27" ht="20.100000000000001" customHeight="1">
      <c r="A534" s="645" t="s">
        <v>328</v>
      </c>
      <c r="B534" s="646"/>
      <c r="C534" s="106">
        <f>D534+E534+F534-G534-O534-P534</f>
        <v>40</v>
      </c>
      <c r="D534" s="106">
        <f>+'10'!C534</f>
        <v>44</v>
      </c>
      <c r="E534" s="110"/>
      <c r="F534" s="110"/>
      <c r="G534" s="107"/>
      <c r="H534" s="106"/>
      <c r="I534" s="106"/>
      <c r="J534" s="106">
        <f>C534-H534-I534</f>
        <v>40</v>
      </c>
      <c r="K534" s="106">
        <v>1</v>
      </c>
      <c r="L534" s="106"/>
      <c r="M534" s="106"/>
      <c r="N534" s="106"/>
      <c r="O534" s="110">
        <v>4</v>
      </c>
      <c r="P534" s="111"/>
      <c r="Q534" s="106">
        <f>J534-K534-L534</f>
        <v>39</v>
      </c>
      <c r="R534" s="109">
        <f>Q534*11-M534-N534</f>
        <v>429</v>
      </c>
      <c r="S534" s="523">
        <f t="array" ref="S534">IF(ISERROR(Q534/J534),"",Q534/J534)</f>
        <v>0.97499999999999998</v>
      </c>
      <c r="T534" s="523">
        <f t="array" ref="T534">IF(ISERROR((O534:P534)/C534),"",SUM(O534:P534)/C534)</f>
        <v>0.1</v>
      </c>
      <c r="X534" s="116"/>
      <c r="Y534" s="116"/>
      <c r="Z534" s="159"/>
      <c r="AA534" s="159"/>
    </row>
    <row r="535" spans="1:27" ht="20.100000000000001" customHeight="1">
      <c r="A535" s="645" t="s">
        <v>329</v>
      </c>
      <c r="B535" s="646"/>
      <c r="C535" s="106">
        <f>D535+E535+F535-G535-O535-P535</f>
        <v>10</v>
      </c>
      <c r="D535" s="106">
        <f>+'10'!C535</f>
        <v>10</v>
      </c>
      <c r="E535" s="110"/>
      <c r="F535" s="110"/>
      <c r="G535" s="107"/>
      <c r="H535" s="106"/>
      <c r="I535" s="106"/>
      <c r="J535" s="106">
        <f>C535-H535-I535</f>
        <v>10</v>
      </c>
      <c r="K535" s="106"/>
      <c r="L535" s="106"/>
      <c r="M535" s="106"/>
      <c r="N535" s="106"/>
      <c r="O535" s="110"/>
      <c r="P535" s="111"/>
      <c r="Q535" s="106">
        <f>J535-K535-L535</f>
        <v>10</v>
      </c>
      <c r="R535" s="109">
        <f>Q535*11-M535-N535</f>
        <v>110</v>
      </c>
      <c r="S535" s="523">
        <f t="array" ref="S535">IF(ISERROR(Q535/J535),"",Q535/J535)</f>
        <v>1</v>
      </c>
      <c r="T535" s="523">
        <f t="array" ref="T535">IF(ISERROR((O535:P535)/C535),"",SUM(O535:P535)/C535)</f>
        <v>0</v>
      </c>
      <c r="V535" s="179"/>
      <c r="X535" s="116"/>
      <c r="Y535" s="116"/>
      <c r="Z535" s="159"/>
      <c r="AA535" s="159"/>
    </row>
    <row r="536" spans="1:27" ht="20.100000000000001" customHeight="1">
      <c r="A536" s="647" t="s">
        <v>330</v>
      </c>
      <c r="B536" s="648"/>
      <c r="C536" s="112">
        <f>SUM(C533:C535)</f>
        <v>96</v>
      </c>
      <c r="D536" s="112">
        <f t="shared" ref="D536:N536" si="239">SUM(D533:D535)</f>
        <v>100</v>
      </c>
      <c r="E536" s="112">
        <f t="shared" si="239"/>
        <v>0</v>
      </c>
      <c r="F536" s="112">
        <f t="shared" si="239"/>
        <v>0</v>
      </c>
      <c r="G536" s="113">
        <f t="shared" si="239"/>
        <v>0</v>
      </c>
      <c r="H536" s="112">
        <f t="shared" si="239"/>
        <v>0</v>
      </c>
      <c r="I536" s="112">
        <f t="shared" si="239"/>
        <v>0</v>
      </c>
      <c r="J536" s="112">
        <f t="shared" si="239"/>
        <v>96</v>
      </c>
      <c r="K536" s="112">
        <f t="shared" si="239"/>
        <v>1</v>
      </c>
      <c r="L536" s="112">
        <f t="shared" si="239"/>
        <v>0</v>
      </c>
      <c r="M536" s="112">
        <f t="shared" si="239"/>
        <v>0</v>
      </c>
      <c r="N536" s="112">
        <f t="shared" si="239"/>
        <v>0</v>
      </c>
      <c r="O536" s="112">
        <f>SUM(O533:O535)</f>
        <v>4</v>
      </c>
      <c r="P536" s="112">
        <f>SUM(P533:P535)</f>
        <v>0</v>
      </c>
      <c r="Q536" s="112">
        <f>SUM(Q533:Q535)</f>
        <v>95</v>
      </c>
      <c r="R536" s="114">
        <f>SUM(R533:R535)</f>
        <v>1045</v>
      </c>
      <c r="S536" s="115">
        <f t="array" ref="S536">IF(ISERROR(Q536/J536),"",Q536/J536)</f>
        <v>0.98958333333333337</v>
      </c>
      <c r="T536" s="115">
        <f t="array" ref="T536">IF(ISERROR((O536:P536)/C536),"",SUM(O536:P536)/C536)</f>
        <v>4.1666666666666664E-2</v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7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7"/>
      <c r="H538" s="116"/>
      <c r="I538" s="118" t="s">
        <v>332</v>
      </c>
      <c r="J538" s="198" t="s">
        <v>447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54" spans="2:2">
      <c r="B554" s="121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528" activePane="bottomRight" state="frozen"/>
      <selection activeCell="E487" sqref="E487"/>
      <selection pane="topRight" activeCell="E487" sqref="E487"/>
      <selection pane="bottomLeft" activeCell="E487" sqref="E487"/>
      <selection pane="bottomRight" activeCell="E66" sqref="E66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55" t="s">
        <v>413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55"/>
      <c r="M1" s="555"/>
      <c r="N1" s="555"/>
      <c r="O1" s="555"/>
      <c r="P1" s="555"/>
      <c r="Q1" s="555"/>
      <c r="R1" s="555"/>
      <c r="S1" s="555"/>
      <c r="T1" s="555"/>
      <c r="U1" s="555"/>
      <c r="V1" s="555"/>
      <c r="W1" s="555"/>
      <c r="X1" s="555"/>
      <c r="Y1" s="555"/>
      <c r="Z1" s="555"/>
      <c r="AA1" s="555"/>
    </row>
    <row r="2" spans="1:27" ht="18.75">
      <c r="A2" s="556"/>
      <c r="B2" s="556"/>
      <c r="C2" s="556"/>
      <c r="D2" s="556"/>
      <c r="E2" s="556"/>
      <c r="F2" s="556"/>
      <c r="G2" s="556"/>
      <c r="H2" s="556"/>
      <c r="I2" s="556"/>
      <c r="J2" s="556"/>
      <c r="K2" s="556"/>
      <c r="L2" s="556"/>
      <c r="M2" s="556"/>
      <c r="N2" s="556"/>
      <c r="O2" s="556"/>
      <c r="P2" s="556"/>
      <c r="Q2" s="556"/>
      <c r="R2" s="556"/>
      <c r="S2" s="556"/>
      <c r="T2" s="556"/>
      <c r="U2" s="556"/>
      <c r="V2" s="556"/>
      <c r="W2" s="556"/>
      <c r="X2" s="556"/>
      <c r="Y2" s="556"/>
      <c r="Z2" s="556"/>
      <c r="AA2" s="556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2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57" t="s">
        <v>12</v>
      </c>
      <c r="B4" s="557" t="s">
        <v>25</v>
      </c>
      <c r="C4" s="557" t="s">
        <v>26</v>
      </c>
      <c r="D4" s="557" t="s">
        <v>27</v>
      </c>
      <c r="E4" s="560" t="s">
        <v>28</v>
      </c>
      <c r="F4" s="563" t="s">
        <v>29</v>
      </c>
      <c r="G4" s="566" t="s">
        <v>30</v>
      </c>
      <c r="H4" s="566"/>
      <c r="I4" s="557" t="s">
        <v>31</v>
      </c>
      <c r="J4" s="569" t="s">
        <v>32</v>
      </c>
      <c r="K4" s="572" t="s">
        <v>33</v>
      </c>
      <c r="L4" s="557" t="s">
        <v>34</v>
      </c>
      <c r="M4" s="575" t="s">
        <v>35</v>
      </c>
      <c r="N4" s="577" t="s">
        <v>36</v>
      </c>
      <c r="O4" s="566" t="s">
        <v>37</v>
      </c>
      <c r="P4" s="566"/>
      <c r="Q4" s="566"/>
      <c r="R4" s="566"/>
      <c r="S4" s="566"/>
      <c r="T4" s="566"/>
      <c r="U4" s="566"/>
      <c r="V4" s="566" t="s">
        <v>38</v>
      </c>
      <c r="W4" s="577" t="s">
        <v>39</v>
      </c>
      <c r="X4" s="566" t="s">
        <v>40</v>
      </c>
      <c r="Y4" s="566"/>
      <c r="Z4" s="566"/>
      <c r="AA4" s="566"/>
    </row>
    <row r="5" spans="1:27" s="104" customFormat="1" ht="15" customHeight="1">
      <c r="A5" s="558"/>
      <c r="B5" s="558"/>
      <c r="C5" s="558"/>
      <c r="D5" s="558"/>
      <c r="E5" s="561"/>
      <c r="F5" s="564"/>
      <c r="G5" s="566"/>
      <c r="H5" s="566"/>
      <c r="I5" s="558"/>
      <c r="J5" s="570"/>
      <c r="K5" s="573"/>
      <c r="L5" s="558"/>
      <c r="M5" s="576"/>
      <c r="N5" s="577"/>
      <c r="O5" s="566" t="s">
        <v>41</v>
      </c>
      <c r="P5" s="566" t="s">
        <v>42</v>
      </c>
      <c r="Q5" s="566" t="s">
        <v>43</v>
      </c>
      <c r="R5" s="567" t="s">
        <v>44</v>
      </c>
      <c r="S5" s="568" t="s">
        <v>45</v>
      </c>
      <c r="T5" s="566" t="s">
        <v>46</v>
      </c>
      <c r="U5" s="566" t="s">
        <v>47</v>
      </c>
      <c r="V5" s="566"/>
      <c r="W5" s="577"/>
      <c r="X5" s="566" t="s">
        <v>13</v>
      </c>
      <c r="Y5" s="566" t="s">
        <v>48</v>
      </c>
      <c r="Z5" s="566" t="s">
        <v>49</v>
      </c>
      <c r="AA5" s="566" t="s">
        <v>47</v>
      </c>
    </row>
    <row r="6" spans="1:27" s="104" customFormat="1" ht="27.75" customHeight="1">
      <c r="A6" s="559"/>
      <c r="B6" s="559"/>
      <c r="C6" s="559"/>
      <c r="D6" s="559"/>
      <c r="E6" s="562"/>
      <c r="F6" s="565"/>
      <c r="G6" s="551" t="s">
        <v>50</v>
      </c>
      <c r="H6" s="528" t="s">
        <v>51</v>
      </c>
      <c r="I6" s="559"/>
      <c r="J6" s="571"/>
      <c r="K6" s="574"/>
      <c r="L6" s="559"/>
      <c r="M6" s="576"/>
      <c r="N6" s="577"/>
      <c r="O6" s="566"/>
      <c r="P6" s="566"/>
      <c r="Q6" s="566"/>
      <c r="R6" s="567"/>
      <c r="S6" s="568"/>
      <c r="T6" s="566"/>
      <c r="U6" s="566"/>
      <c r="V6" s="566"/>
      <c r="W6" s="577"/>
      <c r="X6" s="566"/>
      <c r="Y6" s="566"/>
      <c r="Z6" s="566"/>
      <c r="AA6" s="566"/>
    </row>
    <row r="7" spans="1:27" ht="20.100000000000001" hidden="1" customHeight="1">
      <c r="A7" s="299">
        <v>30100030</v>
      </c>
      <c r="B7" s="531" t="s">
        <v>178</v>
      </c>
      <c r="C7" s="126" t="s">
        <v>179</v>
      </c>
      <c r="D7" s="108">
        <v>5.03</v>
      </c>
      <c r="E7" s="108"/>
      <c r="F7" s="127"/>
      <c r="G7" s="108"/>
      <c r="H7" s="539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530"/>
      <c r="P7" s="530"/>
      <c r="Q7" s="530"/>
      <c r="R7" s="530"/>
      <c r="S7" s="530"/>
      <c r="T7" s="530"/>
      <c r="U7" s="530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08"/>
      <c r="H8" s="539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530"/>
      <c r="Q8" s="530"/>
      <c r="R8" s="530"/>
      <c r="S8" s="530"/>
      <c r="T8" s="530"/>
      <c r="U8" s="530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08"/>
      <c r="H9" s="539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530"/>
      <c r="P9" s="530"/>
      <c r="Q9" s="530"/>
      <c r="R9" s="530"/>
      <c r="S9" s="530"/>
      <c r="T9" s="530"/>
      <c r="U9" s="530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08"/>
      <c r="H10" s="539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530"/>
      <c r="P10" s="530"/>
      <c r="Q10" s="530"/>
      <c r="R10" s="530"/>
      <c r="S10" s="530"/>
      <c r="T10" s="530"/>
      <c r="U10" s="530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08"/>
      <c r="H11" s="539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530"/>
      <c r="P11" s="530"/>
      <c r="Q11" s="530"/>
      <c r="R11" s="530"/>
      <c r="S11" s="530"/>
      <c r="T11" s="530"/>
      <c r="U11" s="530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552"/>
      <c r="H12" s="539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530"/>
      <c r="P12" s="530"/>
      <c r="Q12" s="530"/>
      <c r="R12" s="530"/>
      <c r="S12" s="530"/>
      <c r="T12" s="530"/>
      <c r="U12" s="530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08"/>
      <c r="H13" s="539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530"/>
      <c r="P13" s="530"/>
      <c r="Q13" s="530"/>
      <c r="R13" s="530"/>
      <c r="S13" s="530"/>
      <c r="T13" s="530"/>
      <c r="U13" s="530"/>
      <c r="V13" s="132"/>
      <c r="W13" s="133"/>
      <c r="X13" s="132"/>
      <c r="Y13" s="132"/>
      <c r="Z13" s="132"/>
      <c r="AA13" s="132"/>
    </row>
    <row r="14" spans="1:27" ht="20.10000000000000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>
        <v>42745</v>
      </c>
      <c r="G14" s="108">
        <f>50+108+91</f>
        <v>249</v>
      </c>
      <c r="H14" s="539">
        <f t="shared" si="0"/>
        <v>1252.47</v>
      </c>
      <c r="I14" s="129">
        <f>2*4+4*3</f>
        <v>20</v>
      </c>
      <c r="J14" s="130"/>
      <c r="K14" s="131">
        <f t="array" ref="K14">IF(ISERROR(G14/L14),"",G14/L14)</f>
        <v>83</v>
      </c>
      <c r="L14" s="129">
        <v>3</v>
      </c>
      <c r="M14" s="109">
        <f t="shared" si="1"/>
        <v>-63</v>
      </c>
      <c r="N14" s="130">
        <f t="shared" si="4"/>
        <v>0</v>
      </c>
      <c r="O14" s="530"/>
      <c r="P14" s="530"/>
      <c r="Q14" s="530"/>
      <c r="R14" s="530"/>
      <c r="S14" s="530"/>
      <c r="T14" s="530"/>
      <c r="U14" s="530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08"/>
      <c r="H15" s="539">
        <f t="shared" si="0"/>
        <v>0</v>
      </c>
      <c r="I15" s="539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530"/>
      <c r="P15" s="530"/>
      <c r="Q15" s="530"/>
      <c r="R15" s="530"/>
      <c r="S15" s="530"/>
      <c r="T15" s="530"/>
      <c r="U15" s="530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08"/>
      <c r="H16" s="539">
        <f t="shared" si="0"/>
        <v>0</v>
      </c>
      <c r="I16" s="539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530"/>
      <c r="P16" s="530"/>
      <c r="Q16" s="530"/>
      <c r="R16" s="530"/>
      <c r="S16" s="530"/>
      <c r="T16" s="530"/>
      <c r="U16" s="530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08"/>
      <c r="H17" s="539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530"/>
      <c r="P17" s="530"/>
      <c r="Q17" s="530"/>
      <c r="R17" s="530"/>
      <c r="S17" s="530"/>
      <c r="T17" s="530"/>
      <c r="U17" s="530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08"/>
      <c r="H18" s="539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530"/>
      <c r="P18" s="530"/>
      <c r="Q18" s="530"/>
      <c r="R18" s="530"/>
      <c r="S18" s="530"/>
      <c r="T18" s="530"/>
      <c r="U18" s="530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08"/>
      <c r="H19" s="539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530"/>
      <c r="P19" s="530"/>
      <c r="Q19" s="530"/>
      <c r="R19" s="530"/>
      <c r="S19" s="530"/>
      <c r="T19" s="530"/>
      <c r="U19" s="530"/>
      <c r="V19" s="132">
        <f t="shared" ref="V19:V21" si="5">SUM(X19:AA19)</f>
        <v>0</v>
      </c>
      <c r="W19" s="533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>
        <v>42745</v>
      </c>
      <c r="G20" s="108">
        <f>100*6+90+100*3</f>
        <v>990</v>
      </c>
      <c r="H20" s="539">
        <f t="shared" si="0"/>
        <v>5039.0999999999995</v>
      </c>
      <c r="I20" s="129">
        <f>3.5*5+7*5</f>
        <v>52.5</v>
      </c>
      <c r="J20" s="130">
        <f t="array" ref="J20">IF(ISERROR(G20/I20),"",G20/I20)</f>
        <v>18.857142857142858</v>
      </c>
      <c r="K20" s="131">
        <f t="array" ref="K20">IF(ISERROR(G20/L20),"",G20/L20)</f>
        <v>43.043478260869563</v>
      </c>
      <c r="L20" s="129">
        <v>23</v>
      </c>
      <c r="M20" s="109">
        <f t="shared" si="1"/>
        <v>9.4565217391304373</v>
      </c>
      <c r="N20" s="130">
        <f t="shared" si="4"/>
        <v>0</v>
      </c>
      <c r="O20" s="530"/>
      <c r="P20" s="530"/>
      <c r="Q20" s="530"/>
      <c r="R20" s="530"/>
      <c r="S20" s="530"/>
      <c r="T20" s="530"/>
      <c r="U20" s="530"/>
      <c r="V20" s="132">
        <f t="shared" si="5"/>
        <v>0</v>
      </c>
      <c r="W20" s="133">
        <f t="shared" si="6"/>
        <v>0</v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08"/>
      <c r="H21" s="539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530"/>
      <c r="P21" s="530"/>
      <c r="Q21" s="530"/>
      <c r="R21" s="530"/>
      <c r="S21" s="530"/>
      <c r="T21" s="530"/>
      <c r="U21" s="530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529" t="s">
        <v>190</v>
      </c>
      <c r="D22" s="108">
        <v>4.8</v>
      </c>
      <c r="E22" s="108"/>
      <c r="F22" s="127"/>
      <c r="G22" s="108"/>
      <c r="H22" s="539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530"/>
      <c r="P22" s="530"/>
      <c r="Q22" s="530"/>
      <c r="R22" s="530"/>
      <c r="S22" s="530"/>
      <c r="T22" s="530"/>
      <c r="U22" s="530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529" t="s">
        <v>187</v>
      </c>
      <c r="D23" s="108">
        <v>4.8</v>
      </c>
      <c r="E23" s="108"/>
      <c r="F23" s="127"/>
      <c r="G23" s="108"/>
      <c r="H23" s="539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530"/>
      <c r="P23" s="530"/>
      <c r="Q23" s="530"/>
      <c r="R23" s="530"/>
      <c r="S23" s="530"/>
      <c r="T23" s="530"/>
      <c r="U23" s="530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529" t="s">
        <v>179</v>
      </c>
      <c r="D24" s="108">
        <v>4.8</v>
      </c>
      <c r="E24" s="108"/>
      <c r="F24" s="127"/>
      <c r="G24" s="108"/>
      <c r="H24" s="539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530"/>
      <c r="P24" s="530"/>
      <c r="Q24" s="530"/>
      <c r="R24" s="530"/>
      <c r="S24" s="530"/>
      <c r="T24" s="530"/>
      <c r="U24" s="530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529" t="s">
        <v>199</v>
      </c>
      <c r="D25" s="108">
        <v>4.8</v>
      </c>
      <c r="E25" s="108"/>
      <c r="F25" s="127"/>
      <c r="G25" s="108"/>
      <c r="H25" s="539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530"/>
      <c r="P25" s="530"/>
      <c r="Q25" s="530"/>
      <c r="R25" s="530"/>
      <c r="S25" s="530"/>
      <c r="T25" s="530"/>
      <c r="U25" s="530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08"/>
      <c r="H26" s="539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530"/>
      <c r="P26" s="530"/>
      <c r="Q26" s="530"/>
      <c r="R26" s="530"/>
      <c r="S26" s="530"/>
      <c r="T26" s="530"/>
      <c r="U26" s="530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08"/>
      <c r="H27" s="539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530"/>
      <c r="P27" s="530"/>
      <c r="Q27" s="530"/>
      <c r="R27" s="530"/>
      <c r="S27" s="530"/>
      <c r="T27" s="530"/>
      <c r="U27" s="530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578" t="s">
        <v>201</v>
      </c>
      <c r="B28" s="579"/>
      <c r="C28" s="537" t="s">
        <v>202</v>
      </c>
      <c r="D28" s="143"/>
      <c r="E28" s="143"/>
      <c r="F28" s="144"/>
      <c r="G28" s="143">
        <f>SUM(G7:G27)</f>
        <v>1239</v>
      </c>
      <c r="H28" s="146">
        <f>SUM(H7:H27)</f>
        <v>6291.57</v>
      </c>
      <c r="I28" s="146">
        <f>SUM(I7:I27)</f>
        <v>72.5</v>
      </c>
      <c r="J28" s="130">
        <f t="array" ref="J28">IF(ISERROR(G28/I28),"",G28/I28)</f>
        <v>17.089655172413792</v>
      </c>
      <c r="K28" s="146">
        <f>SUM(K7:K27)</f>
        <v>126.04347826086956</v>
      </c>
      <c r="L28" s="147"/>
      <c r="M28" s="146">
        <f t="shared" ref="M28:V28" si="10">SUM(M7:M27)</f>
        <v>-53.543478260869563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531" t="s">
        <v>206</v>
      </c>
      <c r="C29" s="126" t="s">
        <v>199</v>
      </c>
      <c r="D29" s="108">
        <v>5.03</v>
      </c>
      <c r="E29" s="108"/>
      <c r="F29" s="127"/>
      <c r="G29" s="108"/>
      <c r="H29" s="539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534"/>
      <c r="P29" s="534"/>
      <c r="Q29" s="534"/>
      <c r="R29" s="534"/>
      <c r="S29" s="534"/>
      <c r="T29" s="534"/>
      <c r="U29" s="534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531" t="s">
        <v>425</v>
      </c>
      <c r="C30" s="187" t="s">
        <v>427</v>
      </c>
      <c r="D30" s="108">
        <v>5.03</v>
      </c>
      <c r="E30" s="108"/>
      <c r="F30" s="127"/>
      <c r="G30" s="108"/>
      <c r="H30" s="539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534"/>
      <c r="P30" s="534"/>
      <c r="Q30" s="534"/>
      <c r="R30" s="534"/>
      <c r="S30" s="534"/>
      <c r="T30" s="534"/>
      <c r="U30" s="534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531" t="s">
        <v>206</v>
      </c>
      <c r="C31" s="126" t="s">
        <v>186</v>
      </c>
      <c r="D31" s="108">
        <v>5.03</v>
      </c>
      <c r="E31" s="108"/>
      <c r="F31" s="127"/>
      <c r="G31" s="108"/>
      <c r="H31" s="539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534"/>
      <c r="P31" s="534"/>
      <c r="Q31" s="534"/>
      <c r="R31" s="534"/>
      <c r="S31" s="534"/>
      <c r="T31" s="534"/>
      <c r="U31" s="534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531" t="s">
        <v>206</v>
      </c>
      <c r="C32" s="126" t="s">
        <v>203</v>
      </c>
      <c r="D32" s="108">
        <v>5.03</v>
      </c>
      <c r="E32" s="108"/>
      <c r="F32" s="127"/>
      <c r="G32" s="108"/>
      <c r="H32" s="539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534"/>
      <c r="P32" s="534"/>
      <c r="Q32" s="534"/>
      <c r="R32" s="534"/>
      <c r="S32" s="534"/>
      <c r="T32" s="534"/>
      <c r="U32" s="534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531" t="s">
        <v>206</v>
      </c>
      <c r="C33" s="126" t="s">
        <v>207</v>
      </c>
      <c r="D33" s="108">
        <v>5.03</v>
      </c>
      <c r="E33" s="108"/>
      <c r="F33" s="127"/>
      <c r="G33" s="108"/>
      <c r="H33" s="539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534"/>
      <c r="P33" s="534"/>
      <c r="Q33" s="534"/>
      <c r="R33" s="534"/>
      <c r="S33" s="534"/>
      <c r="T33" s="534"/>
      <c r="U33" s="534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531" t="s">
        <v>414</v>
      </c>
      <c r="C34" s="187" t="s">
        <v>415</v>
      </c>
      <c r="D34" s="108">
        <v>5.03</v>
      </c>
      <c r="E34" s="108"/>
      <c r="F34" s="127"/>
      <c r="G34" s="108"/>
      <c r="H34" s="539">
        <f t="shared" si="11"/>
        <v>0</v>
      </c>
      <c r="I34" s="129"/>
      <c r="J34" s="130"/>
      <c r="K34" s="131"/>
      <c r="L34" s="129">
        <v>52</v>
      </c>
      <c r="M34" s="109"/>
      <c r="N34" s="130"/>
      <c r="O34" s="534"/>
      <c r="P34" s="534"/>
      <c r="Q34" s="534"/>
      <c r="R34" s="534"/>
      <c r="S34" s="534"/>
      <c r="T34" s="534"/>
      <c r="U34" s="534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531" t="s">
        <v>414</v>
      </c>
      <c r="C35" s="187" t="s">
        <v>416</v>
      </c>
      <c r="D35" s="108">
        <v>5.03</v>
      </c>
      <c r="E35" s="108"/>
      <c r="F35" s="127"/>
      <c r="G35" s="108"/>
      <c r="H35" s="539">
        <f t="shared" si="11"/>
        <v>0</v>
      </c>
      <c r="I35" s="129"/>
      <c r="J35" s="130"/>
      <c r="K35" s="131"/>
      <c r="L35" s="129">
        <v>52</v>
      </c>
      <c r="M35" s="109"/>
      <c r="N35" s="130"/>
      <c r="O35" s="534"/>
      <c r="P35" s="534"/>
      <c r="Q35" s="534"/>
      <c r="R35" s="534"/>
      <c r="S35" s="534"/>
      <c r="T35" s="534"/>
      <c r="U35" s="534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531" t="s">
        <v>414</v>
      </c>
      <c r="C36" s="187" t="s">
        <v>61</v>
      </c>
      <c r="D36" s="108">
        <v>5.03</v>
      </c>
      <c r="E36" s="108"/>
      <c r="F36" s="127"/>
      <c r="G36" s="108"/>
      <c r="H36" s="539">
        <f t="shared" si="11"/>
        <v>0</v>
      </c>
      <c r="I36" s="129"/>
      <c r="J36" s="130"/>
      <c r="K36" s="131"/>
      <c r="L36" s="129">
        <v>52</v>
      </c>
      <c r="M36" s="109"/>
      <c r="N36" s="130"/>
      <c r="O36" s="534"/>
      <c r="P36" s="534"/>
      <c r="Q36" s="534"/>
      <c r="R36" s="534"/>
      <c r="S36" s="534"/>
      <c r="T36" s="534"/>
      <c r="U36" s="534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531" t="s">
        <v>208</v>
      </c>
      <c r="C37" s="126" t="s">
        <v>179</v>
      </c>
      <c r="D37" s="108">
        <v>5.08</v>
      </c>
      <c r="E37" s="108"/>
      <c r="F37" s="127"/>
      <c r="G37" s="108"/>
      <c r="H37" s="539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534"/>
      <c r="P37" s="534"/>
      <c r="Q37" s="534"/>
      <c r="R37" s="534"/>
      <c r="S37" s="534"/>
      <c r="T37" s="534"/>
      <c r="U37" s="534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customHeight="1">
      <c r="A38" s="300">
        <v>30100023</v>
      </c>
      <c r="B38" s="531" t="s">
        <v>208</v>
      </c>
      <c r="C38" s="126" t="s">
        <v>204</v>
      </c>
      <c r="D38" s="108">
        <v>5.08</v>
      </c>
      <c r="E38" s="108"/>
      <c r="F38" s="127">
        <v>42746</v>
      </c>
      <c r="G38" s="108">
        <v>70</v>
      </c>
      <c r="H38" s="539">
        <f t="shared" si="11"/>
        <v>355.6</v>
      </c>
      <c r="I38" s="129">
        <f>1.5*3</f>
        <v>4.5</v>
      </c>
      <c r="J38" s="130">
        <f t="array" ref="J38">IF(ISERROR(G38/I38),"",G38/I38)</f>
        <v>15.555555555555555</v>
      </c>
      <c r="K38" s="131">
        <f t="array" ref="K38">IF(ISERROR(G38/L38),"",G38/L38)</f>
        <v>3.3333333333333335</v>
      </c>
      <c r="L38" s="129">
        <v>21</v>
      </c>
      <c r="M38" s="109">
        <f t="shared" si="19"/>
        <v>1.1666666666666665</v>
      </c>
      <c r="N38" s="130">
        <f t="shared" si="20"/>
        <v>0</v>
      </c>
      <c r="O38" s="534"/>
      <c r="P38" s="534"/>
      <c r="Q38" s="534"/>
      <c r="R38" s="534"/>
      <c r="S38" s="534"/>
      <c r="T38" s="534"/>
      <c r="U38" s="534"/>
      <c r="V38" s="132">
        <f t="shared" si="21"/>
        <v>0</v>
      </c>
      <c r="W38" s="133">
        <f t="shared" si="22"/>
        <v>0</v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531" t="s">
        <v>208</v>
      </c>
      <c r="C39" s="126" t="s">
        <v>205</v>
      </c>
      <c r="D39" s="108">
        <v>5.08</v>
      </c>
      <c r="E39" s="108"/>
      <c r="F39" s="127"/>
      <c r="G39" s="108"/>
      <c r="H39" s="539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534"/>
      <c r="P39" s="534"/>
      <c r="Q39" s="534"/>
      <c r="R39" s="534"/>
      <c r="S39" s="534"/>
      <c r="T39" s="534"/>
      <c r="U39" s="534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531" t="s">
        <v>208</v>
      </c>
      <c r="C40" s="126" t="s">
        <v>186</v>
      </c>
      <c r="D40" s="108">
        <v>5.08</v>
      </c>
      <c r="E40" s="108"/>
      <c r="F40" s="127"/>
      <c r="G40" s="108"/>
      <c r="H40" s="539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534"/>
      <c r="P40" s="534"/>
      <c r="Q40" s="534"/>
      <c r="R40" s="534"/>
      <c r="S40" s="534"/>
      <c r="T40" s="534"/>
      <c r="U40" s="534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customHeight="1">
      <c r="A41" s="300">
        <v>30100029</v>
      </c>
      <c r="B41" s="531" t="s">
        <v>208</v>
      </c>
      <c r="C41" s="126" t="s">
        <v>203</v>
      </c>
      <c r="D41" s="108">
        <v>5.08</v>
      </c>
      <c r="E41" s="108"/>
      <c r="F41" s="127">
        <v>42746</v>
      </c>
      <c r="G41" s="108">
        <f>108*6+52</f>
        <v>700</v>
      </c>
      <c r="H41" s="539">
        <f t="shared" si="11"/>
        <v>3556</v>
      </c>
      <c r="I41" s="129">
        <f>9.5*3</f>
        <v>28.5</v>
      </c>
      <c r="J41" s="130">
        <f t="array" ref="J41">IF(ISERROR(G41/I41),"",G41/I41)</f>
        <v>24.561403508771932</v>
      </c>
      <c r="K41" s="131">
        <f t="array" ref="K41">IF(ISERROR(G41/L41),"",G41/L41)</f>
        <v>33.333333333333336</v>
      </c>
      <c r="L41" s="129">
        <v>21</v>
      </c>
      <c r="M41" s="109">
        <f t="shared" si="19"/>
        <v>-4.8333333333333357</v>
      </c>
      <c r="N41" s="130">
        <f t="shared" si="20"/>
        <v>0</v>
      </c>
      <c r="O41" s="534"/>
      <c r="P41" s="534"/>
      <c r="Q41" s="534"/>
      <c r="R41" s="534"/>
      <c r="S41" s="534"/>
      <c r="T41" s="534"/>
      <c r="U41" s="534"/>
      <c r="V41" s="132">
        <f t="shared" si="21"/>
        <v>0</v>
      </c>
      <c r="W41" s="133">
        <f t="shared" si="22"/>
        <v>0</v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531" t="s">
        <v>208</v>
      </c>
      <c r="C42" s="126" t="s">
        <v>199</v>
      </c>
      <c r="D42" s="108">
        <v>5.08</v>
      </c>
      <c r="E42" s="108"/>
      <c r="F42" s="127"/>
      <c r="G42" s="108"/>
      <c r="H42" s="539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530"/>
      <c r="P42" s="530"/>
      <c r="Q42" s="530"/>
      <c r="R42" s="530"/>
      <c r="S42" s="530"/>
      <c r="T42" s="530"/>
      <c r="U42" s="530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531" t="s">
        <v>208</v>
      </c>
      <c r="C43" s="126" t="s">
        <v>187</v>
      </c>
      <c r="D43" s="108">
        <v>5.08</v>
      </c>
      <c r="E43" s="108"/>
      <c r="F43" s="127"/>
      <c r="G43" s="108"/>
      <c r="H43" s="539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534"/>
      <c r="P43" s="534"/>
      <c r="Q43" s="534"/>
      <c r="R43" s="534"/>
      <c r="S43" s="534"/>
      <c r="T43" s="534"/>
      <c r="U43" s="534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531" t="s">
        <v>208</v>
      </c>
      <c r="C44" s="126" t="s">
        <v>207</v>
      </c>
      <c r="D44" s="108">
        <v>5.08</v>
      </c>
      <c r="E44" s="108"/>
      <c r="F44" s="127"/>
      <c r="G44" s="108"/>
      <c r="H44" s="539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530"/>
      <c r="P44" s="530"/>
      <c r="Q44" s="530"/>
      <c r="R44" s="530"/>
      <c r="S44" s="530"/>
      <c r="T44" s="530"/>
      <c r="U44" s="530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531" t="s">
        <v>209</v>
      </c>
      <c r="C45" s="126" t="s">
        <v>194</v>
      </c>
      <c r="D45" s="108">
        <v>5.03</v>
      </c>
      <c r="E45" s="108"/>
      <c r="F45" s="127"/>
      <c r="G45" s="108"/>
      <c r="H45" s="539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534"/>
      <c r="P45" s="534"/>
      <c r="Q45" s="534"/>
      <c r="R45" s="534"/>
      <c r="S45" s="534"/>
      <c r="T45" s="534"/>
      <c r="U45" s="534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customHeight="1">
      <c r="A46" s="300">
        <v>30100033</v>
      </c>
      <c r="B46" s="531" t="s">
        <v>209</v>
      </c>
      <c r="C46" s="126" t="s">
        <v>179</v>
      </c>
      <c r="D46" s="108">
        <v>5.03</v>
      </c>
      <c r="E46" s="108"/>
      <c r="F46" s="127">
        <v>42746</v>
      </c>
      <c r="G46" s="108">
        <f>108*7</f>
        <v>756</v>
      </c>
      <c r="H46" s="539">
        <f t="shared" si="11"/>
        <v>3802.6800000000003</v>
      </c>
      <c r="I46" s="129">
        <v>5.5</v>
      </c>
      <c r="J46" s="130">
        <f t="array" ref="J46">IF(ISERROR(G46/I46),"",G46/I46)</f>
        <v>137.45454545454547</v>
      </c>
      <c r="K46" s="131">
        <f t="array" ref="K46">IF(ISERROR(G46/L46),"",G46/L46)</f>
        <v>13.5</v>
      </c>
      <c r="L46" s="129">
        <v>56</v>
      </c>
      <c r="M46" s="109">
        <f t="shared" si="19"/>
        <v>-8</v>
      </c>
      <c r="N46" s="130">
        <f t="shared" si="20"/>
        <v>0</v>
      </c>
      <c r="O46" s="534"/>
      <c r="P46" s="534"/>
      <c r="Q46" s="534"/>
      <c r="R46" s="534"/>
      <c r="S46" s="534"/>
      <c r="T46" s="534"/>
      <c r="U46" s="534"/>
      <c r="V46" s="132">
        <f t="shared" si="21"/>
        <v>0</v>
      </c>
      <c r="W46" s="133">
        <f t="shared" si="22"/>
        <v>0</v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531" t="s">
        <v>209</v>
      </c>
      <c r="C47" s="126" t="s">
        <v>195</v>
      </c>
      <c r="D47" s="108">
        <v>5.03</v>
      </c>
      <c r="E47" s="108"/>
      <c r="F47" s="127"/>
      <c r="G47" s="108"/>
      <c r="H47" s="539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534"/>
      <c r="P47" s="534"/>
      <c r="Q47" s="534"/>
      <c r="R47" s="534"/>
      <c r="S47" s="534"/>
      <c r="T47" s="534"/>
      <c r="U47" s="534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customHeight="1">
      <c r="A48" s="300">
        <v>30100031</v>
      </c>
      <c r="B48" s="531" t="s">
        <v>209</v>
      </c>
      <c r="C48" s="126" t="s">
        <v>204</v>
      </c>
      <c r="D48" s="108">
        <v>5.03</v>
      </c>
      <c r="E48" s="108"/>
      <c r="F48" s="127">
        <v>42746</v>
      </c>
      <c r="G48" s="108">
        <f>108*3+60</f>
        <v>384</v>
      </c>
      <c r="H48" s="539">
        <f t="shared" si="11"/>
        <v>1931.52</v>
      </c>
      <c r="I48" s="129">
        <v>5.5</v>
      </c>
      <c r="J48" s="130">
        <f t="array" ref="J48">IF(ISERROR(G48/I48),"",G48/I48)</f>
        <v>69.818181818181813</v>
      </c>
      <c r="K48" s="131">
        <f t="array" ref="K48">IF(ISERROR(G48/L48),"",G48/L48)</f>
        <v>6.8571428571428568</v>
      </c>
      <c r="L48" s="129">
        <v>56</v>
      </c>
      <c r="M48" s="109">
        <f t="shared" si="19"/>
        <v>-1.3571428571428568</v>
      </c>
      <c r="N48" s="130">
        <f t="shared" si="20"/>
        <v>0</v>
      </c>
      <c r="O48" s="534"/>
      <c r="P48" s="534"/>
      <c r="Q48" s="534"/>
      <c r="R48" s="534"/>
      <c r="S48" s="534"/>
      <c r="T48" s="534"/>
      <c r="U48" s="534"/>
      <c r="V48" s="132">
        <f t="shared" si="21"/>
        <v>0</v>
      </c>
      <c r="W48" s="133">
        <f t="shared" si="22"/>
        <v>0</v>
      </c>
      <c r="X48" s="132"/>
      <c r="Y48" s="132"/>
      <c r="Z48" s="132"/>
      <c r="AA48" s="132"/>
    </row>
    <row r="49" spans="1:27" ht="20.100000000000001" customHeight="1">
      <c r="A49" s="300">
        <v>30100019</v>
      </c>
      <c r="B49" s="531" t="s">
        <v>382</v>
      </c>
      <c r="C49" s="187" t="s">
        <v>383</v>
      </c>
      <c r="D49" s="108">
        <v>5.03</v>
      </c>
      <c r="E49" s="108"/>
      <c r="F49" s="127">
        <v>42747</v>
      </c>
      <c r="G49" s="108">
        <f>90*4</f>
        <v>360</v>
      </c>
      <c r="H49" s="539">
        <f t="shared" si="11"/>
        <v>1810.8000000000002</v>
      </c>
      <c r="I49" s="129">
        <v>6</v>
      </c>
      <c r="J49" s="130">
        <f t="array" ref="J49">IF(ISERROR(G49/I49),"",G49/I49)</f>
        <v>60</v>
      </c>
      <c r="K49" s="131">
        <f t="array" ref="K49">IF(ISERROR(G49/L49),"",G49/L49)</f>
        <v>6.666666666666667</v>
      </c>
      <c r="L49" s="129">
        <v>54</v>
      </c>
      <c r="M49" s="109">
        <f t="shared" si="19"/>
        <v>-0.66666666666666696</v>
      </c>
      <c r="N49" s="130">
        <f t="shared" si="20"/>
        <v>0</v>
      </c>
      <c r="O49" s="534"/>
      <c r="P49" s="534"/>
      <c r="Q49" s="534"/>
      <c r="R49" s="534"/>
      <c r="S49" s="534"/>
      <c r="T49" s="534"/>
      <c r="U49" s="534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531" t="s">
        <v>382</v>
      </c>
      <c r="C50" s="187" t="s">
        <v>384</v>
      </c>
      <c r="D50" s="108">
        <v>5.03</v>
      </c>
      <c r="E50" s="108"/>
      <c r="F50" s="127"/>
      <c r="G50" s="108"/>
      <c r="H50" s="539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534"/>
      <c r="P50" s="534"/>
      <c r="Q50" s="534"/>
      <c r="R50" s="534"/>
      <c r="S50" s="534"/>
      <c r="T50" s="534"/>
      <c r="U50" s="534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531" t="s">
        <v>382</v>
      </c>
      <c r="C51" s="187" t="s">
        <v>389</v>
      </c>
      <c r="D51" s="108">
        <v>5.03</v>
      </c>
      <c r="E51" s="108"/>
      <c r="F51" s="127"/>
      <c r="G51" s="108"/>
      <c r="H51" s="539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534"/>
      <c r="P51" s="534"/>
      <c r="Q51" s="534"/>
      <c r="R51" s="534"/>
      <c r="S51" s="534"/>
      <c r="T51" s="534"/>
      <c r="U51" s="534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531" t="s">
        <v>382</v>
      </c>
      <c r="C52" s="187" t="s">
        <v>391</v>
      </c>
      <c r="D52" s="108">
        <v>5.03</v>
      </c>
      <c r="E52" s="108"/>
      <c r="F52" s="127"/>
      <c r="G52" s="108"/>
      <c r="H52" s="539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534"/>
      <c r="P52" s="534"/>
      <c r="Q52" s="534"/>
      <c r="R52" s="534"/>
      <c r="S52" s="534"/>
      <c r="T52" s="534"/>
      <c r="U52" s="534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531" t="s">
        <v>418</v>
      </c>
      <c r="C53" s="187" t="s">
        <v>364</v>
      </c>
      <c r="D53" s="108">
        <v>5.03</v>
      </c>
      <c r="E53" s="108"/>
      <c r="F53" s="127"/>
      <c r="G53" s="108"/>
      <c r="H53" s="539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534"/>
      <c r="P53" s="534"/>
      <c r="Q53" s="534"/>
      <c r="R53" s="534"/>
      <c r="S53" s="534"/>
      <c r="T53" s="534"/>
      <c r="U53" s="534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531" t="s">
        <v>418</v>
      </c>
      <c r="C54" s="187" t="s">
        <v>365</v>
      </c>
      <c r="D54" s="108">
        <v>5.03</v>
      </c>
      <c r="E54" s="108"/>
      <c r="F54" s="127"/>
      <c r="G54" s="108"/>
      <c r="H54" s="539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534"/>
      <c r="P54" s="534"/>
      <c r="Q54" s="534"/>
      <c r="R54" s="534"/>
      <c r="S54" s="534"/>
      <c r="T54" s="534"/>
      <c r="U54" s="534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531" t="s">
        <v>418</v>
      </c>
      <c r="C55" s="187" t="s">
        <v>366</v>
      </c>
      <c r="D55" s="108">
        <v>5.03</v>
      </c>
      <c r="E55" s="108"/>
      <c r="F55" s="127"/>
      <c r="G55" s="108"/>
      <c r="H55" s="539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534"/>
      <c r="P55" s="534"/>
      <c r="Q55" s="534"/>
      <c r="R55" s="534"/>
      <c r="S55" s="534"/>
      <c r="T55" s="534"/>
      <c r="U55" s="534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531" t="s">
        <v>418</v>
      </c>
      <c r="C56" s="187" t="s">
        <v>367</v>
      </c>
      <c r="D56" s="108">
        <v>5.03</v>
      </c>
      <c r="E56" s="108"/>
      <c r="F56" s="127"/>
      <c r="G56" s="108"/>
      <c r="H56" s="539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534"/>
      <c r="P56" s="534"/>
      <c r="Q56" s="534"/>
      <c r="R56" s="534"/>
      <c r="S56" s="534"/>
      <c r="T56" s="534"/>
      <c r="U56" s="534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08"/>
      <c r="H57" s="539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530"/>
      <c r="P57" s="530"/>
      <c r="Q57" s="530"/>
      <c r="R57" s="530"/>
      <c r="S57" s="530"/>
      <c r="T57" s="530"/>
      <c r="U57" s="530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08"/>
      <c r="H58" s="539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530"/>
      <c r="P58" s="530"/>
      <c r="Q58" s="530"/>
      <c r="R58" s="530"/>
      <c r="S58" s="530"/>
      <c r="T58" s="530"/>
      <c r="U58" s="530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08"/>
      <c r="H59" s="539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530"/>
      <c r="P59" s="530"/>
      <c r="Q59" s="530"/>
      <c r="R59" s="530"/>
      <c r="S59" s="530"/>
      <c r="T59" s="530"/>
      <c r="U59" s="530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08"/>
      <c r="H60" s="539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530"/>
      <c r="P60" s="530"/>
      <c r="Q60" s="530"/>
      <c r="R60" s="530"/>
      <c r="S60" s="530"/>
      <c r="T60" s="530"/>
      <c r="U60" s="530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08"/>
      <c r="H61" s="539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530"/>
      <c r="P61" s="530"/>
      <c r="Q61" s="530"/>
      <c r="R61" s="530"/>
      <c r="S61" s="530"/>
      <c r="T61" s="530"/>
      <c r="U61" s="530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08"/>
      <c r="H62" s="539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530"/>
      <c r="P62" s="530"/>
      <c r="Q62" s="530"/>
      <c r="R62" s="530"/>
      <c r="S62" s="530"/>
      <c r="T62" s="530"/>
      <c r="U62" s="530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08"/>
      <c r="H63" s="539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530"/>
      <c r="P63" s="530"/>
      <c r="Q63" s="530"/>
      <c r="R63" s="530"/>
      <c r="S63" s="530"/>
      <c r="T63" s="530"/>
      <c r="U63" s="530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08"/>
      <c r="H64" s="539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530"/>
      <c r="P64" s="530"/>
      <c r="Q64" s="530"/>
      <c r="R64" s="530"/>
      <c r="S64" s="530"/>
      <c r="T64" s="530"/>
      <c r="U64" s="530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08"/>
      <c r="H65" s="539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530"/>
      <c r="P65" s="530"/>
      <c r="Q65" s="530"/>
      <c r="R65" s="530"/>
      <c r="S65" s="530"/>
      <c r="T65" s="530"/>
      <c r="U65" s="530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>
        <v>42744</v>
      </c>
      <c r="G66" s="108">
        <f>90*3+84-90</f>
        <v>264</v>
      </c>
      <c r="H66" s="539">
        <f t="shared" si="11"/>
        <v>1327.92</v>
      </c>
      <c r="I66" s="129">
        <v>5</v>
      </c>
      <c r="J66" s="130">
        <f t="array" ref="J66">IF(ISERROR(G66/I66),"",G66/I66)</f>
        <v>52.8</v>
      </c>
      <c r="K66" s="131">
        <f t="array" ref="K66">IF(ISERROR(G66/L66),"",G66/L66)</f>
        <v>5.28</v>
      </c>
      <c r="L66" s="129">
        <v>50</v>
      </c>
      <c r="M66" s="109">
        <f t="shared" si="19"/>
        <v>-0.28000000000000025</v>
      </c>
      <c r="N66" s="130">
        <f t="shared" si="23"/>
        <v>0</v>
      </c>
      <c r="O66" s="530"/>
      <c r="P66" s="530"/>
      <c r="Q66" s="530"/>
      <c r="R66" s="530"/>
      <c r="S66" s="530"/>
      <c r="T66" s="530"/>
      <c r="U66" s="530"/>
      <c r="V66" s="132">
        <f t="shared" si="24"/>
        <v>0</v>
      </c>
      <c r="W66" s="133">
        <f t="shared" si="25"/>
        <v>0</v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08"/>
      <c r="H67" s="539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530"/>
      <c r="P67" s="530"/>
      <c r="Q67" s="530"/>
      <c r="R67" s="530"/>
      <c r="S67" s="530"/>
      <c r="T67" s="530"/>
      <c r="U67" s="530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08"/>
      <c r="H68" s="539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530"/>
      <c r="P68" s="530"/>
      <c r="Q68" s="530"/>
      <c r="R68" s="530"/>
      <c r="S68" s="530"/>
      <c r="T68" s="530"/>
      <c r="U68" s="530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08"/>
      <c r="H69" s="539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530"/>
      <c r="P69" s="530"/>
      <c r="Q69" s="530"/>
      <c r="R69" s="530"/>
      <c r="S69" s="530"/>
      <c r="T69" s="530"/>
      <c r="U69" s="530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08"/>
      <c r="H70" s="539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530"/>
      <c r="P70" s="530"/>
      <c r="Q70" s="530"/>
      <c r="R70" s="530"/>
      <c r="S70" s="530"/>
      <c r="T70" s="530"/>
      <c r="U70" s="530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08"/>
      <c r="H71" s="539">
        <f t="shared" si="11"/>
        <v>0</v>
      </c>
      <c r="I71" s="129"/>
      <c r="J71" s="130"/>
      <c r="K71" s="131"/>
      <c r="L71" s="129"/>
      <c r="M71" s="109"/>
      <c r="N71" s="130"/>
      <c r="O71" s="530"/>
      <c r="P71" s="530"/>
      <c r="Q71" s="530"/>
      <c r="R71" s="530"/>
      <c r="S71" s="530"/>
      <c r="T71" s="530"/>
      <c r="U71" s="530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08"/>
      <c r="H72" s="539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530"/>
      <c r="P72" s="530"/>
      <c r="Q72" s="530"/>
      <c r="R72" s="530"/>
      <c r="S72" s="530"/>
      <c r="T72" s="530"/>
      <c r="U72" s="530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08"/>
      <c r="H73" s="539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530"/>
      <c r="P73" s="530"/>
      <c r="Q73" s="530"/>
      <c r="R73" s="530"/>
      <c r="S73" s="530"/>
      <c r="T73" s="530"/>
      <c r="U73" s="530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08"/>
      <c r="H74" s="539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530"/>
      <c r="P74" s="530"/>
      <c r="Q74" s="530"/>
      <c r="R74" s="530"/>
      <c r="S74" s="530"/>
      <c r="T74" s="530"/>
      <c r="U74" s="530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08"/>
      <c r="H75" s="539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530"/>
      <c r="P75" s="530"/>
      <c r="Q75" s="530"/>
      <c r="R75" s="530"/>
      <c r="S75" s="530"/>
      <c r="T75" s="530"/>
      <c r="U75" s="530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08"/>
      <c r="H76" s="539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530"/>
      <c r="P76" s="530"/>
      <c r="Q76" s="530"/>
      <c r="R76" s="530"/>
      <c r="S76" s="530"/>
      <c r="T76" s="530"/>
      <c r="U76" s="530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08"/>
      <c r="H77" s="539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530"/>
      <c r="P77" s="530"/>
      <c r="Q77" s="530"/>
      <c r="R77" s="530"/>
      <c r="S77" s="530"/>
      <c r="T77" s="530"/>
      <c r="U77" s="530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08"/>
      <c r="H78" s="539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530"/>
      <c r="P78" s="530"/>
      <c r="Q78" s="530"/>
      <c r="R78" s="530"/>
      <c r="S78" s="530"/>
      <c r="T78" s="530"/>
      <c r="U78" s="530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08"/>
      <c r="H79" s="539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530"/>
      <c r="P79" s="530"/>
      <c r="Q79" s="530"/>
      <c r="R79" s="530"/>
      <c r="S79" s="530"/>
      <c r="T79" s="530"/>
      <c r="U79" s="530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08"/>
      <c r="H80" s="539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530"/>
      <c r="P80" s="530"/>
      <c r="Q80" s="530"/>
      <c r="R80" s="530"/>
      <c r="S80" s="530"/>
      <c r="T80" s="530"/>
      <c r="U80" s="530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08"/>
      <c r="H81" s="539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530"/>
      <c r="P81" s="530"/>
      <c r="Q81" s="530"/>
      <c r="R81" s="530"/>
      <c r="S81" s="530"/>
      <c r="T81" s="530"/>
      <c r="U81" s="530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08"/>
      <c r="H82" s="539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530"/>
      <c r="P82" s="530"/>
      <c r="Q82" s="530"/>
      <c r="R82" s="530"/>
      <c r="S82" s="530"/>
      <c r="T82" s="530"/>
      <c r="U82" s="530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08"/>
      <c r="H83" s="539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530"/>
      <c r="P83" s="530"/>
      <c r="Q83" s="530"/>
      <c r="R83" s="530"/>
      <c r="S83" s="530"/>
      <c r="T83" s="530"/>
      <c r="U83" s="530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08"/>
      <c r="H84" s="539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530"/>
      <c r="P84" s="530"/>
      <c r="Q84" s="530"/>
      <c r="R84" s="530"/>
      <c r="S84" s="530"/>
      <c r="T84" s="530"/>
      <c r="U84" s="530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08"/>
      <c r="H85" s="539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530"/>
      <c r="P85" s="530"/>
      <c r="Q85" s="530"/>
      <c r="R85" s="530"/>
      <c r="S85" s="530"/>
      <c r="T85" s="530"/>
      <c r="U85" s="530"/>
      <c r="V85" s="132"/>
      <c r="W85" s="133"/>
      <c r="X85" s="132"/>
      <c r="Y85" s="132"/>
      <c r="Z85" s="132"/>
      <c r="AA85" s="132"/>
    </row>
    <row r="86" spans="1:27" ht="20.100000000000001" customHeight="1">
      <c r="A86" s="589" t="s">
        <v>216</v>
      </c>
      <c r="B86" s="589"/>
      <c r="C86" s="537" t="s">
        <v>202</v>
      </c>
      <c r="D86" s="143"/>
      <c r="E86" s="143"/>
      <c r="F86" s="144"/>
      <c r="G86" s="143">
        <f>SUM(G29:G85)</f>
        <v>2534</v>
      </c>
      <c r="H86" s="146">
        <f>SUM(H29:H85)</f>
        <v>12784.520000000002</v>
      </c>
      <c r="I86" s="146">
        <f>SUM(I29:I85)</f>
        <v>55</v>
      </c>
      <c r="J86" s="130">
        <f t="array" ref="J86">IF(ISERROR(G86/I86),"",G86/I86)</f>
        <v>46.072727272727271</v>
      </c>
      <c r="K86" s="146">
        <f>SUM(K29:K85)</f>
        <v>68.970476190476191</v>
      </c>
      <c r="L86" s="147"/>
      <c r="M86" s="150">
        <f t="shared" ref="M86:V86" si="34">SUM(M29:M85)</f>
        <v>-13.970476190476194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531" t="s">
        <v>217</v>
      </c>
      <c r="C87" s="126" t="s">
        <v>179</v>
      </c>
      <c r="D87" s="108">
        <v>5.03</v>
      </c>
      <c r="E87" s="108"/>
      <c r="F87" s="127"/>
      <c r="G87" s="108"/>
      <c r="H87" s="539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530"/>
      <c r="P87" s="530"/>
      <c r="Q87" s="530"/>
      <c r="R87" s="530"/>
      <c r="S87" s="530"/>
      <c r="T87" s="530"/>
      <c r="U87" s="530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531" t="s">
        <v>217</v>
      </c>
      <c r="C88" s="126" t="s">
        <v>186</v>
      </c>
      <c r="D88" s="108">
        <v>5.03</v>
      </c>
      <c r="E88" s="108"/>
      <c r="F88" s="127"/>
      <c r="G88" s="108"/>
      <c r="H88" s="539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530"/>
      <c r="P88" s="530"/>
      <c r="Q88" s="530"/>
      <c r="R88" s="530"/>
      <c r="S88" s="530"/>
      <c r="T88" s="530"/>
      <c r="U88" s="530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531" t="s">
        <v>217</v>
      </c>
      <c r="C89" s="126" t="s">
        <v>204</v>
      </c>
      <c r="D89" s="108">
        <v>5.03</v>
      </c>
      <c r="E89" s="108"/>
      <c r="F89" s="127"/>
      <c r="G89" s="108"/>
      <c r="H89" s="539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530"/>
      <c r="P89" s="530"/>
      <c r="Q89" s="530"/>
      <c r="R89" s="530"/>
      <c r="S89" s="530"/>
      <c r="T89" s="530"/>
      <c r="U89" s="530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08"/>
      <c r="H90" s="539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530"/>
      <c r="P90" s="530"/>
      <c r="Q90" s="530"/>
      <c r="R90" s="530"/>
      <c r="S90" s="530"/>
      <c r="T90" s="530"/>
      <c r="U90" s="530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08"/>
      <c r="H91" s="539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530"/>
      <c r="P91" s="530"/>
      <c r="Q91" s="530"/>
      <c r="R91" s="530"/>
      <c r="S91" s="530"/>
      <c r="T91" s="530"/>
      <c r="U91" s="530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08"/>
      <c r="H92" s="539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530"/>
      <c r="P92" s="530"/>
      <c r="Q92" s="530"/>
      <c r="R92" s="530"/>
      <c r="S92" s="530"/>
      <c r="T92" s="530"/>
      <c r="U92" s="530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08"/>
      <c r="H93" s="539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530"/>
      <c r="P93" s="530"/>
      <c r="Q93" s="530"/>
      <c r="R93" s="530"/>
      <c r="S93" s="530"/>
      <c r="T93" s="530"/>
      <c r="U93" s="530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08"/>
      <c r="H94" s="539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530"/>
      <c r="P94" s="530"/>
      <c r="Q94" s="530"/>
      <c r="R94" s="530"/>
      <c r="S94" s="530"/>
      <c r="T94" s="530"/>
      <c r="U94" s="530"/>
      <c r="V94" s="132"/>
      <c r="W94" s="133"/>
      <c r="X94" s="132"/>
      <c r="Y94" s="132"/>
      <c r="Z94" s="132"/>
      <c r="AA94" s="132"/>
    </row>
    <row r="95" spans="1:27" ht="20.10000000000000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>
        <v>42747</v>
      </c>
      <c r="G95" s="108">
        <v>90</v>
      </c>
      <c r="H95" s="539">
        <f t="shared" si="36"/>
        <v>452.70000000000005</v>
      </c>
      <c r="I95" s="129">
        <f>3.5*3</f>
        <v>10.5</v>
      </c>
      <c r="J95" s="130">
        <f t="array" ref="J95">IF(ISERROR(G95/I95),"",G95/I95)</f>
        <v>8.5714285714285712</v>
      </c>
      <c r="K95" s="131">
        <f t="array" ref="K95">IF(ISERROR(G95/L95),"",G95/L95)</f>
        <v>11.25</v>
      </c>
      <c r="L95" s="129">
        <v>8</v>
      </c>
      <c r="M95" s="109">
        <f t="shared" si="37"/>
        <v>-0.75</v>
      </c>
      <c r="N95" s="130">
        <f t="shared" ref="N95:N114" si="40">SUM(O95:U95)</f>
        <v>0</v>
      </c>
      <c r="O95" s="530"/>
      <c r="P95" s="530"/>
      <c r="Q95" s="530"/>
      <c r="R95" s="530"/>
      <c r="S95" s="530"/>
      <c r="T95" s="530"/>
      <c r="U95" s="530"/>
      <c r="V95" s="132">
        <f t="shared" ref="V95:V102" si="41">SUM(X95:AA95)</f>
        <v>0</v>
      </c>
      <c r="W95" s="133">
        <f t="shared" ref="W95:W106" si="42">IF(ISERROR(V95/G95),"",V95/G95)</f>
        <v>0</v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08"/>
      <c r="H96" s="539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530"/>
      <c r="P96" s="530"/>
      <c r="Q96" s="530"/>
      <c r="R96" s="530"/>
      <c r="S96" s="530"/>
      <c r="T96" s="530"/>
      <c r="U96" s="530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08"/>
      <c r="H97" s="539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530"/>
      <c r="P97" s="530"/>
      <c r="Q97" s="530"/>
      <c r="R97" s="530"/>
      <c r="S97" s="530"/>
      <c r="T97" s="530"/>
      <c r="U97" s="530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08"/>
      <c r="H98" s="539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530"/>
      <c r="P98" s="530"/>
      <c r="Q98" s="530"/>
      <c r="R98" s="530"/>
      <c r="S98" s="530"/>
      <c r="T98" s="530"/>
      <c r="U98" s="530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08"/>
      <c r="H99" s="539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530"/>
      <c r="P99" s="530"/>
      <c r="Q99" s="530"/>
      <c r="R99" s="530"/>
      <c r="S99" s="530"/>
      <c r="T99" s="530"/>
      <c r="U99" s="530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08"/>
      <c r="H100" s="539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530"/>
      <c r="P100" s="530"/>
      <c r="Q100" s="530"/>
      <c r="R100" s="530"/>
      <c r="S100" s="530"/>
      <c r="T100" s="530"/>
      <c r="U100" s="530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08"/>
      <c r="H101" s="539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530"/>
      <c r="P101" s="530"/>
      <c r="Q101" s="530"/>
      <c r="R101" s="530"/>
      <c r="S101" s="530"/>
      <c r="T101" s="530"/>
      <c r="U101" s="530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08"/>
      <c r="H102" s="539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530"/>
      <c r="P102" s="530"/>
      <c r="Q102" s="530"/>
      <c r="R102" s="530"/>
      <c r="S102" s="530"/>
      <c r="T102" s="530"/>
      <c r="U102" s="530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531" t="s">
        <v>222</v>
      </c>
      <c r="C103" s="126" t="s">
        <v>181</v>
      </c>
      <c r="D103" s="108">
        <v>10.199999999999999</v>
      </c>
      <c r="E103" s="108"/>
      <c r="F103" s="127"/>
      <c r="G103" s="108"/>
      <c r="H103" s="539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530"/>
      <c r="P103" s="530"/>
      <c r="Q103" s="530"/>
      <c r="R103" s="530"/>
      <c r="S103" s="530"/>
      <c r="T103" s="530"/>
      <c r="U103" s="530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531" t="s">
        <v>222</v>
      </c>
      <c r="C104" s="126" t="s">
        <v>179</v>
      </c>
      <c r="D104" s="108">
        <v>10.199999999999999</v>
      </c>
      <c r="E104" s="108"/>
      <c r="F104" s="127"/>
      <c r="G104" s="108"/>
      <c r="H104" s="539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530"/>
      <c r="P104" s="530"/>
      <c r="Q104" s="530"/>
      <c r="R104" s="530"/>
      <c r="S104" s="530"/>
      <c r="T104" s="530"/>
      <c r="U104" s="530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531" t="s">
        <v>222</v>
      </c>
      <c r="C105" s="126" t="s">
        <v>221</v>
      </c>
      <c r="D105" s="108">
        <v>10.199999999999999</v>
      </c>
      <c r="E105" s="108"/>
      <c r="F105" s="127"/>
      <c r="G105" s="108"/>
      <c r="H105" s="539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530"/>
      <c r="P105" s="530"/>
      <c r="Q105" s="530"/>
      <c r="R105" s="530"/>
      <c r="S105" s="530"/>
      <c r="T105" s="530"/>
      <c r="U105" s="530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531" t="s">
        <v>222</v>
      </c>
      <c r="C106" s="126" t="s">
        <v>186</v>
      </c>
      <c r="D106" s="108">
        <v>10.199999999999999</v>
      </c>
      <c r="E106" s="108"/>
      <c r="F106" s="127"/>
      <c r="G106" s="108"/>
      <c r="H106" s="539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530"/>
      <c r="P106" s="530"/>
      <c r="Q106" s="530"/>
      <c r="R106" s="530"/>
      <c r="S106" s="530"/>
      <c r="T106" s="530"/>
      <c r="U106" s="530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531" t="s">
        <v>393</v>
      </c>
      <c r="C107" s="187" t="s">
        <v>395</v>
      </c>
      <c r="D107" s="108">
        <v>5</v>
      </c>
      <c r="E107" s="108"/>
      <c r="F107" s="127"/>
      <c r="G107" s="108"/>
      <c r="H107" s="539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530"/>
      <c r="P107" s="530"/>
      <c r="Q107" s="530"/>
      <c r="R107" s="530"/>
      <c r="S107" s="530"/>
      <c r="T107" s="530"/>
      <c r="U107" s="530"/>
      <c r="V107" s="132"/>
      <c r="W107" s="133"/>
      <c r="X107" s="132"/>
      <c r="Y107" s="132"/>
      <c r="Z107" s="132"/>
      <c r="AA107" s="132"/>
    </row>
    <row r="108" spans="1:27" ht="20.100000000000001" customHeight="1">
      <c r="A108" s="299">
        <v>30400028</v>
      </c>
      <c r="B108" s="531" t="s">
        <v>393</v>
      </c>
      <c r="C108" s="187" t="s">
        <v>402</v>
      </c>
      <c r="D108" s="108">
        <v>5</v>
      </c>
      <c r="E108" s="108"/>
      <c r="F108" s="127">
        <v>42745</v>
      </c>
      <c r="G108" s="108">
        <f>86+90+74</f>
        <v>250</v>
      </c>
      <c r="H108" s="539">
        <f t="shared" si="36"/>
        <v>1250</v>
      </c>
      <c r="I108" s="129">
        <f>2*3+2+2*4</f>
        <v>16</v>
      </c>
      <c r="J108" s="130">
        <f t="array" ref="J108">IF(ISERROR(G108/I108),"",G108/I108)</f>
        <v>15.625</v>
      </c>
      <c r="K108" s="131">
        <f t="array" ref="K108">IF(ISERROR(G108/L108),"",G108/L108)</f>
        <v>50</v>
      </c>
      <c r="L108" s="129">
        <v>5</v>
      </c>
      <c r="M108" s="109">
        <f t="shared" si="37"/>
        <v>-34</v>
      </c>
      <c r="N108" s="130">
        <f t="shared" si="40"/>
        <v>0</v>
      </c>
      <c r="O108" s="530"/>
      <c r="P108" s="530"/>
      <c r="Q108" s="530"/>
      <c r="R108" s="530"/>
      <c r="S108" s="530"/>
      <c r="T108" s="530"/>
      <c r="U108" s="530"/>
      <c r="V108" s="132"/>
      <c r="W108" s="133"/>
      <c r="X108" s="132"/>
      <c r="Y108" s="132"/>
      <c r="Z108" s="132"/>
      <c r="AA108" s="132"/>
    </row>
    <row r="109" spans="1:27" ht="20.100000000000001" customHeight="1">
      <c r="A109" s="299">
        <v>30400027</v>
      </c>
      <c r="B109" s="531" t="s">
        <v>404</v>
      </c>
      <c r="C109" s="187" t="s">
        <v>405</v>
      </c>
      <c r="D109" s="108">
        <v>5</v>
      </c>
      <c r="E109" s="108"/>
      <c r="F109" s="127">
        <v>42746</v>
      </c>
      <c r="G109" s="108">
        <f>18+90*6-90</f>
        <v>468</v>
      </c>
      <c r="H109" s="539">
        <f t="shared" si="36"/>
        <v>2340</v>
      </c>
      <c r="I109" s="129">
        <f>4.5*3+5+5*2</f>
        <v>28.5</v>
      </c>
      <c r="J109" s="130">
        <f t="array" ref="J109">IF(ISERROR(G109/I109),"",G109/I109)</f>
        <v>16.421052631578949</v>
      </c>
      <c r="K109" s="131">
        <f t="array" ref="K109">IF(ISERROR(G109/L109),"",G109/L109)</f>
        <v>93.6</v>
      </c>
      <c r="L109" s="129">
        <v>5</v>
      </c>
      <c r="M109" s="109">
        <f t="shared" si="37"/>
        <v>-65.099999999999994</v>
      </c>
      <c r="N109" s="130">
        <f t="shared" si="40"/>
        <v>0</v>
      </c>
      <c r="O109" s="530"/>
      <c r="P109" s="530"/>
      <c r="Q109" s="530"/>
      <c r="R109" s="530"/>
      <c r="S109" s="530"/>
      <c r="T109" s="530"/>
      <c r="U109" s="530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531" t="s">
        <v>492</v>
      </c>
      <c r="C110" s="187" t="s">
        <v>372</v>
      </c>
      <c r="D110" s="108">
        <v>5</v>
      </c>
      <c r="E110" s="108"/>
      <c r="F110" s="127"/>
      <c r="G110" s="108"/>
      <c r="H110" s="539">
        <f t="shared" si="36"/>
        <v>0</v>
      </c>
      <c r="I110" s="129"/>
      <c r="J110" s="130" t="str">
        <f t="array" ref="J110">IF(ISERROR(G110/I110),"",G110/I110)</f>
        <v/>
      </c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530"/>
      <c r="P110" s="530"/>
      <c r="Q110" s="530"/>
      <c r="R110" s="530"/>
      <c r="S110" s="530"/>
      <c r="T110" s="530"/>
      <c r="U110" s="530"/>
      <c r="V110" s="132"/>
      <c r="W110" s="133"/>
      <c r="X110" s="132"/>
      <c r="Y110" s="132"/>
      <c r="Z110" s="132"/>
      <c r="AA110" s="132"/>
    </row>
    <row r="111" spans="1:27" ht="20.100000000000001" customHeight="1">
      <c r="A111" s="299">
        <v>30600009</v>
      </c>
      <c r="B111" s="531" t="s">
        <v>343</v>
      </c>
      <c r="C111" s="126" t="s">
        <v>345</v>
      </c>
      <c r="D111" s="108">
        <v>5</v>
      </c>
      <c r="E111" s="108"/>
      <c r="F111" s="127">
        <v>42743</v>
      </c>
      <c r="G111" s="108">
        <v>50</v>
      </c>
      <c r="H111" s="539">
        <f t="shared" si="36"/>
        <v>250</v>
      </c>
      <c r="I111" s="129">
        <f>1*3</f>
        <v>3</v>
      </c>
      <c r="J111" s="130">
        <f t="array" ref="J111">IF(ISERROR(G111/I111),"",G111/I111)</f>
        <v>16.666666666666668</v>
      </c>
      <c r="K111" s="131">
        <f t="array" ref="K111">IF(ISERROR(G111/L111),"",G111/L111)</f>
        <v>10</v>
      </c>
      <c r="L111" s="129">
        <v>5</v>
      </c>
      <c r="M111" s="109">
        <f t="shared" si="37"/>
        <v>-7</v>
      </c>
      <c r="N111" s="130">
        <f t="shared" si="40"/>
        <v>0</v>
      </c>
      <c r="O111" s="530"/>
      <c r="P111" s="530"/>
      <c r="Q111" s="530"/>
      <c r="R111" s="530"/>
      <c r="S111" s="530"/>
      <c r="T111" s="530"/>
      <c r="U111" s="530"/>
      <c r="V111" s="132"/>
      <c r="W111" s="133"/>
      <c r="X111" s="132"/>
      <c r="Y111" s="132"/>
      <c r="Z111" s="132"/>
      <c r="AA111" s="132"/>
    </row>
    <row r="112" spans="1:27" ht="20.100000000000001" customHeight="1">
      <c r="A112" s="299">
        <v>30600010</v>
      </c>
      <c r="B112" s="531" t="s">
        <v>343</v>
      </c>
      <c r="C112" s="126" t="s">
        <v>347</v>
      </c>
      <c r="D112" s="108">
        <v>5</v>
      </c>
      <c r="E112" s="108"/>
      <c r="F112" s="127">
        <v>42743</v>
      </c>
      <c r="G112" s="108">
        <v>68</v>
      </c>
      <c r="H112" s="539">
        <f t="shared" si="36"/>
        <v>340</v>
      </c>
      <c r="I112" s="129">
        <v>1</v>
      </c>
      <c r="J112" s="130">
        <f t="array" ref="J112">IF(ISERROR(G112/I112),"",G112/I112)</f>
        <v>68</v>
      </c>
      <c r="K112" s="131">
        <f t="array" ref="K112">IF(ISERROR(G112/L112),"",G112/L112)</f>
        <v>13.6</v>
      </c>
      <c r="L112" s="129">
        <v>5</v>
      </c>
      <c r="M112" s="109">
        <f t="shared" si="37"/>
        <v>-12.6</v>
      </c>
      <c r="N112" s="130">
        <f t="shared" si="40"/>
        <v>0</v>
      </c>
      <c r="O112" s="530"/>
      <c r="P112" s="530"/>
      <c r="Q112" s="530"/>
      <c r="R112" s="530"/>
      <c r="S112" s="530"/>
      <c r="T112" s="530"/>
      <c r="U112" s="530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08"/>
      <c r="H113" s="539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530"/>
      <c r="P113" s="530"/>
      <c r="Q113" s="530"/>
      <c r="R113" s="530"/>
      <c r="S113" s="530"/>
      <c r="T113" s="530"/>
      <c r="U113" s="530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08"/>
      <c r="H114" s="539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530"/>
      <c r="P114" s="530"/>
      <c r="Q114" s="530"/>
      <c r="R114" s="530"/>
      <c r="S114" s="530"/>
      <c r="T114" s="530"/>
      <c r="U114" s="530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08"/>
      <c r="H115" s="539">
        <f t="shared" si="36"/>
        <v>0</v>
      </c>
      <c r="I115" s="129"/>
      <c r="J115" s="130" t="str">
        <f t="array" ref="J115">IF(ISERROR(G115/I115),"",G115/I115)</f>
        <v/>
      </c>
      <c r="K115" s="131">
        <f t="array" ref="K115">IF(ISERROR(G115/L115),"",G115/L115)</f>
        <v>0</v>
      </c>
      <c r="L115" s="129">
        <v>24</v>
      </c>
      <c r="M115" s="109"/>
      <c r="N115" s="130"/>
      <c r="O115" s="530"/>
      <c r="P115" s="530"/>
      <c r="Q115" s="530"/>
      <c r="R115" s="530"/>
      <c r="S115" s="530"/>
      <c r="T115" s="530"/>
      <c r="U115" s="530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08"/>
      <c r="H116" s="539">
        <f t="shared" si="36"/>
        <v>0</v>
      </c>
      <c r="I116" s="129"/>
      <c r="J116" s="130" t="str">
        <f t="array" ref="J116">IF(ISERROR(G116/I116),"",G116/I116)</f>
        <v/>
      </c>
      <c r="K116" s="131">
        <f t="array" ref="K116">IF(ISERROR(G116/L116),"",G116/L116)</f>
        <v>0</v>
      </c>
      <c r="L116" s="129">
        <v>24</v>
      </c>
      <c r="M116" s="109"/>
      <c r="N116" s="130"/>
      <c r="O116" s="530"/>
      <c r="P116" s="530"/>
      <c r="Q116" s="530"/>
      <c r="R116" s="530"/>
      <c r="S116" s="530"/>
      <c r="T116" s="530"/>
      <c r="U116" s="530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08"/>
      <c r="H117" s="539">
        <f t="shared" si="36"/>
        <v>0</v>
      </c>
      <c r="I117" s="129"/>
      <c r="J117" s="130" t="str">
        <f t="array" ref="J117">IF(ISERROR(G117/I117),"",G117/I117)</f>
        <v/>
      </c>
      <c r="K117" s="131">
        <f t="array" ref="K117">IF(ISERROR(G117/L117),"",G117/L117)</f>
        <v>0</v>
      </c>
      <c r="L117" s="129">
        <v>24</v>
      </c>
      <c r="M117" s="109"/>
      <c r="N117" s="130"/>
      <c r="O117" s="530"/>
      <c r="P117" s="530"/>
      <c r="Q117" s="530"/>
      <c r="R117" s="530"/>
      <c r="S117" s="530"/>
      <c r="T117" s="530"/>
      <c r="U117" s="530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08"/>
      <c r="H118" s="539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530"/>
      <c r="P118" s="530"/>
      <c r="Q118" s="530"/>
      <c r="R118" s="530"/>
      <c r="S118" s="530"/>
      <c r="T118" s="530"/>
      <c r="U118" s="530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08"/>
      <c r="H119" s="539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530"/>
      <c r="P119" s="530"/>
      <c r="Q119" s="530"/>
      <c r="R119" s="530"/>
      <c r="S119" s="530"/>
      <c r="T119" s="530"/>
      <c r="U119" s="530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>
        <v>42745</v>
      </c>
      <c r="G120" s="108">
        <f>100*2+102</f>
        <v>302</v>
      </c>
      <c r="H120" s="539">
        <f t="shared" si="36"/>
        <v>1528.12</v>
      </c>
      <c r="I120" s="129">
        <f>4.5*3+4*2</f>
        <v>21.5</v>
      </c>
      <c r="J120" s="130">
        <f t="array" ref="J120">IF(ISERROR(G120/I120),"",G120/I120)</f>
        <v>14.046511627906977</v>
      </c>
      <c r="K120" s="539">
        <f t="array" ref="K120">IF(ISERROR(G120/L120),"",G120/L120)</f>
        <v>33.555555555555557</v>
      </c>
      <c r="L120" s="129">
        <v>9</v>
      </c>
      <c r="M120" s="109">
        <f t="shared" si="46"/>
        <v>-12.055555555555557</v>
      </c>
      <c r="N120" s="130">
        <f t="shared" si="47"/>
        <v>0</v>
      </c>
      <c r="O120" s="530"/>
      <c r="P120" s="530"/>
      <c r="Q120" s="530"/>
      <c r="R120" s="530"/>
      <c r="S120" s="530"/>
      <c r="T120" s="530"/>
      <c r="U120" s="530"/>
      <c r="V120" s="132">
        <f t="shared" si="48"/>
        <v>0</v>
      </c>
      <c r="W120" s="133">
        <f t="shared" si="49"/>
        <v>0</v>
      </c>
      <c r="X120" s="132"/>
      <c r="Y120" s="132"/>
      <c r="Z120" s="132"/>
      <c r="AA120" s="132"/>
    </row>
    <row r="121" spans="1:27" ht="20.100000000000001" customHeight="1">
      <c r="A121" s="578" t="s">
        <v>224</v>
      </c>
      <c r="B121" s="579"/>
      <c r="C121" s="537" t="s">
        <v>202</v>
      </c>
      <c r="D121" s="143"/>
      <c r="E121" s="143"/>
      <c r="F121" s="144"/>
      <c r="G121" s="143">
        <f>SUM(G87:G120)</f>
        <v>1228</v>
      </c>
      <c r="H121" s="146">
        <f>SUM(H87:H120)</f>
        <v>6160.82</v>
      </c>
      <c r="I121" s="146">
        <f>SUM(I87:I120)</f>
        <v>80.5</v>
      </c>
      <c r="J121" s="130">
        <f t="array" ref="J121">IF(ISERROR(G121/I121),"",G121/I121)</f>
        <v>15.254658385093167</v>
      </c>
      <c r="K121" s="146">
        <f>SUM(K87:K120)</f>
        <v>212.00555555555553</v>
      </c>
      <c r="L121" s="147"/>
      <c r="M121" s="150">
        <f t="shared" ref="M121:V121" si="50">SUM(M87:M120)</f>
        <v>-131.50555555555553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08"/>
      <c r="H122" s="539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530"/>
      <c r="P122" s="530"/>
      <c r="Q122" s="530"/>
      <c r="R122" s="530"/>
      <c r="S122" s="530"/>
      <c r="T122" s="530"/>
      <c r="U122" s="530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>
        <v>42746</v>
      </c>
      <c r="G123" s="108">
        <f>90*3+91+90*3</f>
        <v>631</v>
      </c>
      <c r="H123" s="539">
        <f t="shared" si="51"/>
        <v>3173.9300000000003</v>
      </c>
      <c r="I123" s="129">
        <f>11*2</f>
        <v>22</v>
      </c>
      <c r="J123" s="130">
        <f t="array" ref="J123">IF(ISERROR(G123/I123),"",G123/I123)</f>
        <v>28.681818181818183</v>
      </c>
      <c r="K123" s="131">
        <f t="array" ref="K123">IF(ISERROR(G123/L123),"",G123/L123)</f>
        <v>25.24</v>
      </c>
      <c r="L123" s="129">
        <v>25</v>
      </c>
      <c r="M123" s="109">
        <f t="shared" si="52"/>
        <v>-3.2399999999999984</v>
      </c>
      <c r="N123" s="130">
        <f t="shared" si="53"/>
        <v>0</v>
      </c>
      <c r="O123" s="530"/>
      <c r="P123" s="530"/>
      <c r="Q123" s="530"/>
      <c r="R123" s="530"/>
      <c r="S123" s="530"/>
      <c r="T123" s="530"/>
      <c r="U123" s="530"/>
      <c r="V123" s="132">
        <f t="shared" si="54"/>
        <v>0</v>
      </c>
      <c r="W123" s="133">
        <f t="shared" si="49"/>
        <v>0</v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08"/>
      <c r="H124" s="539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530"/>
      <c r="P124" s="530"/>
      <c r="Q124" s="530"/>
      <c r="R124" s="530"/>
      <c r="S124" s="530"/>
      <c r="T124" s="530"/>
      <c r="U124" s="530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08"/>
      <c r="H125" s="539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530"/>
      <c r="P125" s="530"/>
      <c r="Q125" s="530"/>
      <c r="R125" s="530"/>
      <c r="S125" s="530"/>
      <c r="T125" s="530"/>
      <c r="U125" s="530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535" t="s">
        <v>203</v>
      </c>
      <c r="D126" s="108">
        <v>5.03</v>
      </c>
      <c r="E126" s="108"/>
      <c r="F126" s="127"/>
      <c r="G126" s="108"/>
      <c r="H126" s="539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530"/>
      <c r="P126" s="530"/>
      <c r="Q126" s="530"/>
      <c r="R126" s="530"/>
      <c r="S126" s="530"/>
      <c r="T126" s="530"/>
      <c r="U126" s="530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08"/>
      <c r="H127" s="539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530"/>
      <c r="P127" s="530"/>
      <c r="Q127" s="530"/>
      <c r="R127" s="530"/>
      <c r="S127" s="530"/>
      <c r="T127" s="530"/>
      <c r="U127" s="530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08"/>
      <c r="H128" s="539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530"/>
      <c r="P128" s="530"/>
      <c r="Q128" s="530"/>
      <c r="R128" s="530"/>
      <c r="S128" s="530"/>
      <c r="T128" s="530"/>
      <c r="U128" s="530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535" t="s">
        <v>228</v>
      </c>
      <c r="D129" s="108">
        <v>5.03</v>
      </c>
      <c r="E129" s="108"/>
      <c r="F129" s="127"/>
      <c r="G129" s="108"/>
      <c r="H129" s="539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530"/>
      <c r="P129" s="530"/>
      <c r="Q129" s="530"/>
      <c r="R129" s="530"/>
      <c r="S129" s="530"/>
      <c r="T129" s="530"/>
      <c r="U129" s="530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535" t="s">
        <v>212</v>
      </c>
      <c r="D130" s="108">
        <v>5.03</v>
      </c>
      <c r="E130" s="108"/>
      <c r="F130" s="127"/>
      <c r="G130" s="108"/>
      <c r="H130" s="539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530"/>
      <c r="P130" s="530"/>
      <c r="Q130" s="530"/>
      <c r="R130" s="530"/>
      <c r="S130" s="530"/>
      <c r="T130" s="530"/>
      <c r="U130" s="530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535" t="s">
        <v>203</v>
      </c>
      <c r="D131" s="108">
        <v>5.03</v>
      </c>
      <c r="E131" s="108"/>
      <c r="F131" s="127"/>
      <c r="G131" s="108"/>
      <c r="H131" s="539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530"/>
      <c r="P131" s="530"/>
      <c r="Q131" s="530"/>
      <c r="R131" s="530"/>
      <c r="S131" s="530"/>
      <c r="T131" s="530"/>
      <c r="U131" s="530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535" t="s">
        <v>186</v>
      </c>
      <c r="D132" s="108">
        <v>5.03</v>
      </c>
      <c r="E132" s="108"/>
      <c r="F132" s="127"/>
      <c r="G132" s="108"/>
      <c r="H132" s="539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530"/>
      <c r="P132" s="530"/>
      <c r="Q132" s="530"/>
      <c r="R132" s="530"/>
      <c r="S132" s="530"/>
      <c r="T132" s="530"/>
      <c r="U132" s="530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535" t="s">
        <v>228</v>
      </c>
      <c r="D133" s="108">
        <v>5.03</v>
      </c>
      <c r="E133" s="108"/>
      <c r="F133" s="127"/>
      <c r="G133" s="108"/>
      <c r="H133" s="539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530"/>
      <c r="P133" s="530"/>
      <c r="Q133" s="530"/>
      <c r="R133" s="530"/>
      <c r="S133" s="530"/>
      <c r="T133" s="530"/>
      <c r="U133" s="530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535" t="s">
        <v>199</v>
      </c>
      <c r="D134" s="108">
        <v>5.03</v>
      </c>
      <c r="E134" s="108"/>
      <c r="F134" s="127"/>
      <c r="G134" s="108"/>
      <c r="H134" s="539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530"/>
      <c r="P134" s="530"/>
      <c r="Q134" s="530"/>
      <c r="R134" s="530"/>
      <c r="S134" s="530"/>
      <c r="T134" s="530"/>
      <c r="U134" s="530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08"/>
      <c r="H135" s="539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530"/>
      <c r="P135" s="530"/>
      <c r="Q135" s="530"/>
      <c r="R135" s="530"/>
      <c r="S135" s="530"/>
      <c r="T135" s="530"/>
      <c r="U135" s="530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08"/>
      <c r="H136" s="539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530"/>
      <c r="P136" s="530"/>
      <c r="Q136" s="530"/>
      <c r="R136" s="530"/>
      <c r="S136" s="530"/>
      <c r="T136" s="530"/>
      <c r="U136" s="530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customHeight="1">
      <c r="A137" s="578" t="s">
        <v>231</v>
      </c>
      <c r="B137" s="579"/>
      <c r="C137" s="537" t="s">
        <v>202</v>
      </c>
      <c r="D137" s="143"/>
      <c r="E137" s="143"/>
      <c r="F137" s="144"/>
      <c r="G137" s="143">
        <f>SUM(G122:G136)</f>
        <v>631</v>
      </c>
      <c r="H137" s="146">
        <f>SUM(H122:H136)</f>
        <v>3173.9300000000003</v>
      </c>
      <c r="I137" s="146">
        <f>SUM(I122:I136)</f>
        <v>22</v>
      </c>
      <c r="J137" s="130">
        <f t="array" ref="J137">IF(ISERROR(G137/I137),"",G137/I137)</f>
        <v>28.681818181818183</v>
      </c>
      <c r="K137" s="146">
        <f>SUM(K122:K136)</f>
        <v>25.24</v>
      </c>
      <c r="L137" s="147"/>
      <c r="M137" s="150">
        <f>SUM(M122:M136)</f>
        <v>-3.2399999999999984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49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08"/>
      <c r="H138" s="539">
        <f t="shared" ref="H138:H147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530"/>
      <c r="P138" s="530"/>
      <c r="Q138" s="530"/>
      <c r="R138" s="530"/>
      <c r="S138" s="530"/>
      <c r="T138" s="530"/>
      <c r="U138" s="530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08"/>
      <c r="H139" s="539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530"/>
      <c r="P139" s="530"/>
      <c r="Q139" s="530"/>
      <c r="R139" s="530"/>
      <c r="S139" s="530"/>
      <c r="T139" s="530"/>
      <c r="U139" s="530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08"/>
      <c r="H140" s="539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530"/>
      <c r="P140" s="530"/>
      <c r="Q140" s="530"/>
      <c r="R140" s="530"/>
      <c r="S140" s="530"/>
      <c r="T140" s="530"/>
      <c r="U140" s="530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08"/>
      <c r="H141" s="539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530"/>
      <c r="P141" s="530"/>
      <c r="Q141" s="530"/>
      <c r="R141" s="530"/>
      <c r="S141" s="530"/>
      <c r="T141" s="530"/>
      <c r="U141" s="530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08"/>
      <c r="H142" s="539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530"/>
      <c r="P142" s="530"/>
      <c r="Q142" s="530"/>
      <c r="R142" s="530"/>
      <c r="S142" s="530"/>
      <c r="T142" s="530"/>
      <c r="U142" s="530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08"/>
      <c r="H143" s="539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530"/>
      <c r="P143" s="530"/>
      <c r="Q143" s="530"/>
      <c r="R143" s="530"/>
      <c r="S143" s="530"/>
      <c r="T143" s="530"/>
      <c r="U143" s="530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/>
      <c r="G144" s="108"/>
      <c r="H144" s="539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530"/>
      <c r="P144" s="530"/>
      <c r="Q144" s="530"/>
      <c r="R144" s="530"/>
      <c r="S144" s="530"/>
      <c r="T144" s="530"/>
      <c r="U144" s="530"/>
      <c r="V144" s="132"/>
      <c r="W144" s="133"/>
      <c r="X144" s="132"/>
      <c r="Y144" s="132"/>
      <c r="Z144" s="132"/>
      <c r="AA144" s="132"/>
    </row>
    <row r="145" spans="1:27" ht="20.100000000000001" hidden="1" customHeight="1">
      <c r="A145" s="300">
        <v>30400021</v>
      </c>
      <c r="B145" s="134" t="s">
        <v>439</v>
      </c>
      <c r="C145" s="187" t="s">
        <v>53</v>
      </c>
      <c r="D145" s="108">
        <v>5.04</v>
      </c>
      <c r="E145" s="108"/>
      <c r="F145" s="127"/>
      <c r="G145" s="108"/>
      <c r="H145" s="539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530"/>
      <c r="P145" s="530"/>
      <c r="Q145" s="530"/>
      <c r="R145" s="530"/>
      <c r="S145" s="530"/>
      <c r="T145" s="530"/>
      <c r="U145" s="530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/>
      <c r="G146" s="108"/>
      <c r="H146" s="539">
        <f t="shared" si="55"/>
        <v>0</v>
      </c>
      <c r="I146" s="129"/>
      <c r="J146" s="130"/>
      <c r="K146" s="131">
        <f t="array" ref="K146">IF(ISERROR(G146/L146),"",G146/L146)</f>
        <v>0</v>
      </c>
      <c r="L146" s="129">
        <v>13.5</v>
      </c>
      <c r="M146" s="109"/>
      <c r="N146" s="130"/>
      <c r="O146" s="530"/>
      <c r="P146" s="530"/>
      <c r="Q146" s="530"/>
      <c r="R146" s="530"/>
      <c r="S146" s="530"/>
      <c r="T146" s="530"/>
      <c r="U146" s="530"/>
      <c r="V146" s="132"/>
      <c r="W146" s="133"/>
      <c r="X146" s="132"/>
      <c r="Y146" s="132"/>
      <c r="Z146" s="132"/>
      <c r="AA146" s="132"/>
    </row>
    <row r="147" spans="1:27" ht="20.100000000000001" hidden="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08"/>
      <c r="H147" s="539">
        <f t="shared" si="55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ref="M147" si="59">IF(ISERROR(I147-K147),"",I147-K147)</f>
        <v>0</v>
      </c>
      <c r="N147" s="130">
        <f t="shared" ref="N147" si="60">SUM(O147:U147)</f>
        <v>0</v>
      </c>
      <c r="O147" s="530"/>
      <c r="P147" s="530"/>
      <c r="Q147" s="530"/>
      <c r="R147" s="530"/>
      <c r="S147" s="530"/>
      <c r="T147" s="530"/>
      <c r="U147" s="530"/>
      <c r="V147" s="132">
        <f t="shared" ref="V147" si="61">SUM(X147:AA147)</f>
        <v>0</v>
      </c>
      <c r="W147" s="133" t="str">
        <f t="shared" ref="W147:W152" si="62">IF(ISERROR(V147/G147),"",V147/G147)</f>
        <v/>
      </c>
      <c r="X147" s="132"/>
      <c r="Y147" s="132"/>
      <c r="Z147" s="132"/>
      <c r="AA147" s="132"/>
    </row>
    <row r="148" spans="1:27" ht="20.100000000000001" hidden="1" customHeight="1">
      <c r="A148" s="578" t="s">
        <v>234</v>
      </c>
      <c r="B148" s="579"/>
      <c r="C148" s="537" t="s">
        <v>202</v>
      </c>
      <c r="D148" s="143"/>
      <c r="E148" s="143"/>
      <c r="F148" s="144"/>
      <c r="G148" s="143">
        <f>SUM(G138:G147)</f>
        <v>0</v>
      </c>
      <c r="H148" s="146">
        <f>SUM(H138:H147)</f>
        <v>0</v>
      </c>
      <c r="I148" s="146">
        <f>SUM(I138:I147)</f>
        <v>0</v>
      </c>
      <c r="J148" s="130" t="str">
        <f t="array" ref="J148">IF(ISERROR(G148/I148),"",G148/I148)</f>
        <v/>
      </c>
      <c r="K148" s="146">
        <f>SUM(K138:K147)</f>
        <v>0</v>
      </c>
      <c r="L148" s="147"/>
      <c r="M148" s="150">
        <f>SUM(M138:M147)</f>
        <v>0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 t="str">
        <f t="shared" si="62"/>
        <v/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hidden="1" customHeight="1">
      <c r="A149" s="299">
        <v>30700013</v>
      </c>
      <c r="B149" s="298" t="s">
        <v>103</v>
      </c>
      <c r="C149" s="529"/>
      <c r="D149" s="108">
        <v>3.65</v>
      </c>
      <c r="E149" s="108"/>
      <c r="F149" s="153"/>
      <c r="G149" s="108"/>
      <c r="H149" s="539">
        <f t="shared" ref="H149:H162" si="63">D149*G149</f>
        <v>0</v>
      </c>
      <c r="I149" s="129"/>
      <c r="J149" s="130" t="str">
        <f t="array" ref="J149">IF(ISERROR(G149/I149),"",G149/I149)</f>
        <v/>
      </c>
      <c r="K149" s="539">
        <f t="array" ref="K149">IF(ISERROR(G149/L149),"",G149/L149)</f>
        <v>0</v>
      </c>
      <c r="L149" s="129">
        <v>5</v>
      </c>
      <c r="M149" s="109">
        <f t="shared" ref="M149:M152" si="64">IF(ISERROR(I149-K149),"",I149-K149)</f>
        <v>0</v>
      </c>
      <c r="N149" s="130">
        <f t="shared" ref="N149:N152" si="65">SUM(O149:U149)</f>
        <v>0</v>
      </c>
      <c r="O149" s="530"/>
      <c r="P149" s="530"/>
      <c r="Q149" s="530"/>
      <c r="R149" s="530"/>
      <c r="S149" s="530"/>
      <c r="T149" s="530"/>
      <c r="U149" s="530"/>
      <c r="V149" s="132">
        <f t="shared" ref="V149:V152" si="66">SUM(X149:AA149)</f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30700014</v>
      </c>
      <c r="B150" s="141" t="s">
        <v>236</v>
      </c>
      <c r="C150" s="529"/>
      <c r="D150" s="108">
        <v>6.58</v>
      </c>
      <c r="E150" s="108"/>
      <c r="F150" s="127"/>
      <c r="G150" s="108"/>
      <c r="H150" s="539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5</v>
      </c>
      <c r="M150" s="109">
        <f t="shared" si="64"/>
        <v>0</v>
      </c>
      <c r="N150" s="130">
        <f t="shared" si="65"/>
        <v>0</v>
      </c>
      <c r="O150" s="530"/>
      <c r="P150" s="530"/>
      <c r="Q150" s="530"/>
      <c r="R150" s="530"/>
      <c r="S150" s="530"/>
      <c r="T150" s="530"/>
      <c r="U150" s="530"/>
      <c r="V150" s="132">
        <f t="shared" si="66"/>
        <v>0</v>
      </c>
      <c r="W150" s="133" t="str">
        <f t="shared" si="62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30700016</v>
      </c>
      <c r="B151" s="141" t="s">
        <v>237</v>
      </c>
      <c r="C151" s="529"/>
      <c r="D151" s="108">
        <v>7.8</v>
      </c>
      <c r="E151" s="108"/>
      <c r="F151" s="127"/>
      <c r="G151" s="108"/>
      <c r="H151" s="539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4.5999999999999996</v>
      </c>
      <c r="M151" s="109">
        <f t="shared" si="64"/>
        <v>0</v>
      </c>
      <c r="N151" s="130">
        <f t="shared" si="65"/>
        <v>0</v>
      </c>
      <c r="O151" s="530"/>
      <c r="P151" s="530"/>
      <c r="Q151" s="530"/>
      <c r="R151" s="530"/>
      <c r="S151" s="530"/>
      <c r="T151" s="530"/>
      <c r="U151" s="530"/>
      <c r="V151" s="132">
        <f t="shared" si="66"/>
        <v>0</v>
      </c>
      <c r="W151" s="133" t="str">
        <f t="shared" si="62"/>
        <v/>
      </c>
      <c r="X151" s="132"/>
      <c r="Y151" s="132"/>
      <c r="Z151" s="132"/>
      <c r="AA151" s="132"/>
    </row>
    <row r="152" spans="1:27" ht="20.100000000000001" hidden="1" customHeight="1">
      <c r="A152" s="299">
        <v>30700017</v>
      </c>
      <c r="B152" s="141" t="s">
        <v>238</v>
      </c>
      <c r="C152" s="529"/>
      <c r="D152" s="108">
        <v>4.4000000000000004</v>
      </c>
      <c r="E152" s="108"/>
      <c r="F152" s="127"/>
      <c r="G152" s="108"/>
      <c r="H152" s="539">
        <f t="shared" si="63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5.8</v>
      </c>
      <c r="M152" s="109">
        <f t="shared" si="64"/>
        <v>0</v>
      </c>
      <c r="N152" s="130">
        <f t="shared" si="65"/>
        <v>0</v>
      </c>
      <c r="O152" s="530"/>
      <c r="P152" s="530"/>
      <c r="Q152" s="530"/>
      <c r="R152" s="530"/>
      <c r="S152" s="530"/>
      <c r="T152" s="530"/>
      <c r="U152" s="530"/>
      <c r="V152" s="132">
        <f t="shared" si="66"/>
        <v>0</v>
      </c>
      <c r="W152" s="133" t="str">
        <f t="shared" si="62"/>
        <v/>
      </c>
      <c r="X152" s="132"/>
      <c r="Y152" s="132"/>
      <c r="Z152" s="132"/>
      <c r="AA152" s="132"/>
    </row>
    <row r="153" spans="1:27" ht="20.100000000000001" hidden="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08"/>
      <c r="H153" s="539">
        <f t="shared" si="63"/>
        <v>0</v>
      </c>
      <c r="I153" s="129"/>
      <c r="J153" s="130"/>
      <c r="K153" s="131"/>
      <c r="L153" s="129">
        <v>6</v>
      </c>
      <c r="M153" s="109"/>
      <c r="N153" s="130"/>
      <c r="O153" s="530"/>
      <c r="P153" s="530"/>
      <c r="Q153" s="530"/>
      <c r="R153" s="530"/>
      <c r="S153" s="530"/>
      <c r="T153" s="530"/>
      <c r="U153" s="530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5"/>
      <c r="B154" s="529" t="s">
        <v>239</v>
      </c>
      <c r="C154" s="529" t="s">
        <v>179</v>
      </c>
      <c r="D154" s="108">
        <v>6.04</v>
      </c>
      <c r="E154" s="108"/>
      <c r="F154" s="127"/>
      <c r="G154" s="108"/>
      <c r="H154" s="539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5" si="67">IF(ISERROR(I154-K154),"",I154-K154)</f>
        <v>0</v>
      </c>
      <c r="N154" s="130">
        <f t="shared" ref="N154:N155" si="68">SUM(O154:U154)</f>
        <v>0</v>
      </c>
      <c r="O154" s="530"/>
      <c r="P154" s="530"/>
      <c r="Q154" s="530"/>
      <c r="R154" s="530"/>
      <c r="S154" s="530"/>
      <c r="T154" s="530"/>
      <c r="U154" s="530"/>
      <c r="V154" s="132">
        <f t="shared" ref="V154:V155" si="69">SUM(X154:AA154)</f>
        <v>0</v>
      </c>
      <c r="W154" s="133" t="str">
        <f t="shared" ref="W154:W155" si="70">IF(ISERROR(V154/G154),"",V154/G154)</f>
        <v/>
      </c>
      <c r="X154" s="132"/>
      <c r="Y154" s="132"/>
      <c r="Z154" s="132"/>
      <c r="AA154" s="132"/>
    </row>
    <row r="155" spans="1:27" ht="20.100000000000001" hidden="1" customHeight="1">
      <c r="A155" s="305">
        <v>30700019</v>
      </c>
      <c r="B155" s="529" t="s">
        <v>239</v>
      </c>
      <c r="C155" s="529" t="s">
        <v>186</v>
      </c>
      <c r="D155" s="108">
        <v>6.04</v>
      </c>
      <c r="E155" s="108"/>
      <c r="F155" s="127"/>
      <c r="G155" s="108"/>
      <c r="H155" s="539">
        <f t="shared" si="63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7"/>
        <v>0</v>
      </c>
      <c r="N155" s="130">
        <f t="shared" si="68"/>
        <v>0</v>
      </c>
      <c r="O155" s="530"/>
      <c r="P155" s="530"/>
      <c r="Q155" s="530"/>
      <c r="R155" s="530"/>
      <c r="S155" s="530"/>
      <c r="T155" s="530"/>
      <c r="U155" s="530"/>
      <c r="V155" s="132">
        <f t="shared" si="69"/>
        <v>0</v>
      </c>
      <c r="W155" s="133" t="str">
        <f t="shared" si="70"/>
        <v/>
      </c>
      <c r="X155" s="132"/>
      <c r="Y155" s="132"/>
      <c r="Z155" s="132"/>
      <c r="AA155" s="132"/>
    </row>
    <row r="156" spans="1:27" ht="20.100000000000001" customHeight="1">
      <c r="A156" s="305">
        <v>30601015</v>
      </c>
      <c r="B156" s="529" t="s">
        <v>443</v>
      </c>
      <c r="C156" s="529" t="s">
        <v>179</v>
      </c>
      <c r="D156" s="108">
        <v>6</v>
      </c>
      <c r="E156" s="108"/>
      <c r="F156" s="127">
        <v>42746</v>
      </c>
      <c r="G156" s="111">
        <f>38+42+16+42</f>
        <v>138</v>
      </c>
      <c r="H156" s="539">
        <f t="shared" si="63"/>
        <v>828</v>
      </c>
      <c r="I156" s="129">
        <f>11*5</f>
        <v>55</v>
      </c>
      <c r="J156" s="130">
        <f t="array" ref="J156">IF(ISERROR(G156/I156),"",G156/I156)</f>
        <v>2.5090909090909093</v>
      </c>
      <c r="K156" s="131">
        <f t="array" ref="K156">IF(ISERROR(G156/L156),"",G156/L156)</f>
        <v>5.52</v>
      </c>
      <c r="L156" s="129">
        <v>25</v>
      </c>
      <c r="M156" s="109"/>
      <c r="N156" s="130"/>
      <c r="O156" s="530"/>
      <c r="P156" s="530"/>
      <c r="Q156" s="530"/>
      <c r="R156" s="530"/>
      <c r="S156" s="530"/>
      <c r="T156" s="530"/>
      <c r="U156" s="530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305">
        <v>30101016</v>
      </c>
      <c r="B157" s="529" t="s">
        <v>443</v>
      </c>
      <c r="C157" s="529" t="s">
        <v>60</v>
      </c>
      <c r="D157" s="108">
        <v>6</v>
      </c>
      <c r="E157" s="108"/>
      <c r="F157" s="127"/>
      <c r="G157" s="108"/>
      <c r="H157" s="539">
        <f t="shared" si="63"/>
        <v>0</v>
      </c>
      <c r="I157" s="129"/>
      <c r="J157" s="130"/>
      <c r="K157" s="131"/>
      <c r="L157" s="129">
        <v>6</v>
      </c>
      <c r="M157" s="109"/>
      <c r="N157" s="130"/>
      <c r="O157" s="530"/>
      <c r="P157" s="530"/>
      <c r="Q157" s="530"/>
      <c r="R157" s="530"/>
      <c r="S157" s="530"/>
      <c r="T157" s="530"/>
      <c r="U157" s="530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299">
        <v>30700018</v>
      </c>
      <c r="B158" s="531" t="s">
        <v>240</v>
      </c>
      <c r="C158" s="126"/>
      <c r="D158" s="108">
        <v>7.3</v>
      </c>
      <c r="E158" s="108"/>
      <c r="F158" s="127"/>
      <c r="G158" s="108"/>
      <c r="H158" s="539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1">IF(ISERROR(I158-K158),"",I158-K158)</f>
        <v/>
      </c>
      <c r="N158" s="130">
        <f t="shared" ref="N158:N159" si="72">SUM(O158:U158)</f>
        <v>0</v>
      </c>
      <c r="O158" s="530"/>
      <c r="P158" s="530"/>
      <c r="Q158" s="530"/>
      <c r="R158" s="530"/>
      <c r="S158" s="530"/>
      <c r="T158" s="530"/>
      <c r="U158" s="530"/>
      <c r="V158" s="132">
        <f t="shared" ref="V158:V159" si="73">SUM(X158:AA158)</f>
        <v>0</v>
      </c>
      <c r="W158" s="133" t="str">
        <f t="shared" ref="W158:W159" si="74">IF(ISERROR(V158/G158),"",V158/G158)</f>
        <v/>
      </c>
      <c r="X158" s="132"/>
      <c r="Y158" s="132"/>
      <c r="Z158" s="132"/>
      <c r="AA158" s="132"/>
    </row>
    <row r="159" spans="1:27" ht="20.100000000000001" hidden="1" customHeight="1">
      <c r="A159" s="299">
        <v>30700010</v>
      </c>
      <c r="B159" s="531" t="s">
        <v>241</v>
      </c>
      <c r="C159" s="126"/>
      <c r="D159" s="108">
        <f>78*120/1000</f>
        <v>9.36</v>
      </c>
      <c r="E159" s="108"/>
      <c r="F159" s="127"/>
      <c r="G159" s="108"/>
      <c r="H159" s="539">
        <f t="shared" si="63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2"/>
        <v>0</v>
      </c>
      <c r="O159" s="530"/>
      <c r="P159" s="530"/>
      <c r="Q159" s="530"/>
      <c r="R159" s="530"/>
      <c r="S159" s="530"/>
      <c r="T159" s="530"/>
      <c r="U159" s="530"/>
      <c r="V159" s="132">
        <f t="shared" si="73"/>
        <v>0</v>
      </c>
      <c r="W159" s="133" t="str">
        <f t="shared" si="74"/>
        <v/>
      </c>
      <c r="X159" s="132"/>
      <c r="Y159" s="132"/>
      <c r="Z159" s="132"/>
      <c r="AA159" s="132"/>
    </row>
    <row r="160" spans="1:27" ht="20.100000000000001" hidden="1" customHeight="1">
      <c r="A160" s="299">
        <v>30700015</v>
      </c>
      <c r="B160" s="531" t="s">
        <v>242</v>
      </c>
      <c r="C160" s="126"/>
      <c r="D160" s="108">
        <v>4.5</v>
      </c>
      <c r="E160" s="108"/>
      <c r="F160" s="127"/>
      <c r="G160" s="108"/>
      <c r="H160" s="539">
        <f t="shared" si="63"/>
        <v>0</v>
      </c>
      <c r="I160" s="129"/>
      <c r="J160" s="130"/>
      <c r="K160" s="131"/>
      <c r="L160" s="129"/>
      <c r="M160" s="109"/>
      <c r="N160" s="130"/>
      <c r="O160" s="530"/>
      <c r="P160" s="530"/>
      <c r="Q160" s="530"/>
      <c r="R160" s="530"/>
      <c r="S160" s="530"/>
      <c r="T160" s="530"/>
      <c r="U160" s="530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299">
        <v>30700012</v>
      </c>
      <c r="B161" s="531" t="s">
        <v>243</v>
      </c>
      <c r="C161" s="126"/>
      <c r="D161" s="108">
        <v>4.5</v>
      </c>
      <c r="E161" s="108"/>
      <c r="F161" s="127"/>
      <c r="G161" s="108"/>
      <c r="H161" s="539">
        <f t="shared" si="63"/>
        <v>0</v>
      </c>
      <c r="I161" s="129"/>
      <c r="J161" s="130"/>
      <c r="K161" s="131"/>
      <c r="L161" s="129"/>
      <c r="M161" s="109"/>
      <c r="N161" s="130"/>
      <c r="O161" s="530"/>
      <c r="P161" s="530"/>
      <c r="Q161" s="530"/>
      <c r="R161" s="530"/>
      <c r="S161" s="530"/>
      <c r="T161" s="530"/>
      <c r="U161" s="530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306">
        <v>30101063</v>
      </c>
      <c r="B162" s="254" t="s">
        <v>436</v>
      </c>
      <c r="C162" s="126"/>
      <c r="D162" s="108">
        <v>5.03</v>
      </c>
      <c r="E162" s="108"/>
      <c r="F162" s="127"/>
      <c r="G162" s="108"/>
      <c r="H162" s="539">
        <f t="shared" si="63"/>
        <v>0</v>
      </c>
      <c r="I162" s="129"/>
      <c r="J162" s="130"/>
      <c r="K162" s="131"/>
      <c r="L162" s="129"/>
      <c r="M162" s="109"/>
      <c r="N162" s="130"/>
      <c r="O162" s="530"/>
      <c r="P162" s="530"/>
      <c r="Q162" s="530"/>
      <c r="R162" s="530"/>
      <c r="S162" s="530"/>
      <c r="T162" s="530"/>
      <c r="U162" s="530"/>
      <c r="V162" s="132"/>
      <c r="W162" s="133"/>
      <c r="X162" s="132"/>
      <c r="Y162" s="132"/>
      <c r="Z162" s="132"/>
      <c r="AA162" s="132"/>
    </row>
    <row r="163" spans="1:27" ht="20.100000000000001" customHeight="1">
      <c r="A163" s="578" t="s">
        <v>244</v>
      </c>
      <c r="B163" s="579"/>
      <c r="C163" s="537" t="s">
        <v>202</v>
      </c>
      <c r="D163" s="143"/>
      <c r="E163" s="143"/>
      <c r="F163" s="144"/>
      <c r="G163" s="143">
        <f>SUM(G149:G161)</f>
        <v>138</v>
      </c>
      <c r="H163" s="146">
        <f>SUM(H149:H159)</f>
        <v>828</v>
      </c>
      <c r="I163" s="146">
        <f>SUM(I149:I161)</f>
        <v>55</v>
      </c>
      <c r="J163" s="130">
        <f t="array" ref="J163">IF(ISERROR(G163/I163),"",G163/I163)</f>
        <v>2.5090909090909093</v>
      </c>
      <c r="K163" s="146">
        <f>SUM(K149:K159)</f>
        <v>5.52</v>
      </c>
      <c r="L163" s="147"/>
      <c r="M163" s="150">
        <f t="shared" ref="M163:V163" si="75">SUM(M149:M159)</f>
        <v>0</v>
      </c>
      <c r="N163" s="146">
        <f t="shared" si="75"/>
        <v>0</v>
      </c>
      <c r="O163" s="148">
        <f t="shared" si="75"/>
        <v>0</v>
      </c>
      <c r="P163" s="148">
        <f t="shared" si="75"/>
        <v>0</v>
      </c>
      <c r="Q163" s="148">
        <f t="shared" si="75"/>
        <v>0</v>
      </c>
      <c r="R163" s="148">
        <f t="shared" si="75"/>
        <v>0</v>
      </c>
      <c r="S163" s="148">
        <f t="shared" si="75"/>
        <v>0</v>
      </c>
      <c r="T163" s="148">
        <f t="shared" si="75"/>
        <v>0</v>
      </c>
      <c r="U163" s="148">
        <f t="shared" si="75"/>
        <v>0</v>
      </c>
      <c r="V163" s="149">
        <f t="shared" si="75"/>
        <v>0</v>
      </c>
      <c r="W163" s="133">
        <f>IF(ISERROR(V163/G163),"",V163/G163)</f>
        <v>0</v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580" t="s">
        <v>246</v>
      </c>
      <c r="B164" s="581"/>
      <c r="C164" s="581"/>
      <c r="D164" s="581"/>
      <c r="E164" s="581"/>
      <c r="F164" s="582"/>
      <c r="G164" s="553">
        <f>SUM(G28,G86,G121,G137,G148,G163)</f>
        <v>5770</v>
      </c>
      <c r="H164" s="154">
        <f>SUM(H28,H86,H121,H137,H148,H163)</f>
        <v>29238.840000000004</v>
      </c>
      <c r="I164" s="154">
        <f>SUM(I28,I86,I121,I137,I148,I163)</f>
        <v>285</v>
      </c>
      <c r="J164" s="155">
        <f t="array" ref="J164">IF(ISERROR(G164/I164),"",G164/I164)</f>
        <v>20.245614035087719</v>
      </c>
      <c r="K164" s="154">
        <f>SUM(K28,K86,K121,K137,K148,K163)</f>
        <v>437.77951000690126</v>
      </c>
      <c r="L164" s="155">
        <f>IF(ISERROR(G164/K164),"",G164/K164)</f>
        <v>13.180150893560644</v>
      </c>
      <c r="M164" s="154">
        <f t="shared" ref="M164:AA164" si="76">SUM(M28,M86,M121,M137,M148,M163)</f>
        <v>-202.25951000690128</v>
      </c>
      <c r="N164" s="154">
        <f t="shared" si="76"/>
        <v>0</v>
      </c>
      <c r="O164" s="154">
        <f t="shared" si="76"/>
        <v>0</v>
      </c>
      <c r="P164" s="154">
        <f t="shared" si="76"/>
        <v>0</v>
      </c>
      <c r="Q164" s="154">
        <f t="shared" si="76"/>
        <v>0</v>
      </c>
      <c r="R164" s="154">
        <f t="shared" si="76"/>
        <v>0</v>
      </c>
      <c r="S164" s="154">
        <f t="shared" si="76"/>
        <v>0</v>
      </c>
      <c r="T164" s="154">
        <f t="shared" si="76"/>
        <v>0</v>
      </c>
      <c r="U164" s="154">
        <f t="shared" si="76"/>
        <v>0</v>
      </c>
      <c r="V164" s="154">
        <f t="shared" si="76"/>
        <v>0</v>
      </c>
      <c r="W164" s="154">
        <f t="shared" si="76"/>
        <v>0</v>
      </c>
      <c r="X164" s="154">
        <f t="shared" si="76"/>
        <v>0</v>
      </c>
      <c r="Y164" s="154">
        <f t="shared" si="76"/>
        <v>0</v>
      </c>
      <c r="Z164" s="154">
        <f t="shared" si="76"/>
        <v>0</v>
      </c>
      <c r="AA164" s="154">
        <f t="shared" si="76"/>
        <v>0</v>
      </c>
    </row>
    <row r="165" spans="1:27" ht="20.100000000000001" customHeight="1">
      <c r="A165" s="583" t="s">
        <v>476</v>
      </c>
      <c r="B165" s="536" t="s">
        <v>247</v>
      </c>
      <c r="C165" s="586" t="s">
        <v>248</v>
      </c>
      <c r="D165" s="587"/>
      <c r="E165" s="588" t="s">
        <v>249</v>
      </c>
      <c r="F165" s="588"/>
      <c r="G165" s="591" t="s">
        <v>250</v>
      </c>
      <c r="H165" s="591"/>
      <c r="I165" s="588" t="s">
        <v>251</v>
      </c>
      <c r="J165" s="588"/>
      <c r="K165" s="588" t="s">
        <v>252</v>
      </c>
      <c r="L165" s="588"/>
      <c r="M165" s="588" t="s">
        <v>253</v>
      </c>
      <c r="N165" s="588"/>
      <c r="O165" s="588" t="s">
        <v>254</v>
      </c>
      <c r="P165" s="591" t="s">
        <v>255</v>
      </c>
      <c r="Q165" s="591"/>
      <c r="R165" s="591" t="s">
        <v>252</v>
      </c>
      <c r="S165" s="591"/>
      <c r="T165" s="591" t="s">
        <v>256</v>
      </c>
      <c r="U165" s="591"/>
      <c r="V165" s="591" t="s">
        <v>257</v>
      </c>
      <c r="W165" s="591"/>
      <c r="X165" s="591" t="s">
        <v>252</v>
      </c>
      <c r="Y165" s="591"/>
      <c r="Z165" s="591" t="s">
        <v>256</v>
      </c>
      <c r="AA165" s="591"/>
    </row>
    <row r="166" spans="1:27" ht="20.100000000000001" customHeight="1">
      <c r="A166" s="584"/>
      <c r="B166" s="536" t="s">
        <v>258</v>
      </c>
      <c r="C166" s="586">
        <v>1</v>
      </c>
      <c r="D166" s="587"/>
      <c r="E166" s="590">
        <f>C166*11</f>
        <v>11</v>
      </c>
      <c r="F166" s="590"/>
      <c r="G166" s="591">
        <v>1</v>
      </c>
      <c r="H166" s="591"/>
      <c r="I166" s="590">
        <f>G166*11</f>
        <v>11</v>
      </c>
      <c r="J166" s="590"/>
      <c r="K166" s="590">
        <f>E166-I166</f>
        <v>0</v>
      </c>
      <c r="L166" s="590"/>
      <c r="M166" s="592">
        <f>IF(ISERROR(K166/E166),"",K166/E166)</f>
        <v>0</v>
      </c>
      <c r="N166" s="592"/>
      <c r="O166" s="588"/>
      <c r="P166" s="591" t="s">
        <v>201</v>
      </c>
      <c r="Q166" s="591"/>
      <c r="R166" s="593">
        <f>SUM(O28:U28)</f>
        <v>0</v>
      </c>
      <c r="S166" s="593"/>
      <c r="T166" s="594" t="str">
        <f t="array" ref="T166">IF(ISERROR(R166/R173),"",R166/R173)</f>
        <v/>
      </c>
      <c r="U166" s="594"/>
      <c r="V166" s="591" t="s">
        <v>259</v>
      </c>
      <c r="W166" s="591"/>
      <c r="X166" s="595">
        <f>SUM(P27,P85,P120,P136,P147,P161)</f>
        <v>0</v>
      </c>
      <c r="Y166" s="595"/>
      <c r="Z166" s="594" t="str">
        <f t="array" ref="Z166">IF(ISERROR(X166/X173),"",X166/X173)</f>
        <v/>
      </c>
      <c r="AA166" s="594"/>
    </row>
    <row r="167" spans="1:27" ht="20.100000000000001" customHeight="1">
      <c r="A167" s="584"/>
      <c r="B167" s="536" t="s">
        <v>260</v>
      </c>
      <c r="C167" s="586">
        <v>1</v>
      </c>
      <c r="D167" s="587"/>
      <c r="E167" s="590">
        <f>C167*11</f>
        <v>11</v>
      </c>
      <c r="F167" s="590"/>
      <c r="G167" s="591">
        <v>1</v>
      </c>
      <c r="H167" s="591"/>
      <c r="I167" s="590">
        <f>G167*11</f>
        <v>11</v>
      </c>
      <c r="J167" s="590"/>
      <c r="K167" s="590">
        <f>E167-I167</f>
        <v>0</v>
      </c>
      <c r="L167" s="590"/>
      <c r="M167" s="592">
        <f>IF(ISERROR(K167/E167),"",K167/E167)</f>
        <v>0</v>
      </c>
      <c r="N167" s="592"/>
      <c r="O167" s="588"/>
      <c r="P167" s="591" t="s">
        <v>216</v>
      </c>
      <c r="Q167" s="591"/>
      <c r="R167" s="593">
        <f>SUM(O86:U86)</f>
        <v>0</v>
      </c>
      <c r="S167" s="593"/>
      <c r="T167" s="594" t="str">
        <f>IF(ISERROR(R167/R173),"",R167/R173)</f>
        <v/>
      </c>
      <c r="U167" s="594"/>
      <c r="V167" s="591" t="s">
        <v>261</v>
      </c>
      <c r="W167" s="591"/>
      <c r="X167" s="595">
        <f>SUM(P28,P86,P121,P137,P148,P163)</f>
        <v>0</v>
      </c>
      <c r="Y167" s="595"/>
      <c r="Z167" s="594" t="str">
        <f>IF(ISERROR(X167/X173),"",X167/X173)</f>
        <v/>
      </c>
      <c r="AA167" s="594"/>
    </row>
    <row r="168" spans="1:27" ht="20.100000000000001" customHeight="1">
      <c r="A168" s="584"/>
      <c r="B168" s="536" t="s">
        <v>262</v>
      </c>
      <c r="C168" s="586">
        <v>1</v>
      </c>
      <c r="D168" s="587"/>
      <c r="E168" s="590">
        <f>C168*8</f>
        <v>8</v>
      </c>
      <c r="F168" s="590"/>
      <c r="G168" s="591">
        <v>1</v>
      </c>
      <c r="H168" s="591"/>
      <c r="I168" s="590">
        <f>G168*8</f>
        <v>8</v>
      </c>
      <c r="J168" s="590"/>
      <c r="K168" s="590">
        <f>E168-I168</f>
        <v>0</v>
      </c>
      <c r="L168" s="590"/>
      <c r="M168" s="592">
        <f>IF(ISERROR(K168/E168),"",K168/E168)</f>
        <v>0</v>
      </c>
      <c r="N168" s="592"/>
      <c r="O168" s="588"/>
      <c r="P168" s="591" t="s">
        <v>224</v>
      </c>
      <c r="Q168" s="591"/>
      <c r="R168" s="593">
        <f>SUM(O121:U121)</f>
        <v>0</v>
      </c>
      <c r="S168" s="593"/>
      <c r="T168" s="594" t="str">
        <f>IF(ISERROR(R168/R173),"",R168/R173)</f>
        <v/>
      </c>
      <c r="U168" s="594"/>
      <c r="V168" s="591" t="s">
        <v>263</v>
      </c>
      <c r="W168" s="591"/>
      <c r="X168" s="595">
        <f>SUM(P29,P87,P122,P138,P149,P164)</f>
        <v>0</v>
      </c>
      <c r="Y168" s="595"/>
      <c r="Z168" s="594" t="str">
        <f>IF(ISERROR(X168/X173),"",X168/X173)</f>
        <v/>
      </c>
      <c r="AA168" s="594"/>
    </row>
    <row r="169" spans="1:27" ht="20.100000000000001" customHeight="1">
      <c r="A169" s="584"/>
      <c r="B169" s="536" t="s">
        <v>264</v>
      </c>
      <c r="C169" s="586">
        <v>1</v>
      </c>
      <c r="D169" s="587"/>
      <c r="E169" s="590">
        <f>C169*11</f>
        <v>11</v>
      </c>
      <c r="F169" s="590"/>
      <c r="G169" s="591">
        <v>1</v>
      </c>
      <c r="H169" s="591"/>
      <c r="I169" s="590">
        <f>G169*11</f>
        <v>11</v>
      </c>
      <c r="J169" s="590"/>
      <c r="K169" s="590">
        <f>E169-I169</f>
        <v>0</v>
      </c>
      <c r="L169" s="590"/>
      <c r="M169" s="592">
        <f>IF(ISERROR(K169/E169),"",K169/E169)</f>
        <v>0</v>
      </c>
      <c r="N169" s="592"/>
      <c r="O169" s="588"/>
      <c r="P169" s="591" t="s">
        <v>231</v>
      </c>
      <c r="Q169" s="591"/>
      <c r="R169" s="593">
        <f>SUM(O137:U137)</f>
        <v>0</v>
      </c>
      <c r="S169" s="593"/>
      <c r="T169" s="594" t="str">
        <f>IF(ISERROR(R169/R173),"",R169/R173)</f>
        <v/>
      </c>
      <c r="U169" s="594"/>
      <c r="V169" s="591" t="s">
        <v>265</v>
      </c>
      <c r="W169" s="591"/>
      <c r="X169" s="595">
        <f>SUM(P31,P88,P123,P139,P150,P165)</f>
        <v>0</v>
      </c>
      <c r="Y169" s="595"/>
      <c r="Z169" s="594" t="str">
        <f>IF(ISERROR(X169/X173),"",X169/X173)</f>
        <v/>
      </c>
      <c r="AA169" s="594"/>
    </row>
    <row r="170" spans="1:27" ht="20.100000000000001" customHeight="1">
      <c r="A170" s="585"/>
      <c r="B170" s="536" t="s">
        <v>266</v>
      </c>
      <c r="C170" s="596">
        <f>SUM(C166:D169)</f>
        <v>4</v>
      </c>
      <c r="D170" s="597"/>
      <c r="E170" s="590">
        <f>SUM(E166:F169)</f>
        <v>41</v>
      </c>
      <c r="F170" s="590"/>
      <c r="G170" s="591">
        <f>SUM(G166:H169)</f>
        <v>4</v>
      </c>
      <c r="H170" s="591"/>
      <c r="I170" s="590">
        <f>SUM(I166:J169)</f>
        <v>41</v>
      </c>
      <c r="J170" s="590"/>
      <c r="K170" s="590">
        <f>SUM(K166:L169)</f>
        <v>0</v>
      </c>
      <c r="L170" s="590"/>
      <c r="M170" s="592">
        <f>IF(ISERROR(K170/E170),"",K170/E170)</f>
        <v>0</v>
      </c>
      <c r="N170" s="592"/>
      <c r="O170" s="588"/>
      <c r="P170" s="591" t="s">
        <v>234</v>
      </c>
      <c r="Q170" s="591"/>
      <c r="R170" s="593">
        <f>SUM(O148:U148)</f>
        <v>0</v>
      </c>
      <c r="S170" s="593"/>
      <c r="T170" s="594" t="str">
        <f>IF(ISERROR(R170/R173),"",R170/R173)</f>
        <v/>
      </c>
      <c r="U170" s="594"/>
      <c r="V170" s="591" t="s">
        <v>267</v>
      </c>
      <c r="W170" s="591"/>
      <c r="X170" s="595">
        <f>SUM(P32,P89,P124,P140,P151,P166)</f>
        <v>0</v>
      </c>
      <c r="Y170" s="595"/>
      <c r="Z170" s="594" t="str">
        <f>IF(ISERROR(X170/X173),"",X170/X173)</f>
        <v/>
      </c>
      <c r="AA170" s="594"/>
    </row>
    <row r="171" spans="1:27" ht="20.100000000000001" customHeight="1">
      <c r="A171" s="307" t="s">
        <v>477</v>
      </c>
      <c r="B171" s="536">
        <f>G164</f>
        <v>5770</v>
      </c>
      <c r="C171" s="598" t="s">
        <v>269</v>
      </c>
      <c r="D171" s="599"/>
      <c r="E171" s="591">
        <f>H164</f>
        <v>29238.840000000004</v>
      </c>
      <c r="F171" s="591"/>
      <c r="G171" s="591" t="s">
        <v>270</v>
      </c>
      <c r="H171" s="591"/>
      <c r="I171" s="600">
        <f>L164</f>
        <v>13.180150893560644</v>
      </c>
      <c r="J171" s="600"/>
      <c r="K171" s="588" t="s">
        <v>271</v>
      </c>
      <c r="L171" s="588"/>
      <c r="M171" s="600">
        <f>J164</f>
        <v>20.245614035087719</v>
      </c>
      <c r="N171" s="600"/>
      <c r="O171" s="588"/>
      <c r="P171" s="591" t="s">
        <v>244</v>
      </c>
      <c r="Q171" s="591"/>
      <c r="R171" s="593">
        <f>SUM(O163:U163)</f>
        <v>0</v>
      </c>
      <c r="S171" s="593"/>
      <c r="T171" s="594" t="str">
        <f>IF(ISERROR(R171/R173),"",R171/R173)</f>
        <v/>
      </c>
      <c r="U171" s="594"/>
      <c r="V171" s="591" t="s">
        <v>272</v>
      </c>
      <c r="W171" s="591"/>
      <c r="X171" s="595">
        <f>SUM(P33,P90,P125,P141,P152,P167)</f>
        <v>0</v>
      </c>
      <c r="Y171" s="595"/>
      <c r="Z171" s="594" t="str">
        <f>IF(ISERROR(X171/X173),"",X171/X173)</f>
        <v/>
      </c>
      <c r="AA171" s="594"/>
    </row>
    <row r="172" spans="1:27" ht="20.100000000000001" customHeight="1">
      <c r="A172" s="308" t="s">
        <v>478</v>
      </c>
      <c r="B172" s="536">
        <f>I164+C170</f>
        <v>289</v>
      </c>
      <c r="C172" s="601" t="s">
        <v>251</v>
      </c>
      <c r="D172" s="602"/>
      <c r="E172" s="603">
        <f>K164+I170</f>
        <v>478.77951000690126</v>
      </c>
      <c r="F172" s="603"/>
      <c r="G172" s="591" t="s">
        <v>274</v>
      </c>
      <c r="H172" s="591"/>
      <c r="I172" s="600">
        <f>B172-E172</f>
        <v>-189.77951000690126</v>
      </c>
      <c r="J172" s="600"/>
      <c r="K172" s="588" t="s">
        <v>275</v>
      </c>
      <c r="L172" s="588"/>
      <c r="M172" s="592">
        <f>IF(ISERROR(I172/E172),"",I172/E172)</f>
        <v>-0.39638185436165746</v>
      </c>
      <c r="N172" s="592"/>
      <c r="O172" s="588"/>
      <c r="P172" s="591" t="s">
        <v>245</v>
      </c>
      <c r="Q172" s="591"/>
      <c r="R172" s="593"/>
      <c r="S172" s="593"/>
      <c r="T172" s="594" t="str">
        <f>IF(ISERROR(R172/R173),"",R172/R173)</f>
        <v/>
      </c>
      <c r="U172" s="594"/>
      <c r="V172" s="591" t="s">
        <v>264</v>
      </c>
      <c r="W172" s="591"/>
      <c r="X172" s="595"/>
      <c r="Y172" s="595"/>
      <c r="Z172" s="594" t="str">
        <f>IF(ISERROR(X172/X173),"",X172/X173)</f>
        <v/>
      </c>
      <c r="AA172" s="594"/>
    </row>
    <row r="173" spans="1:27" ht="20.100000000000001" customHeight="1">
      <c r="A173" s="308" t="s">
        <v>479</v>
      </c>
      <c r="B173" s="536">
        <f>N164</f>
        <v>0</v>
      </c>
      <c r="C173" s="601" t="s">
        <v>277</v>
      </c>
      <c r="D173" s="602"/>
      <c r="E173" s="594">
        <f>IF(ISERROR(B173/B172),"",B173/B172)</f>
        <v>0</v>
      </c>
      <c r="F173" s="594"/>
      <c r="G173" s="591" t="s">
        <v>278</v>
      </c>
      <c r="H173" s="591"/>
      <c r="I173" s="588">
        <f>V164</f>
        <v>0</v>
      </c>
      <c r="J173" s="588"/>
      <c r="K173" s="588" t="s">
        <v>279</v>
      </c>
      <c r="L173" s="588"/>
      <c r="M173" s="592">
        <f t="array" ref="M173">IF(ISERROR(I173/B171),"",I173/B171)</f>
        <v>0</v>
      </c>
      <c r="N173" s="592"/>
      <c r="O173" s="588"/>
      <c r="P173" s="591" t="s">
        <v>266</v>
      </c>
      <c r="Q173" s="591"/>
      <c r="R173" s="593">
        <f>SUM(R166:S172)</f>
        <v>0</v>
      </c>
      <c r="S173" s="593"/>
      <c r="T173" s="594"/>
      <c r="U173" s="594"/>
      <c r="V173" s="591" t="s">
        <v>266</v>
      </c>
      <c r="W173" s="591"/>
      <c r="X173" s="595">
        <f>SUM(X166:Y172)</f>
        <v>0</v>
      </c>
      <c r="Y173" s="595"/>
      <c r="Z173" s="594"/>
      <c r="AA173" s="594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2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604" t="s">
        <v>480</v>
      </c>
      <c r="B175" s="607" t="s">
        <v>280</v>
      </c>
      <c r="C175" s="607" t="s">
        <v>281</v>
      </c>
      <c r="D175" s="607" t="s">
        <v>282</v>
      </c>
      <c r="E175" s="610" t="s">
        <v>283</v>
      </c>
      <c r="F175" s="623" t="s">
        <v>284</v>
      </c>
      <c r="G175" s="588" t="s">
        <v>285</v>
      </c>
      <c r="H175" s="588"/>
      <c r="I175" s="607" t="s">
        <v>286</v>
      </c>
      <c r="J175" s="613" t="s">
        <v>271</v>
      </c>
      <c r="K175" s="616" t="s">
        <v>287</v>
      </c>
      <c r="L175" s="607" t="s">
        <v>270</v>
      </c>
      <c r="M175" s="619" t="s">
        <v>288</v>
      </c>
      <c r="N175" s="621" t="s">
        <v>252</v>
      </c>
      <c r="O175" s="588" t="s">
        <v>289</v>
      </c>
      <c r="P175" s="588"/>
      <c r="Q175" s="588"/>
      <c r="R175" s="588"/>
      <c r="S175" s="588"/>
      <c r="T175" s="588"/>
      <c r="U175" s="588"/>
      <c r="V175" s="588" t="s">
        <v>290</v>
      </c>
      <c r="W175" s="621" t="s">
        <v>291</v>
      </c>
      <c r="X175" s="588" t="s">
        <v>292</v>
      </c>
      <c r="Y175" s="588"/>
      <c r="Z175" s="588"/>
      <c r="AA175" s="588"/>
    </row>
    <row r="176" spans="1:27" ht="21.95" customHeight="1">
      <c r="A176" s="605"/>
      <c r="B176" s="608"/>
      <c r="C176" s="608"/>
      <c r="D176" s="608"/>
      <c r="E176" s="611"/>
      <c r="F176" s="624"/>
      <c r="G176" s="588"/>
      <c r="H176" s="588"/>
      <c r="I176" s="608"/>
      <c r="J176" s="614"/>
      <c r="K176" s="617"/>
      <c r="L176" s="608"/>
      <c r="M176" s="620"/>
      <c r="N176" s="621"/>
      <c r="O176" s="588" t="s">
        <v>259</v>
      </c>
      <c r="P176" s="588" t="s">
        <v>261</v>
      </c>
      <c r="Q176" s="588" t="s">
        <v>263</v>
      </c>
      <c r="R176" s="622" t="s">
        <v>265</v>
      </c>
      <c r="S176" s="591" t="s">
        <v>267</v>
      </c>
      <c r="T176" s="588" t="s">
        <v>272</v>
      </c>
      <c r="U176" s="588" t="s">
        <v>264</v>
      </c>
      <c r="V176" s="588"/>
      <c r="W176" s="621"/>
      <c r="X176" s="588" t="s">
        <v>293</v>
      </c>
      <c r="Y176" s="588" t="s">
        <v>294</v>
      </c>
      <c r="Z176" s="588" t="s">
        <v>295</v>
      </c>
      <c r="AA176" s="588" t="s">
        <v>264</v>
      </c>
    </row>
    <row r="177" spans="1:27" ht="21.95" customHeight="1">
      <c r="A177" s="606"/>
      <c r="B177" s="609"/>
      <c r="C177" s="609"/>
      <c r="D177" s="609"/>
      <c r="E177" s="612"/>
      <c r="F177" s="625"/>
      <c r="G177" s="547" t="s">
        <v>550</v>
      </c>
      <c r="H177" s="529" t="s">
        <v>297</v>
      </c>
      <c r="I177" s="609"/>
      <c r="J177" s="615"/>
      <c r="K177" s="618"/>
      <c r="L177" s="609"/>
      <c r="M177" s="620"/>
      <c r="N177" s="621"/>
      <c r="O177" s="588"/>
      <c r="P177" s="588"/>
      <c r="Q177" s="588"/>
      <c r="R177" s="622"/>
      <c r="S177" s="591"/>
      <c r="T177" s="588"/>
      <c r="U177" s="588"/>
      <c r="V177" s="588"/>
      <c r="W177" s="621"/>
      <c r="X177" s="588"/>
      <c r="Y177" s="588"/>
      <c r="Z177" s="588"/>
      <c r="AA177" s="588"/>
    </row>
    <row r="178" spans="1:27" ht="20.100000000000001" hidden="1" customHeight="1">
      <c r="A178" s="299">
        <v>30100030</v>
      </c>
      <c r="B178" s="531" t="s">
        <v>178</v>
      </c>
      <c r="C178" s="126" t="s">
        <v>179</v>
      </c>
      <c r="D178" s="108">
        <v>5.03</v>
      </c>
      <c r="E178" s="108"/>
      <c r="F178" s="127"/>
      <c r="G178" s="108"/>
      <c r="H178" s="539">
        <f t="shared" ref="H178:H187" si="77">D178*G178</f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16</v>
      </c>
      <c r="M178" s="109">
        <f t="shared" ref="M178:M187" si="78">IF(ISERROR(I178-K178),"",I178-K178)</f>
        <v>0</v>
      </c>
      <c r="N178" s="130">
        <f>SUM(O178:U178)</f>
        <v>0</v>
      </c>
      <c r="O178" s="530"/>
      <c r="P178" s="530"/>
      <c r="Q178" s="530"/>
      <c r="R178" s="530"/>
      <c r="S178" s="530"/>
      <c r="T178" s="530"/>
      <c r="U178" s="530"/>
      <c r="V178" s="132">
        <f t="shared" ref="V178:V183" si="79">SUM(X178:AA178)</f>
        <v>0</v>
      </c>
      <c r="W178" s="133" t="str">
        <f t="shared" ref="W178:W183" si="80">IF(ISERROR(V178/G178),"",V178/G178)</f>
        <v/>
      </c>
      <c r="X178" s="132"/>
      <c r="Y178" s="132"/>
      <c r="Z178" s="132"/>
      <c r="AA178" s="132"/>
    </row>
    <row r="179" spans="1:27" ht="20.100000000000001" hidden="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08"/>
      <c r="H179" s="539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ref="N179:N187" si="81">SUM(O179:U179)</f>
        <v>0</v>
      </c>
      <c r="O179" s="530"/>
      <c r="P179" s="530"/>
      <c r="Q179" s="530"/>
      <c r="R179" s="530"/>
      <c r="S179" s="530"/>
      <c r="T179" s="530"/>
      <c r="U179" s="530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08"/>
      <c r="H180" s="539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530"/>
      <c r="P180" s="530"/>
      <c r="Q180" s="530"/>
      <c r="R180" s="530"/>
      <c r="S180" s="530"/>
      <c r="T180" s="530"/>
      <c r="U180" s="530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/>
      <c r="G181" s="108"/>
      <c r="H181" s="539">
        <f t="shared" si="77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19</v>
      </c>
      <c r="M181" s="109">
        <f t="shared" si="78"/>
        <v>0</v>
      </c>
      <c r="N181" s="130">
        <f t="shared" si="81"/>
        <v>0</v>
      </c>
      <c r="O181" s="530"/>
      <c r="P181" s="530"/>
      <c r="Q181" s="530"/>
      <c r="R181" s="530"/>
      <c r="S181" s="530"/>
      <c r="T181" s="530"/>
      <c r="U181" s="530"/>
      <c r="V181" s="132">
        <f t="shared" si="79"/>
        <v>0</v>
      </c>
      <c r="W181" s="133" t="str">
        <f t="shared" si="80"/>
        <v/>
      </c>
      <c r="X181" s="132"/>
      <c r="Y181" s="132"/>
      <c r="Z181" s="132"/>
      <c r="AA181" s="132"/>
    </row>
    <row r="182" spans="1:27" ht="20.100000000000001" hidden="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/>
      <c r="G182" s="108"/>
      <c r="H182" s="539">
        <f t="shared" si="77"/>
        <v>0</v>
      </c>
      <c r="I182" s="129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20</v>
      </c>
      <c r="M182" s="109">
        <f t="shared" si="78"/>
        <v>0</v>
      </c>
      <c r="N182" s="130">
        <f t="shared" si="81"/>
        <v>0</v>
      </c>
      <c r="O182" s="530"/>
      <c r="P182" s="530"/>
      <c r="Q182" s="530"/>
      <c r="R182" s="530"/>
      <c r="S182" s="530"/>
      <c r="T182" s="530"/>
      <c r="U182" s="530"/>
      <c r="V182" s="132">
        <f t="shared" si="79"/>
        <v>0</v>
      </c>
      <c r="W182" s="133" t="str">
        <f t="shared" si="80"/>
        <v/>
      </c>
      <c r="X182" s="132"/>
      <c r="Y182" s="132"/>
      <c r="Z182" s="132"/>
      <c r="AA182" s="132"/>
    </row>
    <row r="183" spans="1:27" ht="20.100000000000001" hidden="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58"/>
      <c r="G183" s="552"/>
      <c r="H183" s="539">
        <f t="shared" si="77"/>
        <v>0</v>
      </c>
      <c r="I183" s="138"/>
      <c r="J183" s="130" t="str">
        <f t="array" ref="J183">IF(ISERROR(G183/I183),"",G183/I183)</f>
        <v/>
      </c>
      <c r="K183" s="131">
        <f t="array" ref="K183">IF(ISERROR(G183/L183),"",G183/L183)</f>
        <v>0</v>
      </c>
      <c r="L183" s="129">
        <v>19</v>
      </c>
      <c r="M183" s="109">
        <f t="shared" si="78"/>
        <v>0</v>
      </c>
      <c r="N183" s="130">
        <f t="shared" si="81"/>
        <v>0</v>
      </c>
      <c r="O183" s="530"/>
      <c r="P183" s="530"/>
      <c r="Q183" s="530"/>
      <c r="R183" s="530"/>
      <c r="S183" s="530"/>
      <c r="T183" s="530"/>
      <c r="U183" s="530"/>
      <c r="V183" s="132">
        <f t="shared" si="79"/>
        <v>0</v>
      </c>
      <c r="W183" s="133" t="str">
        <f t="shared" si="80"/>
        <v/>
      </c>
      <c r="X183" s="132"/>
      <c r="Y183" s="132"/>
      <c r="Z183" s="132"/>
      <c r="AA183" s="132"/>
    </row>
    <row r="184" spans="1:27" ht="20.10000000000000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>
        <v>42745</v>
      </c>
      <c r="G184" s="108">
        <f>2+38</f>
        <v>40</v>
      </c>
      <c r="H184" s="539">
        <f t="shared" si="77"/>
        <v>201.20000000000002</v>
      </c>
      <c r="I184" s="129">
        <v>13</v>
      </c>
      <c r="J184" s="130">
        <f t="array" ref="J184">IF(ISERROR(G184/I184),"",G184/I184)</f>
        <v>3.0769230769230771</v>
      </c>
      <c r="K184" s="131">
        <f t="array" ref="K184">IF(ISERROR(G184/L184),"",G184/L184)</f>
        <v>13.333333333333334</v>
      </c>
      <c r="L184" s="129">
        <v>3</v>
      </c>
      <c r="M184" s="109">
        <f t="shared" si="78"/>
        <v>-0.33333333333333393</v>
      </c>
      <c r="N184" s="130">
        <f t="shared" si="81"/>
        <v>0</v>
      </c>
      <c r="O184" s="530"/>
      <c r="P184" s="530"/>
      <c r="Q184" s="530"/>
      <c r="R184" s="530"/>
      <c r="S184" s="530"/>
      <c r="T184" s="530"/>
      <c r="U184" s="530"/>
      <c r="V184" s="132"/>
      <c r="W184" s="133"/>
      <c r="X184" s="132"/>
      <c r="Y184" s="132"/>
      <c r="Z184" s="132"/>
      <c r="AA184" s="132"/>
    </row>
    <row r="185" spans="1:27" ht="20.10000000000000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>
        <v>42745</v>
      </c>
      <c r="G185" s="108">
        <v>42</v>
      </c>
      <c r="H185" s="539">
        <f t="shared" si="77"/>
        <v>211.26000000000002</v>
      </c>
      <c r="I185" s="129">
        <f>1.5*3</f>
        <v>4.5</v>
      </c>
      <c r="J185" s="130">
        <f t="array" ref="J185">IF(ISERROR(G185/I185),"",G185/I185)</f>
        <v>9.3333333333333339</v>
      </c>
      <c r="K185" s="131">
        <f t="array" ref="K185">IF(ISERROR(G185/L185),"",G185/L185)</f>
        <v>14</v>
      </c>
      <c r="L185" s="129">
        <v>3</v>
      </c>
      <c r="M185" s="109">
        <f t="shared" si="78"/>
        <v>-9.5</v>
      </c>
      <c r="N185" s="130">
        <f t="shared" si="81"/>
        <v>0</v>
      </c>
      <c r="O185" s="530"/>
      <c r="P185" s="530"/>
      <c r="Q185" s="530"/>
      <c r="R185" s="530"/>
      <c r="S185" s="530"/>
      <c r="T185" s="530"/>
      <c r="U185" s="530"/>
      <c r="V185" s="132"/>
      <c r="W185" s="133"/>
      <c r="X185" s="132"/>
      <c r="Y185" s="132"/>
      <c r="Z185" s="132"/>
      <c r="AA185" s="132"/>
    </row>
    <row r="186" spans="1:27" ht="20.10000000000000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>
        <v>42747</v>
      </c>
      <c r="G186" s="108">
        <f>100*6</f>
        <v>600</v>
      </c>
      <c r="H186" s="539">
        <f t="shared" si="77"/>
        <v>3024</v>
      </c>
      <c r="I186" s="539">
        <f>10*5</f>
        <v>50</v>
      </c>
      <c r="J186" s="130">
        <f t="array" ref="J186">IF(ISERROR(G186/I186),"",G186/I186)</f>
        <v>12</v>
      </c>
      <c r="K186" s="131">
        <f t="array" ref="K186">IF(ISERROR(G186/L186),"",G186/L186)</f>
        <v>35.294117647058826</v>
      </c>
      <c r="L186" s="129">
        <v>17</v>
      </c>
      <c r="M186" s="109">
        <f t="shared" si="78"/>
        <v>14.705882352941174</v>
      </c>
      <c r="N186" s="130">
        <f t="shared" si="81"/>
        <v>0</v>
      </c>
      <c r="O186" s="530"/>
      <c r="P186" s="530"/>
      <c r="Q186" s="530"/>
      <c r="R186" s="530"/>
      <c r="S186" s="530"/>
      <c r="T186" s="530"/>
      <c r="U186" s="530"/>
      <c r="V186" s="132">
        <f>SUM(X186:AA186)</f>
        <v>0</v>
      </c>
      <c r="W186" s="133">
        <f>IF(ISERROR(V186/G186),"",V186/G186)</f>
        <v>0</v>
      </c>
      <c r="X186" s="132"/>
      <c r="Y186" s="132"/>
      <c r="Z186" s="132"/>
      <c r="AA186" s="132"/>
    </row>
    <row r="187" spans="1:27" ht="20.100000000000001" hidden="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/>
      <c r="G187" s="108"/>
      <c r="H187" s="539">
        <f t="shared" si="77"/>
        <v>0</v>
      </c>
      <c r="I187" s="53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 t="shared" si="78"/>
        <v>0</v>
      </c>
      <c r="N187" s="130">
        <f t="shared" si="81"/>
        <v>0</v>
      </c>
      <c r="O187" s="530"/>
      <c r="P187" s="530"/>
      <c r="Q187" s="530"/>
      <c r="R187" s="530"/>
      <c r="S187" s="530"/>
      <c r="T187" s="530"/>
      <c r="U187" s="530"/>
      <c r="V187" s="132">
        <f>SUM(X187:AA187)</f>
        <v>0</v>
      </c>
      <c r="W187" s="133" t="str">
        <f>IF(ISERROR(V187/G187),"",V187/G187)</f>
        <v/>
      </c>
      <c r="X187" s="132"/>
      <c r="Y187" s="132"/>
      <c r="Z187" s="132"/>
      <c r="AA187" s="132"/>
    </row>
    <row r="188" spans="1:27" ht="20.100000000000001" hidden="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08"/>
      <c r="H188" s="539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530"/>
      <c r="P188" s="530"/>
      <c r="Q188" s="530"/>
      <c r="R188" s="530"/>
      <c r="S188" s="530"/>
      <c r="T188" s="530"/>
      <c r="U188" s="530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08"/>
      <c r="H189" s="539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530"/>
      <c r="P189" s="530"/>
      <c r="Q189" s="530"/>
      <c r="R189" s="530"/>
      <c r="S189" s="530"/>
      <c r="T189" s="530"/>
      <c r="U189" s="530"/>
      <c r="V189" s="132"/>
      <c r="W189" s="133"/>
      <c r="X189" s="132"/>
      <c r="Y189" s="132"/>
      <c r="Z189" s="132"/>
      <c r="AA189" s="132"/>
    </row>
    <row r="190" spans="1:27" ht="20.10000000000000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E190" s="108"/>
      <c r="F190" s="127">
        <v>42744</v>
      </c>
      <c r="G190" s="108">
        <f>11+45+1</f>
        <v>57</v>
      </c>
      <c r="H190" s="539">
        <f t="shared" ref="H190:H198" si="82">D190*G190</f>
        <v>288.41999999999996</v>
      </c>
      <c r="I190" s="129">
        <f>1.5*2</f>
        <v>3</v>
      </c>
      <c r="J190" s="130">
        <f t="array" ref="J190">IF(ISERROR(G190/I190),"",G190/I190)</f>
        <v>19</v>
      </c>
      <c r="K190" s="131">
        <f t="array" ref="K190">IF(ISERROR(G190/L190),"",G190/L190)</f>
        <v>3</v>
      </c>
      <c r="L190" s="129">
        <v>19</v>
      </c>
      <c r="M190" s="109">
        <f t="shared" ref="M190:M198" si="83">IF(ISERROR(I190-K190),"",I190-K190)</f>
        <v>0</v>
      </c>
      <c r="N190" s="130">
        <f t="shared" ref="N190:N192" si="84">SUM(O190:U190)</f>
        <v>0</v>
      </c>
      <c r="O190" s="530"/>
      <c r="P190" s="530"/>
      <c r="Q190" s="530"/>
      <c r="R190" s="530"/>
      <c r="S190" s="530"/>
      <c r="T190" s="530"/>
      <c r="U190" s="530"/>
      <c r="V190" s="132">
        <f t="shared" ref="V190:V192" si="85">SUM(X190:AA190)</f>
        <v>0</v>
      </c>
      <c r="W190" s="133">
        <f t="shared" ref="W190:W192" si="86">IF(ISERROR(V190/G190),"",V190/G190)</f>
        <v>0</v>
      </c>
      <c r="X190" s="132"/>
      <c r="Y190" s="132"/>
      <c r="Z190" s="132"/>
      <c r="AA190" s="132"/>
    </row>
    <row r="191" spans="1:27" ht="20.10000000000000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27">
        <v>42745</v>
      </c>
      <c r="G191" s="108">
        <f>100*11+67</f>
        <v>1167</v>
      </c>
      <c r="H191" s="539">
        <f t="shared" si="82"/>
        <v>5940.03</v>
      </c>
      <c r="I191" s="129">
        <f>11.5*5</f>
        <v>57.5</v>
      </c>
      <c r="J191" s="130">
        <f t="array" ref="J191">IF(ISERROR(G191/I191),"",G191/I191)</f>
        <v>20.295652173913044</v>
      </c>
      <c r="K191" s="131">
        <f t="array" ref="K191">IF(ISERROR(G191/L191),"",G191/L191)</f>
        <v>50.739130434782609</v>
      </c>
      <c r="L191" s="129">
        <v>23</v>
      </c>
      <c r="M191" s="109">
        <f t="shared" si="83"/>
        <v>6.7608695652173907</v>
      </c>
      <c r="N191" s="130">
        <f t="shared" si="84"/>
        <v>0</v>
      </c>
      <c r="O191" s="530"/>
      <c r="P191" s="530"/>
      <c r="Q191" s="530"/>
      <c r="R191" s="530"/>
      <c r="S191" s="530"/>
      <c r="T191" s="530"/>
      <c r="U191" s="530"/>
      <c r="V191" s="132">
        <f t="shared" si="85"/>
        <v>0</v>
      </c>
      <c r="W191" s="133">
        <f t="shared" si="86"/>
        <v>0</v>
      </c>
      <c r="X191" s="132"/>
      <c r="Y191" s="132"/>
      <c r="Z191" s="132"/>
      <c r="AA191" s="132"/>
    </row>
    <row r="192" spans="1:27" ht="20.100000000000001" hidden="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/>
      <c r="G192" s="108"/>
      <c r="H192" s="539">
        <f t="shared" si="82"/>
        <v>0</v>
      </c>
      <c r="I192" s="129"/>
      <c r="J192" s="130" t="str">
        <f t="array" ref="J192">IF(ISERROR(G192/I192),"",G192/I192)</f>
        <v/>
      </c>
      <c r="K192" s="131">
        <f t="array" ref="K192">IF(ISERROR(G192/L192),"",G192/L192)</f>
        <v>0</v>
      </c>
      <c r="L192" s="129">
        <v>23</v>
      </c>
      <c r="M192" s="109">
        <f t="shared" si="83"/>
        <v>0</v>
      </c>
      <c r="N192" s="130">
        <f t="shared" si="84"/>
        <v>0</v>
      </c>
      <c r="O192" s="530"/>
      <c r="P192" s="530"/>
      <c r="Q192" s="530"/>
      <c r="R192" s="530"/>
      <c r="S192" s="530"/>
      <c r="T192" s="530"/>
      <c r="U192" s="530"/>
      <c r="V192" s="132">
        <f t="shared" si="85"/>
        <v>0</v>
      </c>
      <c r="W192" s="133" t="str">
        <f t="shared" si="86"/>
        <v/>
      </c>
      <c r="X192" s="132"/>
      <c r="Y192" s="132"/>
      <c r="Z192" s="132"/>
      <c r="AA192" s="132"/>
    </row>
    <row r="193" spans="1:27" ht="20.100000000000001" hidden="1" customHeight="1">
      <c r="A193" s="300">
        <v>30100003</v>
      </c>
      <c r="B193" s="141" t="s">
        <v>198</v>
      </c>
      <c r="C193" s="529" t="s">
        <v>190</v>
      </c>
      <c r="D193" s="108">
        <v>4.8</v>
      </c>
      <c r="E193" s="108"/>
      <c r="F193" s="127"/>
      <c r="G193" s="108"/>
      <c r="H193" s="539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530"/>
      <c r="P193" s="530"/>
      <c r="Q193" s="530"/>
      <c r="R193" s="530"/>
      <c r="S193" s="530"/>
      <c r="T193" s="530"/>
      <c r="U193" s="530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30100004</v>
      </c>
      <c r="B194" s="141" t="s">
        <v>198</v>
      </c>
      <c r="C194" s="529" t="s">
        <v>187</v>
      </c>
      <c r="D194" s="108">
        <v>4.8</v>
      </c>
      <c r="E194" s="108"/>
      <c r="F194" s="127"/>
      <c r="G194" s="108"/>
      <c r="H194" s="539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530"/>
      <c r="P194" s="530"/>
      <c r="Q194" s="530"/>
      <c r="R194" s="530"/>
      <c r="S194" s="530"/>
      <c r="T194" s="530"/>
      <c r="U194" s="530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30100006</v>
      </c>
      <c r="B195" s="141" t="s">
        <v>198</v>
      </c>
      <c r="C195" s="529" t="s">
        <v>179</v>
      </c>
      <c r="D195" s="108">
        <v>4.8</v>
      </c>
      <c r="E195" s="108"/>
      <c r="F195" s="127"/>
      <c r="G195" s="108"/>
      <c r="H195" s="539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530"/>
      <c r="P195" s="530"/>
      <c r="Q195" s="530"/>
      <c r="R195" s="530"/>
      <c r="S195" s="530"/>
      <c r="T195" s="530"/>
      <c r="U195" s="530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30100005</v>
      </c>
      <c r="B196" s="141" t="s">
        <v>198</v>
      </c>
      <c r="C196" s="529" t="s">
        <v>199</v>
      </c>
      <c r="D196" s="108">
        <v>4.8</v>
      </c>
      <c r="E196" s="108"/>
      <c r="F196" s="127"/>
      <c r="G196" s="108"/>
      <c r="H196" s="539">
        <f t="shared" si="82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3"/>
        <v>0</v>
      </c>
      <c r="N196" s="130"/>
      <c r="O196" s="530"/>
      <c r="P196" s="530"/>
      <c r="Q196" s="530"/>
      <c r="R196" s="530"/>
      <c r="S196" s="530"/>
      <c r="T196" s="530"/>
      <c r="U196" s="530"/>
      <c r="V196" s="132"/>
      <c r="W196" s="133"/>
      <c r="X196" s="132"/>
      <c r="Y196" s="132"/>
      <c r="Z196" s="132"/>
      <c r="AA196" s="132"/>
    </row>
    <row r="197" spans="1:27" ht="20.100000000000001" hidden="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/>
      <c r="G197" s="108"/>
      <c r="H197" s="539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ref="N197:N198" si="87">SUM(O197:U197)</f>
        <v>0</v>
      </c>
      <c r="O197" s="530"/>
      <c r="P197" s="530"/>
      <c r="Q197" s="530"/>
      <c r="R197" s="530"/>
      <c r="S197" s="530"/>
      <c r="T197" s="530"/>
      <c r="U197" s="530"/>
      <c r="V197" s="132">
        <f t="shared" ref="V197:V198" si="88">SUM(X197:AA197)</f>
        <v>0</v>
      </c>
      <c r="W197" s="133" t="str">
        <f t="shared" ref="W197:W198" si="89">IF(ISERROR(V197/G197),"",V197/G197)</f>
        <v/>
      </c>
      <c r="X197" s="132"/>
      <c r="Y197" s="132"/>
      <c r="Z197" s="132"/>
      <c r="AA197" s="132"/>
    </row>
    <row r="198" spans="1:27" ht="20.100000000000001" hidden="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42"/>
      <c r="G198" s="108"/>
      <c r="H198" s="539">
        <f t="shared" si="82"/>
        <v>0</v>
      </c>
      <c r="I198" s="129"/>
      <c r="J198" s="130" t="str">
        <f t="array" ref="J198">IF(ISERROR(G198/I198),"",G198/I198)</f>
        <v/>
      </c>
      <c r="K198" s="131">
        <f t="array" ref="K198">IF(ISERROR(G198/L198),"",G198/L198)</f>
        <v>0</v>
      </c>
      <c r="L198" s="129">
        <v>23.5</v>
      </c>
      <c r="M198" s="109">
        <f t="shared" si="83"/>
        <v>0</v>
      </c>
      <c r="N198" s="130">
        <f t="shared" si="87"/>
        <v>0</v>
      </c>
      <c r="O198" s="530"/>
      <c r="P198" s="530"/>
      <c r="Q198" s="530"/>
      <c r="R198" s="530"/>
      <c r="S198" s="530"/>
      <c r="T198" s="530"/>
      <c r="U198" s="530"/>
      <c r="V198" s="132">
        <f t="shared" si="88"/>
        <v>0</v>
      </c>
      <c r="W198" s="133" t="str">
        <f t="shared" si="89"/>
        <v/>
      </c>
      <c r="X198" s="132"/>
      <c r="Y198" s="132"/>
      <c r="Z198" s="132"/>
      <c r="AA198" s="132"/>
    </row>
    <row r="199" spans="1:27" ht="20.100000000000001" customHeight="1">
      <c r="A199" s="578" t="s">
        <v>201</v>
      </c>
      <c r="B199" s="579"/>
      <c r="C199" s="537" t="s">
        <v>202</v>
      </c>
      <c r="D199" s="143"/>
      <c r="E199" s="143"/>
      <c r="F199" s="144"/>
      <c r="G199" s="143">
        <f>SUM(G178:G198)</f>
        <v>1906</v>
      </c>
      <c r="H199" s="146">
        <f>SUM(H178:H198)</f>
        <v>9664.91</v>
      </c>
      <c r="I199" s="146">
        <f>SUM(I178:I198)</f>
        <v>128</v>
      </c>
      <c r="J199" s="130">
        <f t="array" ref="J199">IF(ISERROR(G199/I199),"",G199/I199)</f>
        <v>14.890625</v>
      </c>
      <c r="K199" s="146">
        <f>SUM(K178:K198)</f>
        <v>116.36658141517476</v>
      </c>
      <c r="L199" s="147"/>
      <c r="M199" s="150">
        <f t="shared" ref="M199:AA199" si="90">SUM(M178:M198)</f>
        <v>11.633418584825231</v>
      </c>
      <c r="N199" s="146">
        <f t="shared" si="90"/>
        <v>0</v>
      </c>
      <c r="O199" s="148">
        <f t="shared" si="90"/>
        <v>0</v>
      </c>
      <c r="P199" s="148">
        <f t="shared" si="90"/>
        <v>0</v>
      </c>
      <c r="Q199" s="148">
        <f t="shared" si="90"/>
        <v>0</v>
      </c>
      <c r="R199" s="148">
        <f t="shared" si="90"/>
        <v>0</v>
      </c>
      <c r="S199" s="148">
        <f t="shared" si="90"/>
        <v>0</v>
      </c>
      <c r="T199" s="148">
        <f t="shared" si="90"/>
        <v>0</v>
      </c>
      <c r="U199" s="148">
        <f t="shared" si="90"/>
        <v>0</v>
      </c>
      <c r="V199" s="149">
        <f t="shared" si="90"/>
        <v>0</v>
      </c>
      <c r="W199" s="133">
        <f t="shared" si="90"/>
        <v>0</v>
      </c>
      <c r="X199" s="149">
        <f t="shared" si="90"/>
        <v>0</v>
      </c>
      <c r="Y199" s="149">
        <f t="shared" si="90"/>
        <v>0</v>
      </c>
      <c r="Z199" s="149">
        <f t="shared" si="90"/>
        <v>0</v>
      </c>
      <c r="AA199" s="149">
        <f t="shared" si="90"/>
        <v>0</v>
      </c>
    </row>
    <row r="200" spans="1:27" ht="20.100000000000001" hidden="1" customHeight="1">
      <c r="A200" s="300">
        <v>30100012</v>
      </c>
      <c r="B200" s="531" t="s">
        <v>206</v>
      </c>
      <c r="C200" s="126" t="s">
        <v>199</v>
      </c>
      <c r="D200" s="108">
        <v>5.03</v>
      </c>
      <c r="E200" s="108"/>
      <c r="F200" s="127"/>
      <c r="G200" s="108"/>
      <c r="H200" s="539">
        <f t="shared" ref="H200:H256" si="91">D200*G200</f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 t="shared" ref="M200" si="92">IF(ISERROR(I200-K200),"",I200-K200)</f>
        <v>0</v>
      </c>
      <c r="N200" s="130">
        <f t="shared" ref="N200" si="93">SUM(O200:U200)</f>
        <v>0</v>
      </c>
      <c r="O200" s="534"/>
      <c r="P200" s="534"/>
      <c r="Q200" s="534"/>
      <c r="R200" s="534"/>
      <c r="S200" s="534"/>
      <c r="T200" s="534"/>
      <c r="U200" s="534"/>
      <c r="V200" s="132">
        <f t="shared" ref="V200" si="94">SUM(X200:AA200)</f>
        <v>0</v>
      </c>
      <c r="W200" s="133" t="str">
        <f t="shared" ref="W200" si="95">IF(ISERROR(V200/G200),"",V200/G200)</f>
        <v/>
      </c>
      <c r="X200" s="132"/>
      <c r="Y200" s="132"/>
      <c r="Z200" s="132"/>
      <c r="AA200" s="132"/>
    </row>
    <row r="201" spans="1:27" ht="20.100000000000001" hidden="1" customHeight="1">
      <c r="A201" s="300">
        <v>30100011</v>
      </c>
      <c r="B201" s="531" t="s">
        <v>425</v>
      </c>
      <c r="C201" s="187" t="s">
        <v>427</v>
      </c>
      <c r="D201" s="108">
        <v>5.03</v>
      </c>
      <c r="E201" s="108"/>
      <c r="F201" s="127"/>
      <c r="G201" s="108"/>
      <c r="H201" s="539">
        <f t="shared" si="91"/>
        <v>0</v>
      </c>
      <c r="I201" s="129"/>
      <c r="J201" s="130"/>
      <c r="K201" s="131"/>
      <c r="L201" s="129">
        <v>52</v>
      </c>
      <c r="M201" s="109"/>
      <c r="N201" s="130"/>
      <c r="O201" s="534"/>
      <c r="P201" s="534"/>
      <c r="Q201" s="534"/>
      <c r="R201" s="534"/>
      <c r="S201" s="534"/>
      <c r="T201" s="534"/>
      <c r="U201" s="534"/>
      <c r="V201" s="132"/>
      <c r="W201" s="133"/>
      <c r="X201" s="132"/>
      <c r="Y201" s="132"/>
      <c r="Z201" s="132"/>
      <c r="AA201" s="132"/>
    </row>
    <row r="202" spans="1:27" ht="20.100000000000001" hidden="1" customHeight="1">
      <c r="A202" s="300">
        <v>30100010</v>
      </c>
      <c r="B202" s="531" t="s">
        <v>206</v>
      </c>
      <c r="C202" s="126" t="s">
        <v>186</v>
      </c>
      <c r="D202" s="108">
        <v>5.03</v>
      </c>
      <c r="E202" s="108"/>
      <c r="F202" s="127"/>
      <c r="G202" s="108"/>
      <c r="H202" s="539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 t="shared" ref="M202" si="96">IF(ISERROR(I202-K202),"",I202-K202)</f>
        <v>0</v>
      </c>
      <c r="N202" s="130">
        <f t="shared" ref="N202:N204" si="97">SUM(O202:U202)</f>
        <v>0</v>
      </c>
      <c r="O202" s="534"/>
      <c r="P202" s="534"/>
      <c r="Q202" s="534"/>
      <c r="R202" s="534"/>
      <c r="S202" s="534"/>
      <c r="T202" s="534"/>
      <c r="U202" s="534"/>
      <c r="V202" s="132">
        <f t="shared" ref="V202:V204" si="98">SUM(X202:AA202)</f>
        <v>0</v>
      </c>
      <c r="W202" s="133" t="str">
        <f t="shared" ref="W202:W204" si="99">IF(ISERROR(V202/G202),"",V202/G202)</f>
        <v/>
      </c>
      <c r="X202" s="132"/>
      <c r="Y202" s="132"/>
      <c r="Z202" s="132"/>
      <c r="AA202" s="132"/>
    </row>
    <row r="203" spans="1:27" ht="20.100000000000001" hidden="1" customHeight="1">
      <c r="A203" s="300">
        <v>30100014</v>
      </c>
      <c r="B203" s="531" t="s">
        <v>206</v>
      </c>
      <c r="C203" s="126" t="s">
        <v>203</v>
      </c>
      <c r="D203" s="108">
        <v>5.03</v>
      </c>
      <c r="E203" s="108"/>
      <c r="F203" s="127"/>
      <c r="G203" s="108"/>
      <c r="H203" s="539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>IF(ISERROR(I203-K203),"",I203-K203)</f>
        <v>0</v>
      </c>
      <c r="N203" s="130">
        <f t="shared" si="97"/>
        <v>0</v>
      </c>
      <c r="O203" s="534"/>
      <c r="P203" s="534"/>
      <c r="Q203" s="534"/>
      <c r="R203" s="534"/>
      <c r="S203" s="534"/>
      <c r="T203" s="534"/>
      <c r="U203" s="534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30100013</v>
      </c>
      <c r="B204" s="531" t="s">
        <v>206</v>
      </c>
      <c r="C204" s="126" t="s">
        <v>207</v>
      </c>
      <c r="D204" s="108">
        <v>5.03</v>
      </c>
      <c r="E204" s="108"/>
      <c r="F204" s="127"/>
      <c r="G204" s="108"/>
      <c r="H204" s="539">
        <f t="shared" si="91"/>
        <v>0</v>
      </c>
      <c r="I204" s="129"/>
      <c r="J204" s="130" t="str">
        <f t="array" ref="J204">IF(ISERROR(G204/I204),"",G204/I204)</f>
        <v/>
      </c>
      <c r="K204" s="131">
        <f t="array" ref="K204">IF(ISERROR(G204/L204),"",G204/L204)</f>
        <v>0</v>
      </c>
      <c r="L204" s="129">
        <v>52</v>
      </c>
      <c r="M204" s="109">
        <f t="shared" ref="M204" si="100">IF(ISERROR(I204-K204),"",I204-K204)</f>
        <v>0</v>
      </c>
      <c r="N204" s="130">
        <f t="shared" si="97"/>
        <v>0</v>
      </c>
      <c r="O204" s="534"/>
      <c r="P204" s="534"/>
      <c r="Q204" s="534"/>
      <c r="R204" s="534"/>
      <c r="S204" s="534"/>
      <c r="T204" s="534"/>
      <c r="U204" s="534"/>
      <c r="V204" s="132">
        <f t="shared" si="98"/>
        <v>0</v>
      </c>
      <c r="W204" s="133" t="str">
        <f t="shared" si="99"/>
        <v/>
      </c>
      <c r="X204" s="132"/>
      <c r="Y204" s="132"/>
      <c r="Z204" s="132"/>
      <c r="AA204" s="132"/>
    </row>
    <row r="205" spans="1:27" ht="20.100000000000001" hidden="1" customHeight="1">
      <c r="A205" s="300">
        <v>30100016</v>
      </c>
      <c r="B205" s="531" t="s">
        <v>414</v>
      </c>
      <c r="C205" s="187" t="s">
        <v>415</v>
      </c>
      <c r="D205" s="108">
        <v>5.03</v>
      </c>
      <c r="E205" s="108"/>
      <c r="F205" s="127"/>
      <c r="G205" s="108"/>
      <c r="H205" s="539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534"/>
      <c r="P205" s="534"/>
      <c r="Q205" s="534"/>
      <c r="R205" s="534"/>
      <c r="S205" s="534"/>
      <c r="T205" s="534"/>
      <c r="U205" s="534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30100017</v>
      </c>
      <c r="B206" s="531" t="s">
        <v>414</v>
      </c>
      <c r="C206" s="187" t="s">
        <v>416</v>
      </c>
      <c r="D206" s="108">
        <v>5.03</v>
      </c>
      <c r="E206" s="108"/>
      <c r="F206" s="127"/>
      <c r="G206" s="108"/>
      <c r="H206" s="539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534"/>
      <c r="P206" s="534"/>
      <c r="Q206" s="534"/>
      <c r="R206" s="534"/>
      <c r="S206" s="534"/>
      <c r="T206" s="534"/>
      <c r="U206" s="534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30100015</v>
      </c>
      <c r="B207" s="531" t="s">
        <v>414</v>
      </c>
      <c r="C207" s="187" t="s">
        <v>61</v>
      </c>
      <c r="D207" s="108">
        <v>5.03</v>
      </c>
      <c r="E207" s="108"/>
      <c r="F207" s="127"/>
      <c r="G207" s="108"/>
      <c r="H207" s="539">
        <f t="shared" si="91"/>
        <v>0</v>
      </c>
      <c r="I207" s="129"/>
      <c r="J207" s="130"/>
      <c r="K207" s="131"/>
      <c r="L207" s="129">
        <v>52</v>
      </c>
      <c r="M207" s="109"/>
      <c r="N207" s="130"/>
      <c r="O207" s="534"/>
      <c r="P207" s="534"/>
      <c r="Q207" s="534"/>
      <c r="R207" s="534"/>
      <c r="S207" s="534"/>
      <c r="T207" s="534"/>
      <c r="U207" s="534"/>
      <c r="V207" s="132"/>
      <c r="W207" s="133"/>
      <c r="X207" s="132"/>
      <c r="Y207" s="132"/>
      <c r="Z207" s="132"/>
      <c r="AA207" s="132"/>
    </row>
    <row r="208" spans="1:27" ht="20.100000000000001" hidden="1" customHeight="1">
      <c r="A208" s="300">
        <v>30100027</v>
      </c>
      <c r="B208" s="531" t="s">
        <v>208</v>
      </c>
      <c r="C208" s="126" t="s">
        <v>179</v>
      </c>
      <c r="D208" s="108">
        <v>5.08</v>
      </c>
      <c r="E208" s="108"/>
      <c r="F208" s="127"/>
      <c r="G208" s="108"/>
      <c r="H208" s="539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ref="M208:M237" si="101">IF(ISERROR(I208-K208),"",I208-K208)</f>
        <v>0</v>
      </c>
      <c r="N208" s="130">
        <f t="shared" ref="N208:N237" si="102">SUM(O208:U208)</f>
        <v>0</v>
      </c>
      <c r="O208" s="534"/>
      <c r="P208" s="534"/>
      <c r="Q208" s="534"/>
      <c r="R208" s="534"/>
      <c r="S208" s="534"/>
      <c r="T208" s="534"/>
      <c r="U208" s="534"/>
      <c r="V208" s="132">
        <f t="shared" ref="V208:V219" si="103">SUM(X208:AA208)</f>
        <v>0</v>
      </c>
      <c r="W208" s="133" t="str">
        <f t="shared" ref="W208:W219" si="104">IF(ISERROR(V208/G208),"",V208/G208)</f>
        <v/>
      </c>
      <c r="X208" s="132"/>
      <c r="Y208" s="132"/>
      <c r="Z208" s="132"/>
      <c r="AA208" s="132"/>
    </row>
    <row r="209" spans="1:27" ht="20.100000000000001" customHeight="1">
      <c r="A209" s="300">
        <v>30100023</v>
      </c>
      <c r="B209" s="531" t="s">
        <v>208</v>
      </c>
      <c r="C209" s="126" t="s">
        <v>204</v>
      </c>
      <c r="D209" s="108">
        <v>5.08</v>
      </c>
      <c r="E209" s="108"/>
      <c r="F209" s="127">
        <v>42746</v>
      </c>
      <c r="G209" s="108">
        <f>48+108*7</f>
        <v>804</v>
      </c>
      <c r="H209" s="539">
        <f t="shared" si="91"/>
        <v>4084.32</v>
      </c>
      <c r="I209" s="129">
        <f>11.5*3</f>
        <v>34.5</v>
      </c>
      <c r="J209" s="130">
        <f t="array" ref="J209">IF(ISERROR(G209/I209),"",G209/I209)</f>
        <v>23.304347826086957</v>
      </c>
      <c r="K209" s="131">
        <f t="array" ref="K209">IF(ISERROR(G209/L209),"",G209/L209)</f>
        <v>38.285714285714285</v>
      </c>
      <c r="L209" s="129">
        <v>21</v>
      </c>
      <c r="M209" s="109">
        <f t="shared" si="101"/>
        <v>-3.7857142857142847</v>
      </c>
      <c r="N209" s="130">
        <f t="shared" si="102"/>
        <v>0</v>
      </c>
      <c r="O209" s="534"/>
      <c r="P209" s="534"/>
      <c r="Q209" s="534"/>
      <c r="R209" s="534"/>
      <c r="S209" s="534"/>
      <c r="T209" s="534"/>
      <c r="U209" s="534"/>
      <c r="V209" s="132">
        <f t="shared" si="103"/>
        <v>0</v>
      </c>
      <c r="W209" s="133">
        <f t="shared" si="104"/>
        <v>0</v>
      </c>
      <c r="X209" s="132"/>
      <c r="Y209" s="132"/>
      <c r="Z209" s="132"/>
      <c r="AA209" s="132"/>
    </row>
    <row r="210" spans="1:27" ht="20.100000000000001" hidden="1" customHeight="1">
      <c r="A210" s="300">
        <v>30100024</v>
      </c>
      <c r="B210" s="531" t="s">
        <v>208</v>
      </c>
      <c r="C210" s="126" t="s">
        <v>205</v>
      </c>
      <c r="D210" s="108">
        <v>5.08</v>
      </c>
      <c r="E210" s="108"/>
      <c r="F210" s="127"/>
      <c r="G210" s="108"/>
      <c r="H210" s="539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534"/>
      <c r="P210" s="534"/>
      <c r="Q210" s="534"/>
      <c r="R210" s="534"/>
      <c r="S210" s="534"/>
      <c r="T210" s="534"/>
      <c r="U210" s="534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30100022</v>
      </c>
      <c r="B211" s="531" t="s">
        <v>208</v>
      </c>
      <c r="C211" s="126" t="s">
        <v>186</v>
      </c>
      <c r="D211" s="108">
        <v>5.08</v>
      </c>
      <c r="E211" s="108"/>
      <c r="F211" s="127"/>
      <c r="G211" s="108"/>
      <c r="H211" s="539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534"/>
      <c r="P211" s="534"/>
      <c r="Q211" s="534"/>
      <c r="R211" s="534"/>
      <c r="S211" s="534"/>
      <c r="T211" s="534"/>
      <c r="U211" s="534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30100029</v>
      </c>
      <c r="B212" s="531" t="s">
        <v>208</v>
      </c>
      <c r="C212" s="126" t="s">
        <v>203</v>
      </c>
      <c r="D212" s="108">
        <v>5.08</v>
      </c>
      <c r="E212" s="108"/>
      <c r="F212" s="127"/>
      <c r="G212" s="108"/>
      <c r="H212" s="539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534"/>
      <c r="P212" s="534"/>
      <c r="Q212" s="534"/>
      <c r="R212" s="534"/>
      <c r="S212" s="534"/>
      <c r="T212" s="534"/>
      <c r="U212" s="534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30100026</v>
      </c>
      <c r="B213" s="531" t="s">
        <v>208</v>
      </c>
      <c r="C213" s="126" t="s">
        <v>199</v>
      </c>
      <c r="D213" s="108">
        <v>5.08</v>
      </c>
      <c r="E213" s="108"/>
      <c r="F213" s="127"/>
      <c r="G213" s="108"/>
      <c r="H213" s="539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1"/>
        <v>0</v>
      </c>
      <c r="N213" s="130">
        <f t="shared" si="102"/>
        <v>0</v>
      </c>
      <c r="O213" s="530"/>
      <c r="P213" s="530"/>
      <c r="Q213" s="530"/>
      <c r="R213" s="530"/>
      <c r="S213" s="530"/>
      <c r="T213" s="530"/>
      <c r="U213" s="530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30100025</v>
      </c>
      <c r="B214" s="531" t="s">
        <v>208</v>
      </c>
      <c r="C214" s="126" t="s">
        <v>187</v>
      </c>
      <c r="D214" s="108">
        <v>5.08</v>
      </c>
      <c r="E214" s="108"/>
      <c r="F214" s="127"/>
      <c r="G214" s="108"/>
      <c r="H214" s="539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534"/>
      <c r="P214" s="534"/>
      <c r="Q214" s="534"/>
      <c r="R214" s="534"/>
      <c r="S214" s="534"/>
      <c r="T214" s="534"/>
      <c r="U214" s="534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hidden="1" customHeight="1">
      <c r="A215" s="300">
        <v>30100028</v>
      </c>
      <c r="B215" s="531" t="s">
        <v>208</v>
      </c>
      <c r="C215" s="126" t="s">
        <v>207</v>
      </c>
      <c r="D215" s="108">
        <v>5.08</v>
      </c>
      <c r="E215" s="108"/>
      <c r="F215" s="127"/>
      <c r="G215" s="108"/>
      <c r="H215" s="539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21</v>
      </c>
      <c r="M215" s="109">
        <f t="shared" si="101"/>
        <v>0</v>
      </c>
      <c r="N215" s="130">
        <f t="shared" si="102"/>
        <v>0</v>
      </c>
      <c r="O215" s="530"/>
      <c r="P215" s="530"/>
      <c r="Q215" s="530"/>
      <c r="R215" s="530"/>
      <c r="S215" s="530"/>
      <c r="T215" s="530"/>
      <c r="U215" s="530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30100032</v>
      </c>
      <c r="B216" s="531" t="s">
        <v>209</v>
      </c>
      <c r="C216" s="126" t="s">
        <v>194</v>
      </c>
      <c r="D216" s="108">
        <v>5.03</v>
      </c>
      <c r="E216" s="108"/>
      <c r="F216" s="127"/>
      <c r="G216" s="108"/>
      <c r="H216" s="539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534"/>
      <c r="P216" s="534"/>
      <c r="Q216" s="534"/>
      <c r="R216" s="534"/>
      <c r="S216" s="534"/>
      <c r="T216" s="534"/>
      <c r="U216" s="534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customHeight="1">
      <c r="A217" s="300">
        <v>30100033</v>
      </c>
      <c r="B217" s="531" t="s">
        <v>209</v>
      </c>
      <c r="C217" s="126" t="s">
        <v>179</v>
      </c>
      <c r="D217" s="108">
        <v>5.03</v>
      </c>
      <c r="E217" s="108"/>
      <c r="F217" s="127">
        <v>42746</v>
      </c>
      <c r="G217" s="108">
        <f>102+108*7+102-102</f>
        <v>858</v>
      </c>
      <c r="H217" s="539">
        <f t="shared" si="91"/>
        <v>4315.74</v>
      </c>
      <c r="I217" s="129">
        <v>9</v>
      </c>
      <c r="J217" s="130">
        <f t="array" ref="J217">IF(ISERROR(G217/I217),"",G217/I217)</f>
        <v>95.333333333333329</v>
      </c>
      <c r="K217" s="131">
        <f t="array" ref="K217">IF(ISERROR(G217/L217),"",G217/L217)</f>
        <v>15.321428571428571</v>
      </c>
      <c r="L217" s="129">
        <v>56</v>
      </c>
      <c r="M217" s="109">
        <f t="shared" si="101"/>
        <v>-6.3214285714285712</v>
      </c>
      <c r="N217" s="130">
        <f t="shared" si="102"/>
        <v>0</v>
      </c>
      <c r="O217" s="534"/>
      <c r="P217" s="534"/>
      <c r="Q217" s="534"/>
      <c r="R217" s="534"/>
      <c r="S217" s="534"/>
      <c r="T217" s="534"/>
      <c r="U217" s="534"/>
      <c r="V217" s="132">
        <f t="shared" si="103"/>
        <v>0</v>
      </c>
      <c r="W217" s="133">
        <f t="shared" si="104"/>
        <v>0</v>
      </c>
      <c r="X217" s="132"/>
      <c r="Y217" s="132"/>
      <c r="Z217" s="132"/>
      <c r="AA217" s="132"/>
    </row>
    <row r="218" spans="1:27" ht="20.100000000000001" customHeight="1">
      <c r="A218" s="300">
        <v>30100062</v>
      </c>
      <c r="B218" s="531" t="s">
        <v>209</v>
      </c>
      <c r="C218" s="126" t="s">
        <v>195</v>
      </c>
      <c r="D218" s="108">
        <v>5.03</v>
      </c>
      <c r="E218" s="108"/>
      <c r="F218" s="127">
        <v>42746</v>
      </c>
      <c r="G218" s="108">
        <f>108+83</f>
        <v>191</v>
      </c>
      <c r="H218" s="539">
        <f t="shared" si="91"/>
        <v>960.73</v>
      </c>
      <c r="I218" s="129">
        <v>1</v>
      </c>
      <c r="J218" s="130">
        <f t="array" ref="J218">IF(ISERROR(G218/I218),"",G218/I218)</f>
        <v>191</v>
      </c>
      <c r="K218" s="131">
        <f t="array" ref="K218">IF(ISERROR(G218/L218),"",G218/L218)</f>
        <v>3.4107142857142856</v>
      </c>
      <c r="L218" s="129">
        <v>56</v>
      </c>
      <c r="M218" s="109">
        <f t="shared" si="101"/>
        <v>-2.4107142857142856</v>
      </c>
      <c r="N218" s="130">
        <f t="shared" si="102"/>
        <v>0</v>
      </c>
      <c r="O218" s="534"/>
      <c r="P218" s="534"/>
      <c r="Q218" s="534"/>
      <c r="R218" s="534"/>
      <c r="S218" s="534"/>
      <c r="T218" s="534"/>
      <c r="U218" s="534"/>
      <c r="V218" s="132">
        <f t="shared" si="103"/>
        <v>0</v>
      </c>
      <c r="W218" s="133">
        <f t="shared" si="104"/>
        <v>0</v>
      </c>
      <c r="X218" s="132"/>
      <c r="Y218" s="132"/>
      <c r="Z218" s="132"/>
      <c r="AA218" s="132"/>
    </row>
    <row r="219" spans="1:27" ht="20.100000000000001" customHeight="1">
      <c r="A219" s="300">
        <v>30100031</v>
      </c>
      <c r="B219" s="531" t="s">
        <v>209</v>
      </c>
      <c r="C219" s="126" t="s">
        <v>204</v>
      </c>
      <c r="D219" s="108">
        <v>5.03</v>
      </c>
      <c r="E219" s="108"/>
      <c r="F219" s="127">
        <v>42746</v>
      </c>
      <c r="G219" s="108">
        <f>31+77</f>
        <v>108</v>
      </c>
      <c r="H219" s="539">
        <f t="shared" si="91"/>
        <v>543.24</v>
      </c>
      <c r="I219" s="129">
        <v>2</v>
      </c>
      <c r="J219" s="130">
        <f t="array" ref="J219">IF(ISERROR(G219/I219),"",G219/I219)</f>
        <v>54</v>
      </c>
      <c r="K219" s="131">
        <f t="array" ref="K219">IF(ISERROR(G219/L219),"",G219/L219)</f>
        <v>1.9285714285714286</v>
      </c>
      <c r="L219" s="129">
        <v>56</v>
      </c>
      <c r="M219" s="109">
        <f t="shared" si="101"/>
        <v>7.1428571428571397E-2</v>
      </c>
      <c r="N219" s="130">
        <f t="shared" si="102"/>
        <v>0</v>
      </c>
      <c r="O219" s="534"/>
      <c r="P219" s="534"/>
      <c r="Q219" s="534"/>
      <c r="R219" s="534"/>
      <c r="S219" s="534"/>
      <c r="T219" s="534"/>
      <c r="U219" s="534"/>
      <c r="V219" s="132">
        <f t="shared" si="103"/>
        <v>0</v>
      </c>
      <c r="W219" s="133">
        <f t="shared" si="104"/>
        <v>0</v>
      </c>
      <c r="X219" s="132"/>
      <c r="Y219" s="132"/>
      <c r="Z219" s="132"/>
      <c r="AA219" s="132"/>
    </row>
    <row r="220" spans="1:27" ht="20.100000000000001" customHeight="1">
      <c r="A220" s="300">
        <v>30100019</v>
      </c>
      <c r="B220" s="531" t="s">
        <v>382</v>
      </c>
      <c r="C220" s="187" t="s">
        <v>383</v>
      </c>
      <c r="D220" s="108">
        <v>5.03</v>
      </c>
      <c r="E220" s="108"/>
      <c r="F220" s="127">
        <v>42747</v>
      </c>
      <c r="G220" s="108">
        <f>55+90*6+84-55</f>
        <v>624</v>
      </c>
      <c r="H220" s="539">
        <f t="shared" si="91"/>
        <v>3138.7200000000003</v>
      </c>
      <c r="I220" s="129">
        <v>13</v>
      </c>
      <c r="J220" s="130">
        <f t="array" ref="J220">IF(ISERROR(G220/I220),"",G220/I220)</f>
        <v>48</v>
      </c>
      <c r="K220" s="131">
        <f t="array" ref="K220">IF(ISERROR(G220/L220),"",G220/L220)</f>
        <v>11.555555555555555</v>
      </c>
      <c r="L220" s="129">
        <v>54</v>
      </c>
      <c r="M220" s="109">
        <f t="shared" si="101"/>
        <v>1.4444444444444446</v>
      </c>
      <c r="N220" s="130">
        <f t="shared" si="102"/>
        <v>0</v>
      </c>
      <c r="O220" s="534"/>
      <c r="P220" s="534"/>
      <c r="Q220" s="534"/>
      <c r="R220" s="534"/>
      <c r="S220" s="534"/>
      <c r="T220" s="534"/>
      <c r="U220" s="534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30100020</v>
      </c>
      <c r="B221" s="531" t="s">
        <v>382</v>
      </c>
      <c r="C221" s="187" t="s">
        <v>384</v>
      </c>
      <c r="D221" s="108">
        <v>5.03</v>
      </c>
      <c r="E221" s="108"/>
      <c r="F221" s="127"/>
      <c r="G221" s="108"/>
      <c r="H221" s="539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534"/>
      <c r="P221" s="534"/>
      <c r="Q221" s="534"/>
      <c r="R221" s="534"/>
      <c r="S221" s="534"/>
      <c r="T221" s="534"/>
      <c r="U221" s="534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30100021</v>
      </c>
      <c r="B222" s="531" t="s">
        <v>382</v>
      </c>
      <c r="C222" s="187" t="s">
        <v>389</v>
      </c>
      <c r="D222" s="108">
        <v>5.03</v>
      </c>
      <c r="E222" s="108"/>
      <c r="F222" s="127"/>
      <c r="G222" s="108"/>
      <c r="H222" s="539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534"/>
      <c r="P222" s="534"/>
      <c r="Q222" s="534"/>
      <c r="R222" s="534"/>
      <c r="S222" s="534"/>
      <c r="T222" s="534"/>
      <c r="U222" s="534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0">
        <v>30100018</v>
      </c>
      <c r="B223" s="531" t="s">
        <v>382</v>
      </c>
      <c r="C223" s="187" t="s">
        <v>391</v>
      </c>
      <c r="D223" s="108">
        <v>5.03</v>
      </c>
      <c r="E223" s="108"/>
      <c r="F223" s="127"/>
      <c r="G223" s="108"/>
      <c r="H223" s="539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54</v>
      </c>
      <c r="M223" s="109">
        <f t="shared" si="101"/>
        <v>0</v>
      </c>
      <c r="N223" s="130">
        <f t="shared" si="102"/>
        <v>0</v>
      </c>
      <c r="O223" s="534"/>
      <c r="P223" s="534"/>
      <c r="Q223" s="534"/>
      <c r="R223" s="534"/>
      <c r="S223" s="534"/>
      <c r="T223" s="534"/>
      <c r="U223" s="534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30700007</v>
      </c>
      <c r="B224" s="531" t="s">
        <v>418</v>
      </c>
      <c r="C224" s="187" t="s">
        <v>364</v>
      </c>
      <c r="D224" s="108">
        <v>5.03</v>
      </c>
      <c r="E224" s="108"/>
      <c r="F224" s="127"/>
      <c r="G224" s="108"/>
      <c r="H224" s="539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534"/>
      <c r="P224" s="534"/>
      <c r="Q224" s="534"/>
      <c r="R224" s="534"/>
      <c r="S224" s="534"/>
      <c r="T224" s="534"/>
      <c r="U224" s="534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30700006</v>
      </c>
      <c r="B225" s="531" t="s">
        <v>418</v>
      </c>
      <c r="C225" s="187" t="s">
        <v>365</v>
      </c>
      <c r="D225" s="108">
        <v>5.03</v>
      </c>
      <c r="E225" s="108"/>
      <c r="F225" s="127"/>
      <c r="G225" s="108"/>
      <c r="H225" s="539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534"/>
      <c r="P225" s="534"/>
      <c r="Q225" s="534"/>
      <c r="R225" s="534"/>
      <c r="S225" s="534"/>
      <c r="T225" s="534"/>
      <c r="U225" s="534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30700008</v>
      </c>
      <c r="B226" s="531" t="s">
        <v>418</v>
      </c>
      <c r="C226" s="187" t="s">
        <v>366</v>
      </c>
      <c r="D226" s="108">
        <v>5.03</v>
      </c>
      <c r="E226" s="108"/>
      <c r="F226" s="127"/>
      <c r="G226" s="108"/>
      <c r="H226" s="539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534"/>
      <c r="P226" s="534"/>
      <c r="Q226" s="534"/>
      <c r="R226" s="534"/>
      <c r="S226" s="534"/>
      <c r="T226" s="534"/>
      <c r="U226" s="534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3">
        <v>30700009</v>
      </c>
      <c r="B227" s="531" t="s">
        <v>418</v>
      </c>
      <c r="C227" s="187" t="s">
        <v>367</v>
      </c>
      <c r="D227" s="108">
        <v>5.03</v>
      </c>
      <c r="E227" s="108"/>
      <c r="F227" s="127"/>
      <c r="G227" s="108"/>
      <c r="H227" s="539">
        <f t="shared" si="91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101"/>
        <v>0</v>
      </c>
      <c r="N227" s="130">
        <f t="shared" si="102"/>
        <v>0</v>
      </c>
      <c r="O227" s="534"/>
      <c r="P227" s="534"/>
      <c r="Q227" s="534"/>
      <c r="R227" s="534"/>
      <c r="S227" s="534"/>
      <c r="T227" s="534"/>
      <c r="U227" s="534"/>
      <c r="V227" s="132"/>
      <c r="W227" s="133"/>
      <c r="X227" s="132"/>
      <c r="Y227" s="132"/>
      <c r="Z227" s="132"/>
      <c r="AA227" s="132"/>
    </row>
    <row r="228" spans="1:27" ht="20.100000000000001" hidden="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/>
      <c r="G228" s="108"/>
      <c r="H228" s="539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530"/>
      <c r="P228" s="530"/>
      <c r="Q228" s="530"/>
      <c r="R228" s="530"/>
      <c r="S228" s="530"/>
      <c r="T228" s="530"/>
      <c r="U228" s="530"/>
      <c r="V228" s="132">
        <f t="shared" ref="V228:V237" si="105">SUM(X228:AA228)</f>
        <v>0</v>
      </c>
      <c r="W228" s="133" t="str">
        <f t="shared" ref="W228:W237" si="106">IF(ISERROR(V228/G228),"",V228/G228)</f>
        <v/>
      </c>
      <c r="X228" s="132"/>
      <c r="Y228" s="132"/>
      <c r="Z228" s="132"/>
      <c r="AA228" s="132"/>
    </row>
    <row r="229" spans="1:27" ht="20.100000000000001" hidden="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/>
      <c r="G229" s="108"/>
      <c r="H229" s="539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530"/>
      <c r="P229" s="530"/>
      <c r="Q229" s="530"/>
      <c r="R229" s="530"/>
      <c r="S229" s="530"/>
      <c r="T229" s="530"/>
      <c r="U229" s="530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/>
      <c r="G230" s="108"/>
      <c r="H230" s="539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40</v>
      </c>
      <c r="M230" s="109">
        <f t="shared" si="101"/>
        <v>0</v>
      </c>
      <c r="N230" s="130">
        <f t="shared" si="102"/>
        <v>0</v>
      </c>
      <c r="O230" s="530"/>
      <c r="P230" s="530"/>
      <c r="Q230" s="530"/>
      <c r="R230" s="530"/>
      <c r="S230" s="530"/>
      <c r="T230" s="530"/>
      <c r="U230" s="530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08"/>
      <c r="H231" s="539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530"/>
      <c r="P231" s="530"/>
      <c r="Q231" s="530"/>
      <c r="R231" s="530"/>
      <c r="S231" s="530"/>
      <c r="T231" s="530"/>
      <c r="U231" s="530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08"/>
      <c r="H232" s="539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530"/>
      <c r="P232" s="530"/>
      <c r="Q232" s="530"/>
      <c r="R232" s="530"/>
      <c r="S232" s="530"/>
      <c r="T232" s="530"/>
      <c r="U232" s="530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08"/>
      <c r="H233" s="539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530"/>
      <c r="P233" s="530"/>
      <c r="Q233" s="530"/>
      <c r="R233" s="530"/>
      <c r="S233" s="530"/>
      <c r="T233" s="530"/>
      <c r="U233" s="530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08"/>
      <c r="H234" s="539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530"/>
      <c r="P234" s="530"/>
      <c r="Q234" s="530"/>
      <c r="R234" s="530"/>
      <c r="S234" s="530"/>
      <c r="T234" s="530"/>
      <c r="U234" s="530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/>
      <c r="G235" s="108"/>
      <c r="H235" s="539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530"/>
      <c r="P235" s="530"/>
      <c r="Q235" s="530"/>
      <c r="R235" s="530"/>
      <c r="S235" s="530"/>
      <c r="T235" s="530"/>
      <c r="U235" s="530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/>
      <c r="G236" s="108"/>
      <c r="H236" s="539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530"/>
      <c r="P236" s="530"/>
      <c r="Q236" s="530"/>
      <c r="R236" s="530"/>
      <c r="S236" s="530"/>
      <c r="T236" s="530"/>
      <c r="U236" s="530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/>
      <c r="G237" s="108"/>
      <c r="H237" s="539">
        <f t="shared" si="91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50</v>
      </c>
      <c r="M237" s="109">
        <f t="shared" si="101"/>
        <v>0</v>
      </c>
      <c r="N237" s="130">
        <f t="shared" si="102"/>
        <v>0</v>
      </c>
      <c r="O237" s="530"/>
      <c r="P237" s="530"/>
      <c r="Q237" s="530"/>
      <c r="R237" s="530"/>
      <c r="S237" s="530"/>
      <c r="T237" s="530"/>
      <c r="U237" s="530"/>
      <c r="V237" s="132">
        <f t="shared" si="105"/>
        <v>0</v>
      </c>
      <c r="W237" s="133" t="str">
        <f t="shared" si="106"/>
        <v/>
      </c>
      <c r="X237" s="132"/>
      <c r="Y237" s="132"/>
      <c r="Z237" s="132"/>
      <c r="AA237" s="132"/>
    </row>
    <row r="238" spans="1:27" ht="20.100000000000001" hidden="1" customHeight="1">
      <c r="A238" s="300">
        <v>30100043</v>
      </c>
      <c r="B238" s="134" t="s">
        <v>429</v>
      </c>
      <c r="C238" s="187" t="s">
        <v>427</v>
      </c>
      <c r="D238" s="108">
        <v>5.03</v>
      </c>
      <c r="E238" s="108"/>
      <c r="F238" s="127"/>
      <c r="G238" s="108"/>
      <c r="H238" s="539">
        <f t="shared" si="91"/>
        <v>0</v>
      </c>
      <c r="I238" s="129"/>
      <c r="J238" s="130"/>
      <c r="K238" s="131"/>
      <c r="L238" s="129">
        <v>50</v>
      </c>
      <c r="M238" s="109"/>
      <c r="N238" s="130"/>
      <c r="O238" s="530"/>
      <c r="P238" s="530"/>
      <c r="Q238" s="530"/>
      <c r="R238" s="530"/>
      <c r="S238" s="530"/>
      <c r="T238" s="530"/>
      <c r="U238" s="530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/>
      <c r="G239" s="108"/>
      <c r="H239" s="539">
        <f t="shared" si="91"/>
        <v>0</v>
      </c>
      <c r="I239" s="129"/>
      <c r="J239" s="130"/>
      <c r="K239" s="131">
        <f t="array" ref="K239">IF(ISERROR(G239/L239),"",G239/L239)</f>
        <v>0</v>
      </c>
      <c r="L239" s="129">
        <v>50</v>
      </c>
      <c r="M239" s="109">
        <f t="shared" ref="M239:M250" si="107">IF(ISERROR(I239-K239),"",I239-K239)</f>
        <v>0</v>
      </c>
      <c r="N239" s="130"/>
      <c r="O239" s="530"/>
      <c r="P239" s="530"/>
      <c r="Q239" s="530"/>
      <c r="R239" s="530"/>
      <c r="S239" s="530"/>
      <c r="T239" s="530"/>
      <c r="U239" s="530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/>
      <c r="G240" s="108"/>
      <c r="H240" s="539">
        <f t="shared" si="91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7"/>
        <v>0</v>
      </c>
      <c r="N240" s="130">
        <f t="shared" ref="N240:N241" si="108">SUM(O240:U240)</f>
        <v>0</v>
      </c>
      <c r="O240" s="530"/>
      <c r="P240" s="530"/>
      <c r="Q240" s="530"/>
      <c r="R240" s="530"/>
      <c r="S240" s="530"/>
      <c r="T240" s="530"/>
      <c r="U240" s="530"/>
      <c r="V240" s="132">
        <f t="shared" ref="V240:V241" si="109">SUM(X240:AA240)</f>
        <v>0</v>
      </c>
      <c r="W240" s="133" t="str">
        <f t="shared" ref="W240:W241" si="110">IF(ISERROR(V240/G240),"",V240/G240)</f>
        <v/>
      </c>
      <c r="X240" s="132"/>
      <c r="Y240" s="132"/>
      <c r="Z240" s="132"/>
      <c r="AA240" s="132"/>
    </row>
    <row r="241" spans="1:27" ht="20.100000000000001" hidden="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/>
      <c r="G241" s="108"/>
      <c r="H241" s="539">
        <f t="shared" si="91"/>
        <v>0</v>
      </c>
      <c r="I241" s="129"/>
      <c r="J241" s="130" t="str">
        <f t="array" ref="J241">IF(ISERROR(G241/I241),"",G241/I241)</f>
        <v/>
      </c>
      <c r="K241" s="131">
        <f t="array" ref="K241">IF(ISERROR(G241/L241),"",G241/L241)</f>
        <v>0</v>
      </c>
      <c r="L241" s="129">
        <v>21.5</v>
      </c>
      <c r="M241" s="109">
        <f t="shared" si="107"/>
        <v>0</v>
      </c>
      <c r="N241" s="130">
        <f t="shared" si="108"/>
        <v>0</v>
      </c>
      <c r="O241" s="530"/>
      <c r="P241" s="530"/>
      <c r="Q241" s="530"/>
      <c r="R241" s="530"/>
      <c r="S241" s="530"/>
      <c r="T241" s="530"/>
      <c r="U241" s="530"/>
      <c r="V241" s="132">
        <f t="shared" si="109"/>
        <v>0</v>
      </c>
      <c r="W241" s="133" t="str">
        <f t="shared" si="110"/>
        <v/>
      </c>
      <c r="X241" s="132"/>
      <c r="Y241" s="132"/>
      <c r="Z241" s="132"/>
      <c r="AA241" s="132"/>
    </row>
    <row r="242" spans="1:27" ht="20.100000000000001" hidden="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08"/>
      <c r="H242" s="539">
        <f t="shared" si="91"/>
        <v>0</v>
      </c>
      <c r="I242" s="129"/>
      <c r="J242" s="130"/>
      <c r="K242" s="131"/>
      <c r="L242" s="129"/>
      <c r="M242" s="109">
        <f t="shared" si="107"/>
        <v>0</v>
      </c>
      <c r="N242" s="130"/>
      <c r="O242" s="530"/>
      <c r="P242" s="530"/>
      <c r="Q242" s="530"/>
      <c r="R242" s="530"/>
      <c r="S242" s="530"/>
      <c r="T242" s="530"/>
      <c r="U242" s="530"/>
      <c r="V242" s="132"/>
      <c r="W242" s="133"/>
      <c r="X242" s="132"/>
      <c r="Y242" s="132"/>
      <c r="Z242" s="132"/>
      <c r="AA242" s="132"/>
    </row>
    <row r="243" spans="1:27" ht="20.100000000000001" hidden="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08"/>
      <c r="H243" s="539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ref="N243:N246" si="111">SUM(O243:U243)</f>
        <v>0</v>
      </c>
      <c r="O243" s="530"/>
      <c r="P243" s="530"/>
      <c r="Q243" s="530"/>
      <c r="R243" s="530"/>
      <c r="S243" s="530"/>
      <c r="T243" s="530"/>
      <c r="U243" s="530"/>
      <c r="V243" s="132">
        <f t="shared" ref="V243:V246" si="112">SUM(X243:AA243)</f>
        <v>0</v>
      </c>
      <c r="W243" s="133" t="str">
        <f t="shared" ref="W243:W246" si="113">IF(ISERROR(V243/G243),"",V243/G243)</f>
        <v/>
      </c>
      <c r="X243" s="132"/>
      <c r="Y243" s="132"/>
      <c r="Z243" s="132"/>
      <c r="AA243" s="132"/>
    </row>
    <row r="244" spans="1:27" ht="20.100000000000001" hidden="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08"/>
      <c r="H244" s="539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530"/>
      <c r="P244" s="530"/>
      <c r="Q244" s="530"/>
      <c r="R244" s="530"/>
      <c r="S244" s="530"/>
      <c r="T244" s="530"/>
      <c r="U244" s="530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08"/>
      <c r="H245" s="539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530"/>
      <c r="P245" s="530"/>
      <c r="Q245" s="530"/>
      <c r="R245" s="530"/>
      <c r="S245" s="530"/>
      <c r="T245" s="530"/>
      <c r="U245" s="530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08"/>
      <c r="H246" s="539">
        <f t="shared" si="91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7"/>
        <v/>
      </c>
      <c r="N246" s="130">
        <f t="shared" si="111"/>
        <v>0</v>
      </c>
      <c r="O246" s="530"/>
      <c r="P246" s="530"/>
      <c r="Q246" s="530"/>
      <c r="R246" s="530"/>
      <c r="S246" s="530"/>
      <c r="T246" s="530"/>
      <c r="U246" s="530"/>
      <c r="V246" s="132">
        <f t="shared" si="112"/>
        <v>0</v>
      </c>
      <c r="W246" s="133" t="str">
        <f t="shared" si="113"/>
        <v/>
      </c>
      <c r="X246" s="132"/>
      <c r="Y246" s="132"/>
      <c r="Z246" s="132"/>
      <c r="AA246" s="132"/>
    </row>
    <row r="247" spans="1:27" ht="20.100000000000001" hidden="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08"/>
      <c r="H247" s="539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530"/>
      <c r="P247" s="530"/>
      <c r="Q247" s="530"/>
      <c r="R247" s="530"/>
      <c r="S247" s="530"/>
      <c r="T247" s="530"/>
      <c r="U247" s="530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08"/>
      <c r="H248" s="539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530"/>
      <c r="P248" s="530"/>
      <c r="Q248" s="530"/>
      <c r="R248" s="530"/>
      <c r="S248" s="530"/>
      <c r="T248" s="530"/>
      <c r="U248" s="530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08"/>
      <c r="H249" s="539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530"/>
      <c r="P249" s="530"/>
      <c r="Q249" s="530"/>
      <c r="R249" s="530"/>
      <c r="S249" s="530"/>
      <c r="T249" s="530"/>
      <c r="U249" s="530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08"/>
      <c r="H250" s="539">
        <f t="shared" si="91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7"/>
        <v>0</v>
      </c>
      <c r="N250" s="130"/>
      <c r="O250" s="530"/>
      <c r="P250" s="530"/>
      <c r="Q250" s="530"/>
      <c r="R250" s="530"/>
      <c r="S250" s="530"/>
      <c r="T250" s="530"/>
      <c r="U250" s="530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08"/>
      <c r="H251" s="539">
        <f t="shared" si="91"/>
        <v>0</v>
      </c>
      <c r="I251" s="129"/>
      <c r="J251" s="130"/>
      <c r="K251" s="131"/>
      <c r="L251" s="129">
        <v>4</v>
      </c>
      <c r="M251" s="109"/>
      <c r="N251" s="130"/>
      <c r="O251" s="530"/>
      <c r="P251" s="530"/>
      <c r="Q251" s="530"/>
      <c r="R251" s="530"/>
      <c r="S251" s="530"/>
      <c r="T251" s="530"/>
      <c r="U251" s="530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08"/>
      <c r="H252" s="539">
        <f t="shared" si="91"/>
        <v>0</v>
      </c>
      <c r="I252" s="129"/>
      <c r="J252" s="130"/>
      <c r="K252" s="131"/>
      <c r="L252" s="129">
        <v>4</v>
      </c>
      <c r="M252" s="109"/>
      <c r="N252" s="130"/>
      <c r="O252" s="530"/>
      <c r="P252" s="530"/>
      <c r="Q252" s="530"/>
      <c r="R252" s="530"/>
      <c r="S252" s="530"/>
      <c r="T252" s="530"/>
      <c r="U252" s="530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08"/>
      <c r="H253" s="539">
        <f t="shared" si="91"/>
        <v>0</v>
      </c>
      <c r="I253" s="129"/>
      <c r="J253" s="130"/>
      <c r="K253" s="131"/>
      <c r="L253" s="129">
        <v>4</v>
      </c>
      <c r="M253" s="109"/>
      <c r="N253" s="130"/>
      <c r="O253" s="530"/>
      <c r="P253" s="530"/>
      <c r="Q253" s="530"/>
      <c r="R253" s="530"/>
      <c r="S253" s="530"/>
      <c r="T253" s="530"/>
      <c r="U253" s="530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08"/>
      <c r="H254" s="539">
        <f t="shared" si="91"/>
        <v>0</v>
      </c>
      <c r="I254" s="129"/>
      <c r="J254" s="130"/>
      <c r="K254" s="131"/>
      <c r="L254" s="129">
        <v>4</v>
      </c>
      <c r="M254" s="109"/>
      <c r="N254" s="130"/>
      <c r="O254" s="530"/>
      <c r="P254" s="530"/>
      <c r="Q254" s="530"/>
      <c r="R254" s="530"/>
      <c r="S254" s="530"/>
      <c r="T254" s="530"/>
      <c r="U254" s="530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08"/>
      <c r="H255" s="539">
        <f t="shared" si="91"/>
        <v>0</v>
      </c>
      <c r="I255" s="129"/>
      <c r="J255" s="130"/>
      <c r="K255" s="131"/>
      <c r="L255" s="129">
        <v>4</v>
      </c>
      <c r="M255" s="109"/>
      <c r="N255" s="130"/>
      <c r="O255" s="530"/>
      <c r="P255" s="530"/>
      <c r="Q255" s="530"/>
      <c r="R255" s="530"/>
      <c r="S255" s="530"/>
      <c r="T255" s="530"/>
      <c r="U255" s="530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08"/>
      <c r="H256" s="539">
        <f t="shared" si="91"/>
        <v>0</v>
      </c>
      <c r="I256" s="129"/>
      <c r="J256" s="130"/>
      <c r="K256" s="131"/>
      <c r="L256" s="129">
        <v>4</v>
      </c>
      <c r="M256" s="109"/>
      <c r="N256" s="130"/>
      <c r="O256" s="530"/>
      <c r="P256" s="530"/>
      <c r="Q256" s="530"/>
      <c r="R256" s="530"/>
      <c r="S256" s="530"/>
      <c r="T256" s="530"/>
      <c r="U256" s="530"/>
      <c r="V256" s="132"/>
      <c r="W256" s="133"/>
      <c r="X256" s="132"/>
      <c r="Y256" s="132"/>
      <c r="Z256" s="132"/>
      <c r="AA256" s="132"/>
    </row>
    <row r="257" spans="1:27" ht="20.100000000000001" customHeight="1">
      <c r="A257" s="589" t="s">
        <v>216</v>
      </c>
      <c r="B257" s="589"/>
      <c r="C257" s="537" t="s">
        <v>202</v>
      </c>
      <c r="D257" s="143"/>
      <c r="E257" s="143"/>
      <c r="F257" s="144"/>
      <c r="G257" s="143">
        <f>SUM(G200:G256)</f>
        <v>2585</v>
      </c>
      <c r="H257" s="146">
        <f>SUM(H200:H256)</f>
        <v>13042.75</v>
      </c>
      <c r="I257" s="146">
        <f>SUM(I200:I256)</f>
        <v>59.5</v>
      </c>
      <c r="J257" s="130">
        <f t="array" ref="J257">IF(ISERROR(G257/I257),"",G257/I257)</f>
        <v>43.445378151260506</v>
      </c>
      <c r="K257" s="146">
        <f>SUM(K200:K256)</f>
        <v>70.501984126984127</v>
      </c>
      <c r="L257" s="147"/>
      <c r="M257" s="150">
        <f t="shared" ref="M257:V257" si="114">SUM(M200:M256)</f>
        <v>-11.001984126984127</v>
      </c>
      <c r="N257" s="146">
        <f t="shared" si="114"/>
        <v>0</v>
      </c>
      <c r="O257" s="148">
        <f t="shared" si="114"/>
        <v>0</v>
      </c>
      <c r="P257" s="148">
        <f t="shared" si="114"/>
        <v>0</v>
      </c>
      <c r="Q257" s="148">
        <f t="shared" si="114"/>
        <v>0</v>
      </c>
      <c r="R257" s="148">
        <f t="shared" si="114"/>
        <v>0</v>
      </c>
      <c r="S257" s="148">
        <f t="shared" si="114"/>
        <v>0</v>
      </c>
      <c r="T257" s="148">
        <f t="shared" si="114"/>
        <v>0</v>
      </c>
      <c r="U257" s="148">
        <f t="shared" si="114"/>
        <v>0</v>
      </c>
      <c r="V257" s="149">
        <f t="shared" si="114"/>
        <v>0</v>
      </c>
      <c r="W257" s="133">
        <f t="shared" ref="W257:W264" si="115">IF(ISERROR(V257/G257),"",V257/G257)</f>
        <v>0</v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hidden="1" customHeight="1">
      <c r="A258" s="299">
        <v>30400012</v>
      </c>
      <c r="B258" s="531" t="s">
        <v>217</v>
      </c>
      <c r="C258" s="126" t="s">
        <v>179</v>
      </c>
      <c r="D258" s="108">
        <v>5.03</v>
      </c>
      <c r="E258" s="108"/>
      <c r="F258" s="127"/>
      <c r="G258" s="108"/>
      <c r="H258" s="539">
        <f t="shared" ref="H258:H291" si="116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7">IF(ISERROR(I258-K258),"",I258-K258)</f>
        <v>0</v>
      </c>
      <c r="N258" s="130">
        <f t="shared" ref="N258:N265" si="118">SUM(O258:U258)</f>
        <v>0</v>
      </c>
      <c r="O258" s="530"/>
      <c r="P258" s="530"/>
      <c r="Q258" s="530"/>
      <c r="R258" s="530"/>
      <c r="S258" s="530"/>
      <c r="T258" s="530"/>
      <c r="U258" s="530"/>
      <c r="V258" s="132">
        <f t="shared" ref="V258:V264" si="119">SUM(X258:AA258)</f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30400010</v>
      </c>
      <c r="B259" s="531" t="s">
        <v>217</v>
      </c>
      <c r="C259" s="126" t="s">
        <v>186</v>
      </c>
      <c r="D259" s="108">
        <v>5.03</v>
      </c>
      <c r="E259" s="108"/>
      <c r="F259" s="127"/>
      <c r="G259" s="108"/>
      <c r="H259" s="539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530"/>
      <c r="P259" s="530"/>
      <c r="Q259" s="530"/>
      <c r="R259" s="530"/>
      <c r="S259" s="530"/>
      <c r="T259" s="530"/>
      <c r="U259" s="530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30400011</v>
      </c>
      <c r="B260" s="531" t="s">
        <v>217</v>
      </c>
      <c r="C260" s="126" t="s">
        <v>204</v>
      </c>
      <c r="D260" s="108">
        <v>5.03</v>
      </c>
      <c r="E260" s="108"/>
      <c r="F260" s="127"/>
      <c r="G260" s="108"/>
      <c r="H260" s="539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8.8000000000000007</v>
      </c>
      <c r="M260" s="109">
        <f t="shared" si="117"/>
        <v>0</v>
      </c>
      <c r="N260" s="130">
        <f t="shared" si="118"/>
        <v>0</v>
      </c>
      <c r="O260" s="530"/>
      <c r="P260" s="530"/>
      <c r="Q260" s="530"/>
      <c r="R260" s="530"/>
      <c r="S260" s="530"/>
      <c r="T260" s="530"/>
      <c r="U260" s="530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08"/>
      <c r="H261" s="539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530"/>
      <c r="P261" s="530"/>
      <c r="Q261" s="530"/>
      <c r="R261" s="530"/>
      <c r="S261" s="530"/>
      <c r="T261" s="530"/>
      <c r="U261" s="530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/>
      <c r="G262" s="108"/>
      <c r="H262" s="539">
        <f t="shared" si="116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530"/>
      <c r="P262" s="530"/>
      <c r="Q262" s="530"/>
      <c r="R262" s="530"/>
      <c r="S262" s="530"/>
      <c r="T262" s="530"/>
      <c r="U262" s="530"/>
      <c r="V262" s="132">
        <f t="shared" si="119"/>
        <v>0</v>
      </c>
      <c r="W262" s="133" t="str">
        <f t="shared" si="115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/>
      <c r="G263" s="108"/>
      <c r="H263" s="539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7"/>
        <v>0</v>
      </c>
      <c r="N263" s="130">
        <f t="shared" si="118"/>
        <v>0</v>
      </c>
      <c r="O263" s="530"/>
      <c r="P263" s="530"/>
      <c r="Q263" s="530"/>
      <c r="R263" s="530"/>
      <c r="S263" s="530"/>
      <c r="T263" s="530"/>
      <c r="U263" s="530"/>
      <c r="V263" s="132">
        <f t="shared" si="119"/>
        <v>0</v>
      </c>
      <c r="W263" s="133" t="str">
        <f t="shared" si="115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/>
      <c r="G264" s="108"/>
      <c r="H264" s="539">
        <f t="shared" si="116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530"/>
      <c r="P264" s="530"/>
      <c r="Q264" s="530"/>
      <c r="R264" s="530"/>
      <c r="S264" s="530"/>
      <c r="T264" s="530"/>
      <c r="U264" s="530"/>
      <c r="V264" s="132">
        <f t="shared" si="119"/>
        <v>0</v>
      </c>
      <c r="W264" s="133" t="str">
        <f t="shared" si="115"/>
        <v/>
      </c>
      <c r="X264" s="132"/>
      <c r="Y264" s="132"/>
      <c r="Z264" s="132"/>
      <c r="AA264" s="132"/>
    </row>
    <row r="265" spans="1:27" ht="20.100000000000001" hidden="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/>
      <c r="G265" s="108"/>
      <c r="H265" s="539">
        <f t="shared" si="116"/>
        <v>0</v>
      </c>
      <c r="I265" s="129"/>
      <c r="J265" s="130"/>
      <c r="K265" s="131">
        <f t="array" ref="K265">IF(ISERROR(G265/L265),"",G265/L265)</f>
        <v>0</v>
      </c>
      <c r="L265" s="129">
        <v>9.3000000000000007</v>
      </c>
      <c r="M265" s="109">
        <f t="shared" si="117"/>
        <v>0</v>
      </c>
      <c r="N265" s="130">
        <f t="shared" si="118"/>
        <v>0</v>
      </c>
      <c r="O265" s="530"/>
      <c r="P265" s="530"/>
      <c r="Q265" s="530"/>
      <c r="R265" s="530"/>
      <c r="S265" s="530"/>
      <c r="T265" s="530"/>
      <c r="U265" s="530"/>
      <c r="V265" s="132"/>
      <c r="W265" s="133"/>
      <c r="X265" s="132"/>
      <c r="Y265" s="132"/>
      <c r="Z265" s="132"/>
      <c r="AA265" s="132"/>
    </row>
    <row r="266" spans="1:27" ht="20.100000000000001" hidden="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08"/>
      <c r="H266" s="539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530"/>
      <c r="P266" s="530"/>
      <c r="Q266" s="530"/>
      <c r="R266" s="530"/>
      <c r="S266" s="530"/>
      <c r="T266" s="530"/>
      <c r="U266" s="530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08"/>
      <c r="H267" s="539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530"/>
      <c r="P267" s="530"/>
      <c r="Q267" s="530"/>
      <c r="R267" s="530"/>
      <c r="S267" s="530"/>
      <c r="T267" s="530"/>
      <c r="U267" s="530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08"/>
      <c r="H268" s="539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530"/>
      <c r="P268" s="530"/>
      <c r="Q268" s="530"/>
      <c r="R268" s="530"/>
      <c r="S268" s="530"/>
      <c r="T268" s="530"/>
      <c r="U268" s="530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08"/>
      <c r="H269" s="539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530"/>
      <c r="P269" s="530"/>
      <c r="Q269" s="530"/>
      <c r="R269" s="530"/>
      <c r="S269" s="530"/>
      <c r="T269" s="530"/>
      <c r="U269" s="530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08"/>
      <c r="H270" s="539">
        <f t="shared" si="116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5" si="120">IF(ISERROR(I270-K270),"",I270-K270)</f>
        <v>0</v>
      </c>
      <c r="N270" s="130">
        <f t="shared" ref="N270:N285" si="121">SUM(O270:U270)</f>
        <v>0</v>
      </c>
      <c r="O270" s="530"/>
      <c r="P270" s="530"/>
      <c r="Q270" s="530"/>
      <c r="R270" s="530"/>
      <c r="S270" s="530"/>
      <c r="T270" s="530"/>
      <c r="U270" s="530"/>
      <c r="V270" s="132">
        <f t="shared" ref="V270:V273" si="122">SUM(X270:AA270)</f>
        <v>0</v>
      </c>
      <c r="W270" s="133" t="str">
        <f t="shared" ref="W270:W277" si="123">IF(ISERROR(V270/G270),"",V270/G270)</f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08"/>
      <c r="H271" s="539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530"/>
      <c r="P271" s="530"/>
      <c r="Q271" s="530"/>
      <c r="R271" s="530"/>
      <c r="S271" s="530"/>
      <c r="T271" s="530"/>
      <c r="U271" s="530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08"/>
      <c r="H272" s="539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530"/>
      <c r="P272" s="530"/>
      <c r="Q272" s="530"/>
      <c r="R272" s="530"/>
      <c r="S272" s="530"/>
      <c r="T272" s="530"/>
      <c r="U272" s="530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08"/>
      <c r="H273" s="539">
        <f t="shared" si="116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20"/>
        <v/>
      </c>
      <c r="N273" s="130">
        <f t="shared" si="121"/>
        <v>0</v>
      </c>
      <c r="O273" s="530"/>
      <c r="P273" s="530"/>
      <c r="Q273" s="530"/>
      <c r="R273" s="530"/>
      <c r="S273" s="530"/>
      <c r="T273" s="530"/>
      <c r="U273" s="530"/>
      <c r="V273" s="132">
        <f t="shared" si="122"/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30600005</v>
      </c>
      <c r="B274" s="531" t="s">
        <v>222</v>
      </c>
      <c r="C274" s="126" t="s">
        <v>181</v>
      </c>
      <c r="D274" s="108">
        <v>9.36</v>
      </c>
      <c r="E274" s="108"/>
      <c r="F274" s="127"/>
      <c r="G274" s="108"/>
      <c r="H274" s="539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530"/>
      <c r="P274" s="530"/>
      <c r="Q274" s="530"/>
      <c r="R274" s="530"/>
      <c r="S274" s="530"/>
      <c r="T274" s="530"/>
      <c r="U274" s="530"/>
      <c r="V274" s="132">
        <f t="shared" ref="V274:V277" si="124">SUM(X274:AA274)</f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30600008</v>
      </c>
      <c r="B275" s="531" t="s">
        <v>222</v>
      </c>
      <c r="C275" s="126" t="s">
        <v>179</v>
      </c>
      <c r="D275" s="108">
        <v>9.36</v>
      </c>
      <c r="E275" s="108"/>
      <c r="F275" s="127"/>
      <c r="G275" s="108"/>
      <c r="H275" s="539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530"/>
      <c r="P275" s="530"/>
      <c r="Q275" s="530"/>
      <c r="R275" s="530"/>
      <c r="S275" s="530"/>
      <c r="T275" s="530"/>
      <c r="U275" s="530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30600007</v>
      </c>
      <c r="B276" s="531" t="s">
        <v>222</v>
      </c>
      <c r="C276" s="126" t="s">
        <v>221</v>
      </c>
      <c r="D276" s="108">
        <v>9.36</v>
      </c>
      <c r="E276" s="108"/>
      <c r="F276" s="127"/>
      <c r="G276" s="108"/>
      <c r="H276" s="539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530"/>
      <c r="P276" s="530"/>
      <c r="Q276" s="530"/>
      <c r="R276" s="530"/>
      <c r="S276" s="530"/>
      <c r="T276" s="530"/>
      <c r="U276" s="530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304">
        <v>30600006</v>
      </c>
      <c r="B277" s="531" t="s">
        <v>222</v>
      </c>
      <c r="C277" s="126" t="s">
        <v>186</v>
      </c>
      <c r="D277" s="108">
        <v>9.36</v>
      </c>
      <c r="E277" s="108"/>
      <c r="F277" s="127"/>
      <c r="G277" s="108"/>
      <c r="H277" s="539">
        <f t="shared" si="116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20"/>
        <v>0</v>
      </c>
      <c r="N277" s="130">
        <f t="shared" si="121"/>
        <v>0</v>
      </c>
      <c r="O277" s="530"/>
      <c r="P277" s="530"/>
      <c r="Q277" s="530"/>
      <c r="R277" s="530"/>
      <c r="S277" s="530"/>
      <c r="T277" s="530"/>
      <c r="U277" s="530"/>
      <c r="V277" s="132">
        <f t="shared" si="124"/>
        <v>0</v>
      </c>
      <c r="W277" s="133" t="str">
        <f t="shared" si="123"/>
        <v/>
      </c>
      <c r="X277" s="132"/>
      <c r="Y277" s="132"/>
      <c r="Z277" s="132"/>
      <c r="AA277" s="132"/>
    </row>
    <row r="278" spans="1:27" ht="20.100000000000001" hidden="1" customHeight="1">
      <c r="A278" s="299">
        <v>30400026</v>
      </c>
      <c r="B278" s="531" t="s">
        <v>393</v>
      </c>
      <c r="C278" s="187" t="s">
        <v>395</v>
      </c>
      <c r="D278" s="108">
        <v>5</v>
      </c>
      <c r="E278" s="108"/>
      <c r="F278" s="127"/>
      <c r="G278" s="108"/>
      <c r="H278" s="539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530"/>
      <c r="P278" s="530"/>
      <c r="Q278" s="530"/>
      <c r="R278" s="530"/>
      <c r="S278" s="530"/>
      <c r="T278" s="530"/>
      <c r="U278" s="530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30400028</v>
      </c>
      <c r="B279" s="531" t="s">
        <v>393</v>
      </c>
      <c r="C279" s="187" t="s">
        <v>402</v>
      </c>
      <c r="D279" s="108">
        <v>5</v>
      </c>
      <c r="E279" s="108"/>
      <c r="F279" s="127"/>
      <c r="G279" s="108"/>
      <c r="H279" s="539">
        <f t="shared" si="116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530"/>
      <c r="P279" s="530"/>
      <c r="Q279" s="530"/>
      <c r="R279" s="530"/>
      <c r="S279" s="530"/>
      <c r="T279" s="530"/>
      <c r="U279" s="530"/>
      <c r="V279" s="132"/>
      <c r="W279" s="133"/>
      <c r="X279" s="132"/>
      <c r="Y279" s="132"/>
      <c r="Z279" s="132"/>
      <c r="AA279" s="132"/>
    </row>
    <row r="280" spans="1:27" ht="20.100000000000001" customHeight="1">
      <c r="A280" s="299">
        <v>30400027</v>
      </c>
      <c r="B280" s="531" t="s">
        <v>404</v>
      </c>
      <c r="C280" s="187" t="s">
        <v>405</v>
      </c>
      <c r="D280" s="108">
        <v>5</v>
      </c>
      <c r="E280" s="108"/>
      <c r="F280" s="127">
        <v>42746</v>
      </c>
      <c r="G280" s="108">
        <f>90*2+83</f>
        <v>263</v>
      </c>
      <c r="H280" s="539">
        <f t="shared" si="116"/>
        <v>1315</v>
      </c>
      <c r="I280" s="129">
        <v>179</v>
      </c>
      <c r="J280" s="130">
        <f t="array" ref="J280">IF(ISERROR(G280/I280),"",G280/I280)</f>
        <v>1.4692737430167597</v>
      </c>
      <c r="K280" s="131">
        <f t="array" ref="K280">IF(ISERROR(G280/L280),"",G280/L280)</f>
        <v>52.6</v>
      </c>
      <c r="L280" s="129">
        <v>5</v>
      </c>
      <c r="M280" s="109">
        <f t="shared" si="120"/>
        <v>126.4</v>
      </c>
      <c r="N280" s="130">
        <f t="shared" si="121"/>
        <v>0</v>
      </c>
      <c r="O280" s="530"/>
      <c r="P280" s="530"/>
      <c r="Q280" s="530"/>
      <c r="R280" s="530"/>
      <c r="S280" s="530"/>
      <c r="T280" s="530"/>
      <c r="U280" s="530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/>
      <c r="B281" s="531" t="s">
        <v>342</v>
      </c>
      <c r="C281" s="187" t="s">
        <v>372</v>
      </c>
      <c r="D281" s="108">
        <v>5</v>
      </c>
      <c r="E281" s="108"/>
      <c r="F281" s="127"/>
      <c r="G281" s="108"/>
      <c r="H281" s="539">
        <f t="shared" si="116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530"/>
      <c r="P281" s="530"/>
      <c r="Q281" s="530"/>
      <c r="R281" s="530"/>
      <c r="S281" s="530"/>
      <c r="T281" s="530"/>
      <c r="U281" s="530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30600009</v>
      </c>
      <c r="B282" s="531" t="s">
        <v>343</v>
      </c>
      <c r="C282" s="126" t="s">
        <v>345</v>
      </c>
      <c r="D282" s="108">
        <v>5</v>
      </c>
      <c r="E282" s="108"/>
      <c r="F282" s="127"/>
      <c r="G282" s="108"/>
      <c r="H282" s="539">
        <f t="shared" si="116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530"/>
      <c r="P282" s="530"/>
      <c r="Q282" s="530"/>
      <c r="R282" s="530"/>
      <c r="S282" s="530"/>
      <c r="T282" s="530"/>
      <c r="U282" s="530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30600010</v>
      </c>
      <c r="B283" s="531" t="s">
        <v>343</v>
      </c>
      <c r="C283" s="126" t="s">
        <v>347</v>
      </c>
      <c r="D283" s="108">
        <v>5</v>
      </c>
      <c r="E283" s="108"/>
      <c r="F283" s="127"/>
      <c r="G283" s="108"/>
      <c r="H283" s="539">
        <f t="shared" si="116"/>
        <v>0</v>
      </c>
      <c r="I283" s="129"/>
      <c r="J283" s="130"/>
      <c r="K283" s="131">
        <f t="array" ref="K283">IF(ISERROR(G283/L283),"",G283/L283)</f>
        <v>0</v>
      </c>
      <c r="L283" s="129">
        <v>5</v>
      </c>
      <c r="M283" s="109">
        <f t="shared" si="120"/>
        <v>0</v>
      </c>
      <c r="N283" s="130">
        <f t="shared" si="121"/>
        <v>0</v>
      </c>
      <c r="O283" s="530"/>
      <c r="P283" s="530"/>
      <c r="Q283" s="530"/>
      <c r="R283" s="530"/>
      <c r="S283" s="530"/>
      <c r="T283" s="530"/>
      <c r="U283" s="530"/>
      <c r="V283" s="132"/>
      <c r="W283" s="133"/>
      <c r="X283" s="132"/>
      <c r="Y283" s="132"/>
      <c r="Z283" s="132"/>
      <c r="AA283" s="132"/>
    </row>
    <row r="284" spans="1:27" ht="20.100000000000001" hidden="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/>
      <c r="G284" s="108"/>
      <c r="H284" s="539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530"/>
      <c r="P284" s="530"/>
      <c r="Q284" s="530"/>
      <c r="R284" s="530"/>
      <c r="S284" s="530"/>
      <c r="T284" s="530"/>
      <c r="U284" s="530"/>
      <c r="V284" s="132">
        <f t="shared" ref="V284:V285" si="125">SUM(X284:AA284)</f>
        <v>0</v>
      </c>
      <c r="W284" s="133" t="str">
        <f t="shared" ref="W284:W285" si="126">IF(ISERROR(V284/G284),"",V284/G284)</f>
        <v/>
      </c>
      <c r="X284" s="132"/>
      <c r="Y284" s="132"/>
      <c r="Z284" s="132"/>
      <c r="AA284" s="132"/>
    </row>
    <row r="285" spans="1:27" ht="20.100000000000001" hidden="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08"/>
      <c r="H285" s="539">
        <f t="shared" si="116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20"/>
        <v>0</v>
      </c>
      <c r="N285" s="130">
        <f t="shared" si="121"/>
        <v>0</v>
      </c>
      <c r="O285" s="530"/>
      <c r="P285" s="530"/>
      <c r="Q285" s="530"/>
      <c r="R285" s="530"/>
      <c r="S285" s="530"/>
      <c r="T285" s="530"/>
      <c r="U285" s="530"/>
      <c r="V285" s="132">
        <f t="shared" si="125"/>
        <v>0</v>
      </c>
      <c r="W285" s="133" t="str">
        <f t="shared" si="126"/>
        <v/>
      </c>
      <c r="X285" s="132"/>
      <c r="Y285" s="132"/>
      <c r="Z285" s="132"/>
      <c r="AA285" s="132"/>
    </row>
    <row r="286" spans="1:27" ht="20.100000000000001" hidden="1" customHeight="1">
      <c r="A286" s="299">
        <v>30400004</v>
      </c>
      <c r="B286" s="151" t="s">
        <v>419</v>
      </c>
      <c r="C286" s="187" t="s">
        <v>73</v>
      </c>
      <c r="D286" s="108">
        <v>5.03</v>
      </c>
      <c r="E286" s="108"/>
      <c r="F286" s="127"/>
      <c r="G286" s="108"/>
      <c r="H286" s="539">
        <f t="shared" si="116"/>
        <v>0</v>
      </c>
      <c r="I286" s="129"/>
      <c r="J286" s="130"/>
      <c r="K286" s="131"/>
      <c r="L286" s="129">
        <v>24</v>
      </c>
      <c r="M286" s="109"/>
      <c r="N286" s="130"/>
      <c r="O286" s="530"/>
      <c r="P286" s="530"/>
      <c r="Q286" s="530"/>
      <c r="R286" s="530"/>
      <c r="S286" s="530"/>
      <c r="T286" s="530"/>
      <c r="U286" s="530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/>
      <c r="G287" s="108"/>
      <c r="H287" s="539">
        <f t="shared" si="116"/>
        <v>0</v>
      </c>
      <c r="I287" s="129"/>
      <c r="J287" s="130"/>
      <c r="K287" s="131"/>
      <c r="L287" s="129">
        <v>24</v>
      </c>
      <c r="M287" s="109"/>
      <c r="N287" s="130"/>
      <c r="O287" s="530"/>
      <c r="P287" s="530"/>
      <c r="Q287" s="530"/>
      <c r="R287" s="530"/>
      <c r="S287" s="530"/>
      <c r="T287" s="530"/>
      <c r="U287" s="530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/>
      <c r="G288" s="108"/>
      <c r="H288" s="539">
        <f t="shared" si="116"/>
        <v>0</v>
      </c>
      <c r="I288" s="129"/>
      <c r="J288" s="130"/>
      <c r="K288" s="131"/>
      <c r="L288" s="129">
        <v>24</v>
      </c>
      <c r="M288" s="109"/>
      <c r="N288" s="130"/>
      <c r="O288" s="530"/>
      <c r="P288" s="530"/>
      <c r="Q288" s="530"/>
      <c r="R288" s="530"/>
      <c r="S288" s="530"/>
      <c r="T288" s="530"/>
      <c r="U288" s="530"/>
      <c r="V288" s="132"/>
      <c r="W288" s="133"/>
      <c r="X288" s="132"/>
      <c r="Y288" s="132"/>
      <c r="Z288" s="132"/>
      <c r="AA288" s="132"/>
    </row>
    <row r="289" spans="1:27" ht="20.100000000000001" hidden="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/>
      <c r="G289" s="108"/>
      <c r="H289" s="539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ref="M289:M291" si="127">IF(ISERROR(I289-K289),"",I289-K289)</f>
        <v>0</v>
      </c>
      <c r="N289" s="130">
        <f t="shared" ref="N289:N291" si="128">SUM(O289:U289)</f>
        <v>0</v>
      </c>
      <c r="O289" s="530"/>
      <c r="P289" s="530"/>
      <c r="Q289" s="530"/>
      <c r="R289" s="530"/>
      <c r="S289" s="530"/>
      <c r="T289" s="530"/>
      <c r="U289" s="530"/>
      <c r="V289" s="132">
        <f t="shared" ref="V289:V291" si="129">SUM(X289:AA289)</f>
        <v>0</v>
      </c>
      <c r="W289" s="133" t="str">
        <f t="shared" ref="W289:W313" si="130">IF(ISERROR(V289/G289),"",V289/G289)</f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08"/>
      <c r="H290" s="539">
        <f t="shared" si="116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530"/>
      <c r="P290" s="530"/>
      <c r="Q290" s="530"/>
      <c r="R290" s="530"/>
      <c r="S290" s="530"/>
      <c r="T290" s="530"/>
      <c r="U290" s="530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hidden="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/>
      <c r="G291" s="108"/>
      <c r="H291" s="539">
        <f t="shared" si="116"/>
        <v>0</v>
      </c>
      <c r="I291" s="129"/>
      <c r="J291" s="130" t="str">
        <f t="array" ref="J291">IF(ISERROR(G291/I291),"",G291/I291)</f>
        <v/>
      </c>
      <c r="K291" s="539">
        <f t="array" ref="K291">IF(ISERROR(G291/L291),"",G291/L291)</f>
        <v>0</v>
      </c>
      <c r="L291" s="129">
        <v>9</v>
      </c>
      <c r="M291" s="109">
        <f t="shared" si="127"/>
        <v>0</v>
      </c>
      <c r="N291" s="130">
        <f t="shared" si="128"/>
        <v>0</v>
      </c>
      <c r="O291" s="530"/>
      <c r="P291" s="530"/>
      <c r="Q291" s="530"/>
      <c r="R291" s="530"/>
      <c r="S291" s="530"/>
      <c r="T291" s="530"/>
      <c r="U291" s="530"/>
      <c r="V291" s="132">
        <f t="shared" si="129"/>
        <v>0</v>
      </c>
      <c r="W291" s="133" t="str">
        <f t="shared" si="130"/>
        <v/>
      </c>
      <c r="X291" s="132"/>
      <c r="Y291" s="132"/>
      <c r="Z291" s="132"/>
      <c r="AA291" s="132"/>
    </row>
    <row r="292" spans="1:27" ht="20.100000000000001" customHeight="1">
      <c r="A292" s="578" t="s">
        <v>224</v>
      </c>
      <c r="B292" s="579"/>
      <c r="C292" s="537" t="s">
        <v>202</v>
      </c>
      <c r="D292" s="143"/>
      <c r="E292" s="143"/>
      <c r="F292" s="144"/>
      <c r="G292" s="143">
        <f>SUM(G258:G291)</f>
        <v>263</v>
      </c>
      <c r="H292" s="146">
        <f>SUM(H258:H291)</f>
        <v>1315</v>
      </c>
      <c r="I292" s="146">
        <f>SUM(I258:I291)</f>
        <v>179</v>
      </c>
      <c r="J292" s="130">
        <f t="array" ref="J292">IF(ISERROR(G292/I292),"",G292/I292)</f>
        <v>1.4692737430167597</v>
      </c>
      <c r="K292" s="146">
        <f>SUM(K258:K291)</f>
        <v>52.6</v>
      </c>
      <c r="L292" s="147"/>
      <c r="M292" s="150">
        <f t="shared" ref="M292:V292" si="131">SUM(M258:M291)</f>
        <v>126.4</v>
      </c>
      <c r="N292" s="146">
        <f t="shared" si="131"/>
        <v>0</v>
      </c>
      <c r="O292" s="148">
        <f t="shared" si="131"/>
        <v>0</v>
      </c>
      <c r="P292" s="148">
        <f t="shared" si="131"/>
        <v>0</v>
      </c>
      <c r="Q292" s="148">
        <f t="shared" si="131"/>
        <v>0</v>
      </c>
      <c r="R292" s="148">
        <f t="shared" si="131"/>
        <v>0</v>
      </c>
      <c r="S292" s="148">
        <f t="shared" si="131"/>
        <v>0</v>
      </c>
      <c r="T292" s="148">
        <f t="shared" si="131"/>
        <v>0</v>
      </c>
      <c r="U292" s="148">
        <f t="shared" si="131"/>
        <v>0</v>
      </c>
      <c r="V292" s="149">
        <f t="shared" si="131"/>
        <v>0</v>
      </c>
      <c r="W292" s="133">
        <f t="shared" si="130"/>
        <v>0</v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hidden="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/>
      <c r="G293" s="108"/>
      <c r="H293" s="539">
        <f t="shared" ref="H293:H307" si="132">D293*G293</f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ref="M293:M307" si="133">IF(ISERROR(I293-K293),"",I293-K293)</f>
        <v>0</v>
      </c>
      <c r="N293" s="130">
        <f t="shared" ref="N293:N307" si="134">SUM(O293:U293)</f>
        <v>0</v>
      </c>
      <c r="O293" s="530"/>
      <c r="P293" s="530"/>
      <c r="Q293" s="530"/>
      <c r="R293" s="530"/>
      <c r="S293" s="530"/>
      <c r="T293" s="530"/>
      <c r="U293" s="530"/>
      <c r="V293" s="132">
        <f t="shared" ref="V293:V307" si="135">SUM(X293:AA293)</f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>
        <v>42746</v>
      </c>
      <c r="G294" s="111">
        <f>47+90*6+70-70</f>
        <v>587</v>
      </c>
      <c r="H294" s="539">
        <f>D294*G294</f>
        <v>2952.61</v>
      </c>
      <c r="I294" s="129">
        <f>11.5*2</f>
        <v>23</v>
      </c>
      <c r="J294" s="130">
        <f t="array" ref="J294">IF(ISERROR(G294/I294),"",G294/I294)</f>
        <v>25.521739130434781</v>
      </c>
      <c r="K294" s="131">
        <f t="array" ref="K294">IF(ISERROR(G294/L294),"",G294/L294)</f>
        <v>23.48</v>
      </c>
      <c r="L294" s="129">
        <v>25</v>
      </c>
      <c r="M294" s="109">
        <f t="shared" si="133"/>
        <v>-0.48000000000000043</v>
      </c>
      <c r="N294" s="130">
        <f t="shared" si="134"/>
        <v>0</v>
      </c>
      <c r="O294" s="530"/>
      <c r="P294" s="530"/>
      <c r="Q294" s="530"/>
      <c r="R294" s="530"/>
      <c r="S294" s="530"/>
      <c r="T294" s="530"/>
      <c r="U294" s="530"/>
      <c r="V294" s="132">
        <f t="shared" si="135"/>
        <v>0</v>
      </c>
      <c r="W294" s="133">
        <f t="shared" si="130"/>
        <v>0</v>
      </c>
      <c r="X294" s="132"/>
      <c r="Y294" s="132"/>
      <c r="Z294" s="132"/>
      <c r="AA294" s="132"/>
    </row>
    <row r="295" spans="1:27" ht="20.100000000000001" hidden="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/>
      <c r="G295" s="108"/>
      <c r="H295" s="539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20</v>
      </c>
      <c r="M295" s="109">
        <f t="shared" si="133"/>
        <v>0</v>
      </c>
      <c r="N295" s="130">
        <f t="shared" si="134"/>
        <v>0</v>
      </c>
      <c r="O295" s="530"/>
      <c r="P295" s="530"/>
      <c r="Q295" s="530"/>
      <c r="R295" s="530"/>
      <c r="S295" s="530"/>
      <c r="T295" s="530"/>
      <c r="U295" s="530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08"/>
      <c r="H296" s="539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530"/>
      <c r="P296" s="530"/>
      <c r="Q296" s="530"/>
      <c r="R296" s="530"/>
      <c r="S296" s="530"/>
      <c r="T296" s="530"/>
      <c r="U296" s="530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30100054</v>
      </c>
      <c r="B297" s="140" t="s">
        <v>227</v>
      </c>
      <c r="C297" s="535" t="s">
        <v>203</v>
      </c>
      <c r="D297" s="108">
        <v>5.03</v>
      </c>
      <c r="E297" s="108"/>
      <c r="F297" s="127"/>
      <c r="G297" s="108"/>
      <c r="H297" s="539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530"/>
      <c r="P297" s="530"/>
      <c r="Q297" s="530"/>
      <c r="R297" s="530"/>
      <c r="S297" s="530"/>
      <c r="T297" s="530"/>
      <c r="U297" s="530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/>
      <c r="G298" s="108"/>
      <c r="H298" s="539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530"/>
      <c r="P298" s="530"/>
      <c r="Q298" s="530"/>
      <c r="R298" s="530"/>
      <c r="S298" s="530"/>
      <c r="T298" s="530"/>
      <c r="U298" s="530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08"/>
      <c r="H299" s="539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530"/>
      <c r="P299" s="530"/>
      <c r="Q299" s="530"/>
      <c r="R299" s="530"/>
      <c r="S299" s="530"/>
      <c r="T299" s="530"/>
      <c r="U299" s="530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/>
      <c r="B300" s="140" t="s">
        <v>227</v>
      </c>
      <c r="C300" s="535" t="s">
        <v>228</v>
      </c>
      <c r="D300" s="108">
        <v>5.03</v>
      </c>
      <c r="E300" s="108"/>
      <c r="F300" s="127"/>
      <c r="G300" s="108"/>
      <c r="H300" s="539">
        <f t="shared" si="132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3"/>
        <v>0</v>
      </c>
      <c r="N300" s="130">
        <f t="shared" si="134"/>
        <v>0</v>
      </c>
      <c r="O300" s="530"/>
      <c r="P300" s="530"/>
      <c r="Q300" s="530"/>
      <c r="R300" s="530"/>
      <c r="S300" s="530"/>
      <c r="T300" s="530"/>
      <c r="U300" s="530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30101067</v>
      </c>
      <c r="B301" s="140" t="s">
        <v>229</v>
      </c>
      <c r="C301" s="535" t="s">
        <v>212</v>
      </c>
      <c r="D301" s="108">
        <v>5.03</v>
      </c>
      <c r="E301" s="108"/>
      <c r="F301" s="127"/>
      <c r="G301" s="108"/>
      <c r="H301" s="539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530"/>
      <c r="P301" s="530"/>
      <c r="Q301" s="530"/>
      <c r="R301" s="530"/>
      <c r="S301" s="530"/>
      <c r="T301" s="530"/>
      <c r="U301" s="530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30101068</v>
      </c>
      <c r="B302" s="140" t="s">
        <v>229</v>
      </c>
      <c r="C302" s="535" t="s">
        <v>203</v>
      </c>
      <c r="D302" s="108">
        <v>5.03</v>
      </c>
      <c r="E302" s="108"/>
      <c r="F302" s="127"/>
      <c r="G302" s="108"/>
      <c r="H302" s="539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530"/>
      <c r="P302" s="530"/>
      <c r="Q302" s="530"/>
      <c r="R302" s="530"/>
      <c r="S302" s="530"/>
      <c r="T302" s="530"/>
      <c r="U302" s="530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30101069</v>
      </c>
      <c r="B303" s="140" t="s">
        <v>229</v>
      </c>
      <c r="C303" s="535" t="s">
        <v>186</v>
      </c>
      <c r="D303" s="108">
        <v>5.03</v>
      </c>
      <c r="E303" s="108"/>
      <c r="F303" s="127"/>
      <c r="G303" s="108"/>
      <c r="H303" s="539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530"/>
      <c r="P303" s="530"/>
      <c r="Q303" s="530"/>
      <c r="R303" s="530"/>
      <c r="S303" s="530"/>
      <c r="T303" s="530"/>
      <c r="U303" s="530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30101070</v>
      </c>
      <c r="B304" s="140" t="s">
        <v>229</v>
      </c>
      <c r="C304" s="535" t="s">
        <v>228</v>
      </c>
      <c r="D304" s="108">
        <v>5.03</v>
      </c>
      <c r="E304" s="108"/>
      <c r="F304" s="127"/>
      <c r="G304" s="108"/>
      <c r="H304" s="539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530"/>
      <c r="P304" s="530"/>
      <c r="Q304" s="530"/>
      <c r="R304" s="530"/>
      <c r="S304" s="530"/>
      <c r="T304" s="530"/>
      <c r="U304" s="530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299">
        <v>30101071</v>
      </c>
      <c r="B305" s="140" t="s">
        <v>229</v>
      </c>
      <c r="C305" s="535" t="s">
        <v>199</v>
      </c>
      <c r="D305" s="108">
        <v>5.03</v>
      </c>
      <c r="E305" s="108"/>
      <c r="F305" s="127"/>
      <c r="G305" s="108"/>
      <c r="H305" s="539">
        <f t="shared" si="132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3"/>
        <v/>
      </c>
      <c r="N305" s="130">
        <f t="shared" si="134"/>
        <v>0</v>
      </c>
      <c r="O305" s="530"/>
      <c r="P305" s="530"/>
      <c r="Q305" s="530"/>
      <c r="R305" s="530"/>
      <c r="S305" s="530"/>
      <c r="T305" s="530"/>
      <c r="U305" s="530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/>
      <c r="G306" s="108"/>
      <c r="H306" s="539">
        <f t="shared" si="132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3"/>
        <v>0</v>
      </c>
      <c r="N306" s="130">
        <f t="shared" si="134"/>
        <v>0</v>
      </c>
      <c r="O306" s="530"/>
      <c r="P306" s="530"/>
      <c r="Q306" s="530"/>
      <c r="R306" s="530"/>
      <c r="S306" s="530"/>
      <c r="T306" s="530"/>
      <c r="U306" s="530"/>
      <c r="V306" s="132">
        <f t="shared" si="135"/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>
        <v>42745</v>
      </c>
      <c r="G307" s="108">
        <v>20</v>
      </c>
      <c r="H307" s="539">
        <f t="shared" si="132"/>
        <v>101.19999999999999</v>
      </c>
      <c r="I307" s="129">
        <v>1</v>
      </c>
      <c r="J307" s="130">
        <f t="array" ref="J307">IF(ISERROR(G307/I307),"",G307/I307)</f>
        <v>20</v>
      </c>
      <c r="K307" s="131">
        <f t="array" ref="K307">IF(ISERROR(G307/L307),"",G307/L307)</f>
        <v>0.8</v>
      </c>
      <c r="L307" s="129">
        <v>25</v>
      </c>
      <c r="M307" s="109">
        <f t="shared" si="133"/>
        <v>0.19999999999999996</v>
      </c>
      <c r="N307" s="130">
        <f t="shared" si="134"/>
        <v>0</v>
      </c>
      <c r="O307" s="530"/>
      <c r="P307" s="530"/>
      <c r="Q307" s="530"/>
      <c r="R307" s="530"/>
      <c r="S307" s="530"/>
      <c r="T307" s="530"/>
      <c r="U307" s="530"/>
      <c r="V307" s="132">
        <f t="shared" si="135"/>
        <v>0</v>
      </c>
      <c r="W307" s="133">
        <f t="shared" si="130"/>
        <v>0</v>
      </c>
      <c r="X307" s="132"/>
      <c r="Y307" s="132"/>
      <c r="Z307" s="132"/>
      <c r="AA307" s="132"/>
    </row>
    <row r="308" spans="1:27" ht="20.100000000000001" customHeight="1">
      <c r="A308" s="578" t="s">
        <v>231</v>
      </c>
      <c r="B308" s="579"/>
      <c r="C308" s="537" t="s">
        <v>202</v>
      </c>
      <c r="D308" s="143"/>
      <c r="E308" s="143"/>
      <c r="F308" s="144"/>
      <c r="G308" s="143">
        <f>SUM(G293:G307)</f>
        <v>607</v>
      </c>
      <c r="H308" s="146">
        <f>SUM(H293:H307)</f>
        <v>3053.81</v>
      </c>
      <c r="I308" s="146">
        <f>SUM(I293:I307)</f>
        <v>24</v>
      </c>
      <c r="J308" s="130">
        <f t="array" ref="J308">IF(ISERROR(G308/I308),"",G308/I308)</f>
        <v>25.291666666666668</v>
      </c>
      <c r="K308" s="146">
        <f>SUM(K293:K307)</f>
        <v>24.28</v>
      </c>
      <c r="L308" s="146"/>
      <c r="M308" s="150">
        <f>SUM(M293:M307)</f>
        <v>-0.28000000000000047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>
        <f t="shared" si="130"/>
        <v>0</v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hidden="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08"/>
      <c r="H309" s="539">
        <f t="shared" ref="H309:H318" si="136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3" si="137">IF(ISERROR(I309-K309),"",I309-K309)</f>
        <v>0</v>
      </c>
      <c r="N309" s="130">
        <f t="shared" ref="N309:N313" si="138">SUM(O309:U309)</f>
        <v>0</v>
      </c>
      <c r="O309" s="530"/>
      <c r="P309" s="530"/>
      <c r="Q309" s="530"/>
      <c r="R309" s="530"/>
      <c r="S309" s="530"/>
      <c r="T309" s="530"/>
      <c r="U309" s="530"/>
      <c r="V309" s="132">
        <f t="shared" ref="V309:V313" si="139">SUM(X309:AA309)</f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08"/>
      <c r="H310" s="539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530"/>
      <c r="P310" s="530"/>
      <c r="Q310" s="530"/>
      <c r="R310" s="530"/>
      <c r="S310" s="530"/>
      <c r="T310" s="530"/>
      <c r="U310" s="530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08"/>
      <c r="H311" s="539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530"/>
      <c r="P311" s="530"/>
      <c r="Q311" s="530"/>
      <c r="R311" s="530"/>
      <c r="S311" s="530"/>
      <c r="T311" s="530"/>
      <c r="U311" s="530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08"/>
      <c r="H312" s="539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530"/>
      <c r="P312" s="530"/>
      <c r="Q312" s="530"/>
      <c r="R312" s="530"/>
      <c r="S312" s="530"/>
      <c r="T312" s="530"/>
      <c r="U312" s="530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08"/>
      <c r="H313" s="539">
        <f t="shared" si="136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37"/>
        <v>0</v>
      </c>
      <c r="N313" s="130">
        <f t="shared" si="138"/>
        <v>0</v>
      </c>
      <c r="O313" s="530"/>
      <c r="P313" s="530"/>
      <c r="Q313" s="530"/>
      <c r="R313" s="530"/>
      <c r="S313" s="530"/>
      <c r="T313" s="530"/>
      <c r="U313" s="530"/>
      <c r="V313" s="132">
        <f t="shared" si="139"/>
        <v>0</v>
      </c>
      <c r="W313" s="133" t="str">
        <f t="shared" si="130"/>
        <v/>
      </c>
      <c r="X313" s="132"/>
      <c r="Y313" s="132"/>
      <c r="Z313" s="132"/>
      <c r="AA313" s="132"/>
    </row>
    <row r="314" spans="1:27" ht="20.100000000000001" hidden="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/>
      <c r="G314" s="108"/>
      <c r="H314" s="539">
        <f t="shared" si="136"/>
        <v>0</v>
      </c>
      <c r="I314" s="129"/>
      <c r="J314" s="130"/>
      <c r="K314" s="131"/>
      <c r="L314" s="129">
        <v>13.5</v>
      </c>
      <c r="M314" s="109"/>
      <c r="N314" s="130"/>
      <c r="O314" s="530"/>
      <c r="P314" s="530"/>
      <c r="Q314" s="530"/>
      <c r="R314" s="530"/>
      <c r="S314" s="530"/>
      <c r="T314" s="530"/>
      <c r="U314" s="530"/>
      <c r="V314" s="132"/>
      <c r="W314" s="133"/>
      <c r="X314" s="132"/>
      <c r="Y314" s="132"/>
      <c r="Z314" s="132"/>
      <c r="AA314" s="132"/>
    </row>
    <row r="315" spans="1:27" ht="20.100000000000001" hidden="1" customHeight="1">
      <c r="A315" s="300">
        <v>30400020</v>
      </c>
      <c r="B315" s="134" t="s">
        <v>439</v>
      </c>
      <c r="C315" s="187" t="s">
        <v>74</v>
      </c>
      <c r="D315" s="108">
        <v>5.03</v>
      </c>
      <c r="E315" s="108"/>
      <c r="F315" s="127"/>
      <c r="G315" s="108"/>
      <c r="H315" s="539">
        <f t="shared" si="136"/>
        <v>0</v>
      </c>
      <c r="I315" s="129"/>
      <c r="J315" s="130"/>
      <c r="K315" s="131"/>
      <c r="L315" s="129">
        <v>13.5</v>
      </c>
      <c r="M315" s="109"/>
      <c r="N315" s="130"/>
      <c r="O315" s="530"/>
      <c r="P315" s="530"/>
      <c r="Q315" s="530"/>
      <c r="R315" s="530"/>
      <c r="S315" s="530"/>
      <c r="T315" s="530"/>
      <c r="U315" s="530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30400021</v>
      </c>
      <c r="B316" s="134" t="s">
        <v>439</v>
      </c>
      <c r="C316" s="187" t="s">
        <v>53</v>
      </c>
      <c r="D316" s="108">
        <v>5.03</v>
      </c>
      <c r="E316" s="108"/>
      <c r="F316" s="127"/>
      <c r="G316" s="108"/>
      <c r="H316" s="539">
        <f t="shared" si="136"/>
        <v>0</v>
      </c>
      <c r="I316" s="129"/>
      <c r="J316" s="130"/>
      <c r="K316" s="131"/>
      <c r="L316" s="129">
        <v>13.5</v>
      </c>
      <c r="M316" s="109"/>
      <c r="N316" s="130"/>
      <c r="O316" s="530"/>
      <c r="P316" s="530"/>
      <c r="Q316" s="530"/>
      <c r="R316" s="530"/>
      <c r="S316" s="530"/>
      <c r="T316" s="530"/>
      <c r="U316" s="530"/>
      <c r="V316" s="132"/>
      <c r="W316" s="133"/>
      <c r="X316" s="132"/>
      <c r="Y316" s="132"/>
      <c r="Z316" s="132"/>
      <c r="AA316" s="132"/>
    </row>
    <row r="317" spans="1:27" ht="20.100000000000001" hidden="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/>
      <c r="G317" s="108"/>
      <c r="H317" s="539">
        <f t="shared" si="136"/>
        <v>0</v>
      </c>
      <c r="I317" s="129"/>
      <c r="J317" s="130"/>
      <c r="K317" s="131"/>
      <c r="L317" s="129"/>
      <c r="M317" s="109"/>
      <c r="N317" s="130"/>
      <c r="O317" s="530"/>
      <c r="P317" s="530"/>
      <c r="Q317" s="530"/>
      <c r="R317" s="530"/>
      <c r="S317" s="530"/>
      <c r="T317" s="530"/>
      <c r="U317" s="530"/>
      <c r="V317" s="132"/>
      <c r="W317" s="133"/>
      <c r="X317" s="132"/>
      <c r="Y317" s="132"/>
      <c r="Z317" s="132"/>
      <c r="AA317" s="132"/>
    </row>
    <row r="318" spans="1:27" ht="20.100000000000001" hidden="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08"/>
      <c r="H318" s="539">
        <f t="shared" si="136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ref="M318" si="140">IF(ISERROR(I318-K318),"",I318-K318)</f>
        <v>0</v>
      </c>
      <c r="N318" s="130">
        <f t="shared" ref="N318" si="141">SUM(O318:U318)</f>
        <v>0</v>
      </c>
      <c r="O318" s="530"/>
      <c r="P318" s="530"/>
      <c r="Q318" s="530"/>
      <c r="R318" s="530"/>
      <c r="S318" s="530"/>
      <c r="T318" s="530"/>
      <c r="U318" s="530"/>
      <c r="V318" s="132">
        <f t="shared" ref="V318" si="142">SUM(X318:AA318)</f>
        <v>0</v>
      </c>
      <c r="W318" s="133" t="str">
        <f t="shared" ref="W318:W323" si="143">IF(ISERROR(V318/G318),"",V318/G318)</f>
        <v/>
      </c>
      <c r="X318" s="132"/>
      <c r="Y318" s="132"/>
      <c r="Z318" s="132"/>
      <c r="AA318" s="132"/>
    </row>
    <row r="319" spans="1:27" ht="20.100000000000001" hidden="1" customHeight="1">
      <c r="A319" s="578" t="s">
        <v>234</v>
      </c>
      <c r="B319" s="579"/>
      <c r="C319" s="537" t="s">
        <v>202</v>
      </c>
      <c r="D319" s="143"/>
      <c r="E319" s="143"/>
      <c r="F319" s="144"/>
      <c r="G319" s="143">
        <f>SUM(G309:G318)</f>
        <v>0</v>
      </c>
      <c r="H319" s="146">
        <f>SUM(H309:H318)</f>
        <v>0</v>
      </c>
      <c r="I319" s="146">
        <f>SUM(I309:I318)</f>
        <v>0</v>
      </c>
      <c r="J319" s="130" t="str">
        <f t="array" ref="J319">IF(ISERROR(G319/I319),"",G319/I319)</f>
        <v/>
      </c>
      <c r="K319" s="146">
        <f>SUM(K309:K318)</f>
        <v>0</v>
      </c>
      <c r="L319" s="147"/>
      <c r="M319" s="150">
        <f>SUM(M309:M318)</f>
        <v>0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 t="str">
        <f t="shared" si="143"/>
        <v/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hidden="1" customHeight="1">
      <c r="A320" s="299">
        <v>30700013</v>
      </c>
      <c r="B320" s="141" t="s">
        <v>235</v>
      </c>
      <c r="C320" s="529"/>
      <c r="D320" s="108">
        <v>3.65</v>
      </c>
      <c r="E320" s="108"/>
      <c r="F320" s="153"/>
      <c r="G320" s="108"/>
      <c r="H320" s="539">
        <f t="shared" ref="H320:H333" si="144">D320*G320</f>
        <v>0</v>
      </c>
      <c r="I320" s="129"/>
      <c r="J320" s="130" t="str">
        <f t="array" ref="J320">IF(ISERROR(G320/I320),"",G320/I320)</f>
        <v/>
      </c>
      <c r="K320" s="539">
        <f t="array" ref="K320">IF(ISERROR(G320/L320),"",G320/L320)</f>
        <v>0</v>
      </c>
      <c r="L320" s="129">
        <v>5</v>
      </c>
      <c r="M320" s="109">
        <f t="shared" ref="M320:M323" si="145">IF(ISERROR(I320-K320),"",I320-K320)</f>
        <v>0</v>
      </c>
      <c r="N320" s="130">
        <f t="shared" ref="N320:N323" si="146">SUM(O320:U320)</f>
        <v>0</v>
      </c>
      <c r="O320" s="530"/>
      <c r="P320" s="530"/>
      <c r="Q320" s="530"/>
      <c r="R320" s="530"/>
      <c r="S320" s="530"/>
      <c r="T320" s="530"/>
      <c r="U320" s="530"/>
      <c r="V320" s="132">
        <f t="shared" ref="V320:V323" si="147">SUM(X320:AA320)</f>
        <v>0</v>
      </c>
      <c r="W320" s="133" t="str">
        <f t="shared" si="143"/>
        <v/>
      </c>
      <c r="X320" s="132"/>
      <c r="Y320" s="132"/>
      <c r="Z320" s="132"/>
      <c r="AA320" s="132"/>
    </row>
    <row r="321" spans="1:27" ht="20.100000000000001" customHeight="1">
      <c r="A321" s="299">
        <v>30700014</v>
      </c>
      <c r="B321" s="141" t="s">
        <v>236</v>
      </c>
      <c r="C321" s="529"/>
      <c r="D321" s="108">
        <v>6.58</v>
      </c>
      <c r="E321" s="108"/>
      <c r="F321" s="127">
        <v>42738</v>
      </c>
      <c r="G321" s="111">
        <v>5</v>
      </c>
      <c r="H321" s="539">
        <f t="shared" si="144"/>
        <v>32.9</v>
      </c>
      <c r="I321" s="129">
        <v>1</v>
      </c>
      <c r="J321" s="130">
        <f t="array" ref="J321">IF(ISERROR(G321/I321),"",G321/I321)</f>
        <v>5</v>
      </c>
      <c r="K321" s="131">
        <f t="array" ref="K321">IF(ISERROR(G321/L321),"",G321/L321)</f>
        <v>1</v>
      </c>
      <c r="L321" s="129">
        <v>5</v>
      </c>
      <c r="M321" s="109">
        <f t="shared" si="145"/>
        <v>0</v>
      </c>
      <c r="N321" s="130">
        <f t="shared" si="146"/>
        <v>0</v>
      </c>
      <c r="O321" s="530"/>
      <c r="P321" s="530"/>
      <c r="Q321" s="530"/>
      <c r="R321" s="530"/>
      <c r="S321" s="530"/>
      <c r="T321" s="530"/>
      <c r="U321" s="530"/>
      <c r="V321" s="132">
        <f t="shared" si="147"/>
        <v>0</v>
      </c>
      <c r="W321" s="133">
        <f t="shared" si="143"/>
        <v>0</v>
      </c>
      <c r="X321" s="132"/>
      <c r="Y321" s="132"/>
      <c r="Z321" s="132"/>
      <c r="AA321" s="132"/>
    </row>
    <row r="322" spans="1:27" ht="20.100000000000001" customHeight="1">
      <c r="A322" s="299">
        <v>30700016</v>
      </c>
      <c r="B322" s="141" t="s">
        <v>237</v>
      </c>
      <c r="C322" s="529"/>
      <c r="D322" s="108">
        <v>7.8</v>
      </c>
      <c r="E322" s="108"/>
      <c r="F322" s="127">
        <v>42745</v>
      </c>
      <c r="G322" s="108">
        <f>32+31+32*2-32</f>
        <v>95</v>
      </c>
      <c r="H322" s="539">
        <f t="shared" si="144"/>
        <v>741</v>
      </c>
      <c r="I322" s="129">
        <v>28</v>
      </c>
      <c r="J322" s="130">
        <f t="array" ref="J322">IF(ISERROR(G322/I322),"",G322/I322)</f>
        <v>3.3928571428571428</v>
      </c>
      <c r="K322" s="131">
        <f t="array" ref="K322">IF(ISERROR(G322/L322),"",G322/L322)</f>
        <v>20.65217391304348</v>
      </c>
      <c r="L322" s="129">
        <v>4.5999999999999996</v>
      </c>
      <c r="M322" s="109">
        <f t="shared" si="145"/>
        <v>7.3478260869565197</v>
      </c>
      <c r="N322" s="130">
        <f t="shared" si="146"/>
        <v>0</v>
      </c>
      <c r="O322" s="530"/>
      <c r="P322" s="530"/>
      <c r="Q322" s="530"/>
      <c r="R322" s="530"/>
      <c r="S322" s="530"/>
      <c r="T322" s="530"/>
      <c r="U322" s="530"/>
      <c r="V322" s="132">
        <f t="shared" si="147"/>
        <v>0</v>
      </c>
      <c r="W322" s="133">
        <f t="shared" si="143"/>
        <v>0</v>
      </c>
      <c r="X322" s="132"/>
      <c r="Y322" s="132"/>
      <c r="Z322" s="132"/>
      <c r="AA322" s="132"/>
    </row>
    <row r="323" spans="1:27" ht="20.100000000000001" customHeight="1">
      <c r="A323" s="299">
        <v>30700017</v>
      </c>
      <c r="B323" s="141" t="s">
        <v>238</v>
      </c>
      <c r="C323" s="529"/>
      <c r="D323" s="108">
        <v>4.4000000000000004</v>
      </c>
      <c r="E323" s="108"/>
      <c r="F323" s="127">
        <v>42745</v>
      </c>
      <c r="G323" s="108">
        <f>38+33</f>
        <v>71</v>
      </c>
      <c r="H323" s="539">
        <f t="shared" si="144"/>
        <v>312.40000000000003</v>
      </c>
      <c r="I323" s="129">
        <v>12</v>
      </c>
      <c r="J323" s="130">
        <f t="array" ref="J323">IF(ISERROR(G323/I323),"",G323/I323)</f>
        <v>5.916666666666667</v>
      </c>
      <c r="K323" s="131">
        <f t="array" ref="K323">IF(ISERROR(G323/L323),"",G323/L323)</f>
        <v>12.241379310344827</v>
      </c>
      <c r="L323" s="129">
        <v>5.8</v>
      </c>
      <c r="M323" s="109">
        <f t="shared" si="145"/>
        <v>-0.2413793103448274</v>
      </c>
      <c r="N323" s="130">
        <f t="shared" si="146"/>
        <v>0</v>
      </c>
      <c r="O323" s="530"/>
      <c r="P323" s="530"/>
      <c r="Q323" s="530"/>
      <c r="R323" s="530"/>
      <c r="S323" s="530"/>
      <c r="T323" s="530"/>
      <c r="U323" s="530"/>
      <c r="V323" s="132">
        <f t="shared" si="147"/>
        <v>0</v>
      </c>
      <c r="W323" s="133">
        <f t="shared" si="143"/>
        <v>0</v>
      </c>
      <c r="X323" s="132"/>
      <c r="Y323" s="132"/>
      <c r="Z323" s="132"/>
      <c r="AA323" s="132"/>
    </row>
    <row r="324" spans="1:27" ht="20.100000000000001" hidden="1" customHeight="1">
      <c r="A324" s="299">
        <v>30700001</v>
      </c>
      <c r="B324" s="127" t="s">
        <v>359</v>
      </c>
      <c r="C324" s="529"/>
      <c r="D324" s="108"/>
      <c r="E324" s="108"/>
      <c r="F324" s="127"/>
      <c r="G324" s="108"/>
      <c r="H324" s="539">
        <f t="shared" si="144"/>
        <v>0</v>
      </c>
      <c r="I324" s="129"/>
      <c r="J324" s="130"/>
      <c r="K324" s="131"/>
      <c r="L324" s="129">
        <v>6</v>
      </c>
      <c r="M324" s="109"/>
      <c r="N324" s="130"/>
      <c r="O324" s="530"/>
      <c r="P324" s="530"/>
      <c r="Q324" s="530"/>
      <c r="R324" s="530"/>
      <c r="S324" s="530"/>
      <c r="T324" s="530"/>
      <c r="U324" s="530"/>
      <c r="V324" s="132"/>
      <c r="W324" s="133"/>
      <c r="X324" s="132"/>
      <c r="Y324" s="132"/>
      <c r="Z324" s="132"/>
      <c r="AA324" s="132"/>
    </row>
    <row r="325" spans="1:27" ht="20.100000000000001" hidden="1" customHeight="1">
      <c r="A325" s="305"/>
      <c r="B325" s="529" t="s">
        <v>239</v>
      </c>
      <c r="C325" s="529" t="s">
        <v>179</v>
      </c>
      <c r="D325" s="108">
        <v>6.04</v>
      </c>
      <c r="E325" s="108"/>
      <c r="F325" s="127"/>
      <c r="G325" s="108"/>
      <c r="H325" s="539">
        <f t="shared" si="144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7" si="148">IF(ISERROR(I325-K325),"",I325-K325)</f>
        <v>0</v>
      </c>
      <c r="N325" s="130">
        <f t="shared" ref="N325:N326" si="149">SUM(O325:U325)</f>
        <v>0</v>
      </c>
      <c r="O325" s="530"/>
      <c r="P325" s="530"/>
      <c r="Q325" s="530"/>
      <c r="R325" s="530"/>
      <c r="S325" s="530"/>
      <c r="T325" s="530"/>
      <c r="U325" s="530"/>
      <c r="V325" s="132">
        <f t="shared" ref="V325:V326" si="150">SUM(X325:AA325)</f>
        <v>0</v>
      </c>
      <c r="W325" s="133" t="str">
        <f t="shared" ref="W325:W326" si="151">IF(ISERROR(V325/G325),"",V325/G325)</f>
        <v/>
      </c>
      <c r="X325" s="132"/>
      <c r="Y325" s="132"/>
      <c r="Z325" s="132"/>
      <c r="AA325" s="132"/>
    </row>
    <row r="326" spans="1:27" ht="20.100000000000001" hidden="1" customHeight="1">
      <c r="A326" s="305">
        <v>30700019</v>
      </c>
      <c r="B326" s="529" t="s">
        <v>239</v>
      </c>
      <c r="C326" s="529" t="s">
        <v>186</v>
      </c>
      <c r="D326" s="108">
        <v>6.04</v>
      </c>
      <c r="E326" s="108"/>
      <c r="F326" s="127"/>
      <c r="G326" s="108"/>
      <c r="H326" s="539">
        <f t="shared" si="144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48"/>
        <v>0</v>
      </c>
      <c r="N326" s="130">
        <f t="shared" si="149"/>
        <v>0</v>
      </c>
      <c r="O326" s="530"/>
      <c r="P326" s="530"/>
      <c r="Q326" s="530"/>
      <c r="R326" s="530"/>
      <c r="S326" s="530"/>
      <c r="T326" s="530"/>
      <c r="U326" s="530"/>
      <c r="V326" s="132">
        <f t="shared" si="150"/>
        <v>0</v>
      </c>
      <c r="W326" s="133" t="str">
        <f t="shared" si="151"/>
        <v/>
      </c>
      <c r="X326" s="132"/>
      <c r="Y326" s="132"/>
      <c r="Z326" s="132"/>
      <c r="AA326" s="132"/>
    </row>
    <row r="327" spans="1:27" ht="20.100000000000001" customHeight="1">
      <c r="A327" s="305">
        <v>30601015</v>
      </c>
      <c r="B327" s="529" t="s">
        <v>443</v>
      </c>
      <c r="C327" s="529" t="s">
        <v>179</v>
      </c>
      <c r="D327" s="108">
        <v>6</v>
      </c>
      <c r="E327" s="108"/>
      <c r="F327" s="127">
        <v>42746</v>
      </c>
      <c r="G327" s="108">
        <f>42+42+2</f>
        <v>86</v>
      </c>
      <c r="H327" s="539">
        <f t="shared" si="144"/>
        <v>516</v>
      </c>
      <c r="I327" s="129">
        <f>11.5*4</f>
        <v>46</v>
      </c>
      <c r="J327" s="130">
        <f t="array" ref="J327">IF(ISERROR(G327/I327),"",G327/I327)</f>
        <v>1.8695652173913044</v>
      </c>
      <c r="K327" s="131">
        <f t="array" ref="K327">IF(ISERROR(G327/L327),"",G327/L327)</f>
        <v>14.827586206896552</v>
      </c>
      <c r="L327" s="129">
        <v>5.8</v>
      </c>
      <c r="M327" s="109">
        <f t="shared" si="148"/>
        <v>31.172413793103448</v>
      </c>
      <c r="N327" s="130"/>
      <c r="O327" s="530"/>
      <c r="P327" s="530"/>
      <c r="Q327" s="530"/>
      <c r="R327" s="530"/>
      <c r="S327" s="530"/>
      <c r="T327" s="530"/>
      <c r="U327" s="530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305">
        <v>30101016</v>
      </c>
      <c r="B328" s="529" t="s">
        <v>443</v>
      </c>
      <c r="C328" s="529" t="s">
        <v>60</v>
      </c>
      <c r="D328" s="108">
        <v>6</v>
      </c>
      <c r="E328" s="108"/>
      <c r="F328" s="127"/>
      <c r="G328" s="108"/>
      <c r="H328" s="539">
        <f t="shared" si="144"/>
        <v>0</v>
      </c>
      <c r="I328" s="129"/>
      <c r="J328" s="130"/>
      <c r="K328" s="131">
        <f t="array" ref="K328">IF(ISERROR(G328/L328),"",G328/L328)</f>
        <v>0</v>
      </c>
      <c r="L328" s="129">
        <v>6</v>
      </c>
      <c r="M328" s="109"/>
      <c r="N328" s="130"/>
      <c r="O328" s="530"/>
      <c r="P328" s="530"/>
      <c r="Q328" s="530"/>
      <c r="R328" s="530"/>
      <c r="S328" s="530"/>
      <c r="T328" s="530"/>
      <c r="U328" s="530"/>
      <c r="V328" s="132"/>
      <c r="W328" s="133"/>
      <c r="X328" s="132"/>
      <c r="Y328" s="132"/>
      <c r="Z328" s="132"/>
      <c r="AA328" s="132"/>
    </row>
    <row r="329" spans="1:27" ht="20.100000000000001" hidden="1" customHeight="1">
      <c r="A329" s="299">
        <v>30700018</v>
      </c>
      <c r="B329" s="531" t="s">
        <v>240</v>
      </c>
      <c r="C329" s="126"/>
      <c r="D329" s="108">
        <v>7.3</v>
      </c>
      <c r="E329" s="108"/>
      <c r="F329" s="127"/>
      <c r="G329" s="108"/>
      <c r="H329" s="539">
        <f t="shared" si="144"/>
        <v>0</v>
      </c>
      <c r="I329" s="129"/>
      <c r="J329" s="130"/>
      <c r="K329" s="131"/>
      <c r="L329" s="129"/>
      <c r="M329" s="109"/>
      <c r="N329" s="130"/>
      <c r="O329" s="530"/>
      <c r="P329" s="530"/>
      <c r="Q329" s="530"/>
      <c r="R329" s="530"/>
      <c r="S329" s="530"/>
      <c r="T329" s="530"/>
      <c r="U329" s="530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30700010</v>
      </c>
      <c r="B330" s="531" t="s">
        <v>241</v>
      </c>
      <c r="C330" s="126"/>
      <c r="D330" s="108">
        <f>78*120/1000</f>
        <v>9.36</v>
      </c>
      <c r="E330" s="108"/>
      <c r="F330" s="127"/>
      <c r="G330" s="108"/>
      <c r="H330" s="539">
        <f t="shared" si="144"/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2">SUM(O330:U330)</f>
        <v>0</v>
      </c>
      <c r="O330" s="530"/>
      <c r="P330" s="530"/>
      <c r="Q330" s="530"/>
      <c r="R330" s="530"/>
      <c r="S330" s="530"/>
      <c r="T330" s="530"/>
      <c r="U330" s="530"/>
      <c r="V330" s="132">
        <f t="shared" ref="V330" si="153">SUM(X330:AA330)</f>
        <v>0</v>
      </c>
      <c r="W330" s="133" t="str">
        <f t="shared" ref="W330" si="154">IF(ISERROR(V330/G330),"",V330/G330)</f>
        <v/>
      </c>
      <c r="X330" s="132"/>
      <c r="Y330" s="132"/>
      <c r="Z330" s="132"/>
      <c r="AA330" s="132"/>
    </row>
    <row r="331" spans="1:27" ht="20.100000000000001" hidden="1" customHeight="1">
      <c r="A331" s="299">
        <v>30700015</v>
      </c>
      <c r="B331" s="531" t="s">
        <v>242</v>
      </c>
      <c r="C331" s="126"/>
      <c r="D331" s="108">
        <v>4.5</v>
      </c>
      <c r="E331" s="108"/>
      <c r="F331" s="127"/>
      <c r="G331" s="108"/>
      <c r="H331" s="539">
        <f t="shared" si="144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530"/>
      <c r="P331" s="530"/>
      <c r="Q331" s="530"/>
      <c r="R331" s="530"/>
      <c r="S331" s="530"/>
      <c r="T331" s="530"/>
      <c r="U331" s="530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299">
        <v>30700012</v>
      </c>
      <c r="B332" s="531" t="s">
        <v>243</v>
      </c>
      <c r="C332" s="126"/>
      <c r="D332" s="108">
        <v>4.5</v>
      </c>
      <c r="E332" s="108"/>
      <c r="F332" s="127"/>
      <c r="G332" s="108"/>
      <c r="H332" s="539">
        <f t="shared" si="144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530"/>
      <c r="P332" s="530"/>
      <c r="Q332" s="530"/>
      <c r="R332" s="530"/>
      <c r="S332" s="530"/>
      <c r="T332" s="530"/>
      <c r="U332" s="530"/>
      <c r="V332" s="132"/>
      <c r="W332" s="133"/>
      <c r="X332" s="132"/>
      <c r="Y332" s="132"/>
      <c r="Z332" s="132"/>
      <c r="AA332" s="132"/>
    </row>
    <row r="333" spans="1:27" ht="20.100000000000001" hidden="1" customHeight="1">
      <c r="A333" s="299"/>
      <c r="B333" s="199" t="s">
        <v>438</v>
      </c>
      <c r="C333" s="126"/>
      <c r="D333" s="108">
        <v>4.5</v>
      </c>
      <c r="E333" s="108"/>
      <c r="F333" s="127"/>
      <c r="G333" s="108"/>
      <c r="H333" s="539">
        <f t="shared" si="144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530"/>
      <c r="P333" s="530"/>
      <c r="Q333" s="530"/>
      <c r="R333" s="530"/>
      <c r="S333" s="530"/>
      <c r="T333" s="530"/>
      <c r="U333" s="530"/>
      <c r="V333" s="132"/>
      <c r="W333" s="133"/>
      <c r="X333" s="132"/>
      <c r="Y333" s="132"/>
      <c r="Z333" s="132"/>
      <c r="AA333" s="132"/>
    </row>
    <row r="334" spans="1:27" ht="20.100000000000001" customHeight="1">
      <c r="A334" s="578" t="s">
        <v>244</v>
      </c>
      <c r="B334" s="579"/>
      <c r="C334" s="537" t="s">
        <v>202</v>
      </c>
      <c r="D334" s="143"/>
      <c r="E334" s="143"/>
      <c r="F334" s="144"/>
      <c r="G334" s="143">
        <f>SUM(G320:G333)</f>
        <v>257</v>
      </c>
      <c r="H334" s="146">
        <f>SUM(H320:H330)</f>
        <v>1602.3</v>
      </c>
      <c r="I334" s="146">
        <f>SUM(I320:I333)</f>
        <v>87</v>
      </c>
      <c r="J334" s="130">
        <f t="array" ref="J334">IF(ISERROR(G334/I334),"",G334/I334)</f>
        <v>2.9540229885057472</v>
      </c>
      <c r="K334" s="146">
        <f>SUM(K320:K330)</f>
        <v>48.721139430284865</v>
      </c>
      <c r="L334" s="147"/>
      <c r="M334" s="150">
        <f t="shared" ref="M334:AA334" si="155">SUM(M320:M330)</f>
        <v>38.278860569715143</v>
      </c>
      <c r="N334" s="146">
        <f t="shared" si="155"/>
        <v>0</v>
      </c>
      <c r="O334" s="148">
        <f t="shared" si="155"/>
        <v>0</v>
      </c>
      <c r="P334" s="148">
        <f t="shared" si="155"/>
        <v>0</v>
      </c>
      <c r="Q334" s="148">
        <f t="shared" si="155"/>
        <v>0</v>
      </c>
      <c r="R334" s="148">
        <f t="shared" si="155"/>
        <v>0</v>
      </c>
      <c r="S334" s="148">
        <f t="shared" si="155"/>
        <v>0</v>
      </c>
      <c r="T334" s="148">
        <f t="shared" si="155"/>
        <v>0</v>
      </c>
      <c r="U334" s="148">
        <f t="shared" si="155"/>
        <v>0</v>
      </c>
      <c r="V334" s="149">
        <f t="shared" si="155"/>
        <v>0</v>
      </c>
      <c r="W334" s="133">
        <f t="shared" si="155"/>
        <v>0</v>
      </c>
      <c r="X334" s="149">
        <f t="shared" si="155"/>
        <v>0</v>
      </c>
      <c r="Y334" s="149">
        <f t="shared" si="155"/>
        <v>0</v>
      </c>
      <c r="Z334" s="149">
        <f t="shared" si="155"/>
        <v>0</v>
      </c>
      <c r="AA334" s="149">
        <f t="shared" si="155"/>
        <v>0</v>
      </c>
    </row>
    <row r="335" spans="1:27" ht="20.100000000000001" customHeight="1">
      <c r="A335" s="580" t="s">
        <v>246</v>
      </c>
      <c r="B335" s="581"/>
      <c r="C335" s="581"/>
      <c r="D335" s="581"/>
      <c r="E335" s="581"/>
      <c r="F335" s="582"/>
      <c r="G335" s="553">
        <f>SUM(G199,G257,G292,G308,G319,G334)</f>
        <v>5618</v>
      </c>
      <c r="H335" s="154">
        <f>SUM(H199,H257,H292,H308,H319,H334)</f>
        <v>28678.77</v>
      </c>
      <c r="I335" s="154">
        <f>SUM(I199,I257,I292,I308,I319,I334)</f>
        <v>477.5</v>
      </c>
      <c r="J335" s="155">
        <f t="array" ref="J335">IF(ISERROR(G335/I335),"",G335/I335)</f>
        <v>11.765445026178011</v>
      </c>
      <c r="K335" s="154">
        <f>SUM(K199,K257,K292,K308,K319,K334)</f>
        <v>312.46970497244376</v>
      </c>
      <c r="L335" s="155">
        <f>IF(ISERROR(G335/K335),"",G335/K335)</f>
        <v>17.979342991012338</v>
      </c>
      <c r="M335" s="154">
        <f t="shared" ref="M335:AA335" si="156">SUM(M199,M257,M292,M308,M319,M334)</f>
        <v>165.03029502755626</v>
      </c>
      <c r="N335" s="154">
        <f t="shared" si="156"/>
        <v>0</v>
      </c>
      <c r="O335" s="154">
        <f t="shared" si="156"/>
        <v>0</v>
      </c>
      <c r="P335" s="154">
        <f t="shared" si="156"/>
        <v>0</v>
      </c>
      <c r="Q335" s="154">
        <f t="shared" si="156"/>
        <v>0</v>
      </c>
      <c r="R335" s="154">
        <f t="shared" si="156"/>
        <v>0</v>
      </c>
      <c r="S335" s="154">
        <f t="shared" si="156"/>
        <v>0</v>
      </c>
      <c r="T335" s="154">
        <f t="shared" si="156"/>
        <v>0</v>
      </c>
      <c r="U335" s="154">
        <f t="shared" si="156"/>
        <v>0</v>
      </c>
      <c r="V335" s="154">
        <f t="shared" si="156"/>
        <v>0</v>
      </c>
      <c r="W335" s="154">
        <f t="shared" si="156"/>
        <v>0</v>
      </c>
      <c r="X335" s="154">
        <f t="shared" si="156"/>
        <v>0</v>
      </c>
      <c r="Y335" s="154">
        <f t="shared" si="156"/>
        <v>0</v>
      </c>
      <c r="Z335" s="154">
        <f t="shared" si="156"/>
        <v>0</v>
      </c>
      <c r="AA335" s="154">
        <f t="shared" si="156"/>
        <v>0</v>
      </c>
    </row>
    <row r="336" spans="1:27" ht="20.100000000000001" customHeight="1">
      <c r="A336" s="583" t="s">
        <v>476</v>
      </c>
      <c r="B336" s="536" t="s">
        <v>247</v>
      </c>
      <c r="C336" s="586" t="s">
        <v>248</v>
      </c>
      <c r="D336" s="587"/>
      <c r="E336" s="588" t="s">
        <v>249</v>
      </c>
      <c r="F336" s="588"/>
      <c r="G336" s="591" t="s">
        <v>250</v>
      </c>
      <c r="H336" s="591"/>
      <c r="I336" s="588" t="s">
        <v>251</v>
      </c>
      <c r="J336" s="588"/>
      <c r="K336" s="588" t="s">
        <v>252</v>
      </c>
      <c r="L336" s="588"/>
      <c r="M336" s="588" t="s">
        <v>253</v>
      </c>
      <c r="N336" s="588"/>
      <c r="O336" s="588" t="s">
        <v>254</v>
      </c>
      <c r="P336" s="591" t="s">
        <v>255</v>
      </c>
      <c r="Q336" s="591"/>
      <c r="R336" s="591" t="s">
        <v>252</v>
      </c>
      <c r="S336" s="591"/>
      <c r="T336" s="591" t="s">
        <v>256</v>
      </c>
      <c r="U336" s="591"/>
      <c r="V336" s="591" t="s">
        <v>257</v>
      </c>
      <c r="W336" s="591"/>
      <c r="X336" s="591" t="s">
        <v>252</v>
      </c>
      <c r="Y336" s="591"/>
      <c r="Z336" s="591" t="s">
        <v>256</v>
      </c>
      <c r="AA336" s="591"/>
    </row>
    <row r="337" spans="1:27" ht="20.100000000000001" customHeight="1">
      <c r="A337" s="584"/>
      <c r="B337" s="536" t="s">
        <v>258</v>
      </c>
      <c r="C337" s="626">
        <v>1</v>
      </c>
      <c r="D337" s="627"/>
      <c r="E337" s="590">
        <f>C337*11</f>
        <v>11</v>
      </c>
      <c r="F337" s="590"/>
      <c r="G337" s="591">
        <v>1</v>
      </c>
      <c r="H337" s="591"/>
      <c r="I337" s="590">
        <f>G337*11</f>
        <v>11</v>
      </c>
      <c r="J337" s="590"/>
      <c r="K337" s="590">
        <f>E337-I337</f>
        <v>0</v>
      </c>
      <c r="L337" s="590"/>
      <c r="M337" s="592">
        <f>IF(ISERROR(K337/E337),"",K337/E337)</f>
        <v>0</v>
      </c>
      <c r="N337" s="592"/>
      <c r="O337" s="588"/>
      <c r="P337" s="591" t="s">
        <v>201</v>
      </c>
      <c r="Q337" s="591"/>
      <c r="R337" s="593">
        <f>SUM(O199:U199)</f>
        <v>0</v>
      </c>
      <c r="S337" s="593"/>
      <c r="T337" s="594" t="str">
        <f t="array" ref="T337">IF(ISERROR(R337/R344),"",R337/R344)</f>
        <v/>
      </c>
      <c r="U337" s="594"/>
      <c r="V337" s="591" t="s">
        <v>259</v>
      </c>
      <c r="W337" s="591"/>
      <c r="X337" s="628">
        <f>SUM(P198,P256,P291,P307,P318,P333)</f>
        <v>0</v>
      </c>
      <c r="Y337" s="629"/>
      <c r="Z337" s="594" t="str">
        <f t="array" ref="Z337">IF(ISERROR(X337/X344),"",X337/X344)</f>
        <v/>
      </c>
      <c r="AA337" s="594"/>
    </row>
    <row r="338" spans="1:27" ht="20.100000000000001" customHeight="1">
      <c r="A338" s="584"/>
      <c r="B338" s="536" t="s">
        <v>260</v>
      </c>
      <c r="C338" s="586">
        <v>0</v>
      </c>
      <c r="D338" s="587"/>
      <c r="E338" s="590">
        <f>C338*11</f>
        <v>0</v>
      </c>
      <c r="F338" s="590"/>
      <c r="G338" s="591">
        <v>0</v>
      </c>
      <c r="H338" s="591"/>
      <c r="I338" s="590">
        <f>G338*11</f>
        <v>0</v>
      </c>
      <c r="J338" s="590"/>
      <c r="K338" s="590">
        <f>E338-I338</f>
        <v>0</v>
      </c>
      <c r="L338" s="590"/>
      <c r="M338" s="592" t="str">
        <f>IF(ISERROR(K338/E338),"",K338/E338)</f>
        <v/>
      </c>
      <c r="N338" s="592"/>
      <c r="O338" s="588"/>
      <c r="P338" s="591" t="s">
        <v>216</v>
      </c>
      <c r="Q338" s="591"/>
      <c r="R338" s="593">
        <f>SUM(O257:U257)</f>
        <v>0</v>
      </c>
      <c r="S338" s="593"/>
      <c r="T338" s="594" t="str">
        <f>IF(ISERROR(R338/R344),"",R338/R344)</f>
        <v/>
      </c>
      <c r="U338" s="594"/>
      <c r="V338" s="591" t="s">
        <v>261</v>
      </c>
      <c r="W338" s="591"/>
      <c r="X338" s="628">
        <f>SUM(P199,P257,P292,P308,P319,P334)</f>
        <v>0</v>
      </c>
      <c r="Y338" s="629"/>
      <c r="Z338" s="594" t="str">
        <f>IF(ISERROR(X338/X344),"",X338/X344)</f>
        <v/>
      </c>
      <c r="AA338" s="594"/>
    </row>
    <row r="339" spans="1:27" ht="20.100000000000001" customHeight="1">
      <c r="A339" s="584"/>
      <c r="B339" s="536" t="s">
        <v>262</v>
      </c>
      <c r="C339" s="586">
        <v>0</v>
      </c>
      <c r="D339" s="587"/>
      <c r="E339" s="590">
        <f>C339*8</f>
        <v>0</v>
      </c>
      <c r="F339" s="590"/>
      <c r="G339" s="591">
        <v>1</v>
      </c>
      <c r="H339" s="591"/>
      <c r="I339" s="590">
        <f>G339*8</f>
        <v>8</v>
      </c>
      <c r="J339" s="590"/>
      <c r="K339" s="590">
        <f>E339-I339</f>
        <v>-8</v>
      </c>
      <c r="L339" s="590"/>
      <c r="M339" s="592" t="str">
        <f>IF(ISERROR(K339/E339),"",K339/E339)</f>
        <v/>
      </c>
      <c r="N339" s="592"/>
      <c r="O339" s="588"/>
      <c r="P339" s="591" t="s">
        <v>224</v>
      </c>
      <c r="Q339" s="591"/>
      <c r="R339" s="593">
        <f>SUM(O292:U292)</f>
        <v>0</v>
      </c>
      <c r="S339" s="593"/>
      <c r="T339" s="594" t="str">
        <f>IF(ISERROR(R339/R344),"",R339/R344)</f>
        <v/>
      </c>
      <c r="U339" s="594"/>
      <c r="V339" s="591" t="s">
        <v>263</v>
      </c>
      <c r="W339" s="591"/>
      <c r="X339" s="628">
        <f>SUM(P200,P258,P293,P309,P320,P335)</f>
        <v>0</v>
      </c>
      <c r="Y339" s="629"/>
      <c r="Z339" s="594" t="str">
        <f>IF(ISERROR(X339/X344),"",X339/X344)</f>
        <v/>
      </c>
      <c r="AA339" s="594"/>
    </row>
    <row r="340" spans="1:27" ht="20.100000000000001" customHeight="1">
      <c r="A340" s="584"/>
      <c r="B340" s="536" t="s">
        <v>264</v>
      </c>
      <c r="C340" s="586">
        <v>1</v>
      </c>
      <c r="D340" s="587"/>
      <c r="E340" s="590">
        <f>C340*11</f>
        <v>11</v>
      </c>
      <c r="F340" s="590"/>
      <c r="G340" s="591">
        <v>1</v>
      </c>
      <c r="H340" s="591"/>
      <c r="I340" s="590">
        <f>G340*11</f>
        <v>11</v>
      </c>
      <c r="J340" s="590"/>
      <c r="K340" s="590">
        <f>E340-I340</f>
        <v>0</v>
      </c>
      <c r="L340" s="590"/>
      <c r="M340" s="592">
        <f>IF(ISERROR(K340/E340),"",K340/E340)</f>
        <v>0</v>
      </c>
      <c r="N340" s="592"/>
      <c r="O340" s="588"/>
      <c r="P340" s="591" t="s">
        <v>231</v>
      </c>
      <c r="Q340" s="591"/>
      <c r="R340" s="593">
        <f>SUM(O308:U308)</f>
        <v>0</v>
      </c>
      <c r="S340" s="593"/>
      <c r="T340" s="594" t="str">
        <f>IF(ISERROR(R340/R344),"",R340/R344)</f>
        <v/>
      </c>
      <c r="U340" s="594"/>
      <c r="V340" s="591" t="s">
        <v>265</v>
      </c>
      <c r="W340" s="591"/>
      <c r="X340" s="628">
        <f>SUM(P202,P259,P294,P310,P321,P336)</f>
        <v>0</v>
      </c>
      <c r="Y340" s="629"/>
      <c r="Z340" s="594" t="str">
        <f>IF(ISERROR(X340/X344),"",X340/X344)</f>
        <v/>
      </c>
      <c r="AA340" s="594"/>
    </row>
    <row r="341" spans="1:27" ht="20.100000000000001" customHeight="1">
      <c r="A341" s="585"/>
      <c r="B341" s="536" t="s">
        <v>266</v>
      </c>
      <c r="C341" s="596">
        <f>SUM(C337:D340)</f>
        <v>2</v>
      </c>
      <c r="D341" s="597"/>
      <c r="E341" s="590">
        <f>SUM(E337:F340)</f>
        <v>22</v>
      </c>
      <c r="F341" s="590"/>
      <c r="G341" s="591">
        <f>SUM(G337:H340)</f>
        <v>3</v>
      </c>
      <c r="H341" s="591"/>
      <c r="I341" s="590">
        <f>SUM(I337:J340)</f>
        <v>30</v>
      </c>
      <c r="J341" s="590"/>
      <c r="K341" s="590">
        <f>SUM(K337:L340)</f>
        <v>-8</v>
      </c>
      <c r="L341" s="590"/>
      <c r="M341" s="592">
        <f>IF(ISERROR(K341/E341),"",K341/E341)</f>
        <v>-0.36363636363636365</v>
      </c>
      <c r="N341" s="592"/>
      <c r="O341" s="588"/>
      <c r="P341" s="591" t="s">
        <v>234</v>
      </c>
      <c r="Q341" s="591"/>
      <c r="R341" s="593">
        <f>SUM(O319:U319)</f>
        <v>0</v>
      </c>
      <c r="S341" s="593"/>
      <c r="T341" s="594" t="str">
        <f>IF(ISERROR(R341/R344),"",R341/R344)</f>
        <v/>
      </c>
      <c r="U341" s="594"/>
      <c r="V341" s="591" t="s">
        <v>267</v>
      </c>
      <c r="W341" s="591"/>
      <c r="X341" s="628">
        <f>SUM(P203,P260,P295,P311,P322,P337)</f>
        <v>0</v>
      </c>
      <c r="Y341" s="629"/>
      <c r="Z341" s="594" t="str">
        <f>IF(ISERROR(X341/X344),"",X341/X344)</f>
        <v/>
      </c>
      <c r="AA341" s="594"/>
    </row>
    <row r="342" spans="1:27" ht="20.100000000000001" customHeight="1">
      <c r="A342" s="309" t="s">
        <v>477</v>
      </c>
      <c r="B342" s="536">
        <f>G335</f>
        <v>5618</v>
      </c>
      <c r="C342" s="598" t="s">
        <v>269</v>
      </c>
      <c r="D342" s="599"/>
      <c r="E342" s="591">
        <f>H335</f>
        <v>28678.77</v>
      </c>
      <c r="F342" s="591"/>
      <c r="G342" s="591" t="s">
        <v>270</v>
      </c>
      <c r="H342" s="591"/>
      <c r="I342" s="600">
        <f>L335</f>
        <v>17.979342991012338</v>
      </c>
      <c r="J342" s="600"/>
      <c r="K342" s="588" t="s">
        <v>271</v>
      </c>
      <c r="L342" s="588"/>
      <c r="M342" s="600">
        <f>J335</f>
        <v>11.765445026178011</v>
      </c>
      <c r="N342" s="600"/>
      <c r="O342" s="588"/>
      <c r="P342" s="591" t="s">
        <v>244</v>
      </c>
      <c r="Q342" s="591"/>
      <c r="R342" s="593">
        <f>SUM(O334:U334)</f>
        <v>0</v>
      </c>
      <c r="S342" s="593"/>
      <c r="T342" s="594" t="str">
        <f>IF(ISERROR(R342/R344),"",R342/R344)</f>
        <v/>
      </c>
      <c r="U342" s="594"/>
      <c r="V342" s="591" t="s">
        <v>272</v>
      </c>
      <c r="W342" s="591"/>
      <c r="X342" s="628">
        <f>SUM(P204,P261,P296,P312,P323,P338)</f>
        <v>0</v>
      </c>
      <c r="Y342" s="629"/>
      <c r="Z342" s="594" t="str">
        <f>IF(ISERROR(X342/X344),"",X342/X344)</f>
        <v/>
      </c>
      <c r="AA342" s="594"/>
    </row>
    <row r="343" spans="1:27" ht="20.100000000000001" customHeight="1">
      <c r="A343" s="310" t="s">
        <v>478</v>
      </c>
      <c r="B343" s="536">
        <f>I335+C341</f>
        <v>479.5</v>
      </c>
      <c r="C343" s="601" t="s">
        <v>251</v>
      </c>
      <c r="D343" s="602"/>
      <c r="E343" s="603">
        <f>K335+I341</f>
        <v>342.46970497244376</v>
      </c>
      <c r="F343" s="603"/>
      <c r="G343" s="591" t="s">
        <v>274</v>
      </c>
      <c r="H343" s="591"/>
      <c r="I343" s="600">
        <f>B343-E343</f>
        <v>137.03029502755624</v>
      </c>
      <c r="J343" s="600"/>
      <c r="K343" s="588" t="s">
        <v>275</v>
      </c>
      <c r="L343" s="588"/>
      <c r="M343" s="592">
        <f>IF(ISERROR(I343/E343),"",I343/E343)</f>
        <v>0.40012384464366607</v>
      </c>
      <c r="N343" s="592"/>
      <c r="O343" s="588"/>
      <c r="P343" s="591" t="s">
        <v>245</v>
      </c>
      <c r="Q343" s="591"/>
      <c r="R343" s="593"/>
      <c r="S343" s="593"/>
      <c r="T343" s="594" t="str">
        <f>IF(ISERROR(R343/R344),"",R343/R344)</f>
        <v/>
      </c>
      <c r="U343" s="594"/>
      <c r="V343" s="591" t="s">
        <v>264</v>
      </c>
      <c r="W343" s="591"/>
      <c r="X343" s="628">
        <f>SUM(P205,P262,P297,P313,P324,P339)</f>
        <v>0</v>
      </c>
      <c r="Y343" s="629"/>
      <c r="Z343" s="594" t="str">
        <f>IF(ISERROR(X343/X344),"",X343/X344)</f>
        <v/>
      </c>
      <c r="AA343" s="594"/>
    </row>
    <row r="344" spans="1:27" ht="20.100000000000001" customHeight="1">
      <c r="A344" s="310" t="s">
        <v>479</v>
      </c>
      <c r="B344" s="536">
        <f>N335</f>
        <v>0</v>
      </c>
      <c r="C344" s="601" t="s">
        <v>277</v>
      </c>
      <c r="D344" s="602"/>
      <c r="E344" s="594">
        <f>IF(ISERROR(B344/B343),"",B344/B343)</f>
        <v>0</v>
      </c>
      <c r="F344" s="594"/>
      <c r="G344" s="591" t="s">
        <v>278</v>
      </c>
      <c r="H344" s="591"/>
      <c r="I344" s="588">
        <f>V335</f>
        <v>0</v>
      </c>
      <c r="J344" s="588"/>
      <c r="K344" s="588" t="s">
        <v>279</v>
      </c>
      <c r="L344" s="588"/>
      <c r="M344" s="592">
        <f t="array" ref="M344">IF(ISERROR(I344/B342),"",I344/B342)</f>
        <v>0</v>
      </c>
      <c r="N344" s="592"/>
      <c r="O344" s="588"/>
      <c r="P344" s="591" t="s">
        <v>266</v>
      </c>
      <c r="Q344" s="591"/>
      <c r="R344" s="593">
        <f>SUM(R337:S343)</f>
        <v>0</v>
      </c>
      <c r="S344" s="593"/>
      <c r="T344" s="594"/>
      <c r="U344" s="594"/>
      <c r="V344" s="591" t="s">
        <v>266</v>
      </c>
      <c r="W344" s="591"/>
      <c r="X344" s="595">
        <f>SUM(X337:Y343)</f>
        <v>0</v>
      </c>
      <c r="Y344" s="595"/>
      <c r="Z344" s="594"/>
      <c r="AA344" s="594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2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604" t="s">
        <v>480</v>
      </c>
      <c r="B346" s="607" t="s">
        <v>280</v>
      </c>
      <c r="C346" s="607" t="s">
        <v>281</v>
      </c>
      <c r="D346" s="607" t="s">
        <v>282</v>
      </c>
      <c r="E346" s="610" t="s">
        <v>283</v>
      </c>
      <c r="F346" s="623" t="s">
        <v>284</v>
      </c>
      <c r="G346" s="588" t="s">
        <v>285</v>
      </c>
      <c r="H346" s="588"/>
      <c r="I346" s="607" t="s">
        <v>286</v>
      </c>
      <c r="J346" s="613" t="s">
        <v>271</v>
      </c>
      <c r="K346" s="616" t="s">
        <v>287</v>
      </c>
      <c r="L346" s="607" t="s">
        <v>270</v>
      </c>
      <c r="M346" s="619" t="s">
        <v>288</v>
      </c>
      <c r="N346" s="621" t="s">
        <v>252</v>
      </c>
      <c r="O346" s="588" t="s">
        <v>289</v>
      </c>
      <c r="P346" s="588"/>
      <c r="Q346" s="588"/>
      <c r="R346" s="588"/>
      <c r="S346" s="588"/>
      <c r="T346" s="588"/>
      <c r="U346" s="588"/>
      <c r="V346" s="588" t="s">
        <v>290</v>
      </c>
      <c r="W346" s="621" t="s">
        <v>291</v>
      </c>
      <c r="X346" s="588" t="s">
        <v>292</v>
      </c>
      <c r="Y346" s="588"/>
      <c r="Z346" s="588"/>
      <c r="AA346" s="588"/>
    </row>
    <row r="347" spans="1:27" ht="21.95" customHeight="1">
      <c r="A347" s="605"/>
      <c r="B347" s="608"/>
      <c r="C347" s="608"/>
      <c r="D347" s="608"/>
      <c r="E347" s="611"/>
      <c r="F347" s="624"/>
      <c r="G347" s="588"/>
      <c r="H347" s="588"/>
      <c r="I347" s="608"/>
      <c r="J347" s="614"/>
      <c r="K347" s="617"/>
      <c r="L347" s="608"/>
      <c r="M347" s="620"/>
      <c r="N347" s="621"/>
      <c r="O347" s="588" t="s">
        <v>259</v>
      </c>
      <c r="P347" s="588" t="s">
        <v>261</v>
      </c>
      <c r="Q347" s="588" t="s">
        <v>263</v>
      </c>
      <c r="R347" s="622" t="s">
        <v>265</v>
      </c>
      <c r="S347" s="591" t="s">
        <v>267</v>
      </c>
      <c r="T347" s="588" t="s">
        <v>272</v>
      </c>
      <c r="U347" s="588" t="s">
        <v>264</v>
      </c>
      <c r="V347" s="588"/>
      <c r="W347" s="621"/>
      <c r="X347" s="588" t="s">
        <v>293</v>
      </c>
      <c r="Y347" s="588" t="s">
        <v>294</v>
      </c>
      <c r="Z347" s="588" t="s">
        <v>295</v>
      </c>
      <c r="AA347" s="588" t="s">
        <v>264</v>
      </c>
    </row>
    <row r="348" spans="1:27" ht="21.95" customHeight="1">
      <c r="A348" s="606"/>
      <c r="B348" s="609"/>
      <c r="C348" s="609"/>
      <c r="D348" s="609"/>
      <c r="E348" s="612"/>
      <c r="F348" s="625"/>
      <c r="G348" s="547" t="s">
        <v>550</v>
      </c>
      <c r="H348" s="529" t="s">
        <v>297</v>
      </c>
      <c r="I348" s="609"/>
      <c r="J348" s="615"/>
      <c r="K348" s="618"/>
      <c r="L348" s="609"/>
      <c r="M348" s="620"/>
      <c r="N348" s="621"/>
      <c r="O348" s="588"/>
      <c r="P348" s="588"/>
      <c r="Q348" s="588"/>
      <c r="R348" s="622"/>
      <c r="S348" s="591"/>
      <c r="T348" s="588"/>
      <c r="U348" s="588"/>
      <c r="V348" s="588"/>
      <c r="W348" s="621"/>
      <c r="X348" s="588"/>
      <c r="Y348" s="588"/>
      <c r="Z348" s="588"/>
      <c r="AA348" s="588"/>
    </row>
    <row r="349" spans="1:27" ht="20.100000000000001" hidden="1" customHeight="1">
      <c r="A349" s="299">
        <v>30100030</v>
      </c>
      <c r="B349" s="531" t="s">
        <v>178</v>
      </c>
      <c r="C349" s="126" t="s">
        <v>179</v>
      </c>
      <c r="D349" s="108">
        <v>5.03</v>
      </c>
      <c r="E349" s="108"/>
      <c r="F349" s="127"/>
      <c r="G349" s="108"/>
      <c r="H349" s="539">
        <f t="shared" ref="H349:H369" si="157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58" si="158">IF(ISERROR(I349-K349),"",I349-K349)</f>
        <v>0</v>
      </c>
      <c r="N349" s="130">
        <f t="shared" ref="N349:N354" si="159">SUM(O349:U349)</f>
        <v>0</v>
      </c>
      <c r="O349" s="530"/>
      <c r="P349" s="530"/>
      <c r="Q349" s="530"/>
      <c r="R349" s="530"/>
      <c r="S349" s="530"/>
      <c r="T349" s="530"/>
      <c r="U349" s="530"/>
      <c r="V349" s="132">
        <f t="shared" ref="V349:V354" si="160">SUM(X349:AA349)</f>
        <v>0</v>
      </c>
      <c r="W349" s="133" t="str">
        <f t="shared" ref="W349:W354" si="161">IF(ISERROR(V349/G349),"",V349/G349)</f>
        <v/>
      </c>
      <c r="X349" s="132"/>
      <c r="Y349" s="132"/>
      <c r="Z349" s="132"/>
      <c r="AA349" s="132"/>
    </row>
    <row r="350" spans="1:27" ht="20.100000000000001" hidden="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08"/>
      <c r="H350" s="539">
        <f t="shared" si="157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8"/>
        <v>0</v>
      </c>
      <c r="N350" s="130">
        <f t="shared" si="159"/>
        <v>0</v>
      </c>
      <c r="O350" s="530"/>
      <c r="P350" s="530"/>
      <c r="Q350" s="530"/>
      <c r="R350" s="530"/>
      <c r="S350" s="530"/>
      <c r="T350" s="530"/>
      <c r="U350" s="530"/>
      <c r="V350" s="132">
        <f t="shared" si="160"/>
        <v>0</v>
      </c>
      <c r="W350" s="133" t="str">
        <f t="shared" si="161"/>
        <v/>
      </c>
      <c r="X350" s="132"/>
      <c r="Y350" s="132"/>
      <c r="Z350" s="132"/>
      <c r="AA350" s="132"/>
    </row>
    <row r="351" spans="1:27" ht="20.100000000000001" hidden="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08"/>
      <c r="H351" s="539">
        <f t="shared" si="157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58"/>
        <v>0</v>
      </c>
      <c r="N351" s="130">
        <f t="shared" si="159"/>
        <v>0</v>
      </c>
      <c r="O351" s="530"/>
      <c r="P351" s="530"/>
      <c r="Q351" s="530"/>
      <c r="R351" s="530"/>
      <c r="S351" s="530"/>
      <c r="T351" s="530"/>
      <c r="U351" s="530"/>
      <c r="V351" s="132">
        <f t="shared" si="160"/>
        <v>0</v>
      </c>
      <c r="W351" s="133" t="str">
        <f t="shared" si="161"/>
        <v/>
      </c>
      <c r="X351" s="132"/>
      <c r="Y351" s="132"/>
      <c r="Z351" s="132"/>
      <c r="AA351" s="132"/>
    </row>
    <row r="352" spans="1:27" ht="20.100000000000001" hidden="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08"/>
      <c r="H352" s="539">
        <f t="shared" si="157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8"/>
        <v>0</v>
      </c>
      <c r="N352" s="130">
        <f t="shared" si="159"/>
        <v>0</v>
      </c>
      <c r="O352" s="530"/>
      <c r="P352" s="530"/>
      <c r="Q352" s="530"/>
      <c r="R352" s="530"/>
      <c r="S352" s="530"/>
      <c r="T352" s="530"/>
      <c r="U352" s="530"/>
      <c r="V352" s="132">
        <f t="shared" si="160"/>
        <v>0</v>
      </c>
      <c r="W352" s="133" t="str">
        <f t="shared" si="161"/>
        <v/>
      </c>
      <c r="X352" s="132"/>
      <c r="Y352" s="132"/>
      <c r="Z352" s="132"/>
      <c r="AA352" s="132"/>
    </row>
    <row r="353" spans="1:27" ht="20.100000000000001" hidden="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08"/>
      <c r="H353" s="539">
        <f t="shared" si="157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58"/>
        <v>0</v>
      </c>
      <c r="N353" s="130">
        <f t="shared" si="159"/>
        <v>0</v>
      </c>
      <c r="O353" s="530"/>
      <c r="P353" s="530"/>
      <c r="Q353" s="530"/>
      <c r="R353" s="530"/>
      <c r="S353" s="530"/>
      <c r="T353" s="530"/>
      <c r="U353" s="530"/>
      <c r="V353" s="132">
        <f t="shared" si="160"/>
        <v>0</v>
      </c>
      <c r="W353" s="133" t="str">
        <f t="shared" si="161"/>
        <v/>
      </c>
      <c r="X353" s="132"/>
      <c r="Y353" s="132"/>
      <c r="Z353" s="132"/>
      <c r="AA353" s="132"/>
    </row>
    <row r="354" spans="1:27" ht="20.100000000000001" hidden="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552"/>
      <c r="H354" s="539">
        <f t="shared" si="157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58"/>
        <v>0</v>
      </c>
      <c r="N354" s="130">
        <f t="shared" si="159"/>
        <v>0</v>
      </c>
      <c r="O354" s="530"/>
      <c r="P354" s="530"/>
      <c r="Q354" s="530"/>
      <c r="R354" s="530"/>
      <c r="S354" s="530"/>
      <c r="T354" s="530"/>
      <c r="U354" s="530"/>
      <c r="V354" s="132">
        <f t="shared" si="160"/>
        <v>0</v>
      </c>
      <c r="W354" s="133" t="str">
        <f t="shared" si="161"/>
        <v/>
      </c>
      <c r="X354" s="132"/>
      <c r="Y354" s="132"/>
      <c r="Z354" s="132"/>
      <c r="AA354" s="132"/>
    </row>
    <row r="355" spans="1:27" ht="20.100000000000001" hidden="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08"/>
      <c r="H355" s="539">
        <f t="shared" si="157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58"/>
        <v>0</v>
      </c>
      <c r="N355" s="130"/>
      <c r="O355" s="530"/>
      <c r="P355" s="530"/>
      <c r="Q355" s="530"/>
      <c r="R355" s="530"/>
      <c r="S355" s="530"/>
      <c r="T355" s="530"/>
      <c r="U355" s="530"/>
      <c r="V355" s="132"/>
      <c r="W355" s="133"/>
      <c r="X355" s="132"/>
      <c r="Y355" s="132"/>
      <c r="Z355" s="132"/>
      <c r="AA355" s="132"/>
    </row>
    <row r="356" spans="1:27" ht="20.100000000000001" hidden="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08"/>
      <c r="H356" s="539">
        <f t="shared" si="157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58"/>
        <v>0</v>
      </c>
      <c r="N356" s="130"/>
      <c r="O356" s="530"/>
      <c r="P356" s="530"/>
      <c r="Q356" s="530"/>
      <c r="R356" s="530"/>
      <c r="S356" s="530"/>
      <c r="T356" s="530"/>
      <c r="U356" s="530"/>
      <c r="V356" s="132"/>
      <c r="W356" s="133"/>
      <c r="X356" s="132"/>
      <c r="Y356" s="132"/>
      <c r="Z356" s="132"/>
      <c r="AA356" s="132"/>
    </row>
    <row r="357" spans="1:27" ht="20.100000000000001" hidden="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08"/>
      <c r="H357" s="539">
        <f t="shared" si="157"/>
        <v>0</v>
      </c>
      <c r="I357" s="539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58"/>
        <v>0</v>
      </c>
      <c r="N357" s="130">
        <f>SUM(O357:U357)</f>
        <v>0</v>
      </c>
      <c r="O357" s="530"/>
      <c r="P357" s="530"/>
      <c r="Q357" s="530"/>
      <c r="R357" s="530"/>
      <c r="S357" s="530"/>
      <c r="T357" s="530"/>
      <c r="U357" s="530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hidden="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08"/>
      <c r="H358" s="539">
        <f t="shared" si="157"/>
        <v>0</v>
      </c>
      <c r="I358" s="539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58"/>
        <v>0</v>
      </c>
      <c r="N358" s="130">
        <f>SUM(O358:U358)</f>
        <v>0</v>
      </c>
      <c r="O358" s="530"/>
      <c r="P358" s="530"/>
      <c r="Q358" s="530"/>
      <c r="R358" s="530"/>
      <c r="S358" s="530"/>
      <c r="T358" s="530"/>
      <c r="U358" s="530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hidden="1" customHeight="1">
      <c r="A359" s="302">
        <v>30100063</v>
      </c>
      <c r="B359" s="134" t="s">
        <v>191</v>
      </c>
      <c r="C359" s="126" t="s">
        <v>192</v>
      </c>
      <c r="D359" s="108">
        <v>5.03</v>
      </c>
      <c r="E359" s="108"/>
      <c r="F359" s="126"/>
      <c r="G359" s="108"/>
      <c r="H359" s="539">
        <f t="shared" si="157"/>
        <v>0</v>
      </c>
      <c r="I359" s="539"/>
      <c r="J359" s="130"/>
      <c r="K359" s="131"/>
      <c r="L359" s="129"/>
      <c r="M359" s="109"/>
      <c r="N359" s="130"/>
      <c r="O359" s="530"/>
      <c r="P359" s="530"/>
      <c r="Q359" s="530"/>
      <c r="R359" s="530"/>
      <c r="S359" s="530"/>
      <c r="T359" s="530"/>
      <c r="U359" s="530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30100061</v>
      </c>
      <c r="B360" s="134" t="s">
        <v>191</v>
      </c>
      <c r="C360" s="126" t="s">
        <v>193</v>
      </c>
      <c r="D360" s="108">
        <v>5.03</v>
      </c>
      <c r="E360" s="108"/>
      <c r="F360" s="126"/>
      <c r="G360" s="108"/>
      <c r="H360" s="539">
        <f t="shared" si="157"/>
        <v>0</v>
      </c>
      <c r="I360" s="539"/>
      <c r="J360" s="130"/>
      <c r="K360" s="131"/>
      <c r="L360" s="129"/>
      <c r="M360" s="109"/>
      <c r="N360" s="130"/>
      <c r="O360" s="530"/>
      <c r="P360" s="530"/>
      <c r="Q360" s="530"/>
      <c r="R360" s="530"/>
      <c r="S360" s="530"/>
      <c r="T360" s="530"/>
      <c r="U360" s="530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08"/>
      <c r="H361" s="539">
        <f t="shared" si="157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ref="M361:M369" si="162">IF(ISERROR(I361-K361),"",I361-K361)</f>
        <v>0</v>
      </c>
      <c r="N361" s="130">
        <f t="shared" ref="N361:N363" si="163">SUM(O361:U361)</f>
        <v>0</v>
      </c>
      <c r="O361" s="530"/>
      <c r="P361" s="530"/>
      <c r="Q361" s="530"/>
      <c r="R361" s="530"/>
      <c r="S361" s="530"/>
      <c r="T361" s="530"/>
      <c r="U361" s="530"/>
      <c r="V361" s="132">
        <f t="shared" ref="V361:V363" si="164">SUM(X361:AA361)</f>
        <v>0</v>
      </c>
      <c r="W361" s="133" t="str">
        <f t="shared" ref="W361:W363" si="165">IF(ISERROR(V361/G361),"",V361/G361)</f>
        <v/>
      </c>
      <c r="X361" s="132"/>
      <c r="Y361" s="132"/>
      <c r="Z361" s="132"/>
      <c r="AA361" s="132"/>
    </row>
    <row r="362" spans="1:27" ht="20.100000000000001" hidden="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08"/>
      <c r="H362" s="539">
        <f t="shared" si="157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2"/>
        <v>0</v>
      </c>
      <c r="N362" s="130">
        <f t="shared" si="163"/>
        <v>0</v>
      </c>
      <c r="O362" s="530"/>
      <c r="P362" s="530"/>
      <c r="Q362" s="530"/>
      <c r="R362" s="530"/>
      <c r="S362" s="530"/>
      <c r="T362" s="530"/>
      <c r="U362" s="530"/>
      <c r="V362" s="132">
        <f t="shared" si="164"/>
        <v>0</v>
      </c>
      <c r="W362" s="133" t="str">
        <f t="shared" si="165"/>
        <v/>
      </c>
      <c r="X362" s="132"/>
      <c r="Y362" s="132"/>
      <c r="Z362" s="132"/>
      <c r="AA362" s="132"/>
    </row>
    <row r="363" spans="1:27" ht="20.100000000000001" hidden="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08"/>
      <c r="H363" s="539">
        <f t="shared" si="157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2"/>
        <v>0</v>
      </c>
      <c r="N363" s="130">
        <f t="shared" si="163"/>
        <v>0</v>
      </c>
      <c r="O363" s="530"/>
      <c r="P363" s="530"/>
      <c r="Q363" s="530"/>
      <c r="R363" s="530"/>
      <c r="S363" s="530"/>
      <c r="T363" s="530"/>
      <c r="U363" s="530"/>
      <c r="V363" s="132">
        <f t="shared" si="164"/>
        <v>0</v>
      </c>
      <c r="W363" s="133" t="str">
        <f t="shared" si="165"/>
        <v/>
      </c>
      <c r="X363" s="132"/>
      <c r="Y363" s="132"/>
      <c r="Z363" s="132"/>
      <c r="AA363" s="132"/>
    </row>
    <row r="364" spans="1:27" ht="20.100000000000001" hidden="1" customHeight="1">
      <c r="A364" s="300">
        <v>30100003</v>
      </c>
      <c r="B364" s="141" t="s">
        <v>198</v>
      </c>
      <c r="C364" s="529" t="s">
        <v>190</v>
      </c>
      <c r="D364" s="108">
        <v>4.8</v>
      </c>
      <c r="E364" s="108"/>
      <c r="F364" s="127"/>
      <c r="G364" s="108"/>
      <c r="H364" s="539">
        <f t="shared" si="157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2"/>
        <v>0</v>
      </c>
      <c r="N364" s="130"/>
      <c r="O364" s="530"/>
      <c r="P364" s="530"/>
      <c r="Q364" s="530"/>
      <c r="R364" s="530"/>
      <c r="S364" s="530"/>
      <c r="T364" s="530"/>
      <c r="U364" s="530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30100004</v>
      </c>
      <c r="B365" s="141" t="s">
        <v>198</v>
      </c>
      <c r="C365" s="529" t="s">
        <v>187</v>
      </c>
      <c r="D365" s="108">
        <v>4.8</v>
      </c>
      <c r="E365" s="108"/>
      <c r="F365" s="127"/>
      <c r="G365" s="108"/>
      <c r="H365" s="539">
        <f t="shared" si="157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2"/>
        <v>0</v>
      </c>
      <c r="N365" s="130"/>
      <c r="O365" s="530"/>
      <c r="P365" s="530"/>
      <c r="Q365" s="530"/>
      <c r="R365" s="530"/>
      <c r="S365" s="530"/>
      <c r="T365" s="530"/>
      <c r="U365" s="530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30100006</v>
      </c>
      <c r="B366" s="141" t="s">
        <v>198</v>
      </c>
      <c r="C366" s="529" t="s">
        <v>179</v>
      </c>
      <c r="D366" s="108">
        <v>4.8</v>
      </c>
      <c r="E366" s="108"/>
      <c r="F366" s="127"/>
      <c r="G366" s="108"/>
      <c r="H366" s="539">
        <f t="shared" si="157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2"/>
        <v>0</v>
      </c>
      <c r="N366" s="130"/>
      <c r="O366" s="530"/>
      <c r="P366" s="530"/>
      <c r="Q366" s="530"/>
      <c r="R366" s="530"/>
      <c r="S366" s="530"/>
      <c r="T366" s="530"/>
      <c r="U366" s="530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0">
        <v>30100005</v>
      </c>
      <c r="B367" s="141" t="s">
        <v>198</v>
      </c>
      <c r="C367" s="529" t="s">
        <v>199</v>
      </c>
      <c r="D367" s="108">
        <v>4.8</v>
      </c>
      <c r="E367" s="108"/>
      <c r="F367" s="127"/>
      <c r="G367" s="108"/>
      <c r="H367" s="539">
        <f t="shared" si="157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2"/>
        <v>0</v>
      </c>
      <c r="N367" s="130"/>
      <c r="O367" s="530"/>
      <c r="P367" s="530"/>
      <c r="Q367" s="530"/>
      <c r="R367" s="530"/>
      <c r="S367" s="530"/>
      <c r="T367" s="530"/>
      <c r="U367" s="530"/>
      <c r="V367" s="132"/>
      <c r="W367" s="133"/>
      <c r="X367" s="132"/>
      <c r="Y367" s="132"/>
      <c r="Z367" s="132"/>
      <c r="AA367" s="132"/>
    </row>
    <row r="368" spans="1:27" ht="20.100000000000001" hidden="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08"/>
      <c r="H368" s="539">
        <f t="shared" si="157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2"/>
        <v>0</v>
      </c>
      <c r="N368" s="130">
        <f t="shared" ref="N368:N369" si="166">SUM(O368:U368)</f>
        <v>0</v>
      </c>
      <c r="O368" s="530"/>
      <c r="P368" s="530"/>
      <c r="Q368" s="530"/>
      <c r="R368" s="530"/>
      <c r="S368" s="530"/>
      <c r="T368" s="530"/>
      <c r="U368" s="530"/>
      <c r="V368" s="132">
        <f t="shared" ref="V368:V369" si="167">SUM(X368:AA368)</f>
        <v>0</v>
      </c>
      <c r="W368" s="133" t="str">
        <f t="shared" ref="W368:W369" si="168">IF(ISERROR(V368/G368),"",V368/G368)</f>
        <v/>
      </c>
      <c r="X368" s="132"/>
      <c r="Y368" s="132"/>
      <c r="Z368" s="132"/>
      <c r="AA368" s="132"/>
    </row>
    <row r="369" spans="1:27" ht="20.100000000000001" hidden="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08"/>
      <c r="H369" s="539">
        <f t="shared" si="157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2"/>
        <v>0</v>
      </c>
      <c r="N369" s="130">
        <f t="shared" si="166"/>
        <v>0</v>
      </c>
      <c r="O369" s="530"/>
      <c r="P369" s="530"/>
      <c r="Q369" s="530"/>
      <c r="R369" s="530"/>
      <c r="S369" s="530"/>
      <c r="T369" s="530"/>
      <c r="U369" s="530"/>
      <c r="V369" s="132">
        <f t="shared" si="167"/>
        <v>0</v>
      </c>
      <c r="W369" s="133" t="str">
        <f t="shared" si="168"/>
        <v/>
      </c>
      <c r="X369" s="132"/>
      <c r="Y369" s="132"/>
      <c r="Z369" s="132"/>
      <c r="AA369" s="132"/>
    </row>
    <row r="370" spans="1:27" ht="20.100000000000001" hidden="1" customHeight="1">
      <c r="A370" s="578" t="s">
        <v>201</v>
      </c>
      <c r="B370" s="579"/>
      <c r="C370" s="537" t="s">
        <v>202</v>
      </c>
      <c r="D370" s="143"/>
      <c r="E370" s="143"/>
      <c r="F370" s="144"/>
      <c r="G370" s="143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69">SUM(M349:M369)</f>
        <v>0</v>
      </c>
      <c r="N370" s="146">
        <f t="shared" si="169"/>
        <v>0</v>
      </c>
      <c r="O370" s="148">
        <f t="shared" si="169"/>
        <v>0</v>
      </c>
      <c r="P370" s="148">
        <f t="shared" si="169"/>
        <v>0</v>
      </c>
      <c r="Q370" s="148">
        <f t="shared" si="169"/>
        <v>0</v>
      </c>
      <c r="R370" s="148">
        <f t="shared" si="169"/>
        <v>0</v>
      </c>
      <c r="S370" s="148">
        <f t="shared" si="169"/>
        <v>0</v>
      </c>
      <c r="T370" s="148">
        <f t="shared" si="169"/>
        <v>0</v>
      </c>
      <c r="U370" s="148">
        <f t="shared" si="169"/>
        <v>0</v>
      </c>
      <c r="V370" s="149">
        <f t="shared" si="169"/>
        <v>0</v>
      </c>
      <c r="W370" s="133">
        <f t="shared" si="169"/>
        <v>0</v>
      </c>
      <c r="X370" s="149">
        <f t="shared" si="169"/>
        <v>0</v>
      </c>
      <c r="Y370" s="149">
        <f t="shared" si="169"/>
        <v>0</v>
      </c>
      <c r="Z370" s="149">
        <f t="shared" si="169"/>
        <v>0</v>
      </c>
      <c r="AA370" s="149">
        <f t="shared" si="169"/>
        <v>0</v>
      </c>
    </row>
    <row r="371" spans="1:27" ht="20.100000000000001" hidden="1" customHeight="1">
      <c r="A371" s="300">
        <v>30100012</v>
      </c>
      <c r="B371" s="531" t="s">
        <v>206</v>
      </c>
      <c r="C371" s="126" t="s">
        <v>199</v>
      </c>
      <c r="D371" s="108">
        <v>5.03</v>
      </c>
      <c r="E371" s="108"/>
      <c r="F371" s="127"/>
      <c r="G371" s="108"/>
      <c r="H371" s="539">
        <f t="shared" ref="H371:H427" si="170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" si="171">IF(ISERROR(I371-K371),"",I371-K371)</f>
        <v>0</v>
      </c>
      <c r="N371" s="130">
        <f t="shared" ref="N371" si="172">SUM(O371:U371)</f>
        <v>0</v>
      </c>
      <c r="O371" s="534"/>
      <c r="P371" s="534"/>
      <c r="Q371" s="534"/>
      <c r="R371" s="534"/>
      <c r="S371" s="534"/>
      <c r="T371" s="534"/>
      <c r="U371" s="534"/>
      <c r="V371" s="132">
        <f t="shared" ref="V371" si="173">SUM(X371:AA371)</f>
        <v>0</v>
      </c>
      <c r="W371" s="133" t="str">
        <f t="shared" ref="W371" si="174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30100011</v>
      </c>
      <c r="B372" s="531" t="s">
        <v>425</v>
      </c>
      <c r="C372" s="187" t="s">
        <v>427</v>
      </c>
      <c r="D372" s="108">
        <v>5.03</v>
      </c>
      <c r="E372" s="108"/>
      <c r="F372" s="127"/>
      <c r="G372" s="108"/>
      <c r="H372" s="539">
        <f t="shared" si="170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534"/>
      <c r="P372" s="534"/>
      <c r="Q372" s="534"/>
      <c r="R372" s="534"/>
      <c r="S372" s="534"/>
      <c r="T372" s="534"/>
      <c r="U372" s="534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0">
        <v>30100010</v>
      </c>
      <c r="B373" s="531" t="s">
        <v>206</v>
      </c>
      <c r="C373" s="126" t="s">
        <v>186</v>
      </c>
      <c r="D373" s="108">
        <v>5.03</v>
      </c>
      <c r="E373" s="108"/>
      <c r="F373" s="127"/>
      <c r="G373" s="108"/>
      <c r="H373" s="539">
        <f t="shared" si="170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ref="M373:M408" si="175">IF(ISERROR(I373-K373),"",I373-K373)</f>
        <v>0</v>
      </c>
      <c r="N373" s="130">
        <f t="shared" ref="N373:N375" si="176">SUM(O373:U373)</f>
        <v>0</v>
      </c>
      <c r="O373" s="534"/>
      <c r="P373" s="534"/>
      <c r="Q373" s="534"/>
      <c r="R373" s="534"/>
      <c r="S373" s="534"/>
      <c r="T373" s="534"/>
      <c r="U373" s="534"/>
      <c r="V373" s="132">
        <f t="shared" ref="V373:V375" si="177">SUM(X373:AA373)</f>
        <v>0</v>
      </c>
      <c r="W373" s="133" t="str">
        <f t="shared" ref="W373:W375" si="178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0">
        <v>30100014</v>
      </c>
      <c r="B374" s="531" t="s">
        <v>206</v>
      </c>
      <c r="C374" s="126" t="s">
        <v>203</v>
      </c>
      <c r="D374" s="108">
        <v>5.03</v>
      </c>
      <c r="E374" s="108"/>
      <c r="F374" s="127"/>
      <c r="G374" s="108"/>
      <c r="H374" s="539">
        <f t="shared" si="170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5"/>
        <v>0</v>
      </c>
      <c r="N374" s="130">
        <f t="shared" si="176"/>
        <v>0</v>
      </c>
      <c r="O374" s="534"/>
      <c r="P374" s="534"/>
      <c r="Q374" s="534"/>
      <c r="R374" s="534"/>
      <c r="S374" s="534"/>
      <c r="T374" s="534"/>
      <c r="U374" s="534"/>
      <c r="V374" s="132">
        <f t="shared" si="177"/>
        <v>0</v>
      </c>
      <c r="W374" s="133" t="str">
        <f t="shared" si="178"/>
        <v/>
      </c>
      <c r="X374" s="132"/>
      <c r="Y374" s="132"/>
      <c r="Z374" s="132"/>
      <c r="AA374" s="132"/>
    </row>
    <row r="375" spans="1:27" ht="20.100000000000001" hidden="1" customHeight="1">
      <c r="A375" s="300">
        <v>30100013</v>
      </c>
      <c r="B375" s="531" t="s">
        <v>206</v>
      </c>
      <c r="C375" s="126" t="s">
        <v>207</v>
      </c>
      <c r="D375" s="108">
        <v>5.03</v>
      </c>
      <c r="E375" s="108"/>
      <c r="F375" s="127"/>
      <c r="G375" s="108"/>
      <c r="H375" s="539">
        <f t="shared" si="170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5"/>
        <v>0</v>
      </c>
      <c r="N375" s="130">
        <f t="shared" si="176"/>
        <v>0</v>
      </c>
      <c r="O375" s="534"/>
      <c r="P375" s="534"/>
      <c r="Q375" s="534"/>
      <c r="R375" s="534"/>
      <c r="S375" s="534"/>
      <c r="T375" s="534"/>
      <c r="U375" s="534"/>
      <c r="V375" s="132">
        <f t="shared" si="177"/>
        <v>0</v>
      </c>
      <c r="W375" s="133" t="str">
        <f t="shared" si="178"/>
        <v/>
      </c>
      <c r="X375" s="132"/>
      <c r="Y375" s="132"/>
      <c r="Z375" s="132"/>
      <c r="AA375" s="132"/>
    </row>
    <row r="376" spans="1:27" ht="20.100000000000001" hidden="1" customHeight="1">
      <c r="A376" s="300">
        <v>30100016</v>
      </c>
      <c r="B376" s="531" t="s">
        <v>414</v>
      </c>
      <c r="C376" s="187" t="s">
        <v>415</v>
      </c>
      <c r="D376" s="108"/>
      <c r="E376" s="108"/>
      <c r="F376" s="127"/>
      <c r="G376" s="108"/>
      <c r="H376" s="539">
        <f t="shared" si="170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5"/>
        <v>0</v>
      </c>
      <c r="N376" s="130"/>
      <c r="O376" s="534"/>
      <c r="P376" s="534"/>
      <c r="Q376" s="534"/>
      <c r="R376" s="534"/>
      <c r="S376" s="534"/>
      <c r="T376" s="534"/>
      <c r="U376" s="534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30100017</v>
      </c>
      <c r="B377" s="531" t="s">
        <v>414</v>
      </c>
      <c r="C377" s="187" t="s">
        <v>416</v>
      </c>
      <c r="D377" s="108"/>
      <c r="E377" s="108"/>
      <c r="F377" s="127"/>
      <c r="G377" s="108"/>
      <c r="H377" s="539">
        <f t="shared" si="170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5"/>
        <v>0</v>
      </c>
      <c r="N377" s="130"/>
      <c r="O377" s="534"/>
      <c r="P377" s="534"/>
      <c r="Q377" s="534"/>
      <c r="R377" s="534"/>
      <c r="S377" s="534"/>
      <c r="T377" s="534"/>
      <c r="U377" s="534"/>
      <c r="V377" s="132"/>
      <c r="W377" s="133"/>
      <c r="X377" s="132"/>
      <c r="Y377" s="132"/>
      <c r="Z377" s="132"/>
      <c r="AA377" s="132"/>
    </row>
    <row r="378" spans="1:27" ht="20.100000000000001" hidden="1" customHeight="1">
      <c r="A378" s="300">
        <v>30100015</v>
      </c>
      <c r="B378" s="531" t="s">
        <v>414</v>
      </c>
      <c r="C378" s="187" t="s">
        <v>61</v>
      </c>
      <c r="D378" s="108"/>
      <c r="E378" s="108"/>
      <c r="F378" s="127"/>
      <c r="G378" s="108"/>
      <c r="H378" s="539">
        <f t="shared" si="170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5"/>
        <v>0</v>
      </c>
      <c r="N378" s="130"/>
      <c r="O378" s="534"/>
      <c r="P378" s="534"/>
      <c r="Q378" s="534"/>
      <c r="R378" s="534"/>
      <c r="S378" s="534"/>
      <c r="T378" s="534"/>
      <c r="U378" s="534"/>
      <c r="V378" s="132"/>
      <c r="W378" s="133"/>
      <c r="X378" s="132"/>
      <c r="Y378" s="132"/>
      <c r="Z378" s="132"/>
      <c r="AA378" s="132"/>
    </row>
    <row r="379" spans="1:27" ht="20.100000000000001" hidden="1" customHeight="1">
      <c r="A379" s="300">
        <v>30100027</v>
      </c>
      <c r="B379" s="531" t="s">
        <v>208</v>
      </c>
      <c r="C379" s="126" t="s">
        <v>179</v>
      </c>
      <c r="D379" s="108">
        <v>5.08</v>
      </c>
      <c r="E379" s="108"/>
      <c r="F379" s="127"/>
      <c r="G379" s="108"/>
      <c r="H379" s="539">
        <f t="shared" si="170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5"/>
        <v>0</v>
      </c>
      <c r="N379" s="130">
        <f t="shared" ref="N379:N394" si="179">SUM(O379:U379)</f>
        <v>0</v>
      </c>
      <c r="O379" s="534"/>
      <c r="P379" s="534"/>
      <c r="Q379" s="534"/>
      <c r="R379" s="534"/>
      <c r="S379" s="534"/>
      <c r="T379" s="534"/>
      <c r="U379" s="534"/>
      <c r="V379" s="132">
        <f t="shared" ref="V379:V390" si="180">SUM(X379:AA379)</f>
        <v>0</v>
      </c>
      <c r="W379" s="133" t="str">
        <f t="shared" ref="W379:W390" si="181">IF(ISERROR(V379/G379),"",V379/G379)</f>
        <v/>
      </c>
      <c r="X379" s="132"/>
      <c r="Y379" s="132"/>
      <c r="Z379" s="132"/>
      <c r="AA379" s="132"/>
    </row>
    <row r="380" spans="1:27" ht="20.100000000000001" hidden="1" customHeight="1">
      <c r="A380" s="300">
        <v>30100023</v>
      </c>
      <c r="B380" s="531" t="s">
        <v>208</v>
      </c>
      <c r="C380" s="126" t="s">
        <v>204</v>
      </c>
      <c r="D380" s="108">
        <v>5.08</v>
      </c>
      <c r="E380" s="108"/>
      <c r="F380" s="127"/>
      <c r="G380" s="108"/>
      <c r="H380" s="539">
        <f t="shared" si="170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5"/>
        <v>0</v>
      </c>
      <c r="N380" s="130">
        <f t="shared" si="179"/>
        <v>0</v>
      </c>
      <c r="O380" s="534"/>
      <c r="P380" s="534"/>
      <c r="Q380" s="534"/>
      <c r="R380" s="534"/>
      <c r="S380" s="534"/>
      <c r="T380" s="534"/>
      <c r="U380" s="534"/>
      <c r="V380" s="132">
        <f t="shared" si="180"/>
        <v>0</v>
      </c>
      <c r="W380" s="133" t="str">
        <f t="shared" si="181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30100024</v>
      </c>
      <c r="B381" s="531" t="s">
        <v>208</v>
      </c>
      <c r="C381" s="126" t="s">
        <v>205</v>
      </c>
      <c r="D381" s="108">
        <v>5.08</v>
      </c>
      <c r="E381" s="108"/>
      <c r="F381" s="127"/>
      <c r="G381" s="108"/>
      <c r="H381" s="539">
        <f t="shared" si="170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5"/>
        <v>0</v>
      </c>
      <c r="N381" s="130">
        <f t="shared" si="179"/>
        <v>0</v>
      </c>
      <c r="O381" s="534"/>
      <c r="P381" s="534"/>
      <c r="Q381" s="534"/>
      <c r="R381" s="534"/>
      <c r="S381" s="534"/>
      <c r="T381" s="534"/>
      <c r="U381" s="534"/>
      <c r="V381" s="132">
        <f t="shared" si="180"/>
        <v>0</v>
      </c>
      <c r="W381" s="133" t="str">
        <f t="shared" si="181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30100022</v>
      </c>
      <c r="B382" s="531" t="s">
        <v>208</v>
      </c>
      <c r="C382" s="126" t="s">
        <v>186</v>
      </c>
      <c r="D382" s="108">
        <v>5.08</v>
      </c>
      <c r="E382" s="108"/>
      <c r="F382" s="127"/>
      <c r="G382" s="108"/>
      <c r="H382" s="539">
        <f t="shared" si="170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5"/>
        <v>0</v>
      </c>
      <c r="N382" s="130">
        <f t="shared" si="179"/>
        <v>0</v>
      </c>
      <c r="O382" s="534"/>
      <c r="P382" s="534"/>
      <c r="Q382" s="534"/>
      <c r="R382" s="534"/>
      <c r="S382" s="534"/>
      <c r="T382" s="534"/>
      <c r="U382" s="534"/>
      <c r="V382" s="132">
        <f t="shared" si="180"/>
        <v>0</v>
      </c>
      <c r="W382" s="133" t="str">
        <f t="shared" si="181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30100029</v>
      </c>
      <c r="B383" s="531" t="s">
        <v>208</v>
      </c>
      <c r="C383" s="126" t="s">
        <v>203</v>
      </c>
      <c r="D383" s="108">
        <v>5.08</v>
      </c>
      <c r="E383" s="108"/>
      <c r="F383" s="127"/>
      <c r="G383" s="108"/>
      <c r="H383" s="539">
        <f t="shared" si="170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5"/>
        <v>0</v>
      </c>
      <c r="N383" s="130">
        <f t="shared" si="179"/>
        <v>0</v>
      </c>
      <c r="O383" s="534"/>
      <c r="P383" s="534"/>
      <c r="Q383" s="534"/>
      <c r="R383" s="534"/>
      <c r="S383" s="534"/>
      <c r="T383" s="534"/>
      <c r="U383" s="534"/>
      <c r="V383" s="132">
        <f t="shared" si="180"/>
        <v>0</v>
      </c>
      <c r="W383" s="133" t="str">
        <f t="shared" si="181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30100026</v>
      </c>
      <c r="B384" s="531" t="s">
        <v>208</v>
      </c>
      <c r="C384" s="126" t="s">
        <v>199</v>
      </c>
      <c r="D384" s="108">
        <v>5.08</v>
      </c>
      <c r="E384" s="108"/>
      <c r="F384" s="127"/>
      <c r="G384" s="108"/>
      <c r="H384" s="539">
        <f t="shared" si="170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5"/>
        <v>0</v>
      </c>
      <c r="N384" s="130">
        <f t="shared" si="179"/>
        <v>0</v>
      </c>
      <c r="O384" s="530"/>
      <c r="P384" s="530"/>
      <c r="Q384" s="530"/>
      <c r="R384" s="530"/>
      <c r="S384" s="530"/>
      <c r="T384" s="530"/>
      <c r="U384" s="530"/>
      <c r="V384" s="132">
        <f t="shared" si="180"/>
        <v>0</v>
      </c>
      <c r="W384" s="133" t="str">
        <f t="shared" si="181"/>
        <v/>
      </c>
      <c r="X384" s="132"/>
      <c r="Y384" s="132"/>
      <c r="Z384" s="132"/>
      <c r="AA384" s="132"/>
    </row>
    <row r="385" spans="1:27" ht="20.100000000000001" hidden="1" customHeight="1">
      <c r="A385" s="300">
        <v>30100025</v>
      </c>
      <c r="B385" s="531" t="s">
        <v>208</v>
      </c>
      <c r="C385" s="126" t="s">
        <v>187</v>
      </c>
      <c r="D385" s="108">
        <v>5.08</v>
      </c>
      <c r="E385" s="108"/>
      <c r="F385" s="127"/>
      <c r="G385" s="108"/>
      <c r="H385" s="539">
        <f t="shared" si="170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5"/>
        <v>0</v>
      </c>
      <c r="N385" s="130">
        <f t="shared" si="179"/>
        <v>0</v>
      </c>
      <c r="O385" s="534"/>
      <c r="P385" s="534"/>
      <c r="Q385" s="534"/>
      <c r="R385" s="534"/>
      <c r="S385" s="534"/>
      <c r="T385" s="534"/>
      <c r="U385" s="534"/>
      <c r="V385" s="132">
        <f t="shared" si="180"/>
        <v>0</v>
      </c>
      <c r="W385" s="133" t="str">
        <f t="shared" si="181"/>
        <v/>
      </c>
      <c r="X385" s="132"/>
      <c r="Y385" s="132"/>
      <c r="Z385" s="132"/>
      <c r="AA385" s="132"/>
    </row>
    <row r="386" spans="1:27" ht="20.100000000000001" hidden="1" customHeight="1">
      <c r="A386" s="300">
        <v>30100028</v>
      </c>
      <c r="B386" s="531" t="s">
        <v>208</v>
      </c>
      <c r="C386" s="126" t="s">
        <v>207</v>
      </c>
      <c r="D386" s="108">
        <v>5.08</v>
      </c>
      <c r="E386" s="108"/>
      <c r="F386" s="127"/>
      <c r="G386" s="108"/>
      <c r="H386" s="539">
        <f t="shared" si="170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5"/>
        <v>0</v>
      </c>
      <c r="N386" s="130">
        <f t="shared" si="179"/>
        <v>0</v>
      </c>
      <c r="O386" s="530"/>
      <c r="P386" s="530"/>
      <c r="Q386" s="530"/>
      <c r="R386" s="530"/>
      <c r="S386" s="530"/>
      <c r="T386" s="530"/>
      <c r="U386" s="530"/>
      <c r="V386" s="132">
        <f t="shared" si="180"/>
        <v>0</v>
      </c>
      <c r="W386" s="133" t="str">
        <f t="shared" si="181"/>
        <v/>
      </c>
      <c r="X386" s="132"/>
      <c r="Y386" s="132"/>
      <c r="Z386" s="132"/>
      <c r="AA386" s="132"/>
    </row>
    <row r="387" spans="1:27" ht="20.100000000000001" hidden="1" customHeight="1">
      <c r="A387" s="300">
        <v>30100032</v>
      </c>
      <c r="B387" s="531" t="s">
        <v>209</v>
      </c>
      <c r="C387" s="126" t="s">
        <v>194</v>
      </c>
      <c r="D387" s="108">
        <v>5.03</v>
      </c>
      <c r="E387" s="108"/>
      <c r="F387" s="127"/>
      <c r="G387" s="108"/>
      <c r="H387" s="539">
        <f t="shared" si="170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5"/>
        <v>0</v>
      </c>
      <c r="N387" s="130">
        <f t="shared" si="179"/>
        <v>0</v>
      </c>
      <c r="O387" s="534"/>
      <c r="P387" s="534"/>
      <c r="Q387" s="534"/>
      <c r="R387" s="534"/>
      <c r="S387" s="534"/>
      <c r="T387" s="534"/>
      <c r="U387" s="534"/>
      <c r="V387" s="132">
        <f t="shared" si="180"/>
        <v>0</v>
      </c>
      <c r="W387" s="133" t="str">
        <f t="shared" si="181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30100033</v>
      </c>
      <c r="B388" s="531" t="s">
        <v>209</v>
      </c>
      <c r="C388" s="126" t="s">
        <v>179</v>
      </c>
      <c r="D388" s="108">
        <v>5.03</v>
      </c>
      <c r="E388" s="108"/>
      <c r="F388" s="127"/>
      <c r="G388" s="108"/>
      <c r="H388" s="539">
        <f t="shared" si="170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5"/>
        <v>0</v>
      </c>
      <c r="N388" s="130">
        <f t="shared" si="179"/>
        <v>0</v>
      </c>
      <c r="O388" s="534"/>
      <c r="P388" s="534"/>
      <c r="Q388" s="534"/>
      <c r="R388" s="534"/>
      <c r="S388" s="534"/>
      <c r="T388" s="534"/>
      <c r="U388" s="534"/>
      <c r="V388" s="132">
        <f t="shared" si="180"/>
        <v>0</v>
      </c>
      <c r="W388" s="133" t="str">
        <f t="shared" si="181"/>
        <v/>
      </c>
      <c r="X388" s="132"/>
      <c r="Y388" s="132"/>
      <c r="Z388" s="132"/>
      <c r="AA388" s="132"/>
    </row>
    <row r="389" spans="1:27" ht="20.100000000000001" hidden="1" customHeight="1">
      <c r="A389" s="300">
        <v>30100062</v>
      </c>
      <c r="B389" s="531" t="s">
        <v>209</v>
      </c>
      <c r="C389" s="126" t="s">
        <v>195</v>
      </c>
      <c r="D389" s="108">
        <v>5.03</v>
      </c>
      <c r="E389" s="108"/>
      <c r="F389" s="127"/>
      <c r="G389" s="108"/>
      <c r="H389" s="539">
        <f t="shared" si="170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5"/>
        <v>0</v>
      </c>
      <c r="N389" s="130">
        <f t="shared" si="179"/>
        <v>0</v>
      </c>
      <c r="O389" s="534"/>
      <c r="P389" s="534"/>
      <c r="Q389" s="534"/>
      <c r="R389" s="534"/>
      <c r="S389" s="534"/>
      <c r="T389" s="534"/>
      <c r="U389" s="534"/>
      <c r="V389" s="132">
        <f t="shared" si="180"/>
        <v>0</v>
      </c>
      <c r="W389" s="133" t="str">
        <f t="shared" si="181"/>
        <v/>
      </c>
      <c r="X389" s="132"/>
      <c r="Y389" s="132"/>
      <c r="Z389" s="132"/>
      <c r="AA389" s="132"/>
    </row>
    <row r="390" spans="1:27" ht="20.100000000000001" hidden="1" customHeight="1">
      <c r="A390" s="300">
        <v>30100031</v>
      </c>
      <c r="B390" s="531" t="s">
        <v>209</v>
      </c>
      <c r="C390" s="126" t="s">
        <v>204</v>
      </c>
      <c r="D390" s="108">
        <v>5.03</v>
      </c>
      <c r="E390" s="108"/>
      <c r="F390" s="127"/>
      <c r="G390" s="108"/>
      <c r="H390" s="539">
        <f t="shared" si="170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5"/>
        <v>0</v>
      </c>
      <c r="N390" s="130">
        <f t="shared" si="179"/>
        <v>0</v>
      </c>
      <c r="O390" s="534"/>
      <c r="P390" s="534"/>
      <c r="Q390" s="534"/>
      <c r="R390" s="534"/>
      <c r="S390" s="534"/>
      <c r="T390" s="534"/>
      <c r="U390" s="534"/>
      <c r="V390" s="132">
        <f t="shared" si="180"/>
        <v>0</v>
      </c>
      <c r="W390" s="133" t="str">
        <f t="shared" si="181"/>
        <v/>
      </c>
      <c r="X390" s="132"/>
      <c r="Y390" s="132"/>
      <c r="Z390" s="132"/>
      <c r="AA390" s="132"/>
    </row>
    <row r="391" spans="1:27" ht="20.100000000000001" hidden="1" customHeight="1">
      <c r="A391" s="300">
        <v>30100019</v>
      </c>
      <c r="B391" s="531" t="s">
        <v>382</v>
      </c>
      <c r="C391" s="187" t="s">
        <v>383</v>
      </c>
      <c r="D391" s="108">
        <v>5.03</v>
      </c>
      <c r="E391" s="108"/>
      <c r="F391" s="127"/>
      <c r="G391" s="108"/>
      <c r="H391" s="539">
        <f t="shared" si="170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5"/>
        <v>0</v>
      </c>
      <c r="N391" s="130">
        <f t="shared" si="179"/>
        <v>0</v>
      </c>
      <c r="O391" s="534"/>
      <c r="P391" s="534"/>
      <c r="Q391" s="534"/>
      <c r="R391" s="534"/>
      <c r="S391" s="534"/>
      <c r="T391" s="534"/>
      <c r="U391" s="534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30100020</v>
      </c>
      <c r="B392" s="531" t="s">
        <v>382</v>
      </c>
      <c r="C392" s="187" t="s">
        <v>384</v>
      </c>
      <c r="D392" s="108">
        <v>5.03</v>
      </c>
      <c r="E392" s="108"/>
      <c r="F392" s="127"/>
      <c r="G392" s="108"/>
      <c r="H392" s="539">
        <f t="shared" si="170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5"/>
        <v>0</v>
      </c>
      <c r="N392" s="130">
        <f t="shared" si="179"/>
        <v>0</v>
      </c>
      <c r="O392" s="534"/>
      <c r="P392" s="534"/>
      <c r="Q392" s="534"/>
      <c r="R392" s="534"/>
      <c r="S392" s="534"/>
      <c r="T392" s="534"/>
      <c r="U392" s="534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0">
        <v>30100021</v>
      </c>
      <c r="B393" s="531" t="s">
        <v>382</v>
      </c>
      <c r="C393" s="187" t="s">
        <v>389</v>
      </c>
      <c r="D393" s="108">
        <v>5.03</v>
      </c>
      <c r="E393" s="108"/>
      <c r="F393" s="127"/>
      <c r="G393" s="108"/>
      <c r="H393" s="539">
        <f t="shared" si="170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5"/>
        <v>0</v>
      </c>
      <c r="N393" s="130">
        <f t="shared" si="179"/>
        <v>0</v>
      </c>
      <c r="O393" s="534"/>
      <c r="P393" s="534"/>
      <c r="Q393" s="534"/>
      <c r="R393" s="534"/>
      <c r="S393" s="534"/>
      <c r="T393" s="534"/>
      <c r="U393" s="534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0">
        <v>30100018</v>
      </c>
      <c r="B394" s="531" t="s">
        <v>382</v>
      </c>
      <c r="C394" s="187" t="s">
        <v>391</v>
      </c>
      <c r="D394" s="108">
        <v>5.03</v>
      </c>
      <c r="E394" s="108"/>
      <c r="F394" s="127"/>
      <c r="G394" s="108"/>
      <c r="H394" s="539">
        <f t="shared" si="170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5"/>
        <v>0</v>
      </c>
      <c r="N394" s="130">
        <f t="shared" si="179"/>
        <v>0</v>
      </c>
      <c r="O394" s="534"/>
      <c r="P394" s="534"/>
      <c r="Q394" s="534"/>
      <c r="R394" s="534"/>
      <c r="S394" s="534"/>
      <c r="T394" s="534"/>
      <c r="U394" s="534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30700007</v>
      </c>
      <c r="B395" s="531" t="s">
        <v>418</v>
      </c>
      <c r="C395" s="187" t="s">
        <v>364</v>
      </c>
      <c r="D395" s="108">
        <v>5.03</v>
      </c>
      <c r="E395" s="108"/>
      <c r="F395" s="127"/>
      <c r="G395" s="108"/>
      <c r="H395" s="539">
        <f t="shared" si="170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5"/>
        <v>0</v>
      </c>
      <c r="N395" s="130"/>
      <c r="O395" s="534"/>
      <c r="P395" s="534"/>
      <c r="Q395" s="534"/>
      <c r="R395" s="534"/>
      <c r="S395" s="534"/>
      <c r="T395" s="534"/>
      <c r="U395" s="534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30700006</v>
      </c>
      <c r="B396" s="531" t="s">
        <v>418</v>
      </c>
      <c r="C396" s="187" t="s">
        <v>365</v>
      </c>
      <c r="D396" s="108">
        <v>5.03</v>
      </c>
      <c r="E396" s="108"/>
      <c r="F396" s="127"/>
      <c r="G396" s="108"/>
      <c r="H396" s="539">
        <f t="shared" si="170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5"/>
        <v>0</v>
      </c>
      <c r="N396" s="130"/>
      <c r="O396" s="534"/>
      <c r="P396" s="534"/>
      <c r="Q396" s="534"/>
      <c r="R396" s="534"/>
      <c r="S396" s="534"/>
      <c r="T396" s="534"/>
      <c r="U396" s="534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3">
        <v>30700008</v>
      </c>
      <c r="B397" s="531" t="s">
        <v>418</v>
      </c>
      <c r="C397" s="187" t="s">
        <v>366</v>
      </c>
      <c r="D397" s="108">
        <v>5.03</v>
      </c>
      <c r="E397" s="108"/>
      <c r="F397" s="127"/>
      <c r="G397" s="108"/>
      <c r="H397" s="539">
        <f t="shared" si="170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5"/>
        <v>0</v>
      </c>
      <c r="N397" s="130"/>
      <c r="O397" s="534"/>
      <c r="P397" s="534"/>
      <c r="Q397" s="534"/>
      <c r="R397" s="534"/>
      <c r="S397" s="534"/>
      <c r="T397" s="534"/>
      <c r="U397" s="534"/>
      <c r="V397" s="132"/>
      <c r="W397" s="133"/>
      <c r="X397" s="132"/>
      <c r="Y397" s="132"/>
      <c r="Z397" s="132"/>
      <c r="AA397" s="132"/>
    </row>
    <row r="398" spans="1:27" ht="20.100000000000001" hidden="1" customHeight="1">
      <c r="A398" s="303">
        <v>30700009</v>
      </c>
      <c r="B398" s="531" t="s">
        <v>418</v>
      </c>
      <c r="C398" s="187" t="s">
        <v>367</v>
      </c>
      <c r="D398" s="108">
        <v>5.03</v>
      </c>
      <c r="E398" s="108"/>
      <c r="F398" s="127"/>
      <c r="G398" s="108"/>
      <c r="H398" s="539">
        <f t="shared" si="170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5"/>
        <v>0</v>
      </c>
      <c r="N398" s="130"/>
      <c r="O398" s="534"/>
      <c r="P398" s="534"/>
      <c r="Q398" s="534"/>
      <c r="R398" s="534"/>
      <c r="S398" s="534"/>
      <c r="T398" s="534"/>
      <c r="U398" s="534"/>
      <c r="V398" s="132"/>
      <c r="W398" s="133"/>
      <c r="X398" s="132"/>
      <c r="Y398" s="132"/>
      <c r="Z398" s="132"/>
      <c r="AA398" s="132"/>
    </row>
    <row r="399" spans="1:27" ht="20.100000000000001" hidden="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08"/>
      <c r="H399" s="539">
        <f t="shared" si="170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5"/>
        <v>0</v>
      </c>
      <c r="N399" s="130">
        <f t="shared" ref="N399:N408" si="182">SUM(O399:U399)</f>
        <v>0</v>
      </c>
      <c r="O399" s="530"/>
      <c r="P399" s="530"/>
      <c r="Q399" s="530"/>
      <c r="R399" s="530"/>
      <c r="S399" s="530"/>
      <c r="T399" s="530"/>
      <c r="U399" s="530"/>
      <c r="V399" s="132">
        <f t="shared" ref="V399:V408" si="183">SUM(X399:AA399)</f>
        <v>0</v>
      </c>
      <c r="W399" s="133" t="str">
        <f t="shared" ref="W399:W408" si="184">IF(ISERROR(V399/G399),"",V399/G399)</f>
        <v/>
      </c>
      <c r="X399" s="132"/>
      <c r="Y399" s="132"/>
      <c r="Z399" s="132"/>
      <c r="AA399" s="132"/>
    </row>
    <row r="400" spans="1:27" ht="20.100000000000001" hidden="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08"/>
      <c r="H400" s="539">
        <f t="shared" si="170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75"/>
        <v>0</v>
      </c>
      <c r="N400" s="130">
        <f t="shared" si="182"/>
        <v>0</v>
      </c>
      <c r="O400" s="530"/>
      <c r="P400" s="530"/>
      <c r="Q400" s="530"/>
      <c r="R400" s="530"/>
      <c r="S400" s="530"/>
      <c r="T400" s="530"/>
      <c r="U400" s="530"/>
      <c r="V400" s="132">
        <f t="shared" si="183"/>
        <v>0</v>
      </c>
      <c r="W400" s="133" t="str">
        <f t="shared" si="184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08"/>
      <c r="H401" s="539">
        <f t="shared" si="170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75"/>
        <v>0</v>
      </c>
      <c r="N401" s="130">
        <f t="shared" si="182"/>
        <v>0</v>
      </c>
      <c r="O401" s="530"/>
      <c r="P401" s="530"/>
      <c r="Q401" s="530"/>
      <c r="R401" s="530"/>
      <c r="S401" s="530"/>
      <c r="T401" s="530"/>
      <c r="U401" s="530"/>
      <c r="V401" s="132">
        <f t="shared" si="183"/>
        <v>0</v>
      </c>
      <c r="W401" s="133" t="str">
        <f t="shared" si="184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08"/>
      <c r="H402" s="539">
        <f t="shared" si="170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5"/>
        <v>0</v>
      </c>
      <c r="N402" s="130">
        <f t="shared" si="182"/>
        <v>0</v>
      </c>
      <c r="O402" s="530"/>
      <c r="P402" s="530"/>
      <c r="Q402" s="530"/>
      <c r="R402" s="530"/>
      <c r="S402" s="530"/>
      <c r="T402" s="530"/>
      <c r="U402" s="530"/>
      <c r="V402" s="132">
        <f t="shared" si="183"/>
        <v>0</v>
      </c>
      <c r="W402" s="133" t="str">
        <f t="shared" si="184"/>
        <v/>
      </c>
      <c r="X402" s="132"/>
      <c r="Y402" s="132"/>
      <c r="Z402" s="132"/>
      <c r="AA402" s="132"/>
    </row>
    <row r="403" spans="1:27" ht="20.100000000000001" hidden="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08"/>
      <c r="H403" s="539">
        <f t="shared" si="170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5"/>
        <v>0</v>
      </c>
      <c r="N403" s="130">
        <f t="shared" si="182"/>
        <v>0</v>
      </c>
      <c r="O403" s="530"/>
      <c r="P403" s="530"/>
      <c r="Q403" s="530"/>
      <c r="R403" s="530"/>
      <c r="S403" s="530"/>
      <c r="T403" s="530"/>
      <c r="U403" s="530"/>
      <c r="V403" s="132">
        <f t="shared" si="183"/>
        <v>0</v>
      </c>
      <c r="W403" s="133" t="str">
        <f t="shared" si="184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08"/>
      <c r="H404" s="539">
        <f t="shared" si="170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5"/>
        <v>0</v>
      </c>
      <c r="N404" s="130">
        <f t="shared" si="182"/>
        <v>0</v>
      </c>
      <c r="O404" s="530"/>
      <c r="P404" s="530"/>
      <c r="Q404" s="530"/>
      <c r="R404" s="530"/>
      <c r="S404" s="530"/>
      <c r="T404" s="530"/>
      <c r="U404" s="530"/>
      <c r="V404" s="132">
        <f t="shared" si="183"/>
        <v>0</v>
      </c>
      <c r="W404" s="133" t="str">
        <f t="shared" si="184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08"/>
      <c r="H405" s="539">
        <f t="shared" si="170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5"/>
        <v>0</v>
      </c>
      <c r="N405" s="130">
        <f t="shared" si="182"/>
        <v>0</v>
      </c>
      <c r="O405" s="530"/>
      <c r="P405" s="530"/>
      <c r="Q405" s="530"/>
      <c r="R405" s="530"/>
      <c r="S405" s="530"/>
      <c r="T405" s="530"/>
      <c r="U405" s="530"/>
      <c r="V405" s="132">
        <f t="shared" si="183"/>
        <v>0</v>
      </c>
      <c r="W405" s="133" t="str">
        <f t="shared" si="184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08"/>
      <c r="H406" s="539">
        <f t="shared" si="170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5"/>
        <v>0</v>
      </c>
      <c r="N406" s="130">
        <f t="shared" si="182"/>
        <v>0</v>
      </c>
      <c r="O406" s="530"/>
      <c r="P406" s="530"/>
      <c r="Q406" s="530"/>
      <c r="R406" s="530"/>
      <c r="S406" s="530"/>
      <c r="T406" s="530"/>
      <c r="U406" s="530"/>
      <c r="V406" s="132">
        <f t="shared" si="183"/>
        <v>0</v>
      </c>
      <c r="W406" s="133" t="str">
        <f t="shared" si="184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08"/>
      <c r="H407" s="539">
        <f t="shared" si="170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75"/>
        <v>0</v>
      </c>
      <c r="N407" s="130">
        <f t="shared" si="182"/>
        <v>0</v>
      </c>
      <c r="O407" s="530"/>
      <c r="P407" s="530"/>
      <c r="Q407" s="530"/>
      <c r="R407" s="530"/>
      <c r="S407" s="530"/>
      <c r="T407" s="530"/>
      <c r="U407" s="530"/>
      <c r="V407" s="132">
        <f t="shared" si="183"/>
        <v>0</v>
      </c>
      <c r="W407" s="133" t="str">
        <f t="shared" si="184"/>
        <v/>
      </c>
      <c r="X407" s="132"/>
      <c r="Y407" s="132"/>
      <c r="Z407" s="132"/>
      <c r="AA407" s="132"/>
    </row>
    <row r="408" spans="1:27" ht="20.100000000000001" hidden="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08"/>
      <c r="H408" s="539">
        <f t="shared" si="170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75"/>
        <v>0</v>
      </c>
      <c r="N408" s="130">
        <f t="shared" si="182"/>
        <v>0</v>
      </c>
      <c r="O408" s="530"/>
      <c r="P408" s="530"/>
      <c r="Q408" s="530"/>
      <c r="R408" s="530"/>
      <c r="S408" s="530"/>
      <c r="T408" s="530"/>
      <c r="U408" s="530"/>
      <c r="V408" s="132">
        <f t="shared" si="183"/>
        <v>0</v>
      </c>
      <c r="W408" s="133" t="str">
        <f t="shared" si="184"/>
        <v/>
      </c>
      <c r="X408" s="132"/>
      <c r="Y408" s="132"/>
      <c r="Z408" s="132"/>
      <c r="AA408" s="132"/>
    </row>
    <row r="409" spans="1:27" ht="20.100000000000001" hidden="1" customHeight="1">
      <c r="A409" s="300">
        <v>30100043</v>
      </c>
      <c r="B409" s="134" t="s">
        <v>429</v>
      </c>
      <c r="C409" s="187" t="s">
        <v>427</v>
      </c>
      <c r="D409" s="108">
        <v>50.3</v>
      </c>
      <c r="E409" s="108"/>
      <c r="F409" s="127"/>
      <c r="G409" s="108"/>
      <c r="H409" s="539">
        <f t="shared" si="170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530"/>
      <c r="P409" s="530"/>
      <c r="Q409" s="530"/>
      <c r="R409" s="530"/>
      <c r="S409" s="530"/>
      <c r="T409" s="530"/>
      <c r="U409" s="530"/>
      <c r="V409" s="132"/>
      <c r="W409" s="133"/>
      <c r="X409" s="132"/>
      <c r="Y409" s="132"/>
      <c r="Z409" s="132"/>
      <c r="AA409" s="132"/>
    </row>
    <row r="410" spans="1:27" ht="20.100000000000001" hidden="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08"/>
      <c r="H410" s="539">
        <f t="shared" si="170"/>
        <v>0</v>
      </c>
      <c r="I410" s="129"/>
      <c r="J410" s="130"/>
      <c r="K410" s="131"/>
      <c r="L410" s="129">
        <v>50</v>
      </c>
      <c r="M410" s="109"/>
      <c r="N410" s="130"/>
      <c r="O410" s="530"/>
      <c r="P410" s="530"/>
      <c r="Q410" s="530"/>
      <c r="R410" s="530"/>
      <c r="S410" s="530"/>
      <c r="T410" s="530"/>
      <c r="U410" s="530"/>
      <c r="V410" s="132"/>
      <c r="W410" s="133"/>
      <c r="X410" s="132"/>
      <c r="Y410" s="132"/>
      <c r="Z410" s="132"/>
      <c r="AA410" s="132"/>
    </row>
    <row r="411" spans="1:27" ht="20.100000000000001" hidden="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08"/>
      <c r="H411" s="539">
        <f t="shared" si="170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5">IF(ISERROR(I411-K411),"",I411-K411)</f>
        <v>0</v>
      </c>
      <c r="N411" s="130">
        <f t="shared" ref="N411:N412" si="186">SUM(O411:U411)</f>
        <v>0</v>
      </c>
      <c r="O411" s="530"/>
      <c r="P411" s="530"/>
      <c r="Q411" s="530"/>
      <c r="R411" s="530"/>
      <c r="S411" s="530"/>
      <c r="T411" s="530"/>
      <c r="U411" s="530"/>
      <c r="V411" s="132">
        <f t="shared" ref="V411:V412" si="187">SUM(X411:AA411)</f>
        <v>0</v>
      </c>
      <c r="W411" s="133" t="str">
        <f t="shared" ref="W411:W412" si="188">IF(ISERROR(V411/G411),"",V411/G411)</f>
        <v/>
      </c>
      <c r="X411" s="132"/>
      <c r="Y411" s="132"/>
      <c r="Z411" s="132"/>
      <c r="AA411" s="132"/>
    </row>
    <row r="412" spans="1:27" ht="20.100000000000001" hidden="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08"/>
      <c r="H412" s="539">
        <f t="shared" si="170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5"/>
        <v>0</v>
      </c>
      <c r="N412" s="130">
        <f t="shared" si="186"/>
        <v>0</v>
      </c>
      <c r="O412" s="530"/>
      <c r="P412" s="530"/>
      <c r="Q412" s="530"/>
      <c r="R412" s="530"/>
      <c r="S412" s="530"/>
      <c r="T412" s="530"/>
      <c r="U412" s="530"/>
      <c r="V412" s="132">
        <f t="shared" si="187"/>
        <v>0</v>
      </c>
      <c r="W412" s="133" t="str">
        <f t="shared" si="188"/>
        <v/>
      </c>
      <c r="X412" s="132"/>
      <c r="Y412" s="132"/>
      <c r="Z412" s="132"/>
      <c r="AA412" s="132"/>
    </row>
    <row r="413" spans="1:27" ht="20.100000000000001" hidden="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08"/>
      <c r="H413" s="539">
        <f t="shared" si="170"/>
        <v>0</v>
      </c>
      <c r="I413" s="129"/>
      <c r="J413" s="130"/>
      <c r="K413" s="131"/>
      <c r="L413" s="129"/>
      <c r="M413" s="109"/>
      <c r="N413" s="130"/>
      <c r="O413" s="530"/>
      <c r="P413" s="530"/>
      <c r="Q413" s="530"/>
      <c r="R413" s="530"/>
      <c r="S413" s="530"/>
      <c r="T413" s="530"/>
      <c r="U413" s="530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08"/>
      <c r="H414" s="539">
        <f t="shared" si="170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89">IF(ISERROR(I414-K414),"",I414-K414)</f>
        <v/>
      </c>
      <c r="N414" s="130">
        <f t="shared" ref="N414:N417" si="190">SUM(O414:U414)</f>
        <v>0</v>
      </c>
      <c r="O414" s="530"/>
      <c r="P414" s="530"/>
      <c r="Q414" s="530"/>
      <c r="R414" s="530"/>
      <c r="S414" s="530"/>
      <c r="T414" s="530"/>
      <c r="U414" s="530"/>
      <c r="V414" s="132">
        <f t="shared" ref="V414:V417" si="191">SUM(X414:AA414)</f>
        <v>0</v>
      </c>
      <c r="W414" s="133" t="str">
        <f t="shared" ref="W414:W417" si="192">IF(ISERROR(V414/G414),"",V414/G414)</f>
        <v/>
      </c>
      <c r="X414" s="132"/>
      <c r="Y414" s="132"/>
      <c r="Z414" s="132"/>
      <c r="AA414" s="132"/>
    </row>
    <row r="415" spans="1:27" ht="20.100000000000001" hidden="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08"/>
      <c r="H415" s="539">
        <f t="shared" si="170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89"/>
        <v/>
      </c>
      <c r="N415" s="130">
        <f t="shared" si="190"/>
        <v>0</v>
      </c>
      <c r="O415" s="530"/>
      <c r="P415" s="530"/>
      <c r="Q415" s="530"/>
      <c r="R415" s="530"/>
      <c r="S415" s="530"/>
      <c r="T415" s="530"/>
      <c r="U415" s="530"/>
      <c r="V415" s="132">
        <f t="shared" si="191"/>
        <v>0</v>
      </c>
      <c r="W415" s="133" t="str">
        <f t="shared" si="192"/>
        <v/>
      </c>
      <c r="X415" s="132"/>
      <c r="Y415" s="132"/>
      <c r="Z415" s="132"/>
      <c r="AA415" s="132"/>
    </row>
    <row r="416" spans="1:27" ht="20.100000000000001" hidden="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08"/>
      <c r="H416" s="539">
        <f t="shared" si="170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89"/>
        <v/>
      </c>
      <c r="N416" s="130">
        <f t="shared" si="190"/>
        <v>0</v>
      </c>
      <c r="O416" s="530"/>
      <c r="P416" s="530"/>
      <c r="Q416" s="530"/>
      <c r="R416" s="530"/>
      <c r="S416" s="530"/>
      <c r="T416" s="530"/>
      <c r="U416" s="530"/>
      <c r="V416" s="132">
        <f t="shared" si="191"/>
        <v>0</v>
      </c>
      <c r="W416" s="133" t="str">
        <f t="shared" si="192"/>
        <v/>
      </c>
      <c r="X416" s="132"/>
      <c r="Y416" s="132"/>
      <c r="Z416" s="132"/>
      <c r="AA416" s="132"/>
    </row>
    <row r="417" spans="1:27" ht="20.100000000000001" hidden="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08"/>
      <c r="H417" s="539">
        <f t="shared" si="170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89"/>
        <v/>
      </c>
      <c r="N417" s="130">
        <f t="shared" si="190"/>
        <v>0</v>
      </c>
      <c r="O417" s="530"/>
      <c r="P417" s="530"/>
      <c r="Q417" s="530"/>
      <c r="R417" s="530"/>
      <c r="S417" s="530"/>
      <c r="T417" s="530"/>
      <c r="U417" s="530"/>
      <c r="V417" s="132">
        <f t="shared" si="191"/>
        <v>0</v>
      </c>
      <c r="W417" s="133" t="str">
        <f t="shared" si="192"/>
        <v/>
      </c>
      <c r="X417" s="132"/>
      <c r="Y417" s="132"/>
      <c r="Z417" s="132"/>
      <c r="AA417" s="132"/>
    </row>
    <row r="418" spans="1:27" ht="20.100000000000001" hidden="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08"/>
      <c r="H418" s="539">
        <f t="shared" si="170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89"/>
        <v>0</v>
      </c>
      <c r="N418" s="130"/>
      <c r="O418" s="530"/>
      <c r="P418" s="530"/>
      <c r="Q418" s="530"/>
      <c r="R418" s="530"/>
      <c r="S418" s="530"/>
      <c r="T418" s="530"/>
      <c r="U418" s="530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08"/>
      <c r="H419" s="539">
        <f t="shared" si="170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89"/>
        <v>0</v>
      </c>
      <c r="N419" s="130"/>
      <c r="O419" s="530"/>
      <c r="P419" s="530"/>
      <c r="Q419" s="530"/>
      <c r="R419" s="530"/>
      <c r="S419" s="530"/>
      <c r="T419" s="530"/>
      <c r="U419" s="530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08"/>
      <c r="H420" s="539">
        <f t="shared" si="170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89"/>
        <v>0</v>
      </c>
      <c r="N420" s="130"/>
      <c r="O420" s="530"/>
      <c r="P420" s="530"/>
      <c r="Q420" s="530"/>
      <c r="R420" s="530"/>
      <c r="S420" s="530"/>
      <c r="T420" s="530"/>
      <c r="U420" s="530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08"/>
      <c r="H421" s="539">
        <f t="shared" si="170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89"/>
        <v>0</v>
      </c>
      <c r="N421" s="130"/>
      <c r="O421" s="530"/>
      <c r="P421" s="530"/>
      <c r="Q421" s="530"/>
      <c r="R421" s="530"/>
      <c r="S421" s="530"/>
      <c r="T421" s="530"/>
      <c r="U421" s="530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08"/>
      <c r="H422" s="539">
        <f t="shared" si="170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89"/>
        <v>0</v>
      </c>
      <c r="N422" s="130"/>
      <c r="O422" s="530"/>
      <c r="P422" s="530"/>
      <c r="Q422" s="530"/>
      <c r="R422" s="530"/>
      <c r="S422" s="530"/>
      <c r="T422" s="530"/>
      <c r="U422" s="530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08"/>
      <c r="H423" s="539">
        <f t="shared" si="170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89"/>
        <v>0</v>
      </c>
      <c r="N423" s="130"/>
      <c r="O423" s="530"/>
      <c r="P423" s="530"/>
      <c r="Q423" s="530"/>
      <c r="R423" s="530"/>
      <c r="S423" s="530"/>
      <c r="T423" s="530"/>
      <c r="U423" s="530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08"/>
      <c r="H424" s="539">
        <f t="shared" si="170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89"/>
        <v>0</v>
      </c>
      <c r="N424" s="130"/>
      <c r="O424" s="530"/>
      <c r="P424" s="530"/>
      <c r="Q424" s="530"/>
      <c r="R424" s="530"/>
      <c r="S424" s="530"/>
      <c r="T424" s="530"/>
      <c r="U424" s="530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08"/>
      <c r="H425" s="539">
        <f t="shared" si="170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89"/>
        <v>0</v>
      </c>
      <c r="N425" s="130"/>
      <c r="O425" s="530"/>
      <c r="P425" s="530"/>
      <c r="Q425" s="530"/>
      <c r="R425" s="530"/>
      <c r="S425" s="530"/>
      <c r="T425" s="530"/>
      <c r="U425" s="530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08"/>
      <c r="H426" s="539">
        <f t="shared" si="170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89"/>
        <v>0</v>
      </c>
      <c r="N426" s="130"/>
      <c r="O426" s="530"/>
      <c r="P426" s="530"/>
      <c r="Q426" s="530"/>
      <c r="R426" s="530"/>
      <c r="S426" s="530"/>
      <c r="T426" s="530"/>
      <c r="U426" s="530"/>
      <c r="V426" s="132"/>
      <c r="W426" s="133"/>
      <c r="X426" s="132"/>
      <c r="Y426" s="132"/>
      <c r="Z426" s="132"/>
      <c r="AA426" s="132"/>
    </row>
    <row r="427" spans="1:27" ht="20.100000000000001" hidden="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08"/>
      <c r="H427" s="539">
        <f t="shared" si="170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89"/>
        <v>0</v>
      </c>
      <c r="N427" s="130"/>
      <c r="O427" s="530"/>
      <c r="P427" s="530"/>
      <c r="Q427" s="530"/>
      <c r="R427" s="530"/>
      <c r="S427" s="530"/>
      <c r="T427" s="530"/>
      <c r="U427" s="530"/>
      <c r="V427" s="132"/>
      <c r="W427" s="133"/>
      <c r="X427" s="132"/>
      <c r="Y427" s="132"/>
      <c r="Z427" s="132"/>
      <c r="AA427" s="132"/>
    </row>
    <row r="428" spans="1:27" ht="20.100000000000001" hidden="1" customHeight="1">
      <c r="A428" s="589" t="s">
        <v>216</v>
      </c>
      <c r="B428" s="589"/>
      <c r="C428" s="537" t="s">
        <v>202</v>
      </c>
      <c r="D428" s="143"/>
      <c r="E428" s="143"/>
      <c r="F428" s="144"/>
      <c r="G428" s="143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3">SUM(M371:M427)</f>
        <v>0</v>
      </c>
      <c r="N428" s="146">
        <f t="shared" si="193"/>
        <v>0</v>
      </c>
      <c r="O428" s="148">
        <f t="shared" si="193"/>
        <v>0</v>
      </c>
      <c r="P428" s="148">
        <f t="shared" si="193"/>
        <v>0</v>
      </c>
      <c r="Q428" s="148">
        <f t="shared" si="193"/>
        <v>0</v>
      </c>
      <c r="R428" s="148">
        <f t="shared" si="193"/>
        <v>0</v>
      </c>
      <c r="S428" s="148">
        <f t="shared" si="193"/>
        <v>0</v>
      </c>
      <c r="T428" s="148">
        <f t="shared" si="193"/>
        <v>0</v>
      </c>
      <c r="U428" s="148">
        <f t="shared" si="193"/>
        <v>0</v>
      </c>
      <c r="V428" s="149">
        <f t="shared" si="193"/>
        <v>0</v>
      </c>
      <c r="W428" s="133" t="str">
        <f t="shared" ref="W428:W435" si="194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hidden="1" customHeight="1">
      <c r="A429" s="299">
        <v>30400012</v>
      </c>
      <c r="B429" s="531" t="s">
        <v>217</v>
      </c>
      <c r="C429" s="126" t="s">
        <v>179</v>
      </c>
      <c r="D429" s="108">
        <v>5.03</v>
      </c>
      <c r="E429" s="108"/>
      <c r="F429" s="127"/>
      <c r="G429" s="108"/>
      <c r="H429" s="539">
        <f t="shared" ref="H429:H462" si="195">D429*G429</f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ref="M429:M436" si="196">IF(ISERROR(I429-K429),"",I429-K429)</f>
        <v>0</v>
      </c>
      <c r="N429" s="130">
        <f t="shared" ref="N429:N436" si="197">SUM(O429:U429)</f>
        <v>0</v>
      </c>
      <c r="O429" s="530"/>
      <c r="P429" s="530"/>
      <c r="Q429" s="530"/>
      <c r="R429" s="530"/>
      <c r="S429" s="530"/>
      <c r="T429" s="530"/>
      <c r="U429" s="530"/>
      <c r="V429" s="132">
        <f t="shared" ref="V429:V435" si="198">SUM(X429:AA429)</f>
        <v>0</v>
      </c>
      <c r="W429" s="133" t="str">
        <f t="shared" si="194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30400010</v>
      </c>
      <c r="B430" s="531" t="s">
        <v>217</v>
      </c>
      <c r="C430" s="126" t="s">
        <v>186</v>
      </c>
      <c r="D430" s="108">
        <v>5.03</v>
      </c>
      <c r="E430" s="108"/>
      <c r="F430" s="127"/>
      <c r="G430" s="108"/>
      <c r="H430" s="539">
        <f t="shared" si="195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8.8000000000000007</v>
      </c>
      <c r="M430" s="109">
        <f t="shared" si="196"/>
        <v>0</v>
      </c>
      <c r="N430" s="130">
        <f t="shared" si="197"/>
        <v>0</v>
      </c>
      <c r="O430" s="530"/>
      <c r="P430" s="530"/>
      <c r="Q430" s="530"/>
      <c r="R430" s="530"/>
      <c r="S430" s="530"/>
      <c r="T430" s="530"/>
      <c r="U430" s="530"/>
      <c r="V430" s="132">
        <f t="shared" si="198"/>
        <v>0</v>
      </c>
      <c r="W430" s="133" t="str">
        <f t="shared" si="194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30400011</v>
      </c>
      <c r="B431" s="531" t="s">
        <v>217</v>
      </c>
      <c r="C431" s="126" t="s">
        <v>204</v>
      </c>
      <c r="D431" s="108">
        <v>5.03</v>
      </c>
      <c r="E431" s="108"/>
      <c r="F431" s="127"/>
      <c r="G431" s="108"/>
      <c r="H431" s="539">
        <f t="shared" si="195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8.8000000000000007</v>
      </c>
      <c r="M431" s="109">
        <f t="shared" si="196"/>
        <v>0</v>
      </c>
      <c r="N431" s="130">
        <f t="shared" si="197"/>
        <v>0</v>
      </c>
      <c r="O431" s="530"/>
      <c r="P431" s="530"/>
      <c r="Q431" s="530"/>
      <c r="R431" s="530"/>
      <c r="S431" s="530"/>
      <c r="T431" s="530"/>
      <c r="U431" s="530"/>
      <c r="V431" s="132">
        <f t="shared" si="198"/>
        <v>0</v>
      </c>
      <c r="W431" s="133" t="str">
        <f t="shared" si="194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08"/>
      <c r="H432" s="539">
        <f t="shared" si="195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6"/>
        <v>0</v>
      </c>
      <c r="N432" s="130">
        <f t="shared" si="197"/>
        <v>0</v>
      </c>
      <c r="O432" s="530"/>
      <c r="P432" s="530"/>
      <c r="Q432" s="530"/>
      <c r="R432" s="530"/>
      <c r="S432" s="530"/>
      <c r="T432" s="530"/>
      <c r="U432" s="530"/>
      <c r="V432" s="132">
        <f t="shared" si="198"/>
        <v>0</v>
      </c>
      <c r="W432" s="133" t="str">
        <f t="shared" si="194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/>
      <c r="G433" s="108"/>
      <c r="H433" s="539">
        <f t="shared" si="195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6"/>
        <v>0</v>
      </c>
      <c r="N433" s="130">
        <f t="shared" si="197"/>
        <v>0</v>
      </c>
      <c r="O433" s="530"/>
      <c r="P433" s="530"/>
      <c r="Q433" s="530"/>
      <c r="R433" s="530"/>
      <c r="S433" s="530"/>
      <c r="T433" s="530"/>
      <c r="U433" s="530"/>
      <c r="V433" s="132">
        <f t="shared" si="198"/>
        <v>0</v>
      </c>
      <c r="W433" s="133" t="str">
        <f t="shared" si="194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/>
      <c r="G434" s="108"/>
      <c r="H434" s="539">
        <f t="shared" si="195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9.3000000000000007</v>
      </c>
      <c r="M434" s="109">
        <f t="shared" si="196"/>
        <v>0</v>
      </c>
      <c r="N434" s="130">
        <f t="shared" si="197"/>
        <v>0</v>
      </c>
      <c r="O434" s="530"/>
      <c r="P434" s="530"/>
      <c r="Q434" s="530"/>
      <c r="R434" s="530"/>
      <c r="S434" s="530"/>
      <c r="T434" s="530"/>
      <c r="U434" s="530"/>
      <c r="V434" s="132">
        <f t="shared" si="198"/>
        <v>0</v>
      </c>
      <c r="W434" s="133" t="str">
        <f t="shared" si="194"/>
        <v/>
      </c>
      <c r="X434" s="132"/>
      <c r="Y434" s="132"/>
      <c r="Z434" s="132"/>
      <c r="AA434" s="132"/>
    </row>
    <row r="435" spans="1:27" ht="20.100000000000001" hidden="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/>
      <c r="G435" s="108"/>
      <c r="H435" s="539">
        <f t="shared" si="195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9.3000000000000007</v>
      </c>
      <c r="M435" s="109">
        <f t="shared" si="196"/>
        <v>0</v>
      </c>
      <c r="N435" s="130">
        <f t="shared" si="197"/>
        <v>0</v>
      </c>
      <c r="O435" s="530"/>
      <c r="P435" s="530"/>
      <c r="Q435" s="530"/>
      <c r="R435" s="530"/>
      <c r="S435" s="530"/>
      <c r="T435" s="530"/>
      <c r="U435" s="530"/>
      <c r="V435" s="132">
        <f t="shared" si="198"/>
        <v>0</v>
      </c>
      <c r="W435" s="133" t="str">
        <f t="shared" si="194"/>
        <v/>
      </c>
      <c r="X435" s="132"/>
      <c r="Y435" s="132"/>
      <c r="Z435" s="132"/>
      <c r="AA435" s="132"/>
    </row>
    <row r="436" spans="1:27" ht="20.100000000000001" hidden="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/>
      <c r="G436" s="108"/>
      <c r="H436" s="539">
        <f t="shared" si="195"/>
        <v>0</v>
      </c>
      <c r="I436" s="129"/>
      <c r="J436" s="130"/>
      <c r="K436" s="131">
        <f t="array" ref="K436">IF(ISERROR(G436/L436),"",G436/L436)</f>
        <v>0</v>
      </c>
      <c r="L436" s="129">
        <v>9.3000000000000007</v>
      </c>
      <c r="M436" s="109">
        <f t="shared" si="196"/>
        <v>0</v>
      </c>
      <c r="N436" s="130">
        <f t="shared" si="197"/>
        <v>0</v>
      </c>
      <c r="O436" s="530"/>
      <c r="P436" s="530"/>
      <c r="Q436" s="530"/>
      <c r="R436" s="530"/>
      <c r="S436" s="530"/>
      <c r="T436" s="530"/>
      <c r="U436" s="530"/>
      <c r="V436" s="132"/>
      <c r="W436" s="133"/>
      <c r="X436" s="132"/>
      <c r="Y436" s="132"/>
      <c r="Z436" s="132"/>
      <c r="AA436" s="132"/>
    </row>
    <row r="437" spans="1:27" ht="20.100000000000001" hidden="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08"/>
      <c r="H437" s="539">
        <f t="shared" si="195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530"/>
      <c r="P437" s="530"/>
      <c r="Q437" s="530"/>
      <c r="R437" s="530"/>
      <c r="S437" s="530"/>
      <c r="T437" s="530"/>
      <c r="U437" s="530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08"/>
      <c r="H438" s="539">
        <f t="shared" si="195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530"/>
      <c r="P438" s="530"/>
      <c r="Q438" s="530"/>
      <c r="R438" s="530"/>
      <c r="S438" s="530"/>
      <c r="T438" s="530"/>
      <c r="U438" s="530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08"/>
      <c r="H439" s="539">
        <f t="shared" si="195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530"/>
      <c r="P439" s="530"/>
      <c r="Q439" s="530"/>
      <c r="R439" s="530"/>
      <c r="S439" s="530"/>
      <c r="T439" s="530"/>
      <c r="U439" s="530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08"/>
      <c r="H440" s="539">
        <f t="shared" si="195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530"/>
      <c r="P440" s="530"/>
      <c r="Q440" s="530"/>
      <c r="R440" s="530"/>
      <c r="S440" s="530"/>
      <c r="T440" s="530"/>
      <c r="U440" s="530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hidden="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08"/>
      <c r="H441" s="539">
        <f t="shared" si="195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2" si="199">IF(ISERROR(I441-K441),"",I441-K441)</f>
        <v>0</v>
      </c>
      <c r="N441" s="130">
        <f t="shared" ref="N441:N456" si="200">SUM(O441:U441)</f>
        <v>0</v>
      </c>
      <c r="O441" s="530"/>
      <c r="P441" s="530"/>
      <c r="Q441" s="530"/>
      <c r="R441" s="530"/>
      <c r="S441" s="530"/>
      <c r="T441" s="530"/>
      <c r="U441" s="530"/>
      <c r="V441" s="132">
        <f t="shared" ref="V441:V444" si="201">SUM(X441:AA441)</f>
        <v>0</v>
      </c>
      <c r="W441" s="133" t="str">
        <f t="shared" ref="W441:W448" si="202">IF(ISERROR(V441/G441),"",V441/G441)</f>
        <v/>
      </c>
      <c r="X441" s="132"/>
      <c r="Y441" s="132"/>
      <c r="Z441" s="132"/>
      <c r="AA441" s="132"/>
    </row>
    <row r="442" spans="1:27" ht="20.100000000000001" hidden="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08"/>
      <c r="H442" s="539">
        <f t="shared" si="195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199"/>
        <v/>
      </c>
      <c r="N442" s="130">
        <f t="shared" si="200"/>
        <v>0</v>
      </c>
      <c r="O442" s="530"/>
      <c r="P442" s="530"/>
      <c r="Q442" s="530"/>
      <c r="R442" s="530"/>
      <c r="S442" s="530"/>
      <c r="T442" s="530"/>
      <c r="U442" s="530"/>
      <c r="V442" s="132">
        <f t="shared" si="201"/>
        <v>0</v>
      </c>
      <c r="W442" s="133" t="str">
        <f t="shared" si="202"/>
        <v/>
      </c>
      <c r="X442" s="132"/>
      <c r="Y442" s="132"/>
      <c r="Z442" s="132"/>
      <c r="AA442" s="132"/>
    </row>
    <row r="443" spans="1:27" ht="20.100000000000001" hidden="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08"/>
      <c r="H443" s="539">
        <f t="shared" si="195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199"/>
        <v/>
      </c>
      <c r="N443" s="130">
        <f t="shared" si="200"/>
        <v>0</v>
      </c>
      <c r="O443" s="530"/>
      <c r="P443" s="530"/>
      <c r="Q443" s="530"/>
      <c r="R443" s="530"/>
      <c r="S443" s="530"/>
      <c r="T443" s="530"/>
      <c r="U443" s="530"/>
      <c r="V443" s="132">
        <f t="shared" si="201"/>
        <v>0</v>
      </c>
      <c r="W443" s="133" t="str">
        <f t="shared" si="202"/>
        <v/>
      </c>
      <c r="X443" s="132"/>
      <c r="Y443" s="132"/>
      <c r="Z443" s="132"/>
      <c r="AA443" s="132"/>
    </row>
    <row r="444" spans="1:27" ht="20.100000000000001" hidden="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08"/>
      <c r="H444" s="539">
        <f t="shared" si="195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199"/>
        <v/>
      </c>
      <c r="N444" s="130">
        <f t="shared" si="200"/>
        <v>0</v>
      </c>
      <c r="O444" s="530"/>
      <c r="P444" s="530"/>
      <c r="Q444" s="530"/>
      <c r="R444" s="530"/>
      <c r="S444" s="530"/>
      <c r="T444" s="530"/>
      <c r="U444" s="530"/>
      <c r="V444" s="132">
        <f t="shared" si="201"/>
        <v>0</v>
      </c>
      <c r="W444" s="133" t="str">
        <f t="shared" si="202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30600005</v>
      </c>
      <c r="B445" s="531" t="s">
        <v>222</v>
      </c>
      <c r="C445" s="126" t="s">
        <v>181</v>
      </c>
      <c r="D445" s="108">
        <v>9.36</v>
      </c>
      <c r="E445" s="108"/>
      <c r="F445" s="127"/>
      <c r="G445" s="108"/>
      <c r="H445" s="539">
        <f t="shared" si="195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199"/>
        <v>0</v>
      </c>
      <c r="N445" s="130">
        <f t="shared" si="200"/>
        <v>0</v>
      </c>
      <c r="O445" s="530"/>
      <c r="P445" s="530"/>
      <c r="Q445" s="530"/>
      <c r="R445" s="530"/>
      <c r="S445" s="530"/>
      <c r="T445" s="530"/>
      <c r="U445" s="530"/>
      <c r="V445" s="132">
        <f t="shared" ref="V445:V448" si="203">SUM(X445:AA445)</f>
        <v>0</v>
      </c>
      <c r="W445" s="133" t="str">
        <f t="shared" si="202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30600008</v>
      </c>
      <c r="B446" s="531" t="s">
        <v>222</v>
      </c>
      <c r="C446" s="126" t="s">
        <v>179</v>
      </c>
      <c r="D446" s="108">
        <v>9.36</v>
      </c>
      <c r="E446" s="108"/>
      <c r="F446" s="127"/>
      <c r="G446" s="108"/>
      <c r="H446" s="539">
        <f t="shared" si="195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199"/>
        <v>0</v>
      </c>
      <c r="N446" s="130">
        <f t="shared" si="200"/>
        <v>0</v>
      </c>
      <c r="O446" s="530"/>
      <c r="P446" s="530"/>
      <c r="Q446" s="530"/>
      <c r="R446" s="530"/>
      <c r="S446" s="530"/>
      <c r="T446" s="530"/>
      <c r="U446" s="530"/>
      <c r="V446" s="132">
        <f t="shared" si="203"/>
        <v>0</v>
      </c>
      <c r="W446" s="133" t="str">
        <f t="shared" si="202"/>
        <v/>
      </c>
      <c r="X446" s="132"/>
      <c r="Y446" s="132"/>
      <c r="Z446" s="132"/>
      <c r="AA446" s="132"/>
    </row>
    <row r="447" spans="1:27" ht="20.100000000000001" hidden="1" customHeight="1">
      <c r="A447" s="304">
        <v>30600007</v>
      </c>
      <c r="B447" s="531" t="s">
        <v>222</v>
      </c>
      <c r="C447" s="126" t="s">
        <v>221</v>
      </c>
      <c r="D447" s="108">
        <v>9.36</v>
      </c>
      <c r="E447" s="108"/>
      <c r="F447" s="127"/>
      <c r="G447" s="108"/>
      <c r="H447" s="539">
        <f t="shared" si="195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199"/>
        <v>0</v>
      </c>
      <c r="N447" s="130">
        <f t="shared" si="200"/>
        <v>0</v>
      </c>
      <c r="O447" s="530"/>
      <c r="P447" s="530"/>
      <c r="Q447" s="530"/>
      <c r="R447" s="530"/>
      <c r="S447" s="530"/>
      <c r="T447" s="530"/>
      <c r="U447" s="530"/>
      <c r="V447" s="132">
        <f t="shared" si="203"/>
        <v>0</v>
      </c>
      <c r="W447" s="133" t="str">
        <f t="shared" si="202"/>
        <v/>
      </c>
      <c r="X447" s="132"/>
      <c r="Y447" s="132"/>
      <c r="Z447" s="132"/>
      <c r="AA447" s="132"/>
    </row>
    <row r="448" spans="1:27" ht="20.100000000000001" hidden="1" customHeight="1">
      <c r="A448" s="304">
        <v>30600006</v>
      </c>
      <c r="B448" s="531" t="s">
        <v>222</v>
      </c>
      <c r="C448" s="126" t="s">
        <v>186</v>
      </c>
      <c r="D448" s="108">
        <v>9.36</v>
      </c>
      <c r="E448" s="108"/>
      <c r="F448" s="127"/>
      <c r="G448" s="108"/>
      <c r="H448" s="539">
        <f t="shared" si="195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199"/>
        <v>0</v>
      </c>
      <c r="N448" s="130">
        <f t="shared" si="200"/>
        <v>0</v>
      </c>
      <c r="O448" s="530"/>
      <c r="P448" s="530"/>
      <c r="Q448" s="530"/>
      <c r="R448" s="530"/>
      <c r="S448" s="530"/>
      <c r="T448" s="530"/>
      <c r="U448" s="530"/>
      <c r="V448" s="132">
        <f t="shared" si="203"/>
        <v>0</v>
      </c>
      <c r="W448" s="133" t="str">
        <f t="shared" si="202"/>
        <v/>
      </c>
      <c r="X448" s="132"/>
      <c r="Y448" s="132"/>
      <c r="Z448" s="132"/>
      <c r="AA448" s="132"/>
    </row>
    <row r="449" spans="1:27" ht="20.100000000000001" hidden="1" customHeight="1">
      <c r="A449" s="299">
        <v>30400026</v>
      </c>
      <c r="B449" s="531" t="s">
        <v>393</v>
      </c>
      <c r="C449" s="187" t="s">
        <v>395</v>
      </c>
      <c r="D449" s="108">
        <v>5</v>
      </c>
      <c r="E449" s="108"/>
      <c r="F449" s="127"/>
      <c r="G449" s="108"/>
      <c r="H449" s="539">
        <f t="shared" si="195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199"/>
        <v>0</v>
      </c>
      <c r="N449" s="130">
        <f t="shared" si="200"/>
        <v>0</v>
      </c>
      <c r="O449" s="530"/>
      <c r="P449" s="530"/>
      <c r="Q449" s="530"/>
      <c r="R449" s="530"/>
      <c r="S449" s="530"/>
      <c r="T449" s="530"/>
      <c r="U449" s="530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>
        <v>30400028</v>
      </c>
      <c r="B450" s="531" t="s">
        <v>393</v>
      </c>
      <c r="C450" s="187" t="s">
        <v>402</v>
      </c>
      <c r="D450" s="108">
        <v>5</v>
      </c>
      <c r="E450" s="108"/>
      <c r="F450" s="127"/>
      <c r="G450" s="108"/>
      <c r="H450" s="539">
        <f t="shared" si="195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199"/>
        <v>0</v>
      </c>
      <c r="N450" s="130">
        <f t="shared" si="200"/>
        <v>0</v>
      </c>
      <c r="O450" s="530"/>
      <c r="P450" s="530"/>
      <c r="Q450" s="530"/>
      <c r="R450" s="530"/>
      <c r="S450" s="530"/>
      <c r="T450" s="530"/>
      <c r="U450" s="530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30400027</v>
      </c>
      <c r="B451" s="531" t="s">
        <v>404</v>
      </c>
      <c r="C451" s="187" t="s">
        <v>405</v>
      </c>
      <c r="D451" s="108">
        <v>5</v>
      </c>
      <c r="E451" s="108"/>
      <c r="F451" s="127"/>
      <c r="G451" s="108"/>
      <c r="H451" s="539">
        <f t="shared" si="195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199"/>
        <v>0</v>
      </c>
      <c r="N451" s="130">
        <f t="shared" si="200"/>
        <v>0</v>
      </c>
      <c r="O451" s="530"/>
      <c r="P451" s="530"/>
      <c r="Q451" s="530"/>
      <c r="R451" s="530"/>
      <c r="S451" s="530"/>
      <c r="T451" s="530"/>
      <c r="U451" s="530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/>
      <c r="B452" s="531" t="s">
        <v>342</v>
      </c>
      <c r="C452" s="187" t="s">
        <v>372</v>
      </c>
      <c r="D452" s="108">
        <v>5</v>
      </c>
      <c r="E452" s="108"/>
      <c r="F452" s="127"/>
      <c r="G452" s="108"/>
      <c r="H452" s="539">
        <f t="shared" si="195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199"/>
        <v>0</v>
      </c>
      <c r="N452" s="130">
        <f t="shared" si="200"/>
        <v>0</v>
      </c>
      <c r="O452" s="530"/>
      <c r="P452" s="530"/>
      <c r="Q452" s="530"/>
      <c r="R452" s="530"/>
      <c r="S452" s="530"/>
      <c r="T452" s="530"/>
      <c r="U452" s="530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30600009</v>
      </c>
      <c r="B453" s="531" t="s">
        <v>343</v>
      </c>
      <c r="C453" s="126" t="s">
        <v>345</v>
      </c>
      <c r="D453" s="108">
        <v>5</v>
      </c>
      <c r="E453" s="108"/>
      <c r="F453" s="127"/>
      <c r="G453" s="108"/>
      <c r="H453" s="539">
        <f t="shared" si="195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199"/>
        <v>0</v>
      </c>
      <c r="N453" s="130">
        <f t="shared" si="200"/>
        <v>0</v>
      </c>
      <c r="O453" s="530"/>
      <c r="P453" s="530"/>
      <c r="Q453" s="530"/>
      <c r="R453" s="530"/>
      <c r="S453" s="530"/>
      <c r="T453" s="530"/>
      <c r="U453" s="530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299">
        <v>30600010</v>
      </c>
      <c r="B454" s="531" t="s">
        <v>343</v>
      </c>
      <c r="C454" s="126" t="s">
        <v>347</v>
      </c>
      <c r="D454" s="108">
        <v>5</v>
      </c>
      <c r="E454" s="108"/>
      <c r="F454" s="127"/>
      <c r="G454" s="108"/>
      <c r="H454" s="539">
        <f t="shared" si="195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199"/>
        <v>0</v>
      </c>
      <c r="N454" s="130">
        <f t="shared" si="200"/>
        <v>0</v>
      </c>
      <c r="O454" s="530"/>
      <c r="P454" s="530"/>
      <c r="Q454" s="530"/>
      <c r="R454" s="530"/>
      <c r="S454" s="530"/>
      <c r="T454" s="530"/>
      <c r="U454" s="530"/>
      <c r="V454" s="132"/>
      <c r="W454" s="133"/>
      <c r="X454" s="132"/>
      <c r="Y454" s="132"/>
      <c r="Z454" s="132"/>
      <c r="AA454" s="132"/>
    </row>
    <row r="455" spans="1:27" ht="20.100000000000001" hidden="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/>
      <c r="G455" s="108"/>
      <c r="H455" s="539">
        <f t="shared" si="195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15.5</v>
      </c>
      <c r="M455" s="109">
        <f t="shared" si="199"/>
        <v>0</v>
      </c>
      <c r="N455" s="130">
        <f t="shared" si="200"/>
        <v>0</v>
      </c>
      <c r="O455" s="530"/>
      <c r="P455" s="530"/>
      <c r="Q455" s="530"/>
      <c r="R455" s="530"/>
      <c r="S455" s="530"/>
      <c r="T455" s="530"/>
      <c r="U455" s="530"/>
      <c r="V455" s="132">
        <f t="shared" ref="V455:V456" si="204">SUM(X455:AA455)</f>
        <v>0</v>
      </c>
      <c r="W455" s="133" t="str">
        <f t="shared" ref="W455:W456" si="205">IF(ISERROR(V455/G455),"",V455/G455)</f>
        <v/>
      </c>
      <c r="X455" s="132"/>
      <c r="Y455" s="132"/>
      <c r="Z455" s="132"/>
      <c r="AA455" s="132"/>
    </row>
    <row r="456" spans="1:27" ht="20.100000000000001" hidden="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/>
      <c r="G456" s="108"/>
      <c r="H456" s="539">
        <f t="shared" si="195"/>
        <v>0</v>
      </c>
      <c r="I456" s="129"/>
      <c r="J456" s="130" t="str">
        <f t="array" ref="J456">IF(ISERROR(G456/I456),"",G456/I456)</f>
        <v/>
      </c>
      <c r="K456" s="131">
        <f t="array" ref="K456">IF(ISERROR(G456/L456),"",G456/L456)</f>
        <v>0</v>
      </c>
      <c r="L456" s="129">
        <v>15.5</v>
      </c>
      <c r="M456" s="109">
        <f t="shared" si="199"/>
        <v>0</v>
      </c>
      <c r="N456" s="130">
        <f t="shared" si="200"/>
        <v>0</v>
      </c>
      <c r="O456" s="530"/>
      <c r="P456" s="530"/>
      <c r="Q456" s="530"/>
      <c r="R456" s="530"/>
      <c r="S456" s="530"/>
      <c r="T456" s="530"/>
      <c r="U456" s="530"/>
      <c r="V456" s="132">
        <f t="shared" si="204"/>
        <v>0</v>
      </c>
      <c r="W456" s="133" t="str">
        <f t="shared" si="205"/>
        <v/>
      </c>
      <c r="X456" s="132"/>
      <c r="Y456" s="132"/>
      <c r="Z456" s="132"/>
      <c r="AA456" s="132"/>
    </row>
    <row r="457" spans="1:27" ht="20.100000000000001" hidden="1" customHeight="1">
      <c r="A457" s="299">
        <v>30400004</v>
      </c>
      <c r="B457" s="151" t="s">
        <v>419</v>
      </c>
      <c r="C457" s="187" t="s">
        <v>73</v>
      </c>
      <c r="D457" s="108"/>
      <c r="E457" s="108"/>
      <c r="F457" s="127"/>
      <c r="G457" s="108"/>
      <c r="H457" s="539">
        <f t="shared" si="195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199"/>
        <v>0</v>
      </c>
      <c r="N457" s="130"/>
      <c r="O457" s="530"/>
      <c r="P457" s="530"/>
      <c r="Q457" s="530"/>
      <c r="R457" s="530"/>
      <c r="S457" s="530"/>
      <c r="T457" s="530"/>
      <c r="U457" s="530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08"/>
      <c r="H458" s="539">
        <f t="shared" si="195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199"/>
        <v>0</v>
      </c>
      <c r="N458" s="130"/>
      <c r="O458" s="530"/>
      <c r="P458" s="530"/>
      <c r="Q458" s="530"/>
      <c r="R458" s="530"/>
      <c r="S458" s="530"/>
      <c r="T458" s="530"/>
      <c r="U458" s="530"/>
      <c r="V458" s="132"/>
      <c r="W458" s="133"/>
      <c r="X458" s="132"/>
      <c r="Y458" s="132"/>
      <c r="Z458" s="132"/>
      <c r="AA458" s="132"/>
    </row>
    <row r="459" spans="1:27" ht="20.100000000000001" hidden="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08"/>
      <c r="H459" s="539">
        <f t="shared" si="195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199"/>
        <v>0</v>
      </c>
      <c r="N459" s="130"/>
      <c r="O459" s="530"/>
      <c r="P459" s="530"/>
      <c r="Q459" s="530"/>
      <c r="R459" s="530"/>
      <c r="S459" s="530"/>
      <c r="T459" s="530"/>
      <c r="U459" s="530"/>
      <c r="V459" s="132"/>
      <c r="W459" s="133"/>
      <c r="X459" s="132"/>
      <c r="Y459" s="132"/>
      <c r="Z459" s="132"/>
      <c r="AA459" s="132"/>
    </row>
    <row r="460" spans="1:27" ht="20.100000000000001" hidden="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08"/>
      <c r="H460" s="539">
        <f t="shared" si="195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199"/>
        <v>0</v>
      </c>
      <c r="N460" s="130">
        <f t="shared" ref="N460:N462" si="206">SUM(O460:U460)</f>
        <v>0</v>
      </c>
      <c r="O460" s="530"/>
      <c r="P460" s="530"/>
      <c r="Q460" s="530"/>
      <c r="R460" s="530"/>
      <c r="S460" s="530"/>
      <c r="T460" s="530"/>
      <c r="U460" s="530"/>
      <c r="V460" s="132">
        <f t="shared" ref="V460:V462" si="207">SUM(X460:AA460)</f>
        <v>0</v>
      </c>
      <c r="W460" s="133" t="str">
        <f t="shared" ref="W460:W484" si="208">IF(ISERROR(V460/G460),"",V460/G460)</f>
        <v/>
      </c>
      <c r="X460" s="132"/>
      <c r="Y460" s="132"/>
      <c r="Z460" s="132"/>
      <c r="AA460" s="132"/>
    </row>
    <row r="461" spans="1:27" ht="20.100000000000001" hidden="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08"/>
      <c r="H461" s="539">
        <f t="shared" si="195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si="199"/>
        <v>0</v>
      </c>
      <c r="N461" s="130">
        <f t="shared" si="206"/>
        <v>0</v>
      </c>
      <c r="O461" s="530"/>
      <c r="P461" s="530"/>
      <c r="Q461" s="530"/>
      <c r="R461" s="530"/>
      <c r="S461" s="530"/>
      <c r="T461" s="530"/>
      <c r="U461" s="530"/>
      <c r="V461" s="132">
        <f t="shared" si="207"/>
        <v>0</v>
      </c>
      <c r="W461" s="133" t="str">
        <f t="shared" si="208"/>
        <v/>
      </c>
      <c r="X461" s="132"/>
      <c r="Y461" s="132"/>
      <c r="Z461" s="132"/>
      <c r="AA461" s="132"/>
    </row>
    <row r="462" spans="1:27" ht="20.100000000000001" hidden="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08"/>
      <c r="H462" s="539">
        <f t="shared" si="195"/>
        <v>0</v>
      </c>
      <c r="I462" s="129"/>
      <c r="J462" s="130" t="str">
        <f t="array" ref="J462">IF(ISERROR(G462/I462),"",G462/I462)</f>
        <v/>
      </c>
      <c r="K462" s="539">
        <f t="array" ref="K462">IF(ISERROR(G462/L462),"",G462/L462)</f>
        <v>0</v>
      </c>
      <c r="L462" s="129">
        <v>9</v>
      </c>
      <c r="M462" s="109">
        <f t="shared" si="199"/>
        <v>0</v>
      </c>
      <c r="N462" s="130">
        <f t="shared" si="206"/>
        <v>0</v>
      </c>
      <c r="O462" s="530"/>
      <c r="P462" s="530"/>
      <c r="Q462" s="530"/>
      <c r="R462" s="530"/>
      <c r="S462" s="530"/>
      <c r="T462" s="530"/>
      <c r="U462" s="530"/>
      <c r="V462" s="132">
        <f t="shared" si="207"/>
        <v>0</v>
      </c>
      <c r="W462" s="133" t="str">
        <f t="shared" si="208"/>
        <v/>
      </c>
      <c r="X462" s="132"/>
      <c r="Y462" s="132"/>
      <c r="Z462" s="132"/>
      <c r="AA462" s="132"/>
    </row>
    <row r="463" spans="1:27" ht="20.100000000000001" hidden="1" customHeight="1">
      <c r="A463" s="578" t="s">
        <v>224</v>
      </c>
      <c r="B463" s="579"/>
      <c r="C463" s="537" t="s">
        <v>202</v>
      </c>
      <c r="D463" s="143"/>
      <c r="E463" s="143"/>
      <c r="F463" s="144"/>
      <c r="G463" s="143">
        <f>SUM(G429:G462)</f>
        <v>0</v>
      </c>
      <c r="H463" s="146">
        <f>SUM(H429:H462)</f>
        <v>0</v>
      </c>
      <c r="I463" s="146">
        <f>SUM(I429:I462)</f>
        <v>0</v>
      </c>
      <c r="J463" s="130" t="str">
        <f t="array" ref="J463">IF(ISERROR(G463/I463),"",G463/I463)</f>
        <v/>
      </c>
      <c r="K463" s="146">
        <f>SUM(K429:K462)</f>
        <v>0</v>
      </c>
      <c r="L463" s="147"/>
      <c r="M463" s="150">
        <f t="shared" ref="M463:V463" si="209">SUM(M429:M462)</f>
        <v>0</v>
      </c>
      <c r="N463" s="146">
        <f t="shared" si="209"/>
        <v>0</v>
      </c>
      <c r="O463" s="148">
        <f t="shared" si="209"/>
        <v>0</v>
      </c>
      <c r="P463" s="148">
        <f t="shared" si="209"/>
        <v>0</v>
      </c>
      <c r="Q463" s="148">
        <f t="shared" si="209"/>
        <v>0</v>
      </c>
      <c r="R463" s="148">
        <f t="shared" si="209"/>
        <v>0</v>
      </c>
      <c r="S463" s="148">
        <f t="shared" si="209"/>
        <v>0</v>
      </c>
      <c r="T463" s="148">
        <f t="shared" si="209"/>
        <v>0</v>
      </c>
      <c r="U463" s="148">
        <f t="shared" si="209"/>
        <v>0</v>
      </c>
      <c r="V463" s="149">
        <f t="shared" si="209"/>
        <v>0</v>
      </c>
      <c r="W463" s="133" t="str">
        <f t="shared" si="208"/>
        <v/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hidden="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08"/>
      <c r="H464" s="539">
        <f t="shared" ref="H464:H478" si="210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8" si="211">IF(ISERROR(I464-K464),"",I464-K464)</f>
        <v>0</v>
      </c>
      <c r="N464" s="130">
        <f t="shared" ref="N464:N478" si="212">SUM(O464:U464)</f>
        <v>0</v>
      </c>
      <c r="O464" s="530"/>
      <c r="P464" s="530"/>
      <c r="Q464" s="530"/>
      <c r="R464" s="530"/>
      <c r="S464" s="530"/>
      <c r="T464" s="530"/>
      <c r="U464" s="530"/>
      <c r="V464" s="132">
        <f t="shared" ref="V464:V478" si="213">SUM(X464:AA464)</f>
        <v>0</v>
      </c>
      <c r="W464" s="133" t="str">
        <f t="shared" si="208"/>
        <v/>
      </c>
      <c r="X464" s="132"/>
      <c r="Y464" s="132"/>
      <c r="Z464" s="132"/>
      <c r="AA464" s="132"/>
    </row>
    <row r="465" spans="1:27" ht="20.100000000000001" hidden="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08"/>
      <c r="H465" s="539">
        <f t="shared" si="210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1"/>
        <v>0</v>
      </c>
      <c r="N465" s="130">
        <f t="shared" si="212"/>
        <v>0</v>
      </c>
      <c r="O465" s="530"/>
      <c r="P465" s="530"/>
      <c r="Q465" s="530"/>
      <c r="R465" s="530"/>
      <c r="S465" s="530"/>
      <c r="T465" s="530"/>
      <c r="U465" s="530"/>
      <c r="V465" s="132">
        <f t="shared" si="213"/>
        <v>0</v>
      </c>
      <c r="W465" s="133" t="str">
        <f t="shared" si="208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08"/>
      <c r="H466" s="539">
        <f t="shared" si="210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1"/>
        <v>0</v>
      </c>
      <c r="N466" s="130">
        <f t="shared" si="212"/>
        <v>0</v>
      </c>
      <c r="O466" s="530"/>
      <c r="P466" s="530"/>
      <c r="Q466" s="530"/>
      <c r="R466" s="530"/>
      <c r="S466" s="530"/>
      <c r="T466" s="530"/>
      <c r="U466" s="530"/>
      <c r="V466" s="132">
        <f t="shared" si="213"/>
        <v>0</v>
      </c>
      <c r="W466" s="133" t="str">
        <f t="shared" si="208"/>
        <v/>
      </c>
      <c r="X466" s="132"/>
      <c r="Y466" s="132"/>
      <c r="Z466" s="132"/>
      <c r="AA466" s="132"/>
    </row>
    <row r="467" spans="1:27" ht="20.100000000000001" hidden="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08"/>
      <c r="H467" s="539">
        <f t="shared" si="210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1"/>
        <v>0</v>
      </c>
      <c r="N467" s="130">
        <f t="shared" si="212"/>
        <v>0</v>
      </c>
      <c r="O467" s="530"/>
      <c r="P467" s="530"/>
      <c r="Q467" s="530"/>
      <c r="R467" s="530"/>
      <c r="S467" s="530"/>
      <c r="T467" s="530"/>
      <c r="U467" s="530"/>
      <c r="V467" s="132">
        <f t="shared" si="213"/>
        <v>0</v>
      </c>
      <c r="W467" s="133" t="str">
        <f t="shared" si="208"/>
        <v/>
      </c>
      <c r="X467" s="132"/>
      <c r="Y467" s="132"/>
      <c r="Z467" s="132"/>
      <c r="AA467" s="132"/>
    </row>
    <row r="468" spans="1:27" ht="20.100000000000001" hidden="1" customHeight="1">
      <c r="A468" s="299">
        <v>30100054</v>
      </c>
      <c r="B468" s="140" t="s">
        <v>227</v>
      </c>
      <c r="C468" s="535" t="s">
        <v>203</v>
      </c>
      <c r="D468" s="108">
        <v>5.03</v>
      </c>
      <c r="E468" s="108"/>
      <c r="F468" s="127"/>
      <c r="G468" s="108"/>
      <c r="H468" s="539">
        <f t="shared" si="210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1"/>
        <v>0</v>
      </c>
      <c r="N468" s="130">
        <f t="shared" si="212"/>
        <v>0</v>
      </c>
      <c r="O468" s="530"/>
      <c r="P468" s="530"/>
      <c r="Q468" s="530"/>
      <c r="R468" s="530"/>
      <c r="S468" s="530"/>
      <c r="T468" s="530"/>
      <c r="U468" s="530"/>
      <c r="V468" s="132">
        <f t="shared" si="213"/>
        <v>0</v>
      </c>
      <c r="W468" s="133" t="str">
        <f t="shared" si="208"/>
        <v/>
      </c>
      <c r="X468" s="132"/>
      <c r="Y468" s="132"/>
      <c r="Z468" s="132"/>
      <c r="AA468" s="132"/>
    </row>
    <row r="469" spans="1:27" ht="20.100000000000001" hidden="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08"/>
      <c r="H469" s="539">
        <f t="shared" si="210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1"/>
        <v>0</v>
      </c>
      <c r="N469" s="130">
        <f t="shared" si="212"/>
        <v>0</v>
      </c>
      <c r="O469" s="530"/>
      <c r="P469" s="530"/>
      <c r="Q469" s="530"/>
      <c r="R469" s="530"/>
      <c r="S469" s="530"/>
      <c r="T469" s="530"/>
      <c r="U469" s="530"/>
      <c r="V469" s="132">
        <f t="shared" si="213"/>
        <v>0</v>
      </c>
      <c r="W469" s="133" t="str">
        <f t="shared" si="208"/>
        <v/>
      </c>
      <c r="X469" s="132"/>
      <c r="Y469" s="132"/>
      <c r="Z469" s="132"/>
      <c r="AA469" s="132"/>
    </row>
    <row r="470" spans="1:27" ht="20.100000000000001" hidden="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08"/>
      <c r="H470" s="539">
        <f t="shared" si="210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1"/>
        <v>0</v>
      </c>
      <c r="N470" s="130">
        <f t="shared" si="212"/>
        <v>0</v>
      </c>
      <c r="O470" s="530"/>
      <c r="P470" s="530"/>
      <c r="Q470" s="530"/>
      <c r="R470" s="530"/>
      <c r="S470" s="530"/>
      <c r="T470" s="530"/>
      <c r="U470" s="530"/>
      <c r="V470" s="132">
        <f t="shared" si="213"/>
        <v>0</v>
      </c>
      <c r="W470" s="133" t="str">
        <f t="shared" si="208"/>
        <v/>
      </c>
      <c r="X470" s="132"/>
      <c r="Y470" s="132"/>
      <c r="Z470" s="132"/>
      <c r="AA470" s="132"/>
    </row>
    <row r="471" spans="1:27" ht="20.100000000000001" hidden="1" customHeight="1">
      <c r="A471" s="299"/>
      <c r="B471" s="140" t="s">
        <v>227</v>
      </c>
      <c r="C471" s="535" t="s">
        <v>228</v>
      </c>
      <c r="D471" s="108">
        <v>5.03</v>
      </c>
      <c r="E471" s="108"/>
      <c r="F471" s="127"/>
      <c r="G471" s="108"/>
      <c r="H471" s="539">
        <f t="shared" si="210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1"/>
        <v>0</v>
      </c>
      <c r="N471" s="130">
        <f t="shared" si="212"/>
        <v>0</v>
      </c>
      <c r="O471" s="530"/>
      <c r="P471" s="530"/>
      <c r="Q471" s="530"/>
      <c r="R471" s="530"/>
      <c r="S471" s="530"/>
      <c r="T471" s="530"/>
      <c r="U471" s="530"/>
      <c r="V471" s="132">
        <f t="shared" si="213"/>
        <v>0</v>
      </c>
      <c r="W471" s="133" t="str">
        <f t="shared" si="208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30101067</v>
      </c>
      <c r="B472" s="140" t="s">
        <v>229</v>
      </c>
      <c r="C472" s="535" t="s">
        <v>212</v>
      </c>
      <c r="D472" s="108">
        <v>5.03</v>
      </c>
      <c r="E472" s="108"/>
      <c r="F472" s="127"/>
      <c r="G472" s="108"/>
      <c r="H472" s="539">
        <f t="shared" si="210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1"/>
        <v/>
      </c>
      <c r="N472" s="130">
        <f t="shared" si="212"/>
        <v>0</v>
      </c>
      <c r="O472" s="530"/>
      <c r="P472" s="530"/>
      <c r="Q472" s="530"/>
      <c r="R472" s="530"/>
      <c r="S472" s="530"/>
      <c r="T472" s="530"/>
      <c r="U472" s="530"/>
      <c r="V472" s="132">
        <f t="shared" si="213"/>
        <v>0</v>
      </c>
      <c r="W472" s="133" t="str">
        <f t="shared" si="208"/>
        <v/>
      </c>
      <c r="X472" s="132"/>
      <c r="Y472" s="132"/>
      <c r="Z472" s="132"/>
      <c r="AA472" s="132"/>
    </row>
    <row r="473" spans="1:27" ht="20.100000000000001" hidden="1" customHeight="1">
      <c r="A473" s="299">
        <v>30101068</v>
      </c>
      <c r="B473" s="140" t="s">
        <v>229</v>
      </c>
      <c r="C473" s="535" t="s">
        <v>203</v>
      </c>
      <c r="D473" s="108">
        <v>5.03</v>
      </c>
      <c r="E473" s="108"/>
      <c r="F473" s="127"/>
      <c r="G473" s="108"/>
      <c r="H473" s="539">
        <f t="shared" si="210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1"/>
        <v/>
      </c>
      <c r="N473" s="130">
        <f t="shared" si="212"/>
        <v>0</v>
      </c>
      <c r="O473" s="530"/>
      <c r="P473" s="530"/>
      <c r="Q473" s="530"/>
      <c r="R473" s="530"/>
      <c r="S473" s="530"/>
      <c r="T473" s="530"/>
      <c r="U473" s="530"/>
      <c r="V473" s="132">
        <f t="shared" si="213"/>
        <v>0</v>
      </c>
      <c r="W473" s="133" t="str">
        <f t="shared" si="208"/>
        <v/>
      </c>
      <c r="X473" s="132"/>
      <c r="Y473" s="132"/>
      <c r="Z473" s="132"/>
      <c r="AA473" s="132"/>
    </row>
    <row r="474" spans="1:27" ht="20.100000000000001" hidden="1" customHeight="1">
      <c r="A474" s="299">
        <v>30101069</v>
      </c>
      <c r="B474" s="140" t="s">
        <v>229</v>
      </c>
      <c r="C474" s="535" t="s">
        <v>186</v>
      </c>
      <c r="D474" s="108">
        <v>5.03</v>
      </c>
      <c r="E474" s="108"/>
      <c r="F474" s="127"/>
      <c r="G474" s="108"/>
      <c r="H474" s="539">
        <f t="shared" si="210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1"/>
        <v/>
      </c>
      <c r="N474" s="130">
        <f t="shared" si="212"/>
        <v>0</v>
      </c>
      <c r="O474" s="530"/>
      <c r="P474" s="530"/>
      <c r="Q474" s="530"/>
      <c r="R474" s="530"/>
      <c r="S474" s="530"/>
      <c r="T474" s="530"/>
      <c r="U474" s="530"/>
      <c r="V474" s="132">
        <f t="shared" si="213"/>
        <v>0</v>
      </c>
      <c r="W474" s="133" t="str">
        <f t="shared" si="208"/>
        <v/>
      </c>
      <c r="X474" s="132"/>
      <c r="Y474" s="132"/>
      <c r="Z474" s="132"/>
      <c r="AA474" s="132"/>
    </row>
    <row r="475" spans="1:27" ht="20.100000000000001" hidden="1" customHeight="1">
      <c r="A475" s="299">
        <v>30101070</v>
      </c>
      <c r="B475" s="140" t="s">
        <v>229</v>
      </c>
      <c r="C475" s="535" t="s">
        <v>228</v>
      </c>
      <c r="D475" s="108">
        <v>5.03</v>
      </c>
      <c r="E475" s="108"/>
      <c r="F475" s="127"/>
      <c r="G475" s="108"/>
      <c r="H475" s="539">
        <f t="shared" si="210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1"/>
        <v/>
      </c>
      <c r="N475" s="130">
        <f t="shared" si="212"/>
        <v>0</v>
      </c>
      <c r="O475" s="530"/>
      <c r="P475" s="530"/>
      <c r="Q475" s="530"/>
      <c r="R475" s="530"/>
      <c r="S475" s="530"/>
      <c r="T475" s="530"/>
      <c r="U475" s="530"/>
      <c r="V475" s="132">
        <f t="shared" si="213"/>
        <v>0</v>
      </c>
      <c r="W475" s="133" t="str">
        <f t="shared" si="208"/>
        <v/>
      </c>
      <c r="X475" s="132"/>
      <c r="Y475" s="132"/>
      <c r="Z475" s="132"/>
      <c r="AA475" s="132"/>
    </row>
    <row r="476" spans="1:27" ht="20.100000000000001" hidden="1" customHeight="1">
      <c r="A476" s="299">
        <v>30101071</v>
      </c>
      <c r="B476" s="140" t="s">
        <v>229</v>
      </c>
      <c r="C476" s="535" t="s">
        <v>199</v>
      </c>
      <c r="D476" s="108">
        <v>5.03</v>
      </c>
      <c r="E476" s="108"/>
      <c r="F476" s="127"/>
      <c r="G476" s="108"/>
      <c r="H476" s="539">
        <f t="shared" si="210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1"/>
        <v/>
      </c>
      <c r="N476" s="130">
        <f t="shared" si="212"/>
        <v>0</v>
      </c>
      <c r="O476" s="530"/>
      <c r="P476" s="530"/>
      <c r="Q476" s="530"/>
      <c r="R476" s="530"/>
      <c r="S476" s="530"/>
      <c r="T476" s="530"/>
      <c r="U476" s="530"/>
      <c r="V476" s="132">
        <f t="shared" si="213"/>
        <v>0</v>
      </c>
      <c r="W476" s="133" t="str">
        <f t="shared" si="208"/>
        <v/>
      </c>
      <c r="X476" s="132"/>
      <c r="Y476" s="132"/>
      <c r="Z476" s="132"/>
      <c r="AA476" s="132"/>
    </row>
    <row r="477" spans="1:27" ht="20.100000000000001" hidden="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08"/>
      <c r="H477" s="539">
        <f t="shared" si="210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si="211"/>
        <v>0</v>
      </c>
      <c r="N477" s="130">
        <f t="shared" si="212"/>
        <v>0</v>
      </c>
      <c r="O477" s="530"/>
      <c r="P477" s="530"/>
      <c r="Q477" s="530"/>
      <c r="R477" s="530"/>
      <c r="S477" s="530"/>
      <c r="T477" s="530"/>
      <c r="U477" s="530"/>
      <c r="V477" s="132">
        <f t="shared" si="213"/>
        <v>0</v>
      </c>
      <c r="W477" s="133" t="str">
        <f t="shared" si="208"/>
        <v/>
      </c>
      <c r="X477" s="132"/>
      <c r="Y477" s="132"/>
      <c r="Z477" s="132"/>
      <c r="AA477" s="132"/>
    </row>
    <row r="478" spans="1:27" ht="20.100000000000001" hidden="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08"/>
      <c r="H478" s="539">
        <f t="shared" si="210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1"/>
        <v>0</v>
      </c>
      <c r="N478" s="130">
        <f t="shared" si="212"/>
        <v>0</v>
      </c>
      <c r="O478" s="530"/>
      <c r="P478" s="530"/>
      <c r="Q478" s="530"/>
      <c r="R478" s="530"/>
      <c r="S478" s="530"/>
      <c r="T478" s="530"/>
      <c r="U478" s="530"/>
      <c r="V478" s="132">
        <f t="shared" si="213"/>
        <v>0</v>
      </c>
      <c r="W478" s="133" t="str">
        <f t="shared" si="208"/>
        <v/>
      </c>
      <c r="X478" s="132"/>
      <c r="Y478" s="132"/>
      <c r="Z478" s="132"/>
      <c r="AA478" s="132"/>
    </row>
    <row r="479" spans="1:27" ht="20.100000000000001" hidden="1" customHeight="1">
      <c r="A479" s="578" t="s">
        <v>231</v>
      </c>
      <c r="B479" s="579"/>
      <c r="C479" s="537" t="s">
        <v>202</v>
      </c>
      <c r="D479" s="143"/>
      <c r="E479" s="143"/>
      <c r="F479" s="144"/>
      <c r="G479" s="143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08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hidden="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08"/>
      <c r="H480" s="539">
        <f t="shared" ref="H480:H489" si="214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4" si="215">IF(ISERROR(I480-K480),"",I480-K480)</f>
        <v>0</v>
      </c>
      <c r="N480" s="130">
        <f t="shared" ref="N480:N484" si="216">SUM(O480:U480)</f>
        <v>0</v>
      </c>
      <c r="O480" s="530"/>
      <c r="P480" s="530"/>
      <c r="Q480" s="530"/>
      <c r="R480" s="530"/>
      <c r="S480" s="530"/>
      <c r="T480" s="530"/>
      <c r="U480" s="530"/>
      <c r="V480" s="132">
        <f t="shared" ref="V480:V484" si="217">SUM(X480:AA480)</f>
        <v>0</v>
      </c>
      <c r="W480" s="133" t="str">
        <f t="shared" si="208"/>
        <v/>
      </c>
      <c r="X480" s="132"/>
      <c r="Y480" s="132"/>
      <c r="Z480" s="132"/>
      <c r="AA480" s="132"/>
    </row>
    <row r="481" spans="1:27" ht="20.100000000000001" hidden="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08"/>
      <c r="H481" s="539">
        <f t="shared" si="214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5"/>
        <v>0</v>
      </c>
      <c r="N481" s="130">
        <f t="shared" si="216"/>
        <v>0</v>
      </c>
      <c r="O481" s="530"/>
      <c r="P481" s="530"/>
      <c r="Q481" s="530"/>
      <c r="R481" s="530"/>
      <c r="S481" s="530"/>
      <c r="T481" s="530"/>
      <c r="U481" s="530"/>
      <c r="V481" s="132">
        <f t="shared" si="217"/>
        <v>0</v>
      </c>
      <c r="W481" s="133" t="str">
        <f t="shared" si="208"/>
        <v/>
      </c>
      <c r="X481" s="132"/>
      <c r="Y481" s="132"/>
      <c r="Z481" s="132"/>
      <c r="AA481" s="132"/>
    </row>
    <row r="482" spans="1:27" ht="20.100000000000001" hidden="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08"/>
      <c r="H482" s="539">
        <f t="shared" si="214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5"/>
        <v>0</v>
      </c>
      <c r="N482" s="130">
        <f t="shared" si="216"/>
        <v>0</v>
      </c>
      <c r="O482" s="530"/>
      <c r="P482" s="530"/>
      <c r="Q482" s="530"/>
      <c r="R482" s="530"/>
      <c r="S482" s="530"/>
      <c r="T482" s="530"/>
      <c r="U482" s="530"/>
      <c r="V482" s="132">
        <f t="shared" si="217"/>
        <v>0</v>
      </c>
      <c r="W482" s="133" t="str">
        <f t="shared" si="208"/>
        <v/>
      </c>
      <c r="X482" s="132"/>
      <c r="Y482" s="132"/>
      <c r="Z482" s="132"/>
      <c r="AA482" s="132"/>
    </row>
    <row r="483" spans="1:27" ht="20.100000000000001" hidden="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08"/>
      <c r="H483" s="539">
        <f t="shared" si="214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15"/>
        <v>0</v>
      </c>
      <c r="N483" s="130">
        <f t="shared" si="216"/>
        <v>0</v>
      </c>
      <c r="O483" s="530"/>
      <c r="P483" s="530"/>
      <c r="Q483" s="530"/>
      <c r="R483" s="530"/>
      <c r="S483" s="530"/>
      <c r="T483" s="530"/>
      <c r="U483" s="530"/>
      <c r="V483" s="132">
        <f t="shared" si="217"/>
        <v>0</v>
      </c>
      <c r="W483" s="133" t="str">
        <f t="shared" si="208"/>
        <v/>
      </c>
      <c r="X483" s="132"/>
      <c r="Y483" s="132"/>
      <c r="Z483" s="132"/>
      <c r="AA483" s="132"/>
    </row>
    <row r="484" spans="1:27" ht="20.100000000000001" hidden="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08"/>
      <c r="H484" s="539">
        <f t="shared" si="214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15"/>
        <v>0</v>
      </c>
      <c r="N484" s="130">
        <f t="shared" si="216"/>
        <v>0</v>
      </c>
      <c r="O484" s="530"/>
      <c r="P484" s="530"/>
      <c r="Q484" s="530"/>
      <c r="R484" s="530"/>
      <c r="S484" s="530"/>
      <c r="T484" s="530"/>
      <c r="U484" s="530"/>
      <c r="V484" s="132">
        <f t="shared" si="217"/>
        <v>0</v>
      </c>
      <c r="W484" s="133" t="str">
        <f t="shared" si="208"/>
        <v/>
      </c>
      <c r="X484" s="132"/>
      <c r="Y484" s="132"/>
      <c r="Z484" s="132"/>
      <c r="AA484" s="132"/>
    </row>
    <row r="485" spans="1:27" ht="20.100000000000001" hidden="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08"/>
      <c r="H485" s="539">
        <f t="shared" si="214"/>
        <v>0</v>
      </c>
      <c r="I485" s="129"/>
      <c r="J485" s="130"/>
      <c r="K485" s="131"/>
      <c r="L485" s="129">
        <v>13.5</v>
      </c>
      <c r="M485" s="109"/>
      <c r="N485" s="130"/>
      <c r="O485" s="530"/>
      <c r="P485" s="530"/>
      <c r="Q485" s="530"/>
      <c r="R485" s="530"/>
      <c r="S485" s="530"/>
      <c r="T485" s="530"/>
      <c r="U485" s="530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30400020</v>
      </c>
      <c r="B486" s="134" t="s">
        <v>439</v>
      </c>
      <c r="C486" s="187" t="s">
        <v>74</v>
      </c>
      <c r="D486" s="108">
        <v>5.04</v>
      </c>
      <c r="E486" s="108"/>
      <c r="F486" s="127"/>
      <c r="G486" s="108"/>
      <c r="H486" s="539">
        <f t="shared" si="214"/>
        <v>0</v>
      </c>
      <c r="I486" s="129"/>
      <c r="J486" s="130"/>
      <c r="K486" s="131"/>
      <c r="L486" s="129">
        <v>13.5</v>
      </c>
      <c r="M486" s="109"/>
      <c r="N486" s="130"/>
      <c r="O486" s="530"/>
      <c r="P486" s="530"/>
      <c r="Q486" s="530"/>
      <c r="R486" s="530"/>
      <c r="S486" s="530"/>
      <c r="T486" s="530"/>
      <c r="U486" s="530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0">
        <v>30400021</v>
      </c>
      <c r="B487" s="134" t="s">
        <v>439</v>
      </c>
      <c r="C487" s="187" t="s">
        <v>53</v>
      </c>
      <c r="D487" s="108">
        <v>5.04</v>
      </c>
      <c r="E487" s="108"/>
      <c r="F487" s="127"/>
      <c r="G487" s="108"/>
      <c r="H487" s="539">
        <f t="shared" si="214"/>
        <v>0</v>
      </c>
      <c r="I487" s="129"/>
      <c r="J487" s="130"/>
      <c r="K487" s="131"/>
      <c r="L487" s="129">
        <v>13.5</v>
      </c>
      <c r="M487" s="109"/>
      <c r="N487" s="130"/>
      <c r="O487" s="530"/>
      <c r="P487" s="530"/>
      <c r="Q487" s="530"/>
      <c r="R487" s="530"/>
      <c r="S487" s="530"/>
      <c r="T487" s="530"/>
      <c r="U487" s="530"/>
      <c r="V487" s="132"/>
      <c r="W487" s="133"/>
      <c r="X487" s="132"/>
      <c r="Y487" s="132"/>
      <c r="Z487" s="132"/>
      <c r="AA487" s="132"/>
    </row>
    <row r="488" spans="1:27" ht="20.100000000000001" hidden="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08"/>
      <c r="H488" s="539">
        <f t="shared" si="214"/>
        <v>0</v>
      </c>
      <c r="I488" s="129"/>
      <c r="J488" s="130"/>
      <c r="K488" s="131"/>
      <c r="L488" s="129">
        <v>13.5</v>
      </c>
      <c r="M488" s="109"/>
      <c r="N488" s="130"/>
      <c r="O488" s="530"/>
      <c r="P488" s="530"/>
      <c r="Q488" s="530"/>
      <c r="R488" s="530"/>
      <c r="S488" s="530"/>
      <c r="T488" s="530"/>
      <c r="U488" s="530"/>
      <c r="V488" s="132"/>
      <c r="W488" s="133"/>
      <c r="X488" s="132"/>
      <c r="Y488" s="132"/>
      <c r="Z488" s="132"/>
      <c r="AA488" s="132"/>
    </row>
    <row r="489" spans="1:27" ht="20.100000000000001" hidden="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08"/>
      <c r="H489" s="539">
        <f t="shared" si="214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ref="M489" si="218">IF(ISERROR(I489-K489),"",I489-K489)</f>
        <v>0</v>
      </c>
      <c r="N489" s="130">
        <f t="shared" ref="N489" si="219">SUM(O489:U489)</f>
        <v>0</v>
      </c>
      <c r="O489" s="530"/>
      <c r="P489" s="530"/>
      <c r="Q489" s="530"/>
      <c r="R489" s="530"/>
      <c r="S489" s="530"/>
      <c r="T489" s="530"/>
      <c r="U489" s="530"/>
      <c r="V489" s="132">
        <f t="shared" ref="V489" si="220">SUM(X489:AA489)</f>
        <v>0</v>
      </c>
      <c r="W489" s="133" t="str">
        <f t="shared" ref="W489:W494" si="221">IF(ISERROR(V489/G489),"",V489/G489)</f>
        <v/>
      </c>
      <c r="X489" s="132"/>
      <c r="Y489" s="132"/>
      <c r="Z489" s="132"/>
      <c r="AA489" s="132"/>
    </row>
    <row r="490" spans="1:27" ht="20.100000000000001" hidden="1" customHeight="1">
      <c r="A490" s="578" t="s">
        <v>234</v>
      </c>
      <c r="B490" s="579"/>
      <c r="C490" s="537" t="s">
        <v>202</v>
      </c>
      <c r="D490" s="143"/>
      <c r="E490" s="143"/>
      <c r="F490" s="144"/>
      <c r="G490" s="143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1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hidden="1" customHeight="1">
      <c r="A491" s="299">
        <v>30700013</v>
      </c>
      <c r="B491" s="141" t="s">
        <v>235</v>
      </c>
      <c r="C491" s="529"/>
      <c r="D491" s="108">
        <v>3.65</v>
      </c>
      <c r="E491" s="108"/>
      <c r="F491" s="153"/>
      <c r="G491" s="108"/>
      <c r="H491" s="539">
        <f t="shared" ref="H491:H505" si="222">D491*G491</f>
        <v>0</v>
      </c>
      <c r="I491" s="129"/>
      <c r="J491" s="130" t="str">
        <f t="array" ref="J491">IF(ISERROR(G491/I491),"",G491/I491)</f>
        <v/>
      </c>
      <c r="K491" s="539">
        <f t="array" ref="K491">IF(ISERROR(G491/L491),"",G491/L491)</f>
        <v>0</v>
      </c>
      <c r="L491" s="129">
        <v>5</v>
      </c>
      <c r="M491" s="109">
        <f t="shared" ref="M491:M494" si="223">IF(ISERROR(I491-K491),"",I491-K491)</f>
        <v>0</v>
      </c>
      <c r="N491" s="130">
        <f t="shared" ref="N491:N494" si="224">SUM(O491:U491)</f>
        <v>0</v>
      </c>
      <c r="O491" s="530"/>
      <c r="P491" s="530"/>
      <c r="Q491" s="530"/>
      <c r="R491" s="530"/>
      <c r="S491" s="530"/>
      <c r="T491" s="530"/>
      <c r="U491" s="530"/>
      <c r="V491" s="132">
        <f t="shared" ref="V491:V494" si="225">SUM(X491:AA491)</f>
        <v>0</v>
      </c>
      <c r="W491" s="133" t="str">
        <f t="shared" si="221"/>
        <v/>
      </c>
      <c r="X491" s="132"/>
      <c r="Y491" s="132"/>
      <c r="Z491" s="132"/>
      <c r="AA491" s="132"/>
    </row>
    <row r="492" spans="1:27" ht="20.100000000000001" hidden="1" customHeight="1">
      <c r="A492" s="299">
        <v>30700014</v>
      </c>
      <c r="B492" s="141" t="s">
        <v>236</v>
      </c>
      <c r="C492" s="529"/>
      <c r="D492" s="108">
        <v>6.58</v>
      </c>
      <c r="E492" s="108"/>
      <c r="F492" s="127"/>
      <c r="G492" s="108"/>
      <c r="H492" s="539">
        <f t="shared" si="222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3"/>
        <v>0</v>
      </c>
      <c r="N492" s="130">
        <f t="shared" si="224"/>
        <v>0</v>
      </c>
      <c r="O492" s="530"/>
      <c r="P492" s="530"/>
      <c r="Q492" s="530"/>
      <c r="R492" s="530"/>
      <c r="S492" s="530"/>
      <c r="T492" s="530"/>
      <c r="U492" s="530"/>
      <c r="V492" s="132">
        <f t="shared" si="225"/>
        <v>0</v>
      </c>
      <c r="W492" s="133" t="str">
        <f t="shared" si="221"/>
        <v/>
      </c>
      <c r="X492" s="132"/>
      <c r="Y492" s="132"/>
      <c r="Z492" s="132"/>
      <c r="AA492" s="132"/>
    </row>
    <row r="493" spans="1:27" ht="20.100000000000001" hidden="1" customHeight="1">
      <c r="A493" s="299">
        <v>30700016</v>
      </c>
      <c r="B493" s="141" t="s">
        <v>237</v>
      </c>
      <c r="C493" s="529"/>
      <c r="D493" s="108">
        <v>7.8</v>
      </c>
      <c r="E493" s="108"/>
      <c r="F493" s="127"/>
      <c r="G493" s="108"/>
      <c r="H493" s="539">
        <f t="shared" si="222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3"/>
        <v>0</v>
      </c>
      <c r="N493" s="130">
        <f t="shared" si="224"/>
        <v>0</v>
      </c>
      <c r="O493" s="530"/>
      <c r="P493" s="530"/>
      <c r="Q493" s="530"/>
      <c r="R493" s="530"/>
      <c r="S493" s="530"/>
      <c r="T493" s="530"/>
      <c r="U493" s="530"/>
      <c r="V493" s="132">
        <f t="shared" si="225"/>
        <v>0</v>
      </c>
      <c r="W493" s="133" t="str">
        <f t="shared" si="221"/>
        <v/>
      </c>
      <c r="X493" s="132"/>
      <c r="Y493" s="132"/>
      <c r="Z493" s="132"/>
      <c r="AA493" s="132"/>
    </row>
    <row r="494" spans="1:27" ht="20.100000000000001" hidden="1" customHeight="1">
      <c r="A494" s="299">
        <v>30700017</v>
      </c>
      <c r="B494" s="141" t="s">
        <v>238</v>
      </c>
      <c r="C494" s="529"/>
      <c r="D494" s="108">
        <v>4.4000000000000004</v>
      </c>
      <c r="E494" s="108"/>
      <c r="F494" s="127"/>
      <c r="G494" s="108"/>
      <c r="H494" s="539">
        <f t="shared" si="222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3"/>
        <v>0</v>
      </c>
      <c r="N494" s="130">
        <f t="shared" si="224"/>
        <v>0</v>
      </c>
      <c r="O494" s="530"/>
      <c r="P494" s="530"/>
      <c r="Q494" s="530"/>
      <c r="R494" s="530"/>
      <c r="S494" s="530"/>
      <c r="T494" s="530"/>
      <c r="U494" s="530"/>
      <c r="V494" s="132">
        <f t="shared" si="225"/>
        <v>0</v>
      </c>
      <c r="W494" s="133" t="str">
        <f t="shared" si="221"/>
        <v/>
      </c>
      <c r="X494" s="132"/>
      <c r="Y494" s="132"/>
      <c r="Z494" s="132"/>
      <c r="AA494" s="132"/>
    </row>
    <row r="495" spans="1:27" ht="20.100000000000001" hidden="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08"/>
      <c r="H495" s="539">
        <f t="shared" si="222"/>
        <v>0</v>
      </c>
      <c r="I495" s="129"/>
      <c r="J495" s="130"/>
      <c r="K495" s="131"/>
      <c r="L495" s="129"/>
      <c r="M495" s="109"/>
      <c r="N495" s="130"/>
      <c r="O495" s="530"/>
      <c r="P495" s="530"/>
      <c r="Q495" s="530"/>
      <c r="R495" s="530"/>
      <c r="S495" s="530"/>
      <c r="T495" s="530"/>
      <c r="U495" s="530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299">
        <v>30700001</v>
      </c>
      <c r="B496" s="127" t="s">
        <v>359</v>
      </c>
      <c r="C496" s="529"/>
      <c r="D496" s="108"/>
      <c r="E496" s="108"/>
      <c r="F496" s="127"/>
      <c r="G496" s="108"/>
      <c r="H496" s="539">
        <f t="shared" si="222"/>
        <v>0</v>
      </c>
      <c r="I496" s="129"/>
      <c r="J496" s="130"/>
      <c r="K496" s="131"/>
      <c r="L496" s="129">
        <v>6</v>
      </c>
      <c r="M496" s="109"/>
      <c r="N496" s="130"/>
      <c r="O496" s="530"/>
      <c r="P496" s="530"/>
      <c r="Q496" s="530"/>
      <c r="R496" s="530"/>
      <c r="S496" s="530"/>
      <c r="T496" s="530"/>
      <c r="U496" s="530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/>
      <c r="B497" s="529" t="s">
        <v>239</v>
      </c>
      <c r="C497" s="529" t="s">
        <v>179</v>
      </c>
      <c r="D497" s="108">
        <v>6.04</v>
      </c>
      <c r="E497" s="108"/>
      <c r="F497" s="127"/>
      <c r="G497" s="108"/>
      <c r="H497" s="539">
        <f t="shared" si="222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498" si="226">IF(ISERROR(I497-K497),"",I497-K497)</f>
        <v>0</v>
      </c>
      <c r="N497" s="130">
        <f t="shared" ref="N497:N498" si="227">SUM(O497:U497)</f>
        <v>0</v>
      </c>
      <c r="O497" s="530"/>
      <c r="P497" s="530"/>
      <c r="Q497" s="530"/>
      <c r="R497" s="530"/>
      <c r="S497" s="530"/>
      <c r="T497" s="530"/>
      <c r="U497" s="530"/>
      <c r="V497" s="132">
        <f t="shared" ref="V497:V498" si="228">SUM(X497:AA497)</f>
        <v>0</v>
      </c>
      <c r="W497" s="133" t="str">
        <f t="shared" ref="W497:W498" si="229">IF(ISERROR(V497/G497),"",V497/G497)</f>
        <v/>
      </c>
      <c r="X497" s="132"/>
      <c r="Y497" s="132"/>
      <c r="Z497" s="132"/>
      <c r="AA497" s="132"/>
    </row>
    <row r="498" spans="1:27" ht="20.100000000000001" hidden="1" customHeight="1">
      <c r="A498" s="305">
        <v>30700019</v>
      </c>
      <c r="B498" s="529" t="s">
        <v>239</v>
      </c>
      <c r="C498" s="529" t="s">
        <v>186</v>
      </c>
      <c r="D498" s="108">
        <v>6.04</v>
      </c>
      <c r="E498" s="108"/>
      <c r="F498" s="127"/>
      <c r="G498" s="108"/>
      <c r="H498" s="539">
        <f t="shared" si="222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6"/>
        <v>0</v>
      </c>
      <c r="N498" s="130">
        <f t="shared" si="227"/>
        <v>0</v>
      </c>
      <c r="O498" s="530"/>
      <c r="P498" s="530"/>
      <c r="Q498" s="530"/>
      <c r="R498" s="530"/>
      <c r="S498" s="530"/>
      <c r="T498" s="530"/>
      <c r="U498" s="530"/>
      <c r="V498" s="132">
        <f t="shared" si="228"/>
        <v>0</v>
      </c>
      <c r="W498" s="133" t="str">
        <f t="shared" si="229"/>
        <v/>
      </c>
      <c r="X498" s="132"/>
      <c r="Y498" s="132"/>
      <c r="Z498" s="132"/>
      <c r="AA498" s="132"/>
    </row>
    <row r="499" spans="1:27" ht="20.100000000000001" hidden="1" customHeight="1">
      <c r="A499" s="305">
        <v>30601015</v>
      </c>
      <c r="B499" s="529" t="s">
        <v>443</v>
      </c>
      <c r="C499" s="529" t="s">
        <v>179</v>
      </c>
      <c r="D499" s="108"/>
      <c r="E499" s="108"/>
      <c r="F499" s="127"/>
      <c r="G499" s="108"/>
      <c r="H499" s="539">
        <f t="shared" si="222"/>
        <v>0</v>
      </c>
      <c r="I499" s="129"/>
      <c r="J499" s="130"/>
      <c r="K499" s="131"/>
      <c r="L499" s="129"/>
      <c r="M499" s="109"/>
      <c r="N499" s="130"/>
      <c r="O499" s="530"/>
      <c r="P499" s="530"/>
      <c r="Q499" s="530"/>
      <c r="R499" s="530"/>
      <c r="S499" s="530"/>
      <c r="T499" s="530"/>
      <c r="U499" s="530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305">
        <v>30101016</v>
      </c>
      <c r="B500" s="529" t="s">
        <v>443</v>
      </c>
      <c r="C500" s="529" t="s">
        <v>186</v>
      </c>
      <c r="D500" s="108"/>
      <c r="E500" s="108"/>
      <c r="F500" s="127"/>
      <c r="G500" s="108"/>
      <c r="H500" s="539">
        <f t="shared" si="222"/>
        <v>0</v>
      </c>
      <c r="I500" s="129"/>
      <c r="J500" s="130"/>
      <c r="K500" s="131"/>
      <c r="L500" s="129"/>
      <c r="M500" s="109"/>
      <c r="N500" s="130"/>
      <c r="O500" s="530"/>
      <c r="P500" s="530"/>
      <c r="Q500" s="530"/>
      <c r="R500" s="530"/>
      <c r="S500" s="530"/>
      <c r="T500" s="530"/>
      <c r="U500" s="530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30700018</v>
      </c>
      <c r="B501" s="531" t="s">
        <v>240</v>
      </c>
      <c r="C501" s="126"/>
      <c r="D501" s="108">
        <v>7.3</v>
      </c>
      <c r="E501" s="108"/>
      <c r="F501" s="127"/>
      <c r="G501" s="108"/>
      <c r="H501" s="539">
        <f t="shared" si="222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ref="M501" si="230">IF(ISERROR(I501-K501),"",I501-K501)</f>
        <v>0</v>
      </c>
      <c r="N501" s="130">
        <f t="shared" ref="N501" si="231">SUM(O501:U501)</f>
        <v>0</v>
      </c>
      <c r="O501" s="530"/>
      <c r="P501" s="530"/>
      <c r="Q501" s="530"/>
      <c r="R501" s="530"/>
      <c r="S501" s="530"/>
      <c r="T501" s="530"/>
      <c r="U501" s="530"/>
      <c r="V501" s="132">
        <f t="shared" ref="V501" si="232">SUM(X501:AA501)</f>
        <v>0</v>
      </c>
      <c r="W501" s="133" t="str">
        <f t="shared" ref="W501" si="233">IF(ISERROR(V501/G501),"",V501/G501)</f>
        <v/>
      </c>
      <c r="X501" s="132"/>
      <c r="Y501" s="132"/>
      <c r="Z501" s="132"/>
      <c r="AA501" s="132"/>
    </row>
    <row r="502" spans="1:27" ht="20.100000000000001" hidden="1" customHeight="1">
      <c r="A502" s="299">
        <v>30700010</v>
      </c>
      <c r="B502" s="531" t="s">
        <v>241</v>
      </c>
      <c r="C502" s="126"/>
      <c r="D502" s="108">
        <f>78*120/1000</f>
        <v>9.36</v>
      </c>
      <c r="E502" s="108"/>
      <c r="F502" s="127"/>
      <c r="G502" s="108"/>
      <c r="H502" s="539">
        <f t="shared" si="222"/>
        <v>0</v>
      </c>
      <c r="I502" s="129"/>
      <c r="J502" s="130"/>
      <c r="K502" s="131"/>
      <c r="L502" s="129"/>
      <c r="M502" s="109"/>
      <c r="N502" s="130"/>
      <c r="O502" s="530"/>
      <c r="P502" s="530"/>
      <c r="Q502" s="530"/>
      <c r="R502" s="530"/>
      <c r="S502" s="530"/>
      <c r="T502" s="530"/>
      <c r="U502" s="530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299">
        <v>30700015</v>
      </c>
      <c r="B503" s="531" t="s">
        <v>242</v>
      </c>
      <c r="C503" s="126"/>
      <c r="D503" s="108">
        <v>4.5</v>
      </c>
      <c r="E503" s="108"/>
      <c r="F503" s="127"/>
      <c r="G503" s="108"/>
      <c r="H503" s="539">
        <f t="shared" si="222"/>
        <v>0</v>
      </c>
      <c r="I503" s="129"/>
      <c r="J503" s="130"/>
      <c r="K503" s="131"/>
      <c r="L503" s="129"/>
      <c r="M503" s="109"/>
      <c r="N503" s="130"/>
      <c r="O503" s="530"/>
      <c r="P503" s="530"/>
      <c r="Q503" s="530"/>
      <c r="R503" s="530"/>
      <c r="S503" s="530"/>
      <c r="T503" s="530"/>
      <c r="U503" s="530"/>
      <c r="V503" s="132"/>
      <c r="W503" s="133"/>
      <c r="X503" s="132"/>
      <c r="Y503" s="132"/>
      <c r="Z503" s="132"/>
      <c r="AA503" s="132"/>
    </row>
    <row r="504" spans="1:27" ht="20.100000000000001" hidden="1" customHeight="1">
      <c r="A504" s="299">
        <v>30700012</v>
      </c>
      <c r="B504" s="531" t="s">
        <v>243</v>
      </c>
      <c r="C504" s="126"/>
      <c r="D504" s="108">
        <v>4.5</v>
      </c>
      <c r="E504" s="108"/>
      <c r="F504" s="127"/>
      <c r="G504" s="108"/>
      <c r="H504" s="539">
        <f t="shared" si="222"/>
        <v>0</v>
      </c>
      <c r="I504" s="129"/>
      <c r="J504" s="130"/>
      <c r="K504" s="131"/>
      <c r="L504" s="129"/>
      <c r="M504" s="109"/>
      <c r="N504" s="130"/>
      <c r="O504" s="530"/>
      <c r="P504" s="530"/>
      <c r="Q504" s="530"/>
      <c r="R504" s="530"/>
      <c r="S504" s="530"/>
      <c r="T504" s="530"/>
      <c r="U504" s="530"/>
      <c r="V504" s="132"/>
      <c r="W504" s="133"/>
      <c r="X504" s="132"/>
      <c r="Y504" s="132"/>
      <c r="Z504" s="132"/>
      <c r="AA504" s="132"/>
    </row>
    <row r="505" spans="1:27" ht="20.100000000000001" hidden="1" customHeight="1">
      <c r="A505" s="299"/>
      <c r="B505" s="531"/>
      <c r="C505" s="126"/>
      <c r="D505" s="108"/>
      <c r="E505" s="108"/>
      <c r="F505" s="127"/>
      <c r="G505" s="108"/>
      <c r="H505" s="539">
        <f t="shared" si="222"/>
        <v>0</v>
      </c>
      <c r="I505" s="129"/>
      <c r="J505" s="130"/>
      <c r="K505" s="131"/>
      <c r="L505" s="129"/>
      <c r="M505" s="109"/>
      <c r="N505" s="130"/>
      <c r="O505" s="530"/>
      <c r="P505" s="530"/>
      <c r="Q505" s="530"/>
      <c r="R505" s="530"/>
      <c r="S505" s="530"/>
      <c r="T505" s="530"/>
      <c r="U505" s="530"/>
      <c r="V505" s="132"/>
      <c r="W505" s="133"/>
      <c r="X505" s="132"/>
      <c r="Y505" s="132"/>
      <c r="Z505" s="132"/>
      <c r="AA505" s="132"/>
    </row>
    <row r="506" spans="1:27" ht="20.100000000000001" hidden="1" customHeight="1">
      <c r="A506" s="578" t="s">
        <v>244</v>
      </c>
      <c r="B506" s="579"/>
      <c r="C506" s="537" t="s">
        <v>202</v>
      </c>
      <c r="D506" s="143"/>
      <c r="E506" s="143"/>
      <c r="F506" s="144"/>
      <c r="G506" s="143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4">SUM(M491:M501)</f>
        <v>0</v>
      </c>
      <c r="N506" s="146">
        <f t="shared" si="234"/>
        <v>0</v>
      </c>
      <c r="O506" s="148">
        <f t="shared" si="234"/>
        <v>0</v>
      </c>
      <c r="P506" s="148">
        <f t="shared" si="234"/>
        <v>0</v>
      </c>
      <c r="Q506" s="148">
        <f t="shared" si="234"/>
        <v>0</v>
      </c>
      <c r="R506" s="148">
        <f t="shared" si="234"/>
        <v>0</v>
      </c>
      <c r="S506" s="148">
        <f t="shared" si="234"/>
        <v>0</v>
      </c>
      <c r="T506" s="148">
        <f t="shared" si="234"/>
        <v>0</v>
      </c>
      <c r="U506" s="148">
        <f t="shared" si="234"/>
        <v>0</v>
      </c>
      <c r="V506" s="149">
        <f t="shared" si="234"/>
        <v>0</v>
      </c>
      <c r="W506" s="133">
        <f t="shared" si="234"/>
        <v>0</v>
      </c>
      <c r="X506" s="149">
        <f t="shared" si="234"/>
        <v>0</v>
      </c>
      <c r="Y506" s="149">
        <f t="shared" si="234"/>
        <v>0</v>
      </c>
      <c r="Z506" s="149">
        <f t="shared" si="234"/>
        <v>0</v>
      </c>
      <c r="AA506" s="149">
        <f t="shared" si="234"/>
        <v>0</v>
      </c>
    </row>
    <row r="507" spans="1:27" ht="20.100000000000001" customHeight="1">
      <c r="A507" s="580" t="s">
        <v>246</v>
      </c>
      <c r="B507" s="581"/>
      <c r="C507" s="581"/>
      <c r="D507" s="581"/>
      <c r="E507" s="581"/>
      <c r="F507" s="582"/>
      <c r="G507" s="553">
        <f>SUM(G370,G428,G463,G479,G490,G506)</f>
        <v>0</v>
      </c>
      <c r="H507" s="154">
        <f>SUM(H370,H428,H463,H479,H490,H506)</f>
        <v>0</v>
      </c>
      <c r="I507" s="154">
        <f>SUM(I370,I428,I463,I479,I490,I506)</f>
        <v>0</v>
      </c>
      <c r="J507" s="155" t="str">
        <f t="array" ref="J507">IF(ISERROR(G507/I507),"",G507/I507)</f>
        <v/>
      </c>
      <c r="K507" s="154">
        <f>SUM(K370,K428,K463,K479,K490,K506)</f>
        <v>0</v>
      </c>
      <c r="L507" s="155" t="str">
        <f>IF(ISERROR(G507/K507),"",G507/K507)</f>
        <v/>
      </c>
      <c r="M507" s="154">
        <f t="shared" ref="M507:V507" si="235">SUM(M370,M428,M463,M479,M490,M506)</f>
        <v>0</v>
      </c>
      <c r="N507" s="154">
        <f t="shared" si="235"/>
        <v>0</v>
      </c>
      <c r="O507" s="154">
        <f t="shared" si="235"/>
        <v>0</v>
      </c>
      <c r="P507" s="154">
        <f t="shared" si="235"/>
        <v>0</v>
      </c>
      <c r="Q507" s="154">
        <f t="shared" si="235"/>
        <v>0</v>
      </c>
      <c r="R507" s="154">
        <f t="shared" si="235"/>
        <v>0</v>
      </c>
      <c r="S507" s="154">
        <f t="shared" si="235"/>
        <v>0</v>
      </c>
      <c r="T507" s="154">
        <f t="shared" si="235"/>
        <v>0</v>
      </c>
      <c r="U507" s="154">
        <f t="shared" si="235"/>
        <v>0</v>
      </c>
      <c r="V507" s="154">
        <f t="shared" si="235"/>
        <v>0</v>
      </c>
      <c r="W507" s="156" t="str">
        <f t="shared" ref="W507" si="236">IF(ISERROR(V507/G507),"",V507/G507)</f>
        <v/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583" t="s">
        <v>476</v>
      </c>
      <c r="B508" s="536" t="s">
        <v>247</v>
      </c>
      <c r="C508" s="586" t="s">
        <v>248</v>
      </c>
      <c r="D508" s="587"/>
      <c r="E508" s="588" t="s">
        <v>249</v>
      </c>
      <c r="F508" s="588"/>
      <c r="G508" s="591" t="s">
        <v>250</v>
      </c>
      <c r="H508" s="591"/>
      <c r="I508" s="588" t="s">
        <v>251</v>
      </c>
      <c r="J508" s="588"/>
      <c r="K508" s="588" t="s">
        <v>252</v>
      </c>
      <c r="L508" s="588"/>
      <c r="M508" s="588" t="s">
        <v>253</v>
      </c>
      <c r="N508" s="588"/>
      <c r="O508" s="588" t="s">
        <v>254</v>
      </c>
      <c r="P508" s="591" t="s">
        <v>255</v>
      </c>
      <c r="Q508" s="591"/>
      <c r="R508" s="591" t="s">
        <v>252</v>
      </c>
      <c r="S508" s="591"/>
      <c r="T508" s="591" t="s">
        <v>256</v>
      </c>
      <c r="U508" s="591"/>
      <c r="V508" s="591" t="s">
        <v>257</v>
      </c>
      <c r="W508" s="591"/>
      <c r="X508" s="591" t="s">
        <v>252</v>
      </c>
      <c r="Y508" s="591"/>
      <c r="Z508" s="591" t="s">
        <v>256</v>
      </c>
      <c r="AA508" s="591"/>
    </row>
    <row r="509" spans="1:27" ht="20.100000000000001" customHeight="1">
      <c r="A509" s="584"/>
      <c r="B509" s="536" t="s">
        <v>258</v>
      </c>
      <c r="C509" s="586">
        <v>0</v>
      </c>
      <c r="D509" s="587"/>
      <c r="E509" s="590">
        <f>C509*11</f>
        <v>0</v>
      </c>
      <c r="F509" s="590"/>
      <c r="G509" s="591">
        <v>0</v>
      </c>
      <c r="H509" s="591"/>
      <c r="I509" s="590">
        <f>G509*11</f>
        <v>0</v>
      </c>
      <c r="J509" s="590"/>
      <c r="K509" s="590">
        <f>E509-I509</f>
        <v>0</v>
      </c>
      <c r="L509" s="590"/>
      <c r="M509" s="592" t="str">
        <f>IF(ISERROR(K509/E509),"",K509/E509)</f>
        <v/>
      </c>
      <c r="N509" s="592"/>
      <c r="O509" s="588"/>
      <c r="P509" s="591" t="s">
        <v>201</v>
      </c>
      <c r="Q509" s="591"/>
      <c r="R509" s="593">
        <f>SUM(O370:U370)</f>
        <v>0</v>
      </c>
      <c r="S509" s="593"/>
      <c r="T509" s="594" t="str">
        <f t="array" ref="T509">IF(ISERROR(R509/R516),"",R509/R516)</f>
        <v/>
      </c>
      <c r="U509" s="594"/>
      <c r="V509" s="591" t="s">
        <v>259</v>
      </c>
      <c r="W509" s="591"/>
      <c r="X509" s="595">
        <f>SUM(O370,O428,O463,O479,O490,O506)</f>
        <v>0</v>
      </c>
      <c r="Y509" s="595"/>
      <c r="Z509" s="594" t="str">
        <f t="array" ref="Z509">IF(ISERROR(X509/X516),"",X509/X516)</f>
        <v/>
      </c>
      <c r="AA509" s="594"/>
    </row>
    <row r="510" spans="1:27" ht="20.100000000000001" customHeight="1">
      <c r="A510" s="584"/>
      <c r="B510" s="536" t="s">
        <v>260</v>
      </c>
      <c r="C510" s="586">
        <v>0</v>
      </c>
      <c r="D510" s="587"/>
      <c r="E510" s="590">
        <f>C510*11</f>
        <v>0</v>
      </c>
      <c r="F510" s="590"/>
      <c r="G510" s="591">
        <v>0</v>
      </c>
      <c r="H510" s="591"/>
      <c r="I510" s="590">
        <f>G510*11</f>
        <v>0</v>
      </c>
      <c r="J510" s="590"/>
      <c r="K510" s="590">
        <f>E510-I510</f>
        <v>0</v>
      </c>
      <c r="L510" s="590"/>
      <c r="M510" s="592" t="str">
        <f>IF(ISERROR(K510/E510),"",K510/E510)</f>
        <v/>
      </c>
      <c r="N510" s="592"/>
      <c r="O510" s="588"/>
      <c r="P510" s="591" t="s">
        <v>216</v>
      </c>
      <c r="Q510" s="591"/>
      <c r="R510" s="593">
        <f>SUM(O428:U428)</f>
        <v>0</v>
      </c>
      <c r="S510" s="593"/>
      <c r="T510" s="594" t="str">
        <f>IF(ISERROR(R510/R516),"",R510/R516)</f>
        <v/>
      </c>
      <c r="U510" s="594"/>
      <c r="V510" s="591" t="s">
        <v>261</v>
      </c>
      <c r="W510" s="591"/>
      <c r="X510" s="595">
        <f>SUM(O371,O429,O464,O480,O491,O507)</f>
        <v>0</v>
      </c>
      <c r="Y510" s="595"/>
      <c r="Z510" s="594" t="str">
        <f>IF(ISERROR(X510/X516),"",X510/X516)</f>
        <v/>
      </c>
      <c r="AA510" s="594"/>
    </row>
    <row r="511" spans="1:27" ht="20.100000000000001" customHeight="1">
      <c r="A511" s="584"/>
      <c r="B511" s="536" t="s">
        <v>262</v>
      </c>
      <c r="C511" s="586">
        <v>0</v>
      </c>
      <c r="D511" s="587"/>
      <c r="E511" s="590">
        <f>C511*11</f>
        <v>0</v>
      </c>
      <c r="F511" s="590"/>
      <c r="G511" s="591">
        <v>0</v>
      </c>
      <c r="H511" s="591"/>
      <c r="I511" s="590">
        <f>G511*11</f>
        <v>0</v>
      </c>
      <c r="J511" s="590"/>
      <c r="K511" s="590">
        <f>E511-I511</f>
        <v>0</v>
      </c>
      <c r="L511" s="590"/>
      <c r="M511" s="592" t="str">
        <f>IF(ISERROR(K511/E511),"",K511/E511)</f>
        <v/>
      </c>
      <c r="N511" s="592"/>
      <c r="O511" s="588"/>
      <c r="P511" s="591" t="s">
        <v>224</v>
      </c>
      <c r="Q511" s="591"/>
      <c r="R511" s="593">
        <f>SUM(O463:U463)</f>
        <v>0</v>
      </c>
      <c r="S511" s="593"/>
      <c r="T511" s="594" t="str">
        <f>IF(ISERROR(R511/R516),"",R511/R516)</f>
        <v/>
      </c>
      <c r="U511" s="594"/>
      <c r="V511" s="591" t="s">
        <v>263</v>
      </c>
      <c r="W511" s="591"/>
      <c r="X511" s="595">
        <f>SUM(O373,O430,O465,O481,O492,O508)</f>
        <v>0</v>
      </c>
      <c r="Y511" s="595"/>
      <c r="Z511" s="594" t="str">
        <f>IF(ISERROR(X511/X516),"",X511/X516)</f>
        <v/>
      </c>
      <c r="AA511" s="594"/>
    </row>
    <row r="512" spans="1:27" ht="20.100000000000001" customHeight="1">
      <c r="A512" s="584"/>
      <c r="B512" s="536" t="s">
        <v>264</v>
      </c>
      <c r="C512" s="586">
        <v>1</v>
      </c>
      <c r="D512" s="587"/>
      <c r="E512" s="590">
        <f>C512*11</f>
        <v>11</v>
      </c>
      <c r="F512" s="590"/>
      <c r="G512" s="591">
        <v>1</v>
      </c>
      <c r="H512" s="591"/>
      <c r="I512" s="590">
        <f>G512*11</f>
        <v>11</v>
      </c>
      <c r="J512" s="590"/>
      <c r="K512" s="590">
        <f>E512-I512</f>
        <v>0</v>
      </c>
      <c r="L512" s="590"/>
      <c r="M512" s="592">
        <f>IF(ISERROR(K512/E512),"",K512/E512)</f>
        <v>0</v>
      </c>
      <c r="N512" s="592"/>
      <c r="O512" s="588"/>
      <c r="P512" s="591" t="s">
        <v>231</v>
      </c>
      <c r="Q512" s="591"/>
      <c r="R512" s="593">
        <f>SUM(O479:U479)</f>
        <v>0</v>
      </c>
      <c r="S512" s="593"/>
      <c r="T512" s="594" t="str">
        <f>IF(ISERROR(R512/R516),"",R512/R516)</f>
        <v/>
      </c>
      <c r="U512" s="594"/>
      <c r="V512" s="591" t="s">
        <v>265</v>
      </c>
      <c r="W512" s="591"/>
      <c r="X512" s="595">
        <f>SUM(O374,O431,O466,O482,O493,O509)</f>
        <v>0</v>
      </c>
      <c r="Y512" s="595"/>
      <c r="Z512" s="594" t="str">
        <f>IF(ISERROR(X512/X516),"",X512/X516)</f>
        <v/>
      </c>
      <c r="AA512" s="594"/>
    </row>
    <row r="513" spans="1:27" ht="20.100000000000001" customHeight="1">
      <c r="A513" s="585"/>
      <c r="B513" s="536" t="s">
        <v>266</v>
      </c>
      <c r="C513" s="596">
        <f>SUM(C509:D512)</f>
        <v>1</v>
      </c>
      <c r="D513" s="597"/>
      <c r="E513" s="590">
        <f>SUM(E509:F512)</f>
        <v>11</v>
      </c>
      <c r="F513" s="590"/>
      <c r="G513" s="591">
        <f>SUM(G509:H512)</f>
        <v>1</v>
      </c>
      <c r="H513" s="591"/>
      <c r="I513" s="590">
        <f>SUM(I509:J512)</f>
        <v>11</v>
      </c>
      <c r="J513" s="590"/>
      <c r="K513" s="590">
        <f>SUM(K509:L512)</f>
        <v>0</v>
      </c>
      <c r="L513" s="590"/>
      <c r="M513" s="592">
        <f>IF(ISERROR(K513/E513),"",K513/E513)</f>
        <v>0</v>
      </c>
      <c r="N513" s="592"/>
      <c r="O513" s="588"/>
      <c r="P513" s="591" t="s">
        <v>234</v>
      </c>
      <c r="Q513" s="591"/>
      <c r="R513" s="593">
        <f>SUM(O490:U490)</f>
        <v>0</v>
      </c>
      <c r="S513" s="593"/>
      <c r="T513" s="594" t="str">
        <f>IF(ISERROR(R513/R516),"",R513/R516)</f>
        <v/>
      </c>
      <c r="U513" s="594"/>
      <c r="V513" s="591" t="s">
        <v>267</v>
      </c>
      <c r="W513" s="591"/>
      <c r="X513" s="595">
        <f>SUM(O375,O432,O467,O483,O494,O510)</f>
        <v>0</v>
      </c>
      <c r="Y513" s="595"/>
      <c r="Z513" s="594" t="str">
        <f>IF(ISERROR(X513/X516),"",X513/X516)</f>
        <v/>
      </c>
      <c r="AA513" s="594"/>
    </row>
    <row r="514" spans="1:27" ht="20.100000000000001" customHeight="1">
      <c r="A514" s="307" t="s">
        <v>477</v>
      </c>
      <c r="B514" s="536">
        <f>G507</f>
        <v>0</v>
      </c>
      <c r="C514" s="598" t="s">
        <v>269</v>
      </c>
      <c r="D514" s="599"/>
      <c r="E514" s="591">
        <f>H507</f>
        <v>0</v>
      </c>
      <c r="F514" s="591"/>
      <c r="G514" s="591" t="s">
        <v>270</v>
      </c>
      <c r="H514" s="591"/>
      <c r="I514" s="600" t="str">
        <f>L507</f>
        <v/>
      </c>
      <c r="J514" s="600"/>
      <c r="K514" s="588" t="s">
        <v>271</v>
      </c>
      <c r="L514" s="588"/>
      <c r="M514" s="600" t="str">
        <f>J507</f>
        <v/>
      </c>
      <c r="N514" s="600"/>
      <c r="O514" s="588"/>
      <c r="P514" s="591" t="s">
        <v>244</v>
      </c>
      <c r="Q514" s="591"/>
      <c r="R514" s="593">
        <f>SUM(O506:U506)</f>
        <v>0</v>
      </c>
      <c r="S514" s="593"/>
      <c r="T514" s="594" t="str">
        <f>IF(ISERROR(R514/R516),"",R514/R516)</f>
        <v/>
      </c>
      <c r="U514" s="594"/>
      <c r="V514" s="591" t="s">
        <v>272</v>
      </c>
      <c r="W514" s="591"/>
      <c r="X514" s="595">
        <f>SUM(O376,O433,O468,O484,O495,O511)</f>
        <v>0</v>
      </c>
      <c r="Y514" s="595"/>
      <c r="Z514" s="594" t="str">
        <f>IF(ISERROR(X514/X516),"",X514/X516)</f>
        <v/>
      </c>
      <c r="AA514" s="594"/>
    </row>
    <row r="515" spans="1:27" ht="20.100000000000001" customHeight="1">
      <c r="A515" s="308" t="s">
        <v>478</v>
      </c>
      <c r="B515" s="536">
        <f>I507+C513</f>
        <v>1</v>
      </c>
      <c r="C515" s="601" t="s">
        <v>251</v>
      </c>
      <c r="D515" s="602"/>
      <c r="E515" s="603">
        <f>K507+I513</f>
        <v>11</v>
      </c>
      <c r="F515" s="603"/>
      <c r="G515" s="591" t="s">
        <v>274</v>
      </c>
      <c r="H515" s="591"/>
      <c r="I515" s="600">
        <f>B515-E515</f>
        <v>-10</v>
      </c>
      <c r="J515" s="600"/>
      <c r="K515" s="588" t="s">
        <v>275</v>
      </c>
      <c r="L515" s="588"/>
      <c r="M515" s="592">
        <f>IF(ISERROR(I515/E515),"",I515/E515)</f>
        <v>-0.90909090909090906</v>
      </c>
      <c r="N515" s="592"/>
      <c r="O515" s="588"/>
      <c r="P515" s="591" t="s">
        <v>245</v>
      </c>
      <c r="Q515" s="591"/>
      <c r="R515" s="593"/>
      <c r="S515" s="593"/>
      <c r="T515" s="594" t="str">
        <f>IF(ISERROR(R515/R516),"",R515/R516)</f>
        <v/>
      </c>
      <c r="U515" s="594"/>
      <c r="V515" s="591" t="s">
        <v>264</v>
      </c>
      <c r="W515" s="591"/>
      <c r="X515" s="595">
        <f>SUM(O377,O434,O469,O489,O496,O512)</f>
        <v>0</v>
      </c>
      <c r="Y515" s="595"/>
      <c r="Z515" s="594" t="str">
        <f>IF(ISERROR(X515/X516),"",X515/X516)</f>
        <v/>
      </c>
      <c r="AA515" s="594"/>
    </row>
    <row r="516" spans="1:27" ht="20.100000000000001" customHeight="1">
      <c r="A516" s="308" t="s">
        <v>479</v>
      </c>
      <c r="B516" s="536">
        <f>N507</f>
        <v>0</v>
      </c>
      <c r="C516" s="601" t="s">
        <v>277</v>
      </c>
      <c r="D516" s="602"/>
      <c r="E516" s="594">
        <f>IF(ISERROR(B516/B515),"",B516/B515)</f>
        <v>0</v>
      </c>
      <c r="F516" s="594"/>
      <c r="G516" s="591" t="s">
        <v>278</v>
      </c>
      <c r="H516" s="591"/>
      <c r="I516" s="588">
        <f>V507</f>
        <v>0</v>
      </c>
      <c r="J516" s="588"/>
      <c r="K516" s="588" t="s">
        <v>279</v>
      </c>
      <c r="L516" s="588"/>
      <c r="M516" s="592" t="str">
        <f t="array" ref="M516">IF(ISERROR(I516/B514),"",I516/B514)</f>
        <v/>
      </c>
      <c r="N516" s="592"/>
      <c r="O516" s="588"/>
      <c r="P516" s="591" t="s">
        <v>266</v>
      </c>
      <c r="Q516" s="591"/>
      <c r="R516" s="593">
        <f>SUM(R509:S515)</f>
        <v>0</v>
      </c>
      <c r="S516" s="593"/>
      <c r="T516" s="594"/>
      <c r="U516" s="594"/>
      <c r="V516" s="591" t="s">
        <v>266</v>
      </c>
      <c r="W516" s="591"/>
      <c r="X516" s="595">
        <f>SUM(X509:Y515)</f>
        <v>0</v>
      </c>
      <c r="Y516" s="595"/>
      <c r="Z516" s="594"/>
      <c r="AA516" s="594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630" t="str">
        <f>IF(ISERROR(#REF!/#REF!),"",#REF!/#REF!)</f>
        <v/>
      </c>
      <c r="H517" s="630"/>
      <c r="I517" s="630"/>
      <c r="J517" s="125"/>
      <c r="K517" s="160"/>
      <c r="L517" s="122"/>
      <c r="M517" s="122"/>
      <c r="N517" s="630" t="str">
        <f>IF(ISERROR(G517/#REF!),"",G517/#REF!)</f>
        <v/>
      </c>
      <c r="O517" s="630"/>
      <c r="P517" s="630"/>
      <c r="Q517" s="630"/>
      <c r="R517" s="630"/>
      <c r="S517" s="538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2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633" t="s">
        <v>268</v>
      </c>
      <c r="B519" s="633"/>
      <c r="C519" s="586">
        <f>SUM(B171,B342,B514)</f>
        <v>11388</v>
      </c>
      <c r="D519" s="587"/>
      <c r="E519" s="633" t="s">
        <v>269</v>
      </c>
      <c r="F519" s="633"/>
      <c r="G519" s="603">
        <f>SUM(E171,E342,E514)</f>
        <v>57917.61</v>
      </c>
      <c r="H519" s="603"/>
      <c r="I519" s="591" t="s">
        <v>270</v>
      </c>
      <c r="J519" s="633"/>
      <c r="K519" s="586">
        <f>IF(ISERROR(C519/G520),"",C519/G520)</f>
        <v>13.683401311808543</v>
      </c>
      <c r="L519" s="587"/>
      <c r="M519" s="591" t="s">
        <v>271</v>
      </c>
      <c r="N519" s="591"/>
      <c r="O519" s="628">
        <f t="array" ref="O519">IF(ISERROR(C519/C520),"",C519/C520)</f>
        <v>14.799220272904483</v>
      </c>
      <c r="P519" s="629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591" t="s">
        <v>273</v>
      </c>
      <c r="B520" s="591"/>
      <c r="C520" s="586">
        <f>SUM(B172,B343,B515)</f>
        <v>769.5</v>
      </c>
      <c r="D520" s="587"/>
      <c r="E520" s="591" t="s">
        <v>251</v>
      </c>
      <c r="F520" s="591"/>
      <c r="G520" s="603">
        <f>SUM(E172,E343,E515)</f>
        <v>832.24921497934497</v>
      </c>
      <c r="H520" s="603"/>
      <c r="I520" s="601" t="s">
        <v>274</v>
      </c>
      <c r="J520" s="602"/>
      <c r="K520" s="598">
        <f>C520-G520</f>
        <v>-62.74921497934497</v>
      </c>
      <c r="L520" s="599"/>
      <c r="M520" s="598" t="s">
        <v>275</v>
      </c>
      <c r="N520" s="599"/>
      <c r="O520" s="631">
        <f>IF(ISERROR(K520/C520),"",K520/C520)</f>
        <v>-8.154543856964909E-2</v>
      </c>
      <c r="P520" s="632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601" t="s">
        <v>276</v>
      </c>
      <c r="B521" s="602"/>
      <c r="C521" s="586">
        <f>SUM(B173,B344,B516)</f>
        <v>0</v>
      </c>
      <c r="D521" s="587"/>
      <c r="E521" s="601" t="s">
        <v>277</v>
      </c>
      <c r="F521" s="602"/>
      <c r="G521" s="594">
        <f>IF(ISERROR(C521/C520),"",C521/C520)</f>
        <v>0</v>
      </c>
      <c r="H521" s="594"/>
      <c r="I521" s="591" t="s">
        <v>278</v>
      </c>
      <c r="J521" s="633"/>
      <c r="K521" s="603">
        <f>SUM(I173,I344,I516)</f>
        <v>0</v>
      </c>
      <c r="L521" s="603"/>
      <c r="M521" s="633" t="s">
        <v>279</v>
      </c>
      <c r="N521" s="633"/>
      <c r="O521" s="631">
        <f t="array" ref="O521">IF(ISERROR(K521/C519),"",K521/C519)</f>
        <v>0</v>
      </c>
      <c r="P521" s="632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544"/>
      <c r="H522" s="168"/>
      <c r="I522" s="538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601" t="s">
        <v>298</v>
      </c>
      <c r="B523" s="602"/>
      <c r="C523" s="601" t="s">
        <v>299</v>
      </c>
      <c r="D523" s="602"/>
      <c r="E523" s="601" t="s">
        <v>256</v>
      </c>
      <c r="F523" s="602"/>
      <c r="G523" s="634" t="s">
        <v>254</v>
      </c>
      <c r="H523" s="635"/>
      <c r="I523" s="601" t="s">
        <v>255</v>
      </c>
      <c r="J523" s="599"/>
      <c r="K523" s="601" t="s">
        <v>300</v>
      </c>
      <c r="L523" s="602"/>
      <c r="M523" s="601" t="s">
        <v>256</v>
      </c>
      <c r="N523" s="602"/>
      <c r="O523" s="591" t="s">
        <v>257</v>
      </c>
      <c r="P523" s="591"/>
      <c r="Q523" s="601" t="s">
        <v>300</v>
      </c>
      <c r="R523" s="602"/>
      <c r="S523" s="601" t="s">
        <v>256</v>
      </c>
      <c r="T523" s="602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640" t="s">
        <v>201</v>
      </c>
      <c r="B524" s="602"/>
      <c r="C524" s="601">
        <f>SUM(G28,G199,G370)</f>
        <v>3145</v>
      </c>
      <c r="D524" s="602"/>
      <c r="E524" s="641">
        <f>IF(ISERROR(C524/C530),"",C524/C530)</f>
        <v>0.27616789603090974</v>
      </c>
      <c r="F524" s="642"/>
      <c r="G524" s="636"/>
      <c r="H524" s="637"/>
      <c r="I524" s="643" t="s">
        <v>301</v>
      </c>
      <c r="J524" s="644"/>
      <c r="K524" s="598">
        <f t="shared" ref="K524:K529" si="237">SUM(R166,U337,U509)</f>
        <v>0</v>
      </c>
      <c r="L524" s="599"/>
      <c r="M524" s="641" t="str">
        <f t="array" ref="M524">IF(ISERROR(K524/K530),"",K524/K530)</f>
        <v/>
      </c>
      <c r="N524" s="642"/>
      <c r="O524" s="591" t="s">
        <v>259</v>
      </c>
      <c r="P524" s="591"/>
      <c r="Q524" s="628">
        <f t="shared" ref="Q524:Q529" si="238">SUM(X166,AA337,AA509)</f>
        <v>0</v>
      </c>
      <c r="R524" s="629"/>
      <c r="S524" s="641" t="str">
        <f t="array" ref="S524">IF(ISERROR(Q524/Q530),"",Q524/Q530)</f>
        <v/>
      </c>
      <c r="T524" s="642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640" t="s">
        <v>216</v>
      </c>
      <c r="B525" s="602"/>
      <c r="C525" s="601">
        <f>SUM(G86,G257,G428)</f>
        <v>5119</v>
      </c>
      <c r="D525" s="602"/>
      <c r="E525" s="641">
        <f>IF(ISERROR(C525/C530),"",C525/C530)</f>
        <v>0.44950825430277486</v>
      </c>
      <c r="F525" s="642"/>
      <c r="G525" s="636"/>
      <c r="H525" s="637"/>
      <c r="I525" s="643" t="s">
        <v>302</v>
      </c>
      <c r="J525" s="644"/>
      <c r="K525" s="598">
        <f t="shared" si="237"/>
        <v>0</v>
      </c>
      <c r="L525" s="599"/>
      <c r="M525" s="641" t="str">
        <f>IF(ISERROR(K525/K530),"",K525/K530)</f>
        <v/>
      </c>
      <c r="N525" s="642"/>
      <c r="O525" s="591" t="s">
        <v>261</v>
      </c>
      <c r="P525" s="591"/>
      <c r="Q525" s="628">
        <f t="shared" si="238"/>
        <v>0</v>
      </c>
      <c r="R525" s="629"/>
      <c r="S525" s="641" t="str">
        <f>IF(ISERROR(Q525/Q530),"",Q525/Q530)</f>
        <v/>
      </c>
      <c r="T525" s="642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640" t="s">
        <v>224</v>
      </c>
      <c r="B526" s="602"/>
      <c r="C526" s="601">
        <f>SUM(G121,G292,G463)</f>
        <v>1491</v>
      </c>
      <c r="D526" s="602"/>
      <c r="E526" s="641">
        <f>IF(ISERROR(C526/C530),"",C526/C530)</f>
        <v>0.13092729188619601</v>
      </c>
      <c r="F526" s="642"/>
      <c r="G526" s="636"/>
      <c r="H526" s="637"/>
      <c r="I526" s="643" t="s">
        <v>303</v>
      </c>
      <c r="J526" s="644"/>
      <c r="K526" s="598">
        <f t="shared" si="237"/>
        <v>0</v>
      </c>
      <c r="L526" s="599"/>
      <c r="M526" s="641" t="str">
        <f>IF(ISERROR(K526/K530),"",K526/K530)</f>
        <v/>
      </c>
      <c r="N526" s="642"/>
      <c r="O526" s="591" t="s">
        <v>263</v>
      </c>
      <c r="P526" s="591"/>
      <c r="Q526" s="628">
        <f t="shared" si="238"/>
        <v>0</v>
      </c>
      <c r="R526" s="629"/>
      <c r="S526" s="641" t="str">
        <f>IF(ISERROR(Q526/Q530),"",Q526/Q530)</f>
        <v/>
      </c>
      <c r="T526" s="642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640" t="s">
        <v>231</v>
      </c>
      <c r="B527" s="602"/>
      <c r="C527" s="601">
        <f>SUM(G137,G308,G479)</f>
        <v>1238</v>
      </c>
      <c r="D527" s="602"/>
      <c r="E527" s="641">
        <f>IF(ISERROR(C527/C530),"",C527/C530)</f>
        <v>0.10871092377941693</v>
      </c>
      <c r="F527" s="642"/>
      <c r="G527" s="636"/>
      <c r="H527" s="637"/>
      <c r="I527" s="643" t="s">
        <v>304</v>
      </c>
      <c r="J527" s="644"/>
      <c r="K527" s="598">
        <f t="shared" si="237"/>
        <v>0</v>
      </c>
      <c r="L527" s="599"/>
      <c r="M527" s="641" t="str">
        <f>IF(ISERROR(K527/K530),"",K527/K530)</f>
        <v/>
      </c>
      <c r="N527" s="642"/>
      <c r="O527" s="591" t="s">
        <v>305</v>
      </c>
      <c r="P527" s="591"/>
      <c r="Q527" s="628">
        <f t="shared" si="238"/>
        <v>0</v>
      </c>
      <c r="R527" s="629"/>
      <c r="S527" s="641" t="str">
        <f>IF(ISERROR(Q527/Q530),"",Q527/Q530)</f>
        <v/>
      </c>
      <c r="T527" s="642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640" t="s">
        <v>234</v>
      </c>
      <c r="B528" s="602"/>
      <c r="C528" s="601">
        <f>SUM(G148,G319,G490)</f>
        <v>0</v>
      </c>
      <c r="D528" s="602"/>
      <c r="E528" s="641">
        <f>IF(ISERROR(C528/C530),"",C528/C530)</f>
        <v>0</v>
      </c>
      <c r="F528" s="642"/>
      <c r="G528" s="636"/>
      <c r="H528" s="637"/>
      <c r="I528" s="643" t="s">
        <v>306</v>
      </c>
      <c r="J528" s="644"/>
      <c r="K528" s="598">
        <f t="shared" si="237"/>
        <v>0</v>
      </c>
      <c r="L528" s="599"/>
      <c r="M528" s="641" t="str">
        <f>IF(ISERROR(K528/K530),"",K528/K530)</f>
        <v/>
      </c>
      <c r="N528" s="642"/>
      <c r="O528" s="591" t="s">
        <v>267</v>
      </c>
      <c r="P528" s="591"/>
      <c r="Q528" s="628">
        <f t="shared" si="238"/>
        <v>0</v>
      </c>
      <c r="R528" s="629"/>
      <c r="S528" s="641" t="str">
        <f>IF(ISERROR(Q528/Q530),"",Q528/Q530)</f>
        <v/>
      </c>
      <c r="T528" s="642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640" t="s">
        <v>244</v>
      </c>
      <c r="B529" s="602"/>
      <c r="C529" s="601">
        <f>SUM(G163,G334,G506)</f>
        <v>395</v>
      </c>
      <c r="D529" s="602"/>
      <c r="E529" s="641">
        <f>IF(ISERROR(C529/C530),"",C529/C530)</f>
        <v>3.4685634000702494E-2</v>
      </c>
      <c r="F529" s="642"/>
      <c r="G529" s="636"/>
      <c r="H529" s="637"/>
      <c r="I529" s="643" t="s">
        <v>307</v>
      </c>
      <c r="J529" s="644"/>
      <c r="K529" s="598">
        <f t="shared" si="237"/>
        <v>0</v>
      </c>
      <c r="L529" s="599"/>
      <c r="M529" s="641" t="str">
        <f>IF(ISERROR(K529/K530),"",K529/K530)</f>
        <v/>
      </c>
      <c r="N529" s="642"/>
      <c r="O529" s="591" t="s">
        <v>272</v>
      </c>
      <c r="P529" s="591"/>
      <c r="Q529" s="628">
        <f t="shared" si="238"/>
        <v>0</v>
      </c>
      <c r="R529" s="629"/>
      <c r="S529" s="641" t="str">
        <f>IF(ISERROR(Q529/Q530),"",Q529/Q530)</f>
        <v/>
      </c>
      <c r="T529" s="642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601" t="s">
        <v>266</v>
      </c>
      <c r="B530" s="602"/>
      <c r="C530" s="601">
        <f>SUM(C524:C529)</f>
        <v>11388</v>
      </c>
      <c r="D530" s="602"/>
      <c r="E530" s="641">
        <f>SUM(E524:F529)</f>
        <v>1</v>
      </c>
      <c r="F530" s="642"/>
      <c r="G530" s="638"/>
      <c r="H530" s="639"/>
      <c r="I530" s="601" t="s">
        <v>266</v>
      </c>
      <c r="J530" s="599"/>
      <c r="K530" s="598">
        <f>SUM(R173,U344,U516)</f>
        <v>0</v>
      </c>
      <c r="L530" s="599"/>
      <c r="M530" s="641"/>
      <c r="N530" s="642"/>
      <c r="O530" s="591" t="s">
        <v>266</v>
      </c>
      <c r="P530" s="591"/>
      <c r="Q530" s="628">
        <f>SUM(Q524:R529)</f>
        <v>0</v>
      </c>
      <c r="R530" s="629"/>
      <c r="S530" s="641">
        <f>SUM(S524:T529)</f>
        <v>0</v>
      </c>
      <c r="T530" s="642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172"/>
      <c r="D531" s="172"/>
      <c r="E531" s="172"/>
      <c r="F531" s="172"/>
      <c r="G531" s="175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643" t="s">
        <v>308</v>
      </c>
      <c r="B532" s="597"/>
      <c r="C532" s="529" t="s">
        <v>309</v>
      </c>
      <c r="D532" s="529" t="s">
        <v>310</v>
      </c>
      <c r="E532" s="529" t="s">
        <v>311</v>
      </c>
      <c r="F532" s="529" t="s">
        <v>312</v>
      </c>
      <c r="G532" s="547" t="s">
        <v>549</v>
      </c>
      <c r="H532" s="129" t="s">
        <v>314</v>
      </c>
      <c r="I532" s="129" t="s">
        <v>315</v>
      </c>
      <c r="J532" s="129" t="s">
        <v>316</v>
      </c>
      <c r="K532" s="530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539" t="s">
        <v>322</v>
      </c>
      <c r="Q532" s="129" t="s">
        <v>323</v>
      </c>
      <c r="R532" s="109" t="s">
        <v>324</v>
      </c>
      <c r="S532" s="529" t="s">
        <v>325</v>
      </c>
      <c r="T532" s="529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645" t="s">
        <v>327</v>
      </c>
      <c r="B533" s="646"/>
      <c r="C533" s="106">
        <f>D533+E533+F533-G533-O533-P533</f>
        <v>46</v>
      </c>
      <c r="D533" s="106">
        <f>+'11'!C533</f>
        <v>46</v>
      </c>
      <c r="E533" s="106"/>
      <c r="F533" s="106"/>
      <c r="G533" s="106"/>
      <c r="H533" s="106"/>
      <c r="I533" s="106"/>
      <c r="J533" s="106">
        <f>C533-H533-I533</f>
        <v>46</v>
      </c>
      <c r="K533" s="106"/>
      <c r="L533" s="106"/>
      <c r="M533" s="106"/>
      <c r="N533" s="106"/>
      <c r="O533" s="106"/>
      <c r="P533" s="108"/>
      <c r="Q533" s="106">
        <f>J533-K533-L533</f>
        <v>46</v>
      </c>
      <c r="R533" s="109">
        <f>Q533*11-M533-N533</f>
        <v>506</v>
      </c>
      <c r="S533" s="532">
        <f t="array" ref="S533">IF(ISERROR(Q533/J533),"",Q533/J533)</f>
        <v>1</v>
      </c>
      <c r="T533" s="532">
        <f t="array" ref="T533">IF(ISERROR((O533:P533)/C533),"",SUM(O533:P533)/C533)</f>
        <v>0</v>
      </c>
      <c r="X533" s="116"/>
      <c r="Y533" s="116"/>
      <c r="Z533" s="159"/>
      <c r="AA533" s="159"/>
    </row>
    <row r="534" spans="1:27" ht="20.100000000000001" customHeight="1">
      <c r="A534" s="645" t="s">
        <v>328</v>
      </c>
      <c r="B534" s="646"/>
      <c r="C534" s="106">
        <f>D534+E534+F534-G534-O534-P534</f>
        <v>40</v>
      </c>
      <c r="D534" s="106">
        <f>+'11'!C534</f>
        <v>40</v>
      </c>
      <c r="E534" s="110"/>
      <c r="F534" s="110"/>
      <c r="G534" s="106"/>
      <c r="H534" s="106"/>
      <c r="I534" s="106"/>
      <c r="J534" s="106">
        <f>C534-H534-I534</f>
        <v>40</v>
      </c>
      <c r="K534" s="106">
        <v>1</v>
      </c>
      <c r="L534" s="106"/>
      <c r="M534" s="106"/>
      <c r="N534" s="106"/>
      <c r="O534" s="110"/>
      <c r="P534" s="111"/>
      <c r="Q534" s="106">
        <f>J534-K534-L534</f>
        <v>39</v>
      </c>
      <c r="R534" s="109">
        <f>Q534*11-M534-N534</f>
        <v>429</v>
      </c>
      <c r="S534" s="532">
        <f t="array" ref="S534">IF(ISERROR(Q534/J534),"",Q534/J534)</f>
        <v>0.97499999999999998</v>
      </c>
      <c r="T534" s="532">
        <f t="array" ref="T534">IF(ISERROR((O534:P534)/C534),"",SUM(O534:P534)/C534)</f>
        <v>0</v>
      </c>
      <c r="X534" s="116"/>
      <c r="Y534" s="116"/>
      <c r="Z534" s="159"/>
      <c r="AA534" s="159"/>
    </row>
    <row r="535" spans="1:27" ht="20.100000000000001" customHeight="1">
      <c r="A535" s="645" t="s">
        <v>329</v>
      </c>
      <c r="B535" s="646"/>
      <c r="C535" s="106">
        <f>D535+E535+F535-G535-O535-P535</f>
        <v>10</v>
      </c>
      <c r="D535" s="106">
        <f>+'11'!C535</f>
        <v>10</v>
      </c>
      <c r="E535" s="110"/>
      <c r="F535" s="110"/>
      <c r="G535" s="106"/>
      <c r="H535" s="106"/>
      <c r="I535" s="106"/>
      <c r="J535" s="106">
        <f>C535-H535-I535</f>
        <v>10</v>
      </c>
      <c r="K535" s="106"/>
      <c r="L535" s="106"/>
      <c r="M535" s="106"/>
      <c r="N535" s="106"/>
      <c r="O535" s="110"/>
      <c r="P535" s="111"/>
      <c r="Q535" s="106">
        <f>J535-K535-L535</f>
        <v>10</v>
      </c>
      <c r="R535" s="109">
        <f>Q535*11-M535-N535</f>
        <v>110</v>
      </c>
      <c r="S535" s="532">
        <f t="array" ref="S535">IF(ISERROR(Q535/J535),"",Q535/J535)</f>
        <v>1</v>
      </c>
      <c r="T535" s="532">
        <f t="array" ref="T535">IF(ISERROR((O535:P535)/C535),"",SUM(O535:P535)/C535)</f>
        <v>0</v>
      </c>
      <c r="V535" s="179"/>
      <c r="X535" s="116"/>
      <c r="Y535" s="116"/>
      <c r="Z535" s="159"/>
      <c r="AA535" s="159"/>
    </row>
    <row r="536" spans="1:27" ht="20.100000000000001" customHeight="1">
      <c r="A536" s="647" t="s">
        <v>330</v>
      </c>
      <c r="B536" s="648"/>
      <c r="C536" s="112">
        <f>SUM(C533:C535)</f>
        <v>96</v>
      </c>
      <c r="D536" s="112">
        <f t="shared" ref="D536:N536" si="239">SUM(D533:D535)</f>
        <v>96</v>
      </c>
      <c r="E536" s="112">
        <f t="shared" si="239"/>
        <v>0</v>
      </c>
      <c r="F536" s="112">
        <f t="shared" si="239"/>
        <v>0</v>
      </c>
      <c r="G536" s="112">
        <f t="shared" si="239"/>
        <v>0</v>
      </c>
      <c r="H536" s="112">
        <f t="shared" si="239"/>
        <v>0</v>
      </c>
      <c r="I536" s="112">
        <f t="shared" si="239"/>
        <v>0</v>
      </c>
      <c r="J536" s="112">
        <f t="shared" si="239"/>
        <v>96</v>
      </c>
      <c r="K536" s="112">
        <f t="shared" si="239"/>
        <v>1</v>
      </c>
      <c r="L536" s="112">
        <f t="shared" si="239"/>
        <v>0</v>
      </c>
      <c r="M536" s="112">
        <f t="shared" si="239"/>
        <v>0</v>
      </c>
      <c r="N536" s="112">
        <f t="shared" si="239"/>
        <v>0</v>
      </c>
      <c r="O536" s="112">
        <f>SUM(O533:O535)</f>
        <v>0</v>
      </c>
      <c r="P536" s="112">
        <f>SUM(P533:P535)</f>
        <v>0</v>
      </c>
      <c r="Q536" s="112">
        <f>SUM(Q533:Q535)</f>
        <v>95</v>
      </c>
      <c r="R536" s="114">
        <f>SUM(R533:R535)</f>
        <v>1045</v>
      </c>
      <c r="S536" s="115">
        <f t="array" ref="S536">IF(ISERROR(Q536/J536),"",Q536/J536)</f>
        <v>0.98958333333333337</v>
      </c>
      <c r="T536" s="115">
        <f t="array" ref="T536">IF(ISERROR((O536:P536)/C536),"",SUM(O536:P536)/C536)</f>
        <v>0</v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8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8"/>
      <c r="H538" s="116"/>
      <c r="I538" s="118" t="s">
        <v>332</v>
      </c>
      <c r="J538" s="198" t="s">
        <v>447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54" spans="2:2">
      <c r="B554" s="121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A28:B28"/>
    <mergeCell ref="A86:B86"/>
    <mergeCell ref="V4:V6"/>
    <mergeCell ref="W4:W6"/>
    <mergeCell ref="X4:AA4"/>
    <mergeCell ref="Z165:AA165"/>
    <mergeCell ref="C166:D166"/>
    <mergeCell ref="E166:F166"/>
    <mergeCell ref="G166:H166"/>
    <mergeCell ref="I166:J166"/>
    <mergeCell ref="K166:L166"/>
    <mergeCell ref="G165:H165"/>
    <mergeCell ref="I165:J165"/>
    <mergeCell ref="K165:L165"/>
    <mergeCell ref="M165:N165"/>
    <mergeCell ref="O165:O173"/>
    <mergeCell ref="P165:Q165"/>
    <mergeCell ref="M166:N166"/>
    <mergeCell ref="P166:Q166"/>
    <mergeCell ref="M167:N167"/>
    <mergeCell ref="P167:Q167"/>
    <mergeCell ref="R166:S166"/>
    <mergeCell ref="T166:U166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tabSelected="1" zoomScaleNormal="100" workbookViewId="0">
      <pane xSplit="4" ySplit="6" topLeftCell="E434" activePane="bottomRight" state="frozen"/>
      <selection activeCell="E487" sqref="E487"/>
      <selection pane="topRight" activeCell="E487" sqref="E487"/>
      <selection pane="bottomLeft" activeCell="E487" sqref="E487"/>
      <selection pane="bottomRight" activeCell="F533" sqref="F533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55" t="s">
        <v>413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55"/>
      <c r="M1" s="555"/>
      <c r="N1" s="555"/>
      <c r="O1" s="555"/>
      <c r="P1" s="555"/>
      <c r="Q1" s="555"/>
      <c r="R1" s="555"/>
      <c r="S1" s="555"/>
      <c r="T1" s="555"/>
      <c r="U1" s="555"/>
      <c r="V1" s="555"/>
      <c r="W1" s="555"/>
      <c r="X1" s="555"/>
      <c r="Y1" s="555"/>
      <c r="Z1" s="555"/>
      <c r="AA1" s="555"/>
    </row>
    <row r="2" spans="1:27" ht="18.75">
      <c r="A2" s="556"/>
      <c r="B2" s="556"/>
      <c r="C2" s="556"/>
      <c r="D2" s="556"/>
      <c r="E2" s="556"/>
      <c r="F2" s="556"/>
      <c r="G2" s="556"/>
      <c r="H2" s="556"/>
      <c r="I2" s="556"/>
      <c r="J2" s="556"/>
      <c r="K2" s="556"/>
      <c r="L2" s="556"/>
      <c r="M2" s="556"/>
      <c r="N2" s="556"/>
      <c r="O2" s="556"/>
      <c r="P2" s="556"/>
      <c r="Q2" s="556"/>
      <c r="R2" s="556"/>
      <c r="S2" s="556"/>
      <c r="T2" s="556"/>
      <c r="U2" s="556"/>
      <c r="V2" s="556"/>
      <c r="W2" s="556"/>
      <c r="X2" s="556"/>
      <c r="Y2" s="556"/>
      <c r="Z2" s="556"/>
      <c r="AA2" s="556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57" t="s">
        <v>12</v>
      </c>
      <c r="B4" s="557" t="s">
        <v>25</v>
      </c>
      <c r="C4" s="557" t="s">
        <v>26</v>
      </c>
      <c r="D4" s="557" t="s">
        <v>27</v>
      </c>
      <c r="E4" s="560" t="s">
        <v>28</v>
      </c>
      <c r="F4" s="563" t="s">
        <v>29</v>
      </c>
      <c r="G4" s="566" t="s">
        <v>30</v>
      </c>
      <c r="H4" s="566"/>
      <c r="I4" s="557" t="s">
        <v>31</v>
      </c>
      <c r="J4" s="569" t="s">
        <v>32</v>
      </c>
      <c r="K4" s="572" t="s">
        <v>33</v>
      </c>
      <c r="L4" s="557" t="s">
        <v>34</v>
      </c>
      <c r="M4" s="575" t="s">
        <v>35</v>
      </c>
      <c r="N4" s="577" t="s">
        <v>36</v>
      </c>
      <c r="O4" s="566" t="s">
        <v>37</v>
      </c>
      <c r="P4" s="566"/>
      <c r="Q4" s="566"/>
      <c r="R4" s="566"/>
      <c r="S4" s="566"/>
      <c r="T4" s="566"/>
      <c r="U4" s="566"/>
      <c r="V4" s="566" t="s">
        <v>38</v>
      </c>
      <c r="W4" s="577" t="s">
        <v>39</v>
      </c>
      <c r="X4" s="566" t="s">
        <v>40</v>
      </c>
      <c r="Y4" s="566"/>
      <c r="Z4" s="566"/>
      <c r="AA4" s="566"/>
    </row>
    <row r="5" spans="1:27" s="104" customFormat="1" ht="15" customHeight="1">
      <c r="A5" s="558"/>
      <c r="B5" s="558"/>
      <c r="C5" s="558"/>
      <c r="D5" s="558"/>
      <c r="E5" s="561"/>
      <c r="F5" s="564"/>
      <c r="G5" s="566"/>
      <c r="H5" s="566"/>
      <c r="I5" s="558"/>
      <c r="J5" s="570"/>
      <c r="K5" s="573"/>
      <c r="L5" s="558"/>
      <c r="M5" s="576"/>
      <c r="N5" s="577"/>
      <c r="O5" s="566" t="s">
        <v>41</v>
      </c>
      <c r="P5" s="566" t="s">
        <v>42</v>
      </c>
      <c r="Q5" s="566" t="s">
        <v>43</v>
      </c>
      <c r="R5" s="567" t="s">
        <v>44</v>
      </c>
      <c r="S5" s="568" t="s">
        <v>45</v>
      </c>
      <c r="T5" s="566" t="s">
        <v>46</v>
      </c>
      <c r="U5" s="566" t="s">
        <v>47</v>
      </c>
      <c r="V5" s="566"/>
      <c r="W5" s="577"/>
      <c r="X5" s="566" t="s">
        <v>13</v>
      </c>
      <c r="Y5" s="566" t="s">
        <v>48</v>
      </c>
      <c r="Z5" s="566" t="s">
        <v>49</v>
      </c>
      <c r="AA5" s="566" t="s">
        <v>47</v>
      </c>
    </row>
    <row r="6" spans="1:27" s="104" customFormat="1" ht="27.75" customHeight="1">
      <c r="A6" s="559"/>
      <c r="B6" s="559"/>
      <c r="C6" s="559"/>
      <c r="D6" s="559"/>
      <c r="E6" s="562"/>
      <c r="F6" s="565"/>
      <c r="G6" s="350" t="s">
        <v>50</v>
      </c>
      <c r="H6" s="551" t="s">
        <v>51</v>
      </c>
      <c r="I6" s="559"/>
      <c r="J6" s="571"/>
      <c r="K6" s="574"/>
      <c r="L6" s="559"/>
      <c r="M6" s="576"/>
      <c r="N6" s="577"/>
      <c r="O6" s="566"/>
      <c r="P6" s="566"/>
      <c r="Q6" s="566"/>
      <c r="R6" s="567"/>
      <c r="S6" s="568"/>
      <c r="T6" s="566"/>
      <c r="U6" s="566"/>
      <c r="V6" s="566"/>
      <c r="W6" s="577"/>
      <c r="X6" s="566"/>
      <c r="Y6" s="566"/>
      <c r="Z6" s="566"/>
      <c r="AA6" s="566"/>
    </row>
    <row r="7" spans="1:27" ht="20.100000000000001" hidden="1" customHeight="1">
      <c r="A7" s="299">
        <v>30100030</v>
      </c>
      <c r="B7" s="540" t="s">
        <v>178</v>
      </c>
      <c r="C7" s="126" t="s">
        <v>179</v>
      </c>
      <c r="D7" s="108">
        <v>5.03</v>
      </c>
      <c r="E7" s="108"/>
      <c r="F7" s="127"/>
      <c r="G7" s="128"/>
      <c r="H7" s="541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549"/>
      <c r="P7" s="549"/>
      <c r="Q7" s="549"/>
      <c r="R7" s="549"/>
      <c r="S7" s="549"/>
      <c r="T7" s="549"/>
      <c r="U7" s="549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541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549"/>
      <c r="Q8" s="549"/>
      <c r="R8" s="549"/>
      <c r="S8" s="549"/>
      <c r="T8" s="549"/>
      <c r="U8" s="549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541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549"/>
      <c r="P9" s="549"/>
      <c r="Q9" s="549"/>
      <c r="R9" s="549"/>
      <c r="S9" s="549"/>
      <c r="T9" s="549"/>
      <c r="U9" s="549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541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549"/>
      <c r="P10" s="549"/>
      <c r="Q10" s="549"/>
      <c r="R10" s="549"/>
      <c r="S10" s="549"/>
      <c r="T10" s="549"/>
      <c r="U10" s="549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541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549"/>
      <c r="P11" s="549"/>
      <c r="Q11" s="549"/>
      <c r="R11" s="549"/>
      <c r="S11" s="549"/>
      <c r="T11" s="549"/>
      <c r="U11" s="549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541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549"/>
      <c r="P12" s="549"/>
      <c r="Q12" s="549"/>
      <c r="R12" s="549"/>
      <c r="S12" s="549"/>
      <c r="T12" s="549"/>
      <c r="U12" s="549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541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549"/>
      <c r="P13" s="549"/>
      <c r="Q13" s="549"/>
      <c r="R13" s="549"/>
      <c r="S13" s="549"/>
      <c r="T13" s="549"/>
      <c r="U13" s="549"/>
      <c r="V13" s="132"/>
      <c r="W13" s="133"/>
      <c r="X13" s="132"/>
      <c r="Y13" s="132"/>
      <c r="Z13" s="132"/>
      <c r="AA13" s="132"/>
    </row>
    <row r="14" spans="1:27" ht="20.10000000000000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>
        <v>42745</v>
      </c>
      <c r="G14" s="128">
        <v>30</v>
      </c>
      <c r="H14" s="541">
        <f t="shared" si="0"/>
        <v>150.9</v>
      </c>
      <c r="I14" s="129">
        <f>1*2</f>
        <v>2</v>
      </c>
      <c r="J14" s="130">
        <f t="array" ref="J14">IF(ISERROR(G14/I14),"",G14/I14)</f>
        <v>15</v>
      </c>
      <c r="K14" s="131">
        <f t="array" ref="K14">IF(ISERROR(G14/L14),"",G14/L14)</f>
        <v>10</v>
      </c>
      <c r="L14" s="129">
        <v>3</v>
      </c>
      <c r="M14" s="109">
        <f t="shared" si="1"/>
        <v>-8</v>
      </c>
      <c r="N14" s="130">
        <f t="shared" si="4"/>
        <v>0</v>
      </c>
      <c r="O14" s="549"/>
      <c r="P14" s="549"/>
      <c r="Q14" s="549"/>
      <c r="R14" s="549"/>
      <c r="S14" s="549"/>
      <c r="T14" s="549"/>
      <c r="U14" s="549"/>
      <c r="V14" s="132"/>
      <c r="W14" s="133"/>
      <c r="X14" s="132"/>
      <c r="Y14" s="132"/>
      <c r="Z14" s="132"/>
      <c r="AA14" s="132"/>
    </row>
    <row r="15" spans="1:27" ht="20.10000000000000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>
        <v>42747</v>
      </c>
      <c r="G15" s="128">
        <f>100*2+84+16+100*2+94</f>
        <v>594</v>
      </c>
      <c r="H15" s="541">
        <f t="shared" si="0"/>
        <v>2993.76</v>
      </c>
      <c r="I15" s="541">
        <f>11*5</f>
        <v>55</v>
      </c>
      <c r="J15" s="130">
        <f t="array" ref="J15">IF(ISERROR(G15/I15),"",G15/I15)</f>
        <v>10.8</v>
      </c>
      <c r="K15" s="131">
        <f t="array" ref="K15">IF(ISERROR(G15/L15),"",G15/L15)</f>
        <v>34.941176470588232</v>
      </c>
      <c r="L15" s="129">
        <v>17</v>
      </c>
      <c r="M15" s="109">
        <f t="shared" si="1"/>
        <v>20.058823529411768</v>
      </c>
      <c r="N15" s="130">
        <f t="shared" si="4"/>
        <v>0</v>
      </c>
      <c r="O15" s="549"/>
      <c r="P15" s="549"/>
      <c r="Q15" s="549"/>
      <c r="R15" s="549"/>
      <c r="S15" s="549"/>
      <c r="T15" s="549"/>
      <c r="U15" s="549"/>
      <c r="V15" s="132">
        <f>SUM(X15:AA15)</f>
        <v>0</v>
      </c>
      <c r="W15" s="133">
        <f>IF(ISERROR(V15/G15),"",V15/G15)</f>
        <v>0</v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541">
        <f t="shared" si="0"/>
        <v>0</v>
      </c>
      <c r="I16" s="541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549"/>
      <c r="P16" s="549"/>
      <c r="Q16" s="549"/>
      <c r="R16" s="549"/>
      <c r="S16" s="549"/>
      <c r="T16" s="549"/>
      <c r="U16" s="549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541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549"/>
      <c r="P17" s="549"/>
      <c r="Q17" s="549"/>
      <c r="R17" s="549"/>
      <c r="S17" s="549"/>
      <c r="T17" s="549"/>
      <c r="U17" s="549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541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549"/>
      <c r="P18" s="549"/>
      <c r="Q18" s="549"/>
      <c r="R18" s="549"/>
      <c r="S18" s="549"/>
      <c r="T18" s="549"/>
      <c r="U18" s="549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541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549"/>
      <c r="P19" s="549"/>
      <c r="Q19" s="549"/>
      <c r="R19" s="549"/>
      <c r="S19" s="549"/>
      <c r="T19" s="549"/>
      <c r="U19" s="549"/>
      <c r="V19" s="132">
        <f t="shared" ref="V19:V21" si="5">SUM(X19:AA19)</f>
        <v>0</v>
      </c>
      <c r="W19" s="542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>
        <v>42745</v>
      </c>
      <c r="G20" s="128">
        <f>18+11+100*9</f>
        <v>929</v>
      </c>
      <c r="H20" s="541">
        <f t="shared" si="0"/>
        <v>4728.6099999999997</v>
      </c>
      <c r="I20" s="129">
        <f>11*5</f>
        <v>55</v>
      </c>
      <c r="J20" s="130">
        <f t="array" ref="J20">IF(ISERROR(G20/I20),"",G20/I20)</f>
        <v>16.890909090909091</v>
      </c>
      <c r="K20" s="131">
        <f t="array" ref="K20">IF(ISERROR(G20/L20),"",G20/L20)</f>
        <v>40.391304347826086</v>
      </c>
      <c r="L20" s="129">
        <v>23</v>
      </c>
      <c r="M20" s="109">
        <f t="shared" si="1"/>
        <v>14.608695652173914</v>
      </c>
      <c r="N20" s="130">
        <f t="shared" si="4"/>
        <v>0</v>
      </c>
      <c r="O20" s="549"/>
      <c r="P20" s="549"/>
      <c r="Q20" s="549"/>
      <c r="R20" s="549"/>
      <c r="S20" s="549"/>
      <c r="T20" s="549"/>
      <c r="U20" s="549"/>
      <c r="V20" s="132">
        <f t="shared" si="5"/>
        <v>0</v>
      </c>
      <c r="W20" s="133">
        <f t="shared" si="6"/>
        <v>0</v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541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549"/>
      <c r="P21" s="549"/>
      <c r="Q21" s="549"/>
      <c r="R21" s="549"/>
      <c r="S21" s="549"/>
      <c r="T21" s="549"/>
      <c r="U21" s="549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547" t="s">
        <v>190</v>
      </c>
      <c r="D22" s="108">
        <v>4.8</v>
      </c>
      <c r="E22" s="108"/>
      <c r="F22" s="127"/>
      <c r="G22" s="128"/>
      <c r="H22" s="541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549"/>
      <c r="P22" s="549"/>
      <c r="Q22" s="549"/>
      <c r="R22" s="549"/>
      <c r="S22" s="549"/>
      <c r="T22" s="549"/>
      <c r="U22" s="549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547" t="s">
        <v>187</v>
      </c>
      <c r="D23" s="108">
        <v>4.8</v>
      </c>
      <c r="E23" s="108"/>
      <c r="F23" s="127"/>
      <c r="G23" s="128"/>
      <c r="H23" s="541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549"/>
      <c r="P23" s="549"/>
      <c r="Q23" s="549"/>
      <c r="R23" s="549"/>
      <c r="S23" s="549"/>
      <c r="T23" s="549"/>
      <c r="U23" s="549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547" t="s">
        <v>179</v>
      </c>
      <c r="D24" s="108">
        <v>4.8</v>
      </c>
      <c r="E24" s="108"/>
      <c r="F24" s="127"/>
      <c r="G24" s="128"/>
      <c r="H24" s="541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549"/>
      <c r="P24" s="549"/>
      <c r="Q24" s="549"/>
      <c r="R24" s="549"/>
      <c r="S24" s="549"/>
      <c r="T24" s="549"/>
      <c r="U24" s="549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547" t="s">
        <v>199</v>
      </c>
      <c r="D25" s="108">
        <v>4.8</v>
      </c>
      <c r="E25" s="108"/>
      <c r="F25" s="127"/>
      <c r="G25" s="128"/>
      <c r="H25" s="541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549"/>
      <c r="P25" s="549"/>
      <c r="Q25" s="549"/>
      <c r="R25" s="549"/>
      <c r="S25" s="549"/>
      <c r="T25" s="549"/>
      <c r="U25" s="549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541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549"/>
      <c r="P26" s="549"/>
      <c r="Q26" s="549"/>
      <c r="R26" s="549"/>
      <c r="S26" s="549"/>
      <c r="T26" s="549"/>
      <c r="U26" s="549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541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549"/>
      <c r="P27" s="549"/>
      <c r="Q27" s="549"/>
      <c r="R27" s="549"/>
      <c r="S27" s="549"/>
      <c r="T27" s="549"/>
      <c r="U27" s="549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578" t="s">
        <v>201</v>
      </c>
      <c r="B28" s="579"/>
      <c r="C28" s="550" t="s">
        <v>202</v>
      </c>
      <c r="D28" s="143"/>
      <c r="E28" s="143"/>
      <c r="F28" s="144"/>
      <c r="G28" s="145">
        <f>SUM(G7:G27)</f>
        <v>1553</v>
      </c>
      <c r="H28" s="146">
        <f>SUM(H7:H27)</f>
        <v>7873.27</v>
      </c>
      <c r="I28" s="146">
        <f>SUM(I7:I27)</f>
        <v>112</v>
      </c>
      <c r="J28" s="130">
        <f t="array" ref="J28">IF(ISERROR(G28/I28),"",G28/I28)</f>
        <v>13.866071428571429</v>
      </c>
      <c r="K28" s="146">
        <f>SUM(K7:K27)</f>
        <v>85.332480818414325</v>
      </c>
      <c r="L28" s="147"/>
      <c r="M28" s="146">
        <f t="shared" ref="M28:V28" si="10">SUM(M7:M27)</f>
        <v>26.667519181585682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540" t="s">
        <v>206</v>
      </c>
      <c r="C29" s="126" t="s">
        <v>199</v>
      </c>
      <c r="D29" s="108">
        <v>5.03</v>
      </c>
      <c r="E29" s="108"/>
      <c r="F29" s="127"/>
      <c r="G29" s="128"/>
      <c r="H29" s="541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545"/>
      <c r="P29" s="545"/>
      <c r="Q29" s="545"/>
      <c r="R29" s="545"/>
      <c r="S29" s="545"/>
      <c r="T29" s="545"/>
      <c r="U29" s="545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540" t="s">
        <v>425</v>
      </c>
      <c r="C30" s="187" t="s">
        <v>427</v>
      </c>
      <c r="D30" s="108">
        <v>5.03</v>
      </c>
      <c r="E30" s="108"/>
      <c r="F30" s="127"/>
      <c r="G30" s="128"/>
      <c r="H30" s="541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545"/>
      <c r="P30" s="545"/>
      <c r="Q30" s="545"/>
      <c r="R30" s="545"/>
      <c r="S30" s="545"/>
      <c r="T30" s="545"/>
      <c r="U30" s="545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540" t="s">
        <v>206</v>
      </c>
      <c r="C31" s="126" t="s">
        <v>186</v>
      </c>
      <c r="D31" s="108">
        <v>5.03</v>
      </c>
      <c r="E31" s="108"/>
      <c r="F31" s="127"/>
      <c r="G31" s="128"/>
      <c r="H31" s="541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545"/>
      <c r="P31" s="545"/>
      <c r="Q31" s="545"/>
      <c r="R31" s="545"/>
      <c r="S31" s="545"/>
      <c r="T31" s="545"/>
      <c r="U31" s="545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540" t="s">
        <v>206</v>
      </c>
      <c r="C32" s="126" t="s">
        <v>203</v>
      </c>
      <c r="D32" s="108">
        <v>5.03</v>
      </c>
      <c r="E32" s="108"/>
      <c r="F32" s="127"/>
      <c r="G32" s="128"/>
      <c r="H32" s="541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545"/>
      <c r="P32" s="545"/>
      <c r="Q32" s="545"/>
      <c r="R32" s="545"/>
      <c r="S32" s="545"/>
      <c r="T32" s="545"/>
      <c r="U32" s="545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540" t="s">
        <v>206</v>
      </c>
      <c r="C33" s="126" t="s">
        <v>207</v>
      </c>
      <c r="D33" s="108">
        <v>5.03</v>
      </c>
      <c r="E33" s="108"/>
      <c r="F33" s="127"/>
      <c r="G33" s="128"/>
      <c r="H33" s="541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545"/>
      <c r="P33" s="545"/>
      <c r="Q33" s="545"/>
      <c r="R33" s="545"/>
      <c r="S33" s="545"/>
      <c r="T33" s="545"/>
      <c r="U33" s="545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540" t="s">
        <v>414</v>
      </c>
      <c r="C34" s="187" t="s">
        <v>415</v>
      </c>
      <c r="D34" s="108">
        <v>5.03</v>
      </c>
      <c r="E34" s="108"/>
      <c r="F34" s="127"/>
      <c r="G34" s="128"/>
      <c r="H34" s="541">
        <f t="shared" si="11"/>
        <v>0</v>
      </c>
      <c r="I34" s="129"/>
      <c r="J34" s="130"/>
      <c r="K34" s="131"/>
      <c r="L34" s="129">
        <v>52</v>
      </c>
      <c r="M34" s="109"/>
      <c r="N34" s="130"/>
      <c r="O34" s="545"/>
      <c r="P34" s="545"/>
      <c r="Q34" s="545"/>
      <c r="R34" s="545"/>
      <c r="S34" s="545"/>
      <c r="T34" s="545"/>
      <c r="U34" s="545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540" t="s">
        <v>414</v>
      </c>
      <c r="C35" s="187" t="s">
        <v>416</v>
      </c>
      <c r="D35" s="108">
        <v>5.03</v>
      </c>
      <c r="E35" s="108"/>
      <c r="F35" s="127"/>
      <c r="G35" s="128"/>
      <c r="H35" s="541">
        <f t="shared" si="11"/>
        <v>0</v>
      </c>
      <c r="I35" s="129"/>
      <c r="J35" s="130"/>
      <c r="K35" s="131"/>
      <c r="L35" s="129">
        <v>52</v>
      </c>
      <c r="M35" s="109"/>
      <c r="N35" s="130"/>
      <c r="O35" s="545"/>
      <c r="P35" s="545"/>
      <c r="Q35" s="545"/>
      <c r="R35" s="545"/>
      <c r="S35" s="545"/>
      <c r="T35" s="545"/>
      <c r="U35" s="545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540" t="s">
        <v>414</v>
      </c>
      <c r="C36" s="187" t="s">
        <v>61</v>
      </c>
      <c r="D36" s="108">
        <v>5.03</v>
      </c>
      <c r="E36" s="108"/>
      <c r="F36" s="127"/>
      <c r="G36" s="128"/>
      <c r="H36" s="541">
        <f t="shared" si="11"/>
        <v>0</v>
      </c>
      <c r="I36" s="129"/>
      <c r="J36" s="130"/>
      <c r="K36" s="131"/>
      <c r="L36" s="129">
        <v>52</v>
      </c>
      <c r="M36" s="109"/>
      <c r="N36" s="130"/>
      <c r="O36" s="545"/>
      <c r="P36" s="545"/>
      <c r="Q36" s="545"/>
      <c r="R36" s="545"/>
      <c r="S36" s="545"/>
      <c r="T36" s="545"/>
      <c r="U36" s="545"/>
      <c r="V36" s="132"/>
      <c r="W36" s="133"/>
      <c r="X36" s="132"/>
      <c r="Y36" s="132"/>
      <c r="Z36" s="132"/>
      <c r="AA36" s="132"/>
    </row>
    <row r="37" spans="1:27" ht="20.100000000000001" customHeight="1">
      <c r="A37" s="300">
        <v>30100027</v>
      </c>
      <c r="B37" s="540" t="s">
        <v>208</v>
      </c>
      <c r="C37" s="126" t="s">
        <v>179</v>
      </c>
      <c r="D37" s="108">
        <v>5.08</v>
      </c>
      <c r="E37" s="108"/>
      <c r="F37" s="127">
        <v>42746</v>
      </c>
      <c r="G37" s="128">
        <f>108*4+114</f>
        <v>546</v>
      </c>
      <c r="H37" s="541">
        <f t="shared" si="11"/>
        <v>2773.68</v>
      </c>
      <c r="I37" s="129">
        <f>7.5*2</f>
        <v>15</v>
      </c>
      <c r="J37" s="130">
        <f t="array" ref="J37">IF(ISERROR(G37/I37),"",G37/I37)</f>
        <v>36.4</v>
      </c>
      <c r="K37" s="131">
        <f t="array" ref="K37">IF(ISERROR(G37/L37),"",G37/L37)</f>
        <v>26</v>
      </c>
      <c r="L37" s="129">
        <v>21</v>
      </c>
      <c r="M37" s="109">
        <f t="shared" ref="M37:M66" si="19">IF(ISERROR(I37-K37),"",I37-K37)</f>
        <v>-11</v>
      </c>
      <c r="N37" s="130">
        <f t="shared" ref="N37:N52" si="20">SUM(O37:U37)</f>
        <v>0</v>
      </c>
      <c r="O37" s="545"/>
      <c r="P37" s="545"/>
      <c r="Q37" s="545"/>
      <c r="R37" s="545"/>
      <c r="S37" s="545"/>
      <c r="T37" s="545"/>
      <c r="U37" s="545"/>
      <c r="V37" s="132">
        <f t="shared" ref="V37:V48" si="21">SUM(X37:AA37)</f>
        <v>0</v>
      </c>
      <c r="W37" s="133">
        <f t="shared" ref="W37:W48" si="22">IF(ISERROR(V37/G37),"",V37/G37)</f>
        <v>0</v>
      </c>
      <c r="X37" s="132"/>
      <c r="Y37" s="132"/>
      <c r="Z37" s="132"/>
      <c r="AA37" s="132"/>
    </row>
    <row r="38" spans="1:27" ht="20.100000000000001" customHeight="1">
      <c r="A38" s="300">
        <v>30100023</v>
      </c>
      <c r="B38" s="540" t="s">
        <v>208</v>
      </c>
      <c r="C38" s="126" t="s">
        <v>204</v>
      </c>
      <c r="D38" s="108">
        <v>5.08</v>
      </c>
      <c r="E38" s="108"/>
      <c r="F38" s="127">
        <v>42746</v>
      </c>
      <c r="G38" s="128">
        <f>108+103</f>
        <v>211</v>
      </c>
      <c r="H38" s="541">
        <f t="shared" si="11"/>
        <v>1071.8800000000001</v>
      </c>
      <c r="I38" s="129">
        <f>2.5*2</f>
        <v>5</v>
      </c>
      <c r="J38" s="130">
        <f t="array" ref="J38">IF(ISERROR(G38/I38),"",G38/I38)</f>
        <v>42.2</v>
      </c>
      <c r="K38" s="131">
        <f t="array" ref="K38">IF(ISERROR(G38/L38),"",G38/L38)</f>
        <v>10.047619047619047</v>
      </c>
      <c r="L38" s="129">
        <v>21</v>
      </c>
      <c r="M38" s="109">
        <f t="shared" si="19"/>
        <v>-5.0476190476190474</v>
      </c>
      <c r="N38" s="130">
        <f t="shared" si="20"/>
        <v>0</v>
      </c>
      <c r="O38" s="545"/>
      <c r="P38" s="545"/>
      <c r="Q38" s="545"/>
      <c r="R38" s="545"/>
      <c r="S38" s="545"/>
      <c r="T38" s="545"/>
      <c r="U38" s="545"/>
      <c r="V38" s="132">
        <f t="shared" si="21"/>
        <v>0</v>
      </c>
      <c r="W38" s="133">
        <f t="shared" si="22"/>
        <v>0</v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540" t="s">
        <v>208</v>
      </c>
      <c r="C39" s="126" t="s">
        <v>205</v>
      </c>
      <c r="D39" s="108">
        <v>5.08</v>
      </c>
      <c r="E39" s="108"/>
      <c r="F39" s="127"/>
      <c r="G39" s="128"/>
      <c r="H39" s="541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545"/>
      <c r="P39" s="545"/>
      <c r="Q39" s="545"/>
      <c r="R39" s="545"/>
      <c r="S39" s="545"/>
      <c r="T39" s="545"/>
      <c r="U39" s="545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540" t="s">
        <v>208</v>
      </c>
      <c r="C40" s="126" t="s">
        <v>186</v>
      </c>
      <c r="D40" s="108">
        <v>5.08</v>
      </c>
      <c r="E40" s="108"/>
      <c r="F40" s="127"/>
      <c r="G40" s="128"/>
      <c r="H40" s="541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545"/>
      <c r="P40" s="545"/>
      <c r="Q40" s="545"/>
      <c r="R40" s="545"/>
      <c r="S40" s="545"/>
      <c r="T40" s="545"/>
      <c r="U40" s="545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540" t="s">
        <v>208</v>
      </c>
      <c r="C41" s="126" t="s">
        <v>203</v>
      </c>
      <c r="D41" s="108">
        <v>5.08</v>
      </c>
      <c r="E41" s="108"/>
      <c r="F41" s="127"/>
      <c r="G41" s="128"/>
      <c r="H41" s="541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545"/>
      <c r="P41" s="545"/>
      <c r="Q41" s="545"/>
      <c r="R41" s="545"/>
      <c r="S41" s="545"/>
      <c r="T41" s="545"/>
      <c r="U41" s="545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540" t="s">
        <v>208</v>
      </c>
      <c r="C42" s="126" t="s">
        <v>199</v>
      </c>
      <c r="D42" s="108">
        <v>5.08</v>
      </c>
      <c r="E42" s="108"/>
      <c r="F42" s="127"/>
      <c r="G42" s="128"/>
      <c r="H42" s="541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549"/>
      <c r="P42" s="549"/>
      <c r="Q42" s="549"/>
      <c r="R42" s="549"/>
      <c r="S42" s="549"/>
      <c r="T42" s="549"/>
      <c r="U42" s="549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540" t="s">
        <v>208</v>
      </c>
      <c r="C43" s="126" t="s">
        <v>187</v>
      </c>
      <c r="D43" s="108">
        <v>5.08</v>
      </c>
      <c r="E43" s="108"/>
      <c r="F43" s="127"/>
      <c r="G43" s="128"/>
      <c r="H43" s="541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545"/>
      <c r="P43" s="545"/>
      <c r="Q43" s="545"/>
      <c r="R43" s="545"/>
      <c r="S43" s="545"/>
      <c r="T43" s="545"/>
      <c r="U43" s="545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540" t="s">
        <v>208</v>
      </c>
      <c r="C44" s="126" t="s">
        <v>207</v>
      </c>
      <c r="D44" s="108">
        <v>5.08</v>
      </c>
      <c r="E44" s="108"/>
      <c r="F44" s="127"/>
      <c r="G44" s="128"/>
      <c r="H44" s="541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549"/>
      <c r="P44" s="549"/>
      <c r="Q44" s="549"/>
      <c r="R44" s="549"/>
      <c r="S44" s="549"/>
      <c r="T44" s="549"/>
      <c r="U44" s="549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540" t="s">
        <v>209</v>
      </c>
      <c r="C45" s="126" t="s">
        <v>194</v>
      </c>
      <c r="D45" s="108">
        <v>5.03</v>
      </c>
      <c r="E45" s="108"/>
      <c r="F45" s="127"/>
      <c r="G45" s="128"/>
      <c r="H45" s="541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545"/>
      <c r="P45" s="545"/>
      <c r="Q45" s="545"/>
      <c r="R45" s="545"/>
      <c r="S45" s="545"/>
      <c r="T45" s="545"/>
      <c r="U45" s="545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540" t="s">
        <v>209</v>
      </c>
      <c r="C46" s="126" t="s">
        <v>179</v>
      </c>
      <c r="D46" s="108">
        <v>5.03</v>
      </c>
      <c r="E46" s="108"/>
      <c r="F46" s="127"/>
      <c r="G46" s="128"/>
      <c r="H46" s="541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545"/>
      <c r="P46" s="545"/>
      <c r="Q46" s="545"/>
      <c r="R46" s="545"/>
      <c r="S46" s="545"/>
      <c r="T46" s="545"/>
      <c r="U46" s="545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customHeight="1">
      <c r="A47" s="300">
        <v>30100062</v>
      </c>
      <c r="B47" s="540" t="s">
        <v>209</v>
      </c>
      <c r="C47" s="126" t="s">
        <v>195</v>
      </c>
      <c r="D47" s="108">
        <v>5.03</v>
      </c>
      <c r="E47" s="108"/>
      <c r="F47" s="127">
        <v>42746</v>
      </c>
      <c r="G47" s="128">
        <f>108*11</f>
        <v>1188</v>
      </c>
      <c r="H47" s="541">
        <f t="shared" si="11"/>
        <v>5975.64</v>
      </c>
      <c r="I47" s="129">
        <v>11</v>
      </c>
      <c r="J47" s="130">
        <f t="array" ref="J47">IF(ISERROR(G47/I47),"",G47/I47)</f>
        <v>108</v>
      </c>
      <c r="K47" s="131">
        <f t="array" ref="K47">IF(ISERROR(G47/L47),"",G47/L47)</f>
        <v>21.214285714285715</v>
      </c>
      <c r="L47" s="129">
        <v>56</v>
      </c>
      <c r="M47" s="109">
        <f t="shared" si="19"/>
        <v>-10.214285714285715</v>
      </c>
      <c r="N47" s="130">
        <f t="shared" si="20"/>
        <v>0</v>
      </c>
      <c r="O47" s="545"/>
      <c r="P47" s="545"/>
      <c r="Q47" s="545"/>
      <c r="R47" s="545"/>
      <c r="S47" s="545"/>
      <c r="T47" s="545"/>
      <c r="U47" s="545"/>
      <c r="V47" s="132">
        <f t="shared" si="21"/>
        <v>0</v>
      </c>
      <c r="W47" s="133">
        <f t="shared" si="22"/>
        <v>0</v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540" t="s">
        <v>209</v>
      </c>
      <c r="C48" s="126" t="s">
        <v>204</v>
      </c>
      <c r="D48" s="108">
        <v>5.03</v>
      </c>
      <c r="E48" s="108"/>
      <c r="F48" s="127"/>
      <c r="G48" s="128"/>
      <c r="H48" s="541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545"/>
      <c r="P48" s="545"/>
      <c r="Q48" s="545"/>
      <c r="R48" s="545"/>
      <c r="S48" s="545"/>
      <c r="T48" s="545"/>
      <c r="U48" s="545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customHeight="1">
      <c r="A49" s="300">
        <v>30100019</v>
      </c>
      <c r="B49" s="540" t="s">
        <v>382</v>
      </c>
      <c r="C49" s="187" t="s">
        <v>383</v>
      </c>
      <c r="D49" s="108">
        <v>5.03</v>
      </c>
      <c r="E49" s="108"/>
      <c r="F49" s="127">
        <v>42747</v>
      </c>
      <c r="G49" s="128">
        <f>90*3+95</f>
        <v>365</v>
      </c>
      <c r="H49" s="541">
        <f t="shared" si="11"/>
        <v>1835.95</v>
      </c>
      <c r="I49" s="129">
        <v>8.5</v>
      </c>
      <c r="J49" s="130">
        <f t="array" ref="J49">IF(ISERROR(G49/I49),"",G49/I49)</f>
        <v>42.941176470588232</v>
      </c>
      <c r="K49" s="131">
        <f t="array" ref="K49">IF(ISERROR(G49/L49),"",G49/L49)</f>
        <v>6.7592592592592595</v>
      </c>
      <c r="L49" s="129">
        <v>54</v>
      </c>
      <c r="M49" s="109">
        <f t="shared" si="19"/>
        <v>1.7407407407407405</v>
      </c>
      <c r="N49" s="130">
        <f t="shared" si="20"/>
        <v>0</v>
      </c>
      <c r="O49" s="545"/>
      <c r="P49" s="545"/>
      <c r="Q49" s="545"/>
      <c r="R49" s="545"/>
      <c r="S49" s="545"/>
      <c r="T49" s="545"/>
      <c r="U49" s="545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540" t="s">
        <v>382</v>
      </c>
      <c r="C50" s="187" t="s">
        <v>384</v>
      </c>
      <c r="D50" s="108">
        <v>5.03</v>
      </c>
      <c r="E50" s="108"/>
      <c r="F50" s="127"/>
      <c r="G50" s="128"/>
      <c r="H50" s="541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545"/>
      <c r="P50" s="545"/>
      <c r="Q50" s="545"/>
      <c r="R50" s="545"/>
      <c r="S50" s="545"/>
      <c r="T50" s="545"/>
      <c r="U50" s="545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540" t="s">
        <v>382</v>
      </c>
      <c r="C51" s="187" t="s">
        <v>389</v>
      </c>
      <c r="D51" s="108">
        <v>5.03</v>
      </c>
      <c r="E51" s="108"/>
      <c r="F51" s="127"/>
      <c r="G51" s="128"/>
      <c r="H51" s="541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545"/>
      <c r="P51" s="545"/>
      <c r="Q51" s="545"/>
      <c r="R51" s="545"/>
      <c r="S51" s="545"/>
      <c r="T51" s="545"/>
      <c r="U51" s="545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540" t="s">
        <v>382</v>
      </c>
      <c r="C52" s="187" t="s">
        <v>391</v>
      </c>
      <c r="D52" s="108">
        <v>5.03</v>
      </c>
      <c r="E52" s="108"/>
      <c r="F52" s="127"/>
      <c r="G52" s="128"/>
      <c r="H52" s="541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545"/>
      <c r="P52" s="545"/>
      <c r="Q52" s="545"/>
      <c r="R52" s="545"/>
      <c r="S52" s="545"/>
      <c r="T52" s="545"/>
      <c r="U52" s="545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540" t="s">
        <v>418</v>
      </c>
      <c r="C53" s="187" t="s">
        <v>364</v>
      </c>
      <c r="D53" s="108">
        <v>5.03</v>
      </c>
      <c r="E53" s="108"/>
      <c r="F53" s="127"/>
      <c r="G53" s="128"/>
      <c r="H53" s="541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545"/>
      <c r="P53" s="545"/>
      <c r="Q53" s="545"/>
      <c r="R53" s="545"/>
      <c r="S53" s="545"/>
      <c r="T53" s="545"/>
      <c r="U53" s="545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540" t="s">
        <v>418</v>
      </c>
      <c r="C54" s="187" t="s">
        <v>365</v>
      </c>
      <c r="D54" s="108">
        <v>5.03</v>
      </c>
      <c r="E54" s="108"/>
      <c r="F54" s="127"/>
      <c r="G54" s="128"/>
      <c r="H54" s="541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545"/>
      <c r="P54" s="545"/>
      <c r="Q54" s="545"/>
      <c r="R54" s="545"/>
      <c r="S54" s="545"/>
      <c r="T54" s="545"/>
      <c r="U54" s="545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540" t="s">
        <v>418</v>
      </c>
      <c r="C55" s="187" t="s">
        <v>366</v>
      </c>
      <c r="D55" s="108">
        <v>5.03</v>
      </c>
      <c r="E55" s="108"/>
      <c r="F55" s="127"/>
      <c r="G55" s="128"/>
      <c r="H55" s="541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545"/>
      <c r="P55" s="545"/>
      <c r="Q55" s="545"/>
      <c r="R55" s="545"/>
      <c r="S55" s="545"/>
      <c r="T55" s="545"/>
      <c r="U55" s="545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540" t="s">
        <v>418</v>
      </c>
      <c r="C56" s="187" t="s">
        <v>367</v>
      </c>
      <c r="D56" s="108">
        <v>5.03</v>
      </c>
      <c r="E56" s="108"/>
      <c r="F56" s="127"/>
      <c r="G56" s="128"/>
      <c r="H56" s="541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545"/>
      <c r="P56" s="545"/>
      <c r="Q56" s="545"/>
      <c r="R56" s="545"/>
      <c r="S56" s="545"/>
      <c r="T56" s="545"/>
      <c r="U56" s="545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541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549"/>
      <c r="P57" s="549"/>
      <c r="Q57" s="549"/>
      <c r="R57" s="549"/>
      <c r="S57" s="549"/>
      <c r="T57" s="549"/>
      <c r="U57" s="549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541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549"/>
      <c r="P58" s="549"/>
      <c r="Q58" s="549"/>
      <c r="R58" s="549"/>
      <c r="S58" s="549"/>
      <c r="T58" s="549"/>
      <c r="U58" s="549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541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549"/>
      <c r="P59" s="549"/>
      <c r="Q59" s="549"/>
      <c r="R59" s="549"/>
      <c r="S59" s="549"/>
      <c r="T59" s="549"/>
      <c r="U59" s="549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541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549"/>
      <c r="P60" s="549"/>
      <c r="Q60" s="549"/>
      <c r="R60" s="549"/>
      <c r="S60" s="549"/>
      <c r="T60" s="549"/>
      <c r="U60" s="549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541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549"/>
      <c r="P61" s="549"/>
      <c r="Q61" s="549"/>
      <c r="R61" s="549"/>
      <c r="S61" s="549"/>
      <c r="T61" s="549"/>
      <c r="U61" s="549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541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549"/>
      <c r="P62" s="549"/>
      <c r="Q62" s="549"/>
      <c r="R62" s="549"/>
      <c r="S62" s="549"/>
      <c r="T62" s="549"/>
      <c r="U62" s="549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541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549"/>
      <c r="P63" s="549"/>
      <c r="Q63" s="549"/>
      <c r="R63" s="549"/>
      <c r="S63" s="549"/>
      <c r="T63" s="549"/>
      <c r="U63" s="549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541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549"/>
      <c r="P64" s="549"/>
      <c r="Q64" s="549"/>
      <c r="R64" s="549"/>
      <c r="S64" s="549"/>
      <c r="T64" s="549"/>
      <c r="U64" s="549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>
        <v>42747</v>
      </c>
      <c r="G65" s="128">
        <f>90*2+53</f>
        <v>233</v>
      </c>
      <c r="H65" s="541">
        <f t="shared" si="11"/>
        <v>1171.99</v>
      </c>
      <c r="I65" s="129">
        <v>2.5</v>
      </c>
      <c r="J65" s="130">
        <f t="array" ref="J65">IF(ISERROR(G65/I65),"",G65/I65)</f>
        <v>93.2</v>
      </c>
      <c r="K65" s="131">
        <f t="array" ref="K65">IF(ISERROR(G65/L65),"",G65/L65)</f>
        <v>4.66</v>
      </c>
      <c r="L65" s="129">
        <v>50</v>
      </c>
      <c r="M65" s="109">
        <f t="shared" si="19"/>
        <v>-2.16</v>
      </c>
      <c r="N65" s="130">
        <f t="shared" si="23"/>
        <v>0</v>
      </c>
      <c r="O65" s="549"/>
      <c r="P65" s="549"/>
      <c r="Q65" s="549"/>
      <c r="R65" s="549"/>
      <c r="S65" s="549"/>
      <c r="T65" s="549"/>
      <c r="U65" s="549"/>
      <c r="V65" s="132">
        <f t="shared" si="24"/>
        <v>0</v>
      </c>
      <c r="W65" s="133">
        <f t="shared" si="25"/>
        <v>0</v>
      </c>
      <c r="X65" s="132"/>
      <c r="Y65" s="132"/>
      <c r="Z65" s="132"/>
      <c r="AA65" s="132"/>
    </row>
    <row r="66" spans="1:27" ht="20.10000000000000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>
        <v>42744</v>
      </c>
      <c r="G66" s="527">
        <v>90</v>
      </c>
      <c r="H66" s="541">
        <f t="shared" si="11"/>
        <v>452.70000000000005</v>
      </c>
      <c r="I66" s="129">
        <v>2</v>
      </c>
      <c r="J66" s="130">
        <f t="array" ref="J66">IF(ISERROR(G66/I66),"",G66/I66)</f>
        <v>45</v>
      </c>
      <c r="K66" s="131">
        <f t="array" ref="K66">IF(ISERROR(G66/L66),"",G66/L66)</f>
        <v>1.8</v>
      </c>
      <c r="L66" s="129">
        <v>50</v>
      </c>
      <c r="M66" s="109">
        <f t="shared" si="19"/>
        <v>0.19999999999999996</v>
      </c>
      <c r="N66" s="130">
        <f t="shared" si="23"/>
        <v>0</v>
      </c>
      <c r="O66" s="549"/>
      <c r="P66" s="549"/>
      <c r="Q66" s="549"/>
      <c r="R66" s="549"/>
      <c r="S66" s="549"/>
      <c r="T66" s="549"/>
      <c r="U66" s="549"/>
      <c r="V66" s="132">
        <f t="shared" si="24"/>
        <v>0</v>
      </c>
      <c r="W66" s="133">
        <f t="shared" si="25"/>
        <v>0</v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541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549"/>
      <c r="P67" s="549"/>
      <c r="Q67" s="549"/>
      <c r="R67" s="549"/>
      <c r="S67" s="549"/>
      <c r="T67" s="549"/>
      <c r="U67" s="549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541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549"/>
      <c r="P68" s="549"/>
      <c r="Q68" s="549"/>
      <c r="R68" s="549"/>
      <c r="S68" s="549"/>
      <c r="T68" s="549"/>
      <c r="U68" s="549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541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549"/>
      <c r="P69" s="549"/>
      <c r="Q69" s="549"/>
      <c r="R69" s="549"/>
      <c r="S69" s="549"/>
      <c r="T69" s="549"/>
      <c r="U69" s="549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541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549"/>
      <c r="P70" s="549"/>
      <c r="Q70" s="549"/>
      <c r="R70" s="549"/>
      <c r="S70" s="549"/>
      <c r="T70" s="549"/>
      <c r="U70" s="549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541">
        <f t="shared" si="11"/>
        <v>0</v>
      </c>
      <c r="I71" s="129"/>
      <c r="J71" s="130"/>
      <c r="K71" s="131"/>
      <c r="L71" s="129"/>
      <c r="M71" s="109"/>
      <c r="N71" s="130"/>
      <c r="O71" s="549"/>
      <c r="P71" s="549"/>
      <c r="Q71" s="549"/>
      <c r="R71" s="549"/>
      <c r="S71" s="549"/>
      <c r="T71" s="549"/>
      <c r="U71" s="549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541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549"/>
      <c r="P72" s="549"/>
      <c r="Q72" s="549"/>
      <c r="R72" s="549"/>
      <c r="S72" s="549"/>
      <c r="T72" s="549"/>
      <c r="U72" s="549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541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549"/>
      <c r="P73" s="549"/>
      <c r="Q73" s="549"/>
      <c r="R73" s="549"/>
      <c r="S73" s="549"/>
      <c r="T73" s="549"/>
      <c r="U73" s="549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541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549"/>
      <c r="P74" s="549"/>
      <c r="Q74" s="549"/>
      <c r="R74" s="549"/>
      <c r="S74" s="549"/>
      <c r="T74" s="549"/>
      <c r="U74" s="549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541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549"/>
      <c r="P75" s="549"/>
      <c r="Q75" s="549"/>
      <c r="R75" s="549"/>
      <c r="S75" s="549"/>
      <c r="T75" s="549"/>
      <c r="U75" s="549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541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549"/>
      <c r="P76" s="549"/>
      <c r="Q76" s="549"/>
      <c r="R76" s="549"/>
      <c r="S76" s="549"/>
      <c r="T76" s="549"/>
      <c r="U76" s="549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541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549"/>
      <c r="P77" s="549"/>
      <c r="Q77" s="549"/>
      <c r="R77" s="549"/>
      <c r="S77" s="549"/>
      <c r="T77" s="549"/>
      <c r="U77" s="549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541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549"/>
      <c r="P78" s="549"/>
      <c r="Q78" s="549"/>
      <c r="R78" s="549"/>
      <c r="S78" s="549"/>
      <c r="T78" s="549"/>
      <c r="U78" s="549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541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549"/>
      <c r="P79" s="549"/>
      <c r="Q79" s="549"/>
      <c r="R79" s="549"/>
      <c r="S79" s="549"/>
      <c r="T79" s="549"/>
      <c r="U79" s="549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541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549"/>
      <c r="P80" s="549"/>
      <c r="Q80" s="549"/>
      <c r="R80" s="549"/>
      <c r="S80" s="549"/>
      <c r="T80" s="549"/>
      <c r="U80" s="549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541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549"/>
      <c r="P81" s="549"/>
      <c r="Q81" s="549"/>
      <c r="R81" s="549"/>
      <c r="S81" s="549"/>
      <c r="T81" s="549"/>
      <c r="U81" s="549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541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549"/>
      <c r="P82" s="549"/>
      <c r="Q82" s="549"/>
      <c r="R82" s="549"/>
      <c r="S82" s="549"/>
      <c r="T82" s="549"/>
      <c r="U82" s="549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541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549"/>
      <c r="P83" s="549"/>
      <c r="Q83" s="549"/>
      <c r="R83" s="549"/>
      <c r="S83" s="549"/>
      <c r="T83" s="549"/>
      <c r="U83" s="549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541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549"/>
      <c r="P84" s="549"/>
      <c r="Q84" s="549"/>
      <c r="R84" s="549"/>
      <c r="S84" s="549"/>
      <c r="T84" s="549"/>
      <c r="U84" s="549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541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549"/>
      <c r="P85" s="549"/>
      <c r="Q85" s="549"/>
      <c r="R85" s="549"/>
      <c r="S85" s="549"/>
      <c r="T85" s="549"/>
      <c r="U85" s="549"/>
      <c r="V85" s="132"/>
      <c r="W85" s="133"/>
      <c r="X85" s="132"/>
      <c r="Y85" s="132"/>
      <c r="Z85" s="132"/>
      <c r="AA85" s="132"/>
    </row>
    <row r="86" spans="1:27" ht="20.100000000000001" customHeight="1">
      <c r="A86" s="589" t="s">
        <v>216</v>
      </c>
      <c r="B86" s="589"/>
      <c r="C86" s="550" t="s">
        <v>202</v>
      </c>
      <c r="D86" s="143"/>
      <c r="E86" s="143"/>
      <c r="F86" s="144"/>
      <c r="G86" s="145">
        <f>SUM(G29:G85)</f>
        <v>2633</v>
      </c>
      <c r="H86" s="146">
        <f>SUM(H29:H85)</f>
        <v>13281.840000000002</v>
      </c>
      <c r="I86" s="146">
        <f>SUM(I29:I85)</f>
        <v>44</v>
      </c>
      <c r="J86" s="130">
        <f t="array" ref="J86">IF(ISERROR(G86/I86),"",G86/I86)</f>
        <v>59.840909090909093</v>
      </c>
      <c r="K86" s="146">
        <f>SUM(K29:K85)</f>
        <v>70.48116402116402</v>
      </c>
      <c r="L86" s="147"/>
      <c r="M86" s="150">
        <f t="shared" ref="M86:V86" si="34">SUM(M29:M85)</f>
        <v>-26.481164021164023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540" t="s">
        <v>217</v>
      </c>
      <c r="C87" s="126" t="s">
        <v>179</v>
      </c>
      <c r="D87" s="108">
        <v>5.03</v>
      </c>
      <c r="E87" s="108"/>
      <c r="F87" s="127"/>
      <c r="G87" s="128"/>
      <c r="H87" s="541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549"/>
      <c r="P87" s="549"/>
      <c r="Q87" s="549"/>
      <c r="R87" s="549"/>
      <c r="S87" s="549"/>
      <c r="T87" s="549"/>
      <c r="U87" s="549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540" t="s">
        <v>217</v>
      </c>
      <c r="C88" s="126" t="s">
        <v>186</v>
      </c>
      <c r="D88" s="108">
        <v>5.03</v>
      </c>
      <c r="E88" s="108"/>
      <c r="F88" s="127"/>
      <c r="G88" s="128"/>
      <c r="H88" s="541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549"/>
      <c r="P88" s="549"/>
      <c r="Q88" s="549"/>
      <c r="R88" s="549"/>
      <c r="S88" s="549"/>
      <c r="T88" s="549"/>
      <c r="U88" s="549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540" t="s">
        <v>217</v>
      </c>
      <c r="C89" s="126" t="s">
        <v>204</v>
      </c>
      <c r="D89" s="108">
        <v>5.03</v>
      </c>
      <c r="E89" s="108"/>
      <c r="F89" s="127"/>
      <c r="G89" s="128"/>
      <c r="H89" s="541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549"/>
      <c r="P89" s="549"/>
      <c r="Q89" s="549"/>
      <c r="R89" s="549"/>
      <c r="S89" s="549"/>
      <c r="T89" s="549"/>
      <c r="U89" s="549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541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549"/>
      <c r="P90" s="549"/>
      <c r="Q90" s="549"/>
      <c r="R90" s="549"/>
      <c r="S90" s="549"/>
      <c r="T90" s="549"/>
      <c r="U90" s="549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541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549"/>
      <c r="P91" s="549"/>
      <c r="Q91" s="549"/>
      <c r="R91" s="549"/>
      <c r="S91" s="549"/>
      <c r="T91" s="549"/>
      <c r="U91" s="549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541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549"/>
      <c r="P92" s="549"/>
      <c r="Q92" s="549"/>
      <c r="R92" s="549"/>
      <c r="S92" s="549"/>
      <c r="T92" s="549"/>
      <c r="U92" s="549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541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549"/>
      <c r="P93" s="549"/>
      <c r="Q93" s="549"/>
      <c r="R93" s="549"/>
      <c r="S93" s="549"/>
      <c r="T93" s="549"/>
      <c r="U93" s="549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541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549"/>
      <c r="P94" s="549"/>
      <c r="Q94" s="549"/>
      <c r="R94" s="549"/>
      <c r="S94" s="549"/>
      <c r="T94" s="549"/>
      <c r="U94" s="549"/>
      <c r="V94" s="132"/>
      <c r="W94" s="133"/>
      <c r="X94" s="132"/>
      <c r="Y94" s="132"/>
      <c r="Z94" s="132"/>
      <c r="AA94" s="132"/>
    </row>
    <row r="95" spans="1:27" ht="20.10000000000000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>
        <v>42747</v>
      </c>
      <c r="G95" s="128">
        <v>33</v>
      </c>
      <c r="H95" s="541">
        <f t="shared" si="36"/>
        <v>165.99</v>
      </c>
      <c r="I95" s="129">
        <f>0.5*3</f>
        <v>1.5</v>
      </c>
      <c r="J95" s="130">
        <f t="array" ref="J95">IF(ISERROR(G95/I95),"",G95/I95)</f>
        <v>22</v>
      </c>
      <c r="K95" s="131">
        <f t="array" ref="K95">IF(ISERROR(G95/L95),"",G95/L95)</f>
        <v>4.125</v>
      </c>
      <c r="L95" s="129">
        <v>8</v>
      </c>
      <c r="M95" s="109">
        <f t="shared" si="37"/>
        <v>-2.625</v>
      </c>
      <c r="N95" s="130">
        <f t="shared" ref="N95:N114" si="40">SUM(O95:U95)</f>
        <v>0</v>
      </c>
      <c r="O95" s="549"/>
      <c r="P95" s="549"/>
      <c r="Q95" s="549"/>
      <c r="R95" s="549"/>
      <c r="S95" s="549"/>
      <c r="T95" s="549"/>
      <c r="U95" s="549"/>
      <c r="V95" s="132">
        <f t="shared" ref="V95:V102" si="41">SUM(X95:AA95)</f>
        <v>0</v>
      </c>
      <c r="W95" s="133">
        <f t="shared" ref="W95:W106" si="42">IF(ISERROR(V95/G95),"",V95/G95)</f>
        <v>0</v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541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549"/>
      <c r="P96" s="549"/>
      <c r="Q96" s="549"/>
      <c r="R96" s="549"/>
      <c r="S96" s="549"/>
      <c r="T96" s="549"/>
      <c r="U96" s="549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541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549"/>
      <c r="P97" s="549"/>
      <c r="Q97" s="549"/>
      <c r="R97" s="549"/>
      <c r="S97" s="549"/>
      <c r="T97" s="549"/>
      <c r="U97" s="549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>
        <v>42747</v>
      </c>
      <c r="G98" s="128">
        <f>12+90</f>
        <v>102</v>
      </c>
      <c r="H98" s="541">
        <f t="shared" si="36"/>
        <v>513.06000000000006</v>
      </c>
      <c r="I98" s="129">
        <f>3.5*3</f>
        <v>10.5</v>
      </c>
      <c r="J98" s="130">
        <f t="array" ref="J98">IF(ISERROR(G98/I98),"",G98/I98)</f>
        <v>9.7142857142857135</v>
      </c>
      <c r="K98" s="131">
        <f t="array" ref="K98">IF(ISERROR(G98/L98),"",G98/L98)</f>
        <v>12.75</v>
      </c>
      <c r="L98" s="129">
        <v>8</v>
      </c>
      <c r="M98" s="109">
        <f t="shared" si="37"/>
        <v>-2.25</v>
      </c>
      <c r="N98" s="130">
        <f t="shared" si="40"/>
        <v>0</v>
      </c>
      <c r="O98" s="549"/>
      <c r="P98" s="549"/>
      <c r="Q98" s="549"/>
      <c r="R98" s="549"/>
      <c r="S98" s="549"/>
      <c r="T98" s="549"/>
      <c r="U98" s="549"/>
      <c r="V98" s="132">
        <f t="shared" si="41"/>
        <v>0</v>
      </c>
      <c r="W98" s="133">
        <f t="shared" si="42"/>
        <v>0</v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541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549"/>
      <c r="P99" s="549"/>
      <c r="Q99" s="549"/>
      <c r="R99" s="549"/>
      <c r="S99" s="549"/>
      <c r="T99" s="549"/>
      <c r="U99" s="549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541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549"/>
      <c r="P100" s="549"/>
      <c r="Q100" s="549"/>
      <c r="R100" s="549"/>
      <c r="S100" s="549"/>
      <c r="T100" s="549"/>
      <c r="U100" s="549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541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549"/>
      <c r="P101" s="549"/>
      <c r="Q101" s="549"/>
      <c r="R101" s="549"/>
      <c r="S101" s="549"/>
      <c r="T101" s="549"/>
      <c r="U101" s="549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541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549"/>
      <c r="P102" s="549"/>
      <c r="Q102" s="549"/>
      <c r="R102" s="549"/>
      <c r="S102" s="549"/>
      <c r="T102" s="549"/>
      <c r="U102" s="549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540" t="s">
        <v>222</v>
      </c>
      <c r="C103" s="126" t="s">
        <v>181</v>
      </c>
      <c r="D103" s="108">
        <v>10.199999999999999</v>
      </c>
      <c r="E103" s="108"/>
      <c r="F103" s="127"/>
      <c r="G103" s="128"/>
      <c r="H103" s="541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549"/>
      <c r="P103" s="549"/>
      <c r="Q103" s="549"/>
      <c r="R103" s="549"/>
      <c r="S103" s="549"/>
      <c r="T103" s="549"/>
      <c r="U103" s="549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540" t="s">
        <v>222</v>
      </c>
      <c r="C104" s="126" t="s">
        <v>179</v>
      </c>
      <c r="D104" s="108">
        <v>10.199999999999999</v>
      </c>
      <c r="E104" s="108"/>
      <c r="F104" s="127"/>
      <c r="G104" s="128"/>
      <c r="H104" s="541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549"/>
      <c r="P104" s="549"/>
      <c r="Q104" s="549"/>
      <c r="R104" s="549"/>
      <c r="S104" s="549"/>
      <c r="T104" s="549"/>
      <c r="U104" s="549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540" t="s">
        <v>222</v>
      </c>
      <c r="C105" s="126" t="s">
        <v>221</v>
      </c>
      <c r="D105" s="108">
        <v>10.199999999999999</v>
      </c>
      <c r="E105" s="108"/>
      <c r="F105" s="127"/>
      <c r="G105" s="128"/>
      <c r="H105" s="541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549"/>
      <c r="P105" s="549"/>
      <c r="Q105" s="549"/>
      <c r="R105" s="549"/>
      <c r="S105" s="549"/>
      <c r="T105" s="549"/>
      <c r="U105" s="549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540" t="s">
        <v>222</v>
      </c>
      <c r="C106" s="126" t="s">
        <v>186</v>
      </c>
      <c r="D106" s="108">
        <v>10.199999999999999</v>
      </c>
      <c r="E106" s="108"/>
      <c r="F106" s="127"/>
      <c r="G106" s="128"/>
      <c r="H106" s="541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549"/>
      <c r="P106" s="549"/>
      <c r="Q106" s="549"/>
      <c r="R106" s="549"/>
      <c r="S106" s="549"/>
      <c r="T106" s="549"/>
      <c r="U106" s="549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customHeight="1">
      <c r="A107" s="299">
        <v>30400026</v>
      </c>
      <c r="B107" s="540" t="s">
        <v>393</v>
      </c>
      <c r="C107" s="187" t="s">
        <v>395</v>
      </c>
      <c r="D107" s="108">
        <v>5</v>
      </c>
      <c r="E107" s="108"/>
      <c r="F107" s="127">
        <v>42747</v>
      </c>
      <c r="G107" s="128">
        <v>67</v>
      </c>
      <c r="H107" s="541">
        <f t="shared" si="36"/>
        <v>335</v>
      </c>
      <c r="I107" s="129">
        <f>2.5*4</f>
        <v>10</v>
      </c>
      <c r="J107" s="130">
        <f t="array" ref="J107">IF(ISERROR(G107/I107),"",G107/I107)</f>
        <v>6.7</v>
      </c>
      <c r="K107" s="131">
        <f t="array" ref="K107">IF(ISERROR(G107/L107),"",G107/L107)</f>
        <v>13.4</v>
      </c>
      <c r="L107" s="129">
        <v>5</v>
      </c>
      <c r="M107" s="109">
        <f t="shared" si="37"/>
        <v>-3.4000000000000004</v>
      </c>
      <c r="N107" s="130">
        <f t="shared" si="40"/>
        <v>0</v>
      </c>
      <c r="O107" s="549"/>
      <c r="P107" s="549"/>
      <c r="Q107" s="549"/>
      <c r="R107" s="549"/>
      <c r="S107" s="549"/>
      <c r="T107" s="549"/>
      <c r="U107" s="549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540" t="s">
        <v>393</v>
      </c>
      <c r="C108" s="187" t="s">
        <v>402</v>
      </c>
      <c r="D108" s="108">
        <v>5</v>
      </c>
      <c r="E108" s="108"/>
      <c r="F108" s="127"/>
      <c r="G108" s="128"/>
      <c r="H108" s="541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549"/>
      <c r="P108" s="549"/>
      <c r="Q108" s="549"/>
      <c r="R108" s="549"/>
      <c r="S108" s="549"/>
      <c r="T108" s="549"/>
      <c r="U108" s="549"/>
      <c r="V108" s="132"/>
      <c r="W108" s="133"/>
      <c r="X108" s="132"/>
      <c r="Y108" s="132"/>
      <c r="Z108" s="132"/>
      <c r="AA108" s="132"/>
    </row>
    <row r="109" spans="1:27" ht="20.100000000000001" customHeight="1">
      <c r="A109" s="299">
        <v>30400027</v>
      </c>
      <c r="B109" s="540" t="s">
        <v>404</v>
      </c>
      <c r="C109" s="187" t="s">
        <v>405</v>
      </c>
      <c r="D109" s="108">
        <v>5</v>
      </c>
      <c r="E109" s="108"/>
      <c r="F109" s="127">
        <v>42746</v>
      </c>
      <c r="G109" s="128">
        <f>20+90*4+90</f>
        <v>470</v>
      </c>
      <c r="H109" s="541">
        <f t="shared" si="36"/>
        <v>2350</v>
      </c>
      <c r="I109" s="129">
        <f>11*5+8.5*4</f>
        <v>89</v>
      </c>
      <c r="J109" s="130">
        <f t="array" ref="J109">IF(ISERROR(G109/I109),"",G109/I109)</f>
        <v>5.2808988764044944</v>
      </c>
      <c r="K109" s="131">
        <f t="array" ref="K109">IF(ISERROR(G109/L109),"",G109/L109)</f>
        <v>94</v>
      </c>
      <c r="L109" s="129">
        <v>5</v>
      </c>
      <c r="M109" s="109">
        <f t="shared" si="37"/>
        <v>-5</v>
      </c>
      <c r="N109" s="130">
        <f t="shared" si="40"/>
        <v>0</v>
      </c>
      <c r="O109" s="549"/>
      <c r="P109" s="549"/>
      <c r="Q109" s="549"/>
      <c r="R109" s="549"/>
      <c r="S109" s="549"/>
      <c r="T109" s="549"/>
      <c r="U109" s="549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540" t="s">
        <v>492</v>
      </c>
      <c r="C110" s="187" t="s">
        <v>372</v>
      </c>
      <c r="D110" s="108">
        <v>5</v>
      </c>
      <c r="E110" s="108"/>
      <c r="F110" s="127"/>
      <c r="G110" s="128"/>
      <c r="H110" s="541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549"/>
      <c r="P110" s="549"/>
      <c r="Q110" s="549"/>
      <c r="R110" s="549"/>
      <c r="S110" s="549"/>
      <c r="T110" s="549"/>
      <c r="U110" s="549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540" t="s">
        <v>343</v>
      </c>
      <c r="C111" s="126" t="s">
        <v>345</v>
      </c>
      <c r="D111" s="108">
        <v>5</v>
      </c>
      <c r="E111" s="108"/>
      <c r="F111" s="127"/>
      <c r="G111" s="128"/>
      <c r="H111" s="541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549"/>
      <c r="P111" s="549"/>
      <c r="Q111" s="549"/>
      <c r="R111" s="549"/>
      <c r="S111" s="549"/>
      <c r="T111" s="549"/>
      <c r="U111" s="549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540" t="s">
        <v>343</v>
      </c>
      <c r="C112" s="126" t="s">
        <v>347</v>
      </c>
      <c r="D112" s="108">
        <v>5</v>
      </c>
      <c r="E112" s="108"/>
      <c r="F112" s="127"/>
      <c r="G112" s="128"/>
      <c r="H112" s="541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549"/>
      <c r="P112" s="549"/>
      <c r="Q112" s="549"/>
      <c r="R112" s="549"/>
      <c r="S112" s="549"/>
      <c r="T112" s="549"/>
      <c r="U112" s="549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541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549"/>
      <c r="P113" s="549"/>
      <c r="Q113" s="549"/>
      <c r="R113" s="549"/>
      <c r="S113" s="549"/>
      <c r="T113" s="549"/>
      <c r="U113" s="549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541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549"/>
      <c r="P114" s="549"/>
      <c r="Q114" s="549"/>
      <c r="R114" s="549"/>
      <c r="S114" s="549"/>
      <c r="T114" s="549"/>
      <c r="U114" s="549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541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549"/>
      <c r="P115" s="549"/>
      <c r="Q115" s="549"/>
      <c r="R115" s="549"/>
      <c r="S115" s="549"/>
      <c r="T115" s="549"/>
      <c r="U115" s="549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541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549"/>
      <c r="P116" s="549"/>
      <c r="Q116" s="549"/>
      <c r="R116" s="549"/>
      <c r="S116" s="549"/>
      <c r="T116" s="549"/>
      <c r="U116" s="549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541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549"/>
      <c r="P117" s="549"/>
      <c r="Q117" s="549"/>
      <c r="R117" s="549"/>
      <c r="S117" s="549"/>
      <c r="T117" s="549"/>
      <c r="U117" s="549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541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549"/>
      <c r="P118" s="549"/>
      <c r="Q118" s="549"/>
      <c r="R118" s="549"/>
      <c r="S118" s="549"/>
      <c r="T118" s="549"/>
      <c r="U118" s="549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541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549"/>
      <c r="P119" s="549"/>
      <c r="Q119" s="549"/>
      <c r="R119" s="549"/>
      <c r="S119" s="549"/>
      <c r="T119" s="549"/>
      <c r="U119" s="549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541">
        <f t="shared" si="36"/>
        <v>0</v>
      </c>
      <c r="I120" s="129"/>
      <c r="J120" s="130" t="str">
        <f t="array" ref="J120">IF(ISERROR(G120/I120),"",G120/I120)</f>
        <v/>
      </c>
      <c r="K120" s="541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549"/>
      <c r="P120" s="549"/>
      <c r="Q120" s="549"/>
      <c r="R120" s="549"/>
      <c r="S120" s="549"/>
      <c r="T120" s="549"/>
      <c r="U120" s="549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578" t="s">
        <v>224</v>
      </c>
      <c r="B121" s="579"/>
      <c r="C121" s="550" t="s">
        <v>202</v>
      </c>
      <c r="D121" s="143"/>
      <c r="E121" s="143"/>
      <c r="F121" s="144"/>
      <c r="G121" s="145">
        <f>SUM(G87:G120)</f>
        <v>672</v>
      </c>
      <c r="H121" s="146">
        <f>SUM(H87:H120)</f>
        <v>3364.05</v>
      </c>
      <c r="I121" s="146">
        <f>SUM(I87:I120)</f>
        <v>111</v>
      </c>
      <c r="J121" s="130">
        <f t="array" ref="J121">IF(ISERROR(G121/I121),"",G121/I121)</f>
        <v>6.0540540540540544</v>
      </c>
      <c r="K121" s="146">
        <f>SUM(K87:K120)</f>
        <v>124.27500000000001</v>
      </c>
      <c r="L121" s="147"/>
      <c r="M121" s="150">
        <f t="shared" ref="M121:V121" si="50">SUM(M87:M120)</f>
        <v>-13.275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>
        <v>42746</v>
      </c>
      <c r="G122" s="128">
        <f>90*2</f>
        <v>180</v>
      </c>
      <c r="H122" s="541">
        <f t="shared" ref="H122:H136" si="51">D122*G122</f>
        <v>905.40000000000009</v>
      </c>
      <c r="I122" s="129">
        <f>2.5*2</f>
        <v>5</v>
      </c>
      <c r="J122" s="130">
        <f t="array" ref="J122">IF(ISERROR(G122/I122),"",G122/I122)</f>
        <v>36</v>
      </c>
      <c r="K122" s="131">
        <f t="array" ref="K122">IF(ISERROR(G122/L122),"",G122/L122)</f>
        <v>7.2</v>
      </c>
      <c r="L122" s="129">
        <v>25</v>
      </c>
      <c r="M122" s="109">
        <f t="shared" ref="M122:M136" si="52">IF(ISERROR(I122-K122),"",I122-K122)</f>
        <v>-2.2000000000000002</v>
      </c>
      <c r="N122" s="130">
        <f t="shared" ref="N122:N136" si="53">SUM(O122:U122)</f>
        <v>0</v>
      </c>
      <c r="O122" s="549"/>
      <c r="P122" s="549"/>
      <c r="Q122" s="549"/>
      <c r="R122" s="549"/>
      <c r="S122" s="549"/>
      <c r="T122" s="549"/>
      <c r="U122" s="549"/>
      <c r="V122" s="132">
        <f t="shared" ref="V122:V136" si="54">SUM(X122:AA122)</f>
        <v>0</v>
      </c>
      <c r="W122" s="133">
        <f t="shared" si="49"/>
        <v>0</v>
      </c>
      <c r="X122" s="132"/>
      <c r="Y122" s="132"/>
      <c r="Z122" s="132"/>
      <c r="AA122" s="132"/>
    </row>
    <row r="123" spans="1:27" ht="20.10000000000000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>
        <v>42746</v>
      </c>
      <c r="G123" s="128">
        <f>90*5+11</f>
        <v>461</v>
      </c>
      <c r="H123" s="541">
        <f t="shared" si="51"/>
        <v>2318.83</v>
      </c>
      <c r="I123" s="129">
        <f>8.5*2</f>
        <v>17</v>
      </c>
      <c r="J123" s="130">
        <f t="array" ref="J123">IF(ISERROR(G123/I123),"",G123/I123)</f>
        <v>27.117647058823529</v>
      </c>
      <c r="K123" s="131">
        <f t="array" ref="K123">IF(ISERROR(G123/L123),"",G123/L123)</f>
        <v>18.440000000000001</v>
      </c>
      <c r="L123" s="129">
        <v>25</v>
      </c>
      <c r="M123" s="109">
        <f t="shared" si="52"/>
        <v>-1.4400000000000013</v>
      </c>
      <c r="N123" s="130">
        <f t="shared" si="53"/>
        <v>0</v>
      </c>
      <c r="O123" s="549"/>
      <c r="P123" s="549"/>
      <c r="Q123" s="549"/>
      <c r="R123" s="549"/>
      <c r="S123" s="549"/>
      <c r="T123" s="549"/>
      <c r="U123" s="549"/>
      <c r="V123" s="132">
        <f t="shared" si="54"/>
        <v>0</v>
      </c>
      <c r="W123" s="133">
        <f t="shared" si="49"/>
        <v>0</v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541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549"/>
      <c r="P124" s="549"/>
      <c r="Q124" s="549"/>
      <c r="R124" s="549"/>
      <c r="S124" s="549"/>
      <c r="T124" s="549"/>
      <c r="U124" s="549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541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549"/>
      <c r="P125" s="549"/>
      <c r="Q125" s="549"/>
      <c r="R125" s="549"/>
      <c r="S125" s="549"/>
      <c r="T125" s="549"/>
      <c r="U125" s="549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546" t="s">
        <v>203</v>
      </c>
      <c r="D126" s="108">
        <v>5.03</v>
      </c>
      <c r="E126" s="108"/>
      <c r="F126" s="127"/>
      <c r="G126" s="128"/>
      <c r="H126" s="541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549"/>
      <c r="P126" s="549"/>
      <c r="Q126" s="549"/>
      <c r="R126" s="549"/>
      <c r="S126" s="549"/>
      <c r="T126" s="549"/>
      <c r="U126" s="549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541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549"/>
      <c r="P127" s="549"/>
      <c r="Q127" s="549"/>
      <c r="R127" s="549"/>
      <c r="S127" s="549"/>
      <c r="T127" s="549"/>
      <c r="U127" s="549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541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549"/>
      <c r="P128" s="549"/>
      <c r="Q128" s="549"/>
      <c r="R128" s="549"/>
      <c r="S128" s="549"/>
      <c r="T128" s="549"/>
      <c r="U128" s="549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546" t="s">
        <v>228</v>
      </c>
      <c r="D129" s="108">
        <v>5.03</v>
      </c>
      <c r="E129" s="108"/>
      <c r="F129" s="127"/>
      <c r="G129" s="128"/>
      <c r="H129" s="541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549"/>
      <c r="P129" s="549"/>
      <c r="Q129" s="549"/>
      <c r="R129" s="549"/>
      <c r="S129" s="549"/>
      <c r="T129" s="549"/>
      <c r="U129" s="549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546" t="s">
        <v>212</v>
      </c>
      <c r="D130" s="108">
        <v>5.03</v>
      </c>
      <c r="E130" s="108"/>
      <c r="F130" s="127"/>
      <c r="G130" s="128"/>
      <c r="H130" s="541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549"/>
      <c r="P130" s="549"/>
      <c r="Q130" s="549"/>
      <c r="R130" s="549"/>
      <c r="S130" s="549"/>
      <c r="T130" s="549"/>
      <c r="U130" s="549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546" t="s">
        <v>203</v>
      </c>
      <c r="D131" s="108">
        <v>5.03</v>
      </c>
      <c r="E131" s="108"/>
      <c r="F131" s="127"/>
      <c r="G131" s="128"/>
      <c r="H131" s="541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549"/>
      <c r="P131" s="549"/>
      <c r="Q131" s="549"/>
      <c r="R131" s="549"/>
      <c r="S131" s="549"/>
      <c r="T131" s="549"/>
      <c r="U131" s="549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546" t="s">
        <v>186</v>
      </c>
      <c r="D132" s="108">
        <v>5.03</v>
      </c>
      <c r="E132" s="108"/>
      <c r="F132" s="127"/>
      <c r="G132" s="128"/>
      <c r="H132" s="541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549"/>
      <c r="P132" s="549"/>
      <c r="Q132" s="549"/>
      <c r="R132" s="549"/>
      <c r="S132" s="549"/>
      <c r="T132" s="549"/>
      <c r="U132" s="549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546" t="s">
        <v>228</v>
      </c>
      <c r="D133" s="108">
        <v>5.03</v>
      </c>
      <c r="E133" s="108"/>
      <c r="F133" s="127"/>
      <c r="G133" s="128"/>
      <c r="H133" s="541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549"/>
      <c r="P133" s="549"/>
      <c r="Q133" s="549"/>
      <c r="R133" s="549"/>
      <c r="S133" s="549"/>
      <c r="T133" s="549"/>
      <c r="U133" s="549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546" t="s">
        <v>199</v>
      </c>
      <c r="D134" s="108">
        <v>5.03</v>
      </c>
      <c r="E134" s="108"/>
      <c r="F134" s="127"/>
      <c r="G134" s="128"/>
      <c r="H134" s="541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549"/>
      <c r="P134" s="549"/>
      <c r="Q134" s="549"/>
      <c r="R134" s="549"/>
      <c r="S134" s="549"/>
      <c r="T134" s="549"/>
      <c r="U134" s="549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541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549"/>
      <c r="P135" s="549"/>
      <c r="Q135" s="549"/>
      <c r="R135" s="549"/>
      <c r="S135" s="549"/>
      <c r="T135" s="549"/>
      <c r="U135" s="549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541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549"/>
      <c r="P136" s="549"/>
      <c r="Q136" s="549"/>
      <c r="R136" s="549"/>
      <c r="S136" s="549"/>
      <c r="T136" s="549"/>
      <c r="U136" s="549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customHeight="1">
      <c r="A137" s="578" t="s">
        <v>231</v>
      </c>
      <c r="B137" s="579"/>
      <c r="C137" s="550" t="s">
        <v>202</v>
      </c>
      <c r="D137" s="143"/>
      <c r="E137" s="143"/>
      <c r="F137" s="144"/>
      <c r="G137" s="145">
        <f>SUM(G122:G136)</f>
        <v>641</v>
      </c>
      <c r="H137" s="146">
        <f>SUM(H122:H136)</f>
        <v>3224.23</v>
      </c>
      <c r="I137" s="146">
        <f>SUM(I122:I136)</f>
        <v>22</v>
      </c>
      <c r="J137" s="130">
        <f t="array" ref="J137">IF(ISERROR(G137/I137),"",G137/I137)</f>
        <v>29.136363636363637</v>
      </c>
      <c r="K137" s="146">
        <f>SUM(K122:K136)</f>
        <v>25.64</v>
      </c>
      <c r="L137" s="147"/>
      <c r="M137" s="150">
        <f>SUM(M122:M136)</f>
        <v>-3.6400000000000015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49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541">
        <f t="shared" ref="H138:H147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549"/>
      <c r="P138" s="549"/>
      <c r="Q138" s="549"/>
      <c r="R138" s="549"/>
      <c r="S138" s="549"/>
      <c r="T138" s="549"/>
      <c r="U138" s="549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541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549"/>
      <c r="P139" s="549"/>
      <c r="Q139" s="549"/>
      <c r="R139" s="549"/>
      <c r="S139" s="549"/>
      <c r="T139" s="549"/>
      <c r="U139" s="549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541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549"/>
      <c r="P140" s="549"/>
      <c r="Q140" s="549"/>
      <c r="R140" s="549"/>
      <c r="S140" s="549"/>
      <c r="T140" s="549"/>
      <c r="U140" s="549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541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549"/>
      <c r="P141" s="549"/>
      <c r="Q141" s="549"/>
      <c r="R141" s="549"/>
      <c r="S141" s="549"/>
      <c r="T141" s="549"/>
      <c r="U141" s="549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541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549"/>
      <c r="P142" s="549"/>
      <c r="Q142" s="549"/>
      <c r="R142" s="549"/>
      <c r="S142" s="549"/>
      <c r="T142" s="549"/>
      <c r="U142" s="549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541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549"/>
      <c r="P143" s="549"/>
      <c r="Q143" s="549"/>
      <c r="R143" s="549"/>
      <c r="S143" s="549"/>
      <c r="T143" s="549"/>
      <c r="U143" s="549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/>
      <c r="G144" s="128"/>
      <c r="H144" s="541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549"/>
      <c r="P144" s="549"/>
      <c r="Q144" s="549"/>
      <c r="R144" s="549"/>
      <c r="S144" s="549"/>
      <c r="T144" s="549"/>
      <c r="U144" s="549"/>
      <c r="V144" s="132"/>
      <c r="W144" s="133"/>
      <c r="X144" s="132"/>
      <c r="Y144" s="132"/>
      <c r="Z144" s="132"/>
      <c r="AA144" s="132"/>
    </row>
    <row r="145" spans="1:27" ht="20.100000000000001" hidden="1" customHeight="1">
      <c r="A145" s="300">
        <v>30400021</v>
      </c>
      <c r="B145" s="134" t="s">
        <v>439</v>
      </c>
      <c r="C145" s="187" t="s">
        <v>53</v>
      </c>
      <c r="D145" s="108">
        <v>5.04</v>
      </c>
      <c r="E145" s="108"/>
      <c r="F145" s="127"/>
      <c r="G145" s="128"/>
      <c r="H145" s="541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549"/>
      <c r="P145" s="549"/>
      <c r="Q145" s="549"/>
      <c r="R145" s="549"/>
      <c r="S145" s="549"/>
      <c r="T145" s="549"/>
      <c r="U145" s="549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/>
      <c r="G146" s="128"/>
      <c r="H146" s="541">
        <f t="shared" si="55"/>
        <v>0</v>
      </c>
      <c r="I146" s="129"/>
      <c r="J146" s="130"/>
      <c r="K146" s="131">
        <f t="array" ref="K146">IF(ISERROR(G146/L146),"",G146/L146)</f>
        <v>0</v>
      </c>
      <c r="L146" s="129">
        <v>13.5</v>
      </c>
      <c r="M146" s="109"/>
      <c r="N146" s="130"/>
      <c r="O146" s="549"/>
      <c r="P146" s="549"/>
      <c r="Q146" s="549"/>
      <c r="R146" s="549"/>
      <c r="S146" s="549"/>
      <c r="T146" s="549"/>
      <c r="U146" s="549"/>
      <c r="V146" s="132"/>
      <c r="W146" s="133"/>
      <c r="X146" s="132"/>
      <c r="Y146" s="132"/>
      <c r="Z146" s="132"/>
      <c r="AA146" s="132"/>
    </row>
    <row r="147" spans="1:27" ht="20.100000000000001" hidden="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28"/>
      <c r="H147" s="541">
        <f t="shared" si="55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ref="M147" si="59">IF(ISERROR(I147-K147),"",I147-K147)</f>
        <v>0</v>
      </c>
      <c r="N147" s="130">
        <f t="shared" ref="N147" si="60">SUM(O147:U147)</f>
        <v>0</v>
      </c>
      <c r="O147" s="549"/>
      <c r="P147" s="549"/>
      <c r="Q147" s="549"/>
      <c r="R147" s="549"/>
      <c r="S147" s="549"/>
      <c r="T147" s="549"/>
      <c r="U147" s="549"/>
      <c r="V147" s="132">
        <f t="shared" ref="V147" si="61">SUM(X147:AA147)</f>
        <v>0</v>
      </c>
      <c r="W147" s="133" t="str">
        <f t="shared" ref="W147:W152" si="62">IF(ISERROR(V147/G147),"",V147/G147)</f>
        <v/>
      </c>
      <c r="X147" s="132"/>
      <c r="Y147" s="132"/>
      <c r="Z147" s="132"/>
      <c r="AA147" s="132"/>
    </row>
    <row r="148" spans="1:27" ht="20.100000000000001" hidden="1" customHeight="1">
      <c r="A148" s="578" t="s">
        <v>234</v>
      </c>
      <c r="B148" s="579"/>
      <c r="C148" s="550" t="s">
        <v>202</v>
      </c>
      <c r="D148" s="143"/>
      <c r="E148" s="143"/>
      <c r="F148" s="144"/>
      <c r="G148" s="145">
        <f>SUM(G138:G147)</f>
        <v>0</v>
      </c>
      <c r="H148" s="146">
        <f>SUM(H138:H147)</f>
        <v>0</v>
      </c>
      <c r="I148" s="146">
        <f>SUM(I138:I147)</f>
        <v>0</v>
      </c>
      <c r="J148" s="130" t="str">
        <f t="array" ref="J148">IF(ISERROR(G148/I148),"",G148/I148)</f>
        <v/>
      </c>
      <c r="K148" s="146">
        <f>SUM(K138:K147)</f>
        <v>0</v>
      </c>
      <c r="L148" s="147"/>
      <c r="M148" s="150">
        <f>SUM(M138:M147)</f>
        <v>0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 t="str">
        <f t="shared" si="62"/>
        <v/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hidden="1" customHeight="1">
      <c r="A149" s="299">
        <v>30700013</v>
      </c>
      <c r="B149" s="298" t="s">
        <v>103</v>
      </c>
      <c r="C149" s="547"/>
      <c r="D149" s="108">
        <v>3.65</v>
      </c>
      <c r="E149" s="108"/>
      <c r="F149" s="153"/>
      <c r="G149" s="128"/>
      <c r="H149" s="541">
        <f t="shared" ref="H149:H162" si="63">D149*G149</f>
        <v>0</v>
      </c>
      <c r="I149" s="129"/>
      <c r="J149" s="130" t="str">
        <f t="array" ref="J149">IF(ISERROR(G149/I149),"",G149/I149)</f>
        <v/>
      </c>
      <c r="K149" s="541">
        <f t="array" ref="K149">IF(ISERROR(G149/L149),"",G149/L149)</f>
        <v>0</v>
      </c>
      <c r="L149" s="129">
        <v>5</v>
      </c>
      <c r="M149" s="109">
        <f t="shared" ref="M149:M152" si="64">IF(ISERROR(I149-K149),"",I149-K149)</f>
        <v>0</v>
      </c>
      <c r="N149" s="130">
        <f t="shared" ref="N149:N152" si="65">SUM(O149:U149)</f>
        <v>0</v>
      </c>
      <c r="O149" s="549"/>
      <c r="P149" s="549"/>
      <c r="Q149" s="549"/>
      <c r="R149" s="549"/>
      <c r="S149" s="549"/>
      <c r="T149" s="549"/>
      <c r="U149" s="549"/>
      <c r="V149" s="132">
        <f t="shared" ref="V149:V152" si="66">SUM(X149:AA149)</f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30700014</v>
      </c>
      <c r="B150" s="141" t="s">
        <v>236</v>
      </c>
      <c r="C150" s="547"/>
      <c r="D150" s="108">
        <v>6.58</v>
      </c>
      <c r="E150" s="108"/>
      <c r="F150" s="127"/>
      <c r="G150" s="128"/>
      <c r="H150" s="541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5</v>
      </c>
      <c r="M150" s="109">
        <f t="shared" si="64"/>
        <v>0</v>
      </c>
      <c r="N150" s="130">
        <f t="shared" si="65"/>
        <v>0</v>
      </c>
      <c r="O150" s="549"/>
      <c r="P150" s="549"/>
      <c r="Q150" s="549"/>
      <c r="R150" s="549"/>
      <c r="S150" s="549"/>
      <c r="T150" s="549"/>
      <c r="U150" s="549"/>
      <c r="V150" s="132">
        <f t="shared" si="66"/>
        <v>0</v>
      </c>
      <c r="W150" s="133" t="str">
        <f t="shared" si="62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30700016</v>
      </c>
      <c r="B151" s="141" t="s">
        <v>237</v>
      </c>
      <c r="C151" s="547"/>
      <c r="D151" s="108">
        <v>7.8</v>
      </c>
      <c r="E151" s="108"/>
      <c r="F151" s="127"/>
      <c r="G151" s="128"/>
      <c r="H151" s="541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4.5999999999999996</v>
      </c>
      <c r="M151" s="109">
        <f t="shared" si="64"/>
        <v>0</v>
      </c>
      <c r="N151" s="130">
        <f t="shared" si="65"/>
        <v>0</v>
      </c>
      <c r="O151" s="549"/>
      <c r="P151" s="549"/>
      <c r="Q151" s="549"/>
      <c r="R151" s="549"/>
      <c r="S151" s="549"/>
      <c r="T151" s="549"/>
      <c r="U151" s="549"/>
      <c r="V151" s="132">
        <f t="shared" si="66"/>
        <v>0</v>
      </c>
      <c r="W151" s="133" t="str">
        <f t="shared" si="62"/>
        <v/>
      </c>
      <c r="X151" s="132"/>
      <c r="Y151" s="132"/>
      <c r="Z151" s="132"/>
      <c r="AA151" s="132"/>
    </row>
    <row r="152" spans="1:27" ht="20.100000000000001" hidden="1" customHeight="1">
      <c r="A152" s="299">
        <v>30700017</v>
      </c>
      <c r="B152" s="141" t="s">
        <v>238</v>
      </c>
      <c r="C152" s="547"/>
      <c r="D152" s="108">
        <v>4.4000000000000004</v>
      </c>
      <c r="E152" s="108"/>
      <c r="F152" s="127"/>
      <c r="G152" s="128"/>
      <c r="H152" s="541">
        <f t="shared" si="63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5.8</v>
      </c>
      <c r="M152" s="109">
        <f t="shared" si="64"/>
        <v>0</v>
      </c>
      <c r="N152" s="130">
        <f t="shared" si="65"/>
        <v>0</v>
      </c>
      <c r="O152" s="549"/>
      <c r="P152" s="549"/>
      <c r="Q152" s="549"/>
      <c r="R152" s="549"/>
      <c r="S152" s="549"/>
      <c r="T152" s="549"/>
      <c r="U152" s="549"/>
      <c r="V152" s="132">
        <f t="shared" si="66"/>
        <v>0</v>
      </c>
      <c r="W152" s="133" t="str">
        <f t="shared" si="62"/>
        <v/>
      </c>
      <c r="X152" s="132"/>
      <c r="Y152" s="132"/>
      <c r="Z152" s="132"/>
      <c r="AA152" s="132"/>
    </row>
    <row r="153" spans="1:27" ht="20.100000000000001" hidden="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28"/>
      <c r="H153" s="541">
        <f t="shared" si="63"/>
        <v>0</v>
      </c>
      <c r="I153" s="129"/>
      <c r="J153" s="130"/>
      <c r="K153" s="131"/>
      <c r="L153" s="129">
        <v>6</v>
      </c>
      <c r="M153" s="109"/>
      <c r="N153" s="130"/>
      <c r="O153" s="549"/>
      <c r="P153" s="549"/>
      <c r="Q153" s="549"/>
      <c r="R153" s="549"/>
      <c r="S153" s="549"/>
      <c r="T153" s="549"/>
      <c r="U153" s="549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5"/>
      <c r="B154" s="547" t="s">
        <v>239</v>
      </c>
      <c r="C154" s="547" t="s">
        <v>179</v>
      </c>
      <c r="D154" s="108">
        <v>6.04</v>
      </c>
      <c r="E154" s="108"/>
      <c r="F154" s="127"/>
      <c r="G154" s="128"/>
      <c r="H154" s="541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6" si="67">IF(ISERROR(I154-K154),"",I154-K154)</f>
        <v>0</v>
      </c>
      <c r="N154" s="130">
        <f t="shared" ref="N154:N155" si="68">SUM(O154:U154)</f>
        <v>0</v>
      </c>
      <c r="O154" s="549"/>
      <c r="P154" s="549"/>
      <c r="Q154" s="549"/>
      <c r="R154" s="549"/>
      <c r="S154" s="549"/>
      <c r="T154" s="549"/>
      <c r="U154" s="549"/>
      <c r="V154" s="132">
        <f t="shared" ref="V154:V155" si="69">SUM(X154:AA154)</f>
        <v>0</v>
      </c>
      <c r="W154" s="133" t="str">
        <f t="shared" ref="W154:W155" si="70">IF(ISERROR(V154/G154),"",V154/G154)</f>
        <v/>
      </c>
      <c r="X154" s="132"/>
      <c r="Y154" s="132"/>
      <c r="Z154" s="132"/>
      <c r="AA154" s="132"/>
    </row>
    <row r="155" spans="1:27" ht="20.100000000000001" hidden="1" customHeight="1">
      <c r="A155" s="305">
        <v>30700019</v>
      </c>
      <c r="B155" s="547" t="s">
        <v>239</v>
      </c>
      <c r="C155" s="547" t="s">
        <v>186</v>
      </c>
      <c r="D155" s="108">
        <v>6.04</v>
      </c>
      <c r="E155" s="108"/>
      <c r="F155" s="127"/>
      <c r="G155" s="128"/>
      <c r="H155" s="541">
        <f t="shared" si="63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7"/>
        <v>0</v>
      </c>
      <c r="N155" s="130">
        <f t="shared" si="68"/>
        <v>0</v>
      </c>
      <c r="O155" s="549"/>
      <c r="P155" s="549"/>
      <c r="Q155" s="549"/>
      <c r="R155" s="549"/>
      <c r="S155" s="549"/>
      <c r="T155" s="549"/>
      <c r="U155" s="549"/>
      <c r="V155" s="132">
        <f t="shared" si="69"/>
        <v>0</v>
      </c>
      <c r="W155" s="133" t="str">
        <f t="shared" si="70"/>
        <v/>
      </c>
      <c r="X155" s="132"/>
      <c r="Y155" s="132"/>
      <c r="Z155" s="132"/>
      <c r="AA155" s="132"/>
    </row>
    <row r="156" spans="1:27" ht="20.100000000000001" customHeight="1">
      <c r="A156" s="305">
        <v>30601015</v>
      </c>
      <c r="B156" s="547" t="s">
        <v>443</v>
      </c>
      <c r="C156" s="547" t="s">
        <v>179</v>
      </c>
      <c r="D156" s="108">
        <v>6</v>
      </c>
      <c r="E156" s="108"/>
      <c r="F156" s="127">
        <v>42746</v>
      </c>
      <c r="G156" s="128">
        <f>42*2+36</f>
        <v>120</v>
      </c>
      <c r="H156" s="541">
        <f t="shared" si="63"/>
        <v>720</v>
      </c>
      <c r="I156" s="129">
        <f>11*5</f>
        <v>55</v>
      </c>
      <c r="J156" s="130">
        <f t="array" ref="J156">IF(ISERROR(G156/I156),"",G156/I156)</f>
        <v>2.1818181818181817</v>
      </c>
      <c r="K156" s="131">
        <f t="array" ref="K156">IF(ISERROR(G156/L156),"",G156/L156)</f>
        <v>20</v>
      </c>
      <c r="L156" s="129">
        <v>6</v>
      </c>
      <c r="M156" s="109">
        <f t="shared" si="67"/>
        <v>35</v>
      </c>
      <c r="N156" s="130"/>
      <c r="O156" s="549"/>
      <c r="P156" s="549"/>
      <c r="Q156" s="549"/>
      <c r="R156" s="549"/>
      <c r="S156" s="549"/>
      <c r="T156" s="549"/>
      <c r="U156" s="549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305">
        <v>30101016</v>
      </c>
      <c r="B157" s="547" t="s">
        <v>443</v>
      </c>
      <c r="C157" s="547" t="s">
        <v>60</v>
      </c>
      <c r="D157" s="108">
        <v>6</v>
      </c>
      <c r="E157" s="108"/>
      <c r="F157" s="127"/>
      <c r="G157" s="128"/>
      <c r="H157" s="541">
        <f t="shared" si="63"/>
        <v>0</v>
      </c>
      <c r="I157" s="129"/>
      <c r="J157" s="130"/>
      <c r="K157" s="131"/>
      <c r="L157" s="129">
        <v>6</v>
      </c>
      <c r="M157" s="109"/>
      <c r="N157" s="130"/>
      <c r="O157" s="549"/>
      <c r="P157" s="549"/>
      <c r="Q157" s="549"/>
      <c r="R157" s="549"/>
      <c r="S157" s="549"/>
      <c r="T157" s="549"/>
      <c r="U157" s="549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299">
        <v>30700018</v>
      </c>
      <c r="B158" s="540" t="s">
        <v>240</v>
      </c>
      <c r="C158" s="126"/>
      <c r="D158" s="108">
        <v>7.3</v>
      </c>
      <c r="E158" s="108"/>
      <c r="F158" s="127"/>
      <c r="G158" s="128"/>
      <c r="H158" s="541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1">IF(ISERROR(I158-K158),"",I158-K158)</f>
        <v/>
      </c>
      <c r="N158" s="130">
        <f t="shared" ref="N158:N159" si="72">SUM(O158:U158)</f>
        <v>0</v>
      </c>
      <c r="O158" s="549"/>
      <c r="P158" s="549"/>
      <c r="Q158" s="549"/>
      <c r="R158" s="549"/>
      <c r="S158" s="549"/>
      <c r="T158" s="549"/>
      <c r="U158" s="549"/>
      <c r="V158" s="132">
        <f t="shared" ref="V158:V159" si="73">SUM(X158:AA158)</f>
        <v>0</v>
      </c>
      <c r="W158" s="133" t="str">
        <f t="shared" ref="W158:W159" si="74">IF(ISERROR(V158/G158),"",V158/G158)</f>
        <v/>
      </c>
      <c r="X158" s="132"/>
      <c r="Y158" s="132"/>
      <c r="Z158" s="132"/>
      <c r="AA158" s="132"/>
    </row>
    <row r="159" spans="1:27" ht="20.100000000000001" hidden="1" customHeight="1">
      <c r="A159" s="299">
        <v>30700010</v>
      </c>
      <c r="B159" s="540" t="s">
        <v>241</v>
      </c>
      <c r="C159" s="126"/>
      <c r="D159" s="108">
        <f>78*120/1000</f>
        <v>9.36</v>
      </c>
      <c r="E159" s="108"/>
      <c r="F159" s="127"/>
      <c r="G159" s="128"/>
      <c r="H159" s="541">
        <f t="shared" si="63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2"/>
        <v>0</v>
      </c>
      <c r="O159" s="549"/>
      <c r="P159" s="549"/>
      <c r="Q159" s="549"/>
      <c r="R159" s="549"/>
      <c r="S159" s="549"/>
      <c r="T159" s="549"/>
      <c r="U159" s="549"/>
      <c r="V159" s="132">
        <f t="shared" si="73"/>
        <v>0</v>
      </c>
      <c r="W159" s="133" t="str">
        <f t="shared" si="74"/>
        <v/>
      </c>
      <c r="X159" s="132"/>
      <c r="Y159" s="132"/>
      <c r="Z159" s="132"/>
      <c r="AA159" s="132"/>
    </row>
    <row r="160" spans="1:27" ht="20.100000000000001" hidden="1" customHeight="1">
      <c r="A160" s="299">
        <v>30700015</v>
      </c>
      <c r="B160" s="540" t="s">
        <v>242</v>
      </c>
      <c r="C160" s="126"/>
      <c r="D160" s="108">
        <v>4.5</v>
      </c>
      <c r="E160" s="108"/>
      <c r="F160" s="127"/>
      <c r="G160" s="128"/>
      <c r="H160" s="541">
        <f t="shared" si="63"/>
        <v>0</v>
      </c>
      <c r="I160" s="129"/>
      <c r="J160" s="130"/>
      <c r="K160" s="131"/>
      <c r="L160" s="129"/>
      <c r="M160" s="109"/>
      <c r="N160" s="130"/>
      <c r="O160" s="549"/>
      <c r="P160" s="549"/>
      <c r="Q160" s="549"/>
      <c r="R160" s="549"/>
      <c r="S160" s="549"/>
      <c r="T160" s="549"/>
      <c r="U160" s="549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299">
        <v>30700012</v>
      </c>
      <c r="B161" s="540" t="s">
        <v>243</v>
      </c>
      <c r="C161" s="126"/>
      <c r="D161" s="108">
        <v>4.5</v>
      </c>
      <c r="E161" s="108"/>
      <c r="F161" s="127"/>
      <c r="G161" s="128"/>
      <c r="H161" s="541">
        <f t="shared" si="63"/>
        <v>0</v>
      </c>
      <c r="I161" s="129"/>
      <c r="J161" s="130"/>
      <c r="K161" s="131"/>
      <c r="L161" s="129"/>
      <c r="M161" s="109"/>
      <c r="N161" s="130"/>
      <c r="O161" s="549"/>
      <c r="P161" s="549"/>
      <c r="Q161" s="549"/>
      <c r="R161" s="549"/>
      <c r="S161" s="549"/>
      <c r="T161" s="549"/>
      <c r="U161" s="549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306">
        <v>30101063</v>
      </c>
      <c r="B162" s="254" t="s">
        <v>436</v>
      </c>
      <c r="C162" s="126"/>
      <c r="D162" s="108">
        <v>5.03</v>
      </c>
      <c r="E162" s="108"/>
      <c r="F162" s="127"/>
      <c r="G162" s="128"/>
      <c r="H162" s="541">
        <f t="shared" si="63"/>
        <v>0</v>
      </c>
      <c r="I162" s="129"/>
      <c r="J162" s="130"/>
      <c r="K162" s="131"/>
      <c r="L162" s="129"/>
      <c r="M162" s="109"/>
      <c r="N162" s="130"/>
      <c r="O162" s="549"/>
      <c r="P162" s="549"/>
      <c r="Q162" s="549"/>
      <c r="R162" s="549"/>
      <c r="S162" s="549"/>
      <c r="T162" s="549"/>
      <c r="U162" s="549"/>
      <c r="V162" s="132"/>
      <c r="W162" s="133"/>
      <c r="X162" s="132"/>
      <c r="Y162" s="132"/>
      <c r="Z162" s="132"/>
      <c r="AA162" s="132"/>
    </row>
    <row r="163" spans="1:27" ht="20.100000000000001" customHeight="1">
      <c r="A163" s="578" t="s">
        <v>244</v>
      </c>
      <c r="B163" s="579"/>
      <c r="C163" s="550" t="s">
        <v>202</v>
      </c>
      <c r="D163" s="143"/>
      <c r="E163" s="143"/>
      <c r="F163" s="144"/>
      <c r="G163" s="145">
        <f>SUM(G149:G161)</f>
        <v>120</v>
      </c>
      <c r="H163" s="146">
        <f>SUM(H149:H159)</f>
        <v>720</v>
      </c>
      <c r="I163" s="146">
        <f>SUM(I149:I161)</f>
        <v>55</v>
      </c>
      <c r="J163" s="130">
        <f t="array" ref="J163">IF(ISERROR(G163/I163),"",G163/I163)</f>
        <v>2.1818181818181817</v>
      </c>
      <c r="K163" s="146">
        <f>SUM(K149:K159)</f>
        <v>20</v>
      </c>
      <c r="L163" s="147"/>
      <c r="M163" s="150">
        <f t="shared" ref="M163:V163" si="75">SUM(M149:M159)</f>
        <v>35</v>
      </c>
      <c r="N163" s="146">
        <f t="shared" si="75"/>
        <v>0</v>
      </c>
      <c r="O163" s="148">
        <f t="shared" si="75"/>
        <v>0</v>
      </c>
      <c r="P163" s="148">
        <f t="shared" si="75"/>
        <v>0</v>
      </c>
      <c r="Q163" s="148">
        <f t="shared" si="75"/>
        <v>0</v>
      </c>
      <c r="R163" s="148">
        <f t="shared" si="75"/>
        <v>0</v>
      </c>
      <c r="S163" s="148">
        <f t="shared" si="75"/>
        <v>0</v>
      </c>
      <c r="T163" s="148">
        <f t="shared" si="75"/>
        <v>0</v>
      </c>
      <c r="U163" s="148">
        <f t="shared" si="75"/>
        <v>0</v>
      </c>
      <c r="V163" s="149">
        <f t="shared" si="75"/>
        <v>0</v>
      </c>
      <c r="W163" s="133">
        <f>IF(ISERROR(V163/G163),"",V163/G163)</f>
        <v>0</v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580" t="s">
        <v>246</v>
      </c>
      <c r="B164" s="581"/>
      <c r="C164" s="581"/>
      <c r="D164" s="581"/>
      <c r="E164" s="581"/>
      <c r="F164" s="582"/>
      <c r="G164" s="154">
        <f>SUM(G28,G86,G121,G137,G148,G163)</f>
        <v>5619</v>
      </c>
      <c r="H164" s="154">
        <f>SUM(H28,H86,H121,H137,H148,H163)</f>
        <v>28463.39</v>
      </c>
      <c r="I164" s="154">
        <f>SUM(I28,I86,I121,I137,I148,I163)</f>
        <v>344</v>
      </c>
      <c r="J164" s="155">
        <f t="array" ref="J164">IF(ISERROR(G164/I164),"",G164/I164)</f>
        <v>16.334302325581394</v>
      </c>
      <c r="K164" s="154">
        <f>SUM(K28,K86,K121,K137,K148,K163)</f>
        <v>325.72864483957835</v>
      </c>
      <c r="L164" s="155">
        <f>IF(ISERROR(G164/K164),"",G164/K164)</f>
        <v>17.250555298160414</v>
      </c>
      <c r="M164" s="154">
        <f t="shared" ref="M164:AA164" si="76">SUM(M28,M86,M121,M137,M148,M163)</f>
        <v>18.271355160421656</v>
      </c>
      <c r="N164" s="154">
        <f t="shared" si="76"/>
        <v>0</v>
      </c>
      <c r="O164" s="154">
        <f t="shared" si="76"/>
        <v>0</v>
      </c>
      <c r="P164" s="154">
        <f t="shared" si="76"/>
        <v>0</v>
      </c>
      <c r="Q164" s="154">
        <f t="shared" si="76"/>
        <v>0</v>
      </c>
      <c r="R164" s="154">
        <f t="shared" si="76"/>
        <v>0</v>
      </c>
      <c r="S164" s="154">
        <f t="shared" si="76"/>
        <v>0</v>
      </c>
      <c r="T164" s="154">
        <f t="shared" si="76"/>
        <v>0</v>
      </c>
      <c r="U164" s="154">
        <f t="shared" si="76"/>
        <v>0</v>
      </c>
      <c r="V164" s="154">
        <f t="shared" si="76"/>
        <v>0</v>
      </c>
      <c r="W164" s="154">
        <f t="shared" si="76"/>
        <v>0</v>
      </c>
      <c r="X164" s="154">
        <f t="shared" si="76"/>
        <v>0</v>
      </c>
      <c r="Y164" s="154">
        <f t="shared" si="76"/>
        <v>0</v>
      </c>
      <c r="Z164" s="154">
        <f t="shared" si="76"/>
        <v>0</v>
      </c>
      <c r="AA164" s="154">
        <f t="shared" si="76"/>
        <v>0</v>
      </c>
    </row>
    <row r="165" spans="1:27" ht="20.100000000000001" customHeight="1">
      <c r="A165" s="583" t="s">
        <v>476</v>
      </c>
      <c r="B165" s="543" t="s">
        <v>247</v>
      </c>
      <c r="C165" s="586" t="s">
        <v>248</v>
      </c>
      <c r="D165" s="587"/>
      <c r="E165" s="588" t="s">
        <v>249</v>
      </c>
      <c r="F165" s="588"/>
      <c r="G165" s="591" t="s">
        <v>250</v>
      </c>
      <c r="H165" s="591"/>
      <c r="I165" s="588" t="s">
        <v>251</v>
      </c>
      <c r="J165" s="588"/>
      <c r="K165" s="588" t="s">
        <v>252</v>
      </c>
      <c r="L165" s="588"/>
      <c r="M165" s="588" t="s">
        <v>253</v>
      </c>
      <c r="N165" s="588"/>
      <c r="O165" s="588" t="s">
        <v>254</v>
      </c>
      <c r="P165" s="591" t="s">
        <v>255</v>
      </c>
      <c r="Q165" s="591"/>
      <c r="R165" s="591" t="s">
        <v>252</v>
      </c>
      <c r="S165" s="591"/>
      <c r="T165" s="591" t="s">
        <v>256</v>
      </c>
      <c r="U165" s="591"/>
      <c r="V165" s="591" t="s">
        <v>257</v>
      </c>
      <c r="W165" s="591"/>
      <c r="X165" s="591" t="s">
        <v>252</v>
      </c>
      <c r="Y165" s="591"/>
      <c r="Z165" s="591" t="s">
        <v>256</v>
      </c>
      <c r="AA165" s="591"/>
    </row>
    <row r="166" spans="1:27" ht="20.100000000000001" customHeight="1">
      <c r="A166" s="584"/>
      <c r="B166" s="543" t="s">
        <v>258</v>
      </c>
      <c r="C166" s="586">
        <v>1</v>
      </c>
      <c r="D166" s="587"/>
      <c r="E166" s="590">
        <f>C166*11</f>
        <v>11</v>
      </c>
      <c r="F166" s="590"/>
      <c r="G166" s="591">
        <v>1</v>
      </c>
      <c r="H166" s="591"/>
      <c r="I166" s="590">
        <f>G166*11</f>
        <v>11</v>
      </c>
      <c r="J166" s="590"/>
      <c r="K166" s="590">
        <f>E166-I166</f>
        <v>0</v>
      </c>
      <c r="L166" s="590"/>
      <c r="M166" s="592">
        <f>IF(ISERROR(K166/E166),"",K166/E166)</f>
        <v>0</v>
      </c>
      <c r="N166" s="592"/>
      <c r="O166" s="588"/>
      <c r="P166" s="591" t="s">
        <v>201</v>
      </c>
      <c r="Q166" s="591"/>
      <c r="R166" s="593">
        <f>SUM(O28:U28)</f>
        <v>0</v>
      </c>
      <c r="S166" s="593"/>
      <c r="T166" s="594" t="str">
        <f t="array" ref="T166">IF(ISERROR(R166/R173),"",R166/R173)</f>
        <v/>
      </c>
      <c r="U166" s="594"/>
      <c r="V166" s="591" t="s">
        <v>259</v>
      </c>
      <c r="W166" s="591"/>
      <c r="X166" s="595">
        <f>SUM(P27,P85,P120,P136,P147,P161)</f>
        <v>0</v>
      </c>
      <c r="Y166" s="595"/>
      <c r="Z166" s="594" t="str">
        <f t="array" ref="Z166">IF(ISERROR(X166/X173),"",X166/X173)</f>
        <v/>
      </c>
      <c r="AA166" s="594"/>
    </row>
    <row r="167" spans="1:27" ht="20.100000000000001" customHeight="1">
      <c r="A167" s="584"/>
      <c r="B167" s="543" t="s">
        <v>260</v>
      </c>
      <c r="C167" s="586">
        <v>1</v>
      </c>
      <c r="D167" s="587"/>
      <c r="E167" s="590">
        <f>C167*11</f>
        <v>11</v>
      </c>
      <c r="F167" s="590"/>
      <c r="G167" s="591">
        <v>1</v>
      </c>
      <c r="H167" s="591"/>
      <c r="I167" s="590">
        <f>G167*11</f>
        <v>11</v>
      </c>
      <c r="J167" s="590"/>
      <c r="K167" s="590">
        <f>E167-I167</f>
        <v>0</v>
      </c>
      <c r="L167" s="590"/>
      <c r="M167" s="592">
        <f>IF(ISERROR(K167/E167),"",K167/E167)</f>
        <v>0</v>
      </c>
      <c r="N167" s="592"/>
      <c r="O167" s="588"/>
      <c r="P167" s="591" t="s">
        <v>216</v>
      </c>
      <c r="Q167" s="591"/>
      <c r="R167" s="593">
        <f>SUM(O86:U86)</f>
        <v>0</v>
      </c>
      <c r="S167" s="593"/>
      <c r="T167" s="594" t="str">
        <f>IF(ISERROR(R167/R173),"",R167/R173)</f>
        <v/>
      </c>
      <c r="U167" s="594"/>
      <c r="V167" s="591" t="s">
        <v>261</v>
      </c>
      <c r="W167" s="591"/>
      <c r="X167" s="595">
        <f>SUM(P28,P86,P121,P137,P148,P163)</f>
        <v>0</v>
      </c>
      <c r="Y167" s="595"/>
      <c r="Z167" s="594" t="str">
        <f>IF(ISERROR(X167/X173),"",X167/X173)</f>
        <v/>
      </c>
      <c r="AA167" s="594"/>
    </row>
    <row r="168" spans="1:27" ht="20.100000000000001" customHeight="1">
      <c r="A168" s="584"/>
      <c r="B168" s="543" t="s">
        <v>262</v>
      </c>
      <c r="C168" s="586">
        <v>1</v>
      </c>
      <c r="D168" s="587"/>
      <c r="E168" s="590">
        <f>C168*8</f>
        <v>8</v>
      </c>
      <c r="F168" s="590"/>
      <c r="G168" s="591">
        <v>1</v>
      </c>
      <c r="H168" s="591"/>
      <c r="I168" s="590">
        <f>G168*8</f>
        <v>8</v>
      </c>
      <c r="J168" s="590"/>
      <c r="K168" s="590">
        <f>E168-I168</f>
        <v>0</v>
      </c>
      <c r="L168" s="590"/>
      <c r="M168" s="592">
        <f>IF(ISERROR(K168/E168),"",K168/E168)</f>
        <v>0</v>
      </c>
      <c r="N168" s="592"/>
      <c r="O168" s="588"/>
      <c r="P168" s="591" t="s">
        <v>224</v>
      </c>
      <c r="Q168" s="591"/>
      <c r="R168" s="593">
        <f>SUM(O121:U121)</f>
        <v>0</v>
      </c>
      <c r="S168" s="593"/>
      <c r="T168" s="594" t="str">
        <f>IF(ISERROR(R168/R173),"",R168/R173)</f>
        <v/>
      </c>
      <c r="U168" s="594"/>
      <c r="V168" s="591" t="s">
        <v>263</v>
      </c>
      <c r="W168" s="591"/>
      <c r="X168" s="595">
        <f>SUM(P29,P87,P122,P138,P149,P164)</f>
        <v>0</v>
      </c>
      <c r="Y168" s="595"/>
      <c r="Z168" s="594" t="str">
        <f>IF(ISERROR(X168/X173),"",X168/X173)</f>
        <v/>
      </c>
      <c r="AA168" s="594"/>
    </row>
    <row r="169" spans="1:27" ht="20.100000000000001" customHeight="1">
      <c r="A169" s="584"/>
      <c r="B169" s="543" t="s">
        <v>264</v>
      </c>
      <c r="C169" s="586">
        <v>1</v>
      </c>
      <c r="D169" s="587"/>
      <c r="E169" s="590">
        <f>C169*11</f>
        <v>11</v>
      </c>
      <c r="F169" s="590"/>
      <c r="G169" s="591">
        <v>1</v>
      </c>
      <c r="H169" s="591"/>
      <c r="I169" s="590">
        <f>G169*11</f>
        <v>11</v>
      </c>
      <c r="J169" s="590"/>
      <c r="K169" s="590">
        <f>E169-I169</f>
        <v>0</v>
      </c>
      <c r="L169" s="590"/>
      <c r="M169" s="592">
        <f>IF(ISERROR(K169/E169),"",K169/E169)</f>
        <v>0</v>
      </c>
      <c r="N169" s="592"/>
      <c r="O169" s="588"/>
      <c r="P169" s="591" t="s">
        <v>231</v>
      </c>
      <c r="Q169" s="591"/>
      <c r="R169" s="593">
        <f>SUM(O137:U137)</f>
        <v>0</v>
      </c>
      <c r="S169" s="593"/>
      <c r="T169" s="594" t="str">
        <f>IF(ISERROR(R169/R173),"",R169/R173)</f>
        <v/>
      </c>
      <c r="U169" s="594"/>
      <c r="V169" s="591" t="s">
        <v>265</v>
      </c>
      <c r="W169" s="591"/>
      <c r="X169" s="595">
        <f>SUM(P31,P88,P123,P139,P150,P165)</f>
        <v>0</v>
      </c>
      <c r="Y169" s="595"/>
      <c r="Z169" s="594" t="str">
        <f>IF(ISERROR(X169/X173),"",X169/X173)</f>
        <v/>
      </c>
      <c r="AA169" s="594"/>
    </row>
    <row r="170" spans="1:27" ht="20.100000000000001" customHeight="1">
      <c r="A170" s="585"/>
      <c r="B170" s="543" t="s">
        <v>266</v>
      </c>
      <c r="C170" s="596">
        <f>SUM(C166:D169)</f>
        <v>4</v>
      </c>
      <c r="D170" s="597"/>
      <c r="E170" s="590">
        <f>SUM(E166:F169)</f>
        <v>41</v>
      </c>
      <c r="F170" s="590"/>
      <c r="G170" s="591">
        <f>SUM(G166:H169)</f>
        <v>4</v>
      </c>
      <c r="H170" s="591"/>
      <c r="I170" s="590">
        <f>SUM(I166:J169)</f>
        <v>41</v>
      </c>
      <c r="J170" s="590"/>
      <c r="K170" s="590">
        <f>SUM(K166:L169)</f>
        <v>0</v>
      </c>
      <c r="L170" s="590"/>
      <c r="M170" s="592">
        <f>IF(ISERROR(K170/E170),"",K170/E170)</f>
        <v>0</v>
      </c>
      <c r="N170" s="592"/>
      <c r="O170" s="588"/>
      <c r="P170" s="591" t="s">
        <v>234</v>
      </c>
      <c r="Q170" s="591"/>
      <c r="R170" s="593">
        <f>SUM(O148:U148)</f>
        <v>0</v>
      </c>
      <c r="S170" s="593"/>
      <c r="T170" s="594" t="str">
        <f>IF(ISERROR(R170/R173),"",R170/R173)</f>
        <v/>
      </c>
      <c r="U170" s="594"/>
      <c r="V170" s="591" t="s">
        <v>267</v>
      </c>
      <c r="W170" s="591"/>
      <c r="X170" s="595">
        <f>SUM(P32,P89,P124,P140,P151,P166)</f>
        <v>0</v>
      </c>
      <c r="Y170" s="595"/>
      <c r="Z170" s="594" t="str">
        <f>IF(ISERROR(X170/X173),"",X170/X173)</f>
        <v/>
      </c>
      <c r="AA170" s="594"/>
    </row>
    <row r="171" spans="1:27" ht="20.100000000000001" customHeight="1">
      <c r="A171" s="307" t="s">
        <v>477</v>
      </c>
      <c r="B171" s="543">
        <f>G164</f>
        <v>5619</v>
      </c>
      <c r="C171" s="598" t="s">
        <v>269</v>
      </c>
      <c r="D171" s="599"/>
      <c r="E171" s="591">
        <f>H164</f>
        <v>28463.39</v>
      </c>
      <c r="F171" s="591"/>
      <c r="G171" s="591" t="s">
        <v>270</v>
      </c>
      <c r="H171" s="591"/>
      <c r="I171" s="600">
        <f>L164</f>
        <v>17.250555298160414</v>
      </c>
      <c r="J171" s="600"/>
      <c r="K171" s="588" t="s">
        <v>271</v>
      </c>
      <c r="L171" s="588"/>
      <c r="M171" s="600">
        <f>J164</f>
        <v>16.334302325581394</v>
      </c>
      <c r="N171" s="600"/>
      <c r="O171" s="588"/>
      <c r="P171" s="591" t="s">
        <v>244</v>
      </c>
      <c r="Q171" s="591"/>
      <c r="R171" s="593">
        <f>SUM(O163:U163)</f>
        <v>0</v>
      </c>
      <c r="S171" s="593"/>
      <c r="T171" s="594" t="str">
        <f>IF(ISERROR(R171/R173),"",R171/R173)</f>
        <v/>
      </c>
      <c r="U171" s="594"/>
      <c r="V171" s="591" t="s">
        <v>272</v>
      </c>
      <c r="W171" s="591"/>
      <c r="X171" s="595">
        <f>SUM(P33,P90,P125,P141,P152,P167)</f>
        <v>0</v>
      </c>
      <c r="Y171" s="595"/>
      <c r="Z171" s="594" t="str">
        <f>IF(ISERROR(X171/X173),"",X171/X173)</f>
        <v/>
      </c>
      <c r="AA171" s="594"/>
    </row>
    <row r="172" spans="1:27" ht="20.100000000000001" customHeight="1">
      <c r="A172" s="308" t="s">
        <v>478</v>
      </c>
      <c r="B172" s="543">
        <f>I164+C170</f>
        <v>348</v>
      </c>
      <c r="C172" s="601" t="s">
        <v>251</v>
      </c>
      <c r="D172" s="602"/>
      <c r="E172" s="603">
        <f>K164+I170</f>
        <v>366.72864483957835</v>
      </c>
      <c r="F172" s="603"/>
      <c r="G172" s="591" t="s">
        <v>274</v>
      </c>
      <c r="H172" s="591"/>
      <c r="I172" s="600">
        <f>B172-E172</f>
        <v>-18.728644839578351</v>
      </c>
      <c r="J172" s="600"/>
      <c r="K172" s="588" t="s">
        <v>275</v>
      </c>
      <c r="L172" s="588"/>
      <c r="M172" s="592">
        <f>IF(ISERROR(I172/E172),"",I172/E172)</f>
        <v>-5.1069489943363987E-2</v>
      </c>
      <c r="N172" s="592"/>
      <c r="O172" s="588"/>
      <c r="P172" s="591" t="s">
        <v>245</v>
      </c>
      <c r="Q172" s="591"/>
      <c r="R172" s="593"/>
      <c r="S172" s="593"/>
      <c r="T172" s="594" t="str">
        <f>IF(ISERROR(R172/R173),"",R172/R173)</f>
        <v/>
      </c>
      <c r="U172" s="594"/>
      <c r="V172" s="591" t="s">
        <v>264</v>
      </c>
      <c r="W172" s="591"/>
      <c r="X172" s="595"/>
      <c r="Y172" s="595"/>
      <c r="Z172" s="594" t="str">
        <f>IF(ISERROR(X172/X173),"",X172/X173)</f>
        <v/>
      </c>
      <c r="AA172" s="594"/>
    </row>
    <row r="173" spans="1:27" ht="20.100000000000001" customHeight="1">
      <c r="A173" s="308" t="s">
        <v>479</v>
      </c>
      <c r="B173" s="543">
        <f>N164</f>
        <v>0</v>
      </c>
      <c r="C173" s="601" t="s">
        <v>277</v>
      </c>
      <c r="D173" s="602"/>
      <c r="E173" s="594">
        <f>IF(ISERROR(B173/B172),"",B173/B172)</f>
        <v>0</v>
      </c>
      <c r="F173" s="594"/>
      <c r="G173" s="591" t="s">
        <v>278</v>
      </c>
      <c r="H173" s="591"/>
      <c r="I173" s="588">
        <f>V164</f>
        <v>0</v>
      </c>
      <c r="J173" s="588"/>
      <c r="K173" s="588" t="s">
        <v>279</v>
      </c>
      <c r="L173" s="588"/>
      <c r="M173" s="592">
        <f t="array" ref="M173">IF(ISERROR(I173/B171),"",I173/B171)</f>
        <v>0</v>
      </c>
      <c r="N173" s="592"/>
      <c r="O173" s="588"/>
      <c r="P173" s="591" t="s">
        <v>266</v>
      </c>
      <c r="Q173" s="591"/>
      <c r="R173" s="593">
        <f>SUM(R166:S172)</f>
        <v>0</v>
      </c>
      <c r="S173" s="593"/>
      <c r="T173" s="594"/>
      <c r="U173" s="594"/>
      <c r="V173" s="591" t="s">
        <v>266</v>
      </c>
      <c r="W173" s="591"/>
      <c r="X173" s="595">
        <f>SUM(X166:Y172)</f>
        <v>0</v>
      </c>
      <c r="Y173" s="595"/>
      <c r="Z173" s="594"/>
      <c r="AA173" s="594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4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604" t="s">
        <v>480</v>
      </c>
      <c r="B175" s="607" t="s">
        <v>280</v>
      </c>
      <c r="C175" s="607" t="s">
        <v>281</v>
      </c>
      <c r="D175" s="607" t="s">
        <v>282</v>
      </c>
      <c r="E175" s="610" t="s">
        <v>283</v>
      </c>
      <c r="F175" s="623" t="s">
        <v>284</v>
      </c>
      <c r="G175" s="588" t="s">
        <v>285</v>
      </c>
      <c r="H175" s="588"/>
      <c r="I175" s="607" t="s">
        <v>286</v>
      </c>
      <c r="J175" s="613" t="s">
        <v>271</v>
      </c>
      <c r="K175" s="616" t="s">
        <v>287</v>
      </c>
      <c r="L175" s="607" t="s">
        <v>270</v>
      </c>
      <c r="M175" s="619" t="s">
        <v>288</v>
      </c>
      <c r="N175" s="621" t="s">
        <v>252</v>
      </c>
      <c r="O175" s="588" t="s">
        <v>289</v>
      </c>
      <c r="P175" s="588"/>
      <c r="Q175" s="588"/>
      <c r="R175" s="588"/>
      <c r="S175" s="588"/>
      <c r="T175" s="588"/>
      <c r="U175" s="588"/>
      <c r="V175" s="588" t="s">
        <v>290</v>
      </c>
      <c r="W175" s="621" t="s">
        <v>291</v>
      </c>
      <c r="X175" s="588" t="s">
        <v>292</v>
      </c>
      <c r="Y175" s="588"/>
      <c r="Z175" s="588"/>
      <c r="AA175" s="588"/>
    </row>
    <row r="176" spans="1:27" ht="21.95" customHeight="1">
      <c r="A176" s="605"/>
      <c r="B176" s="608"/>
      <c r="C176" s="608"/>
      <c r="D176" s="608"/>
      <c r="E176" s="611"/>
      <c r="F176" s="624"/>
      <c r="G176" s="588"/>
      <c r="H176" s="588"/>
      <c r="I176" s="608"/>
      <c r="J176" s="614"/>
      <c r="K176" s="617"/>
      <c r="L176" s="608"/>
      <c r="M176" s="620"/>
      <c r="N176" s="621"/>
      <c r="O176" s="588" t="s">
        <v>259</v>
      </c>
      <c r="P176" s="588" t="s">
        <v>261</v>
      </c>
      <c r="Q176" s="588" t="s">
        <v>263</v>
      </c>
      <c r="R176" s="622" t="s">
        <v>265</v>
      </c>
      <c r="S176" s="591" t="s">
        <v>267</v>
      </c>
      <c r="T176" s="588" t="s">
        <v>272</v>
      </c>
      <c r="U176" s="588" t="s">
        <v>264</v>
      </c>
      <c r="V176" s="588"/>
      <c r="W176" s="621"/>
      <c r="X176" s="588" t="s">
        <v>293</v>
      </c>
      <c r="Y176" s="588" t="s">
        <v>294</v>
      </c>
      <c r="Z176" s="588" t="s">
        <v>295</v>
      </c>
      <c r="AA176" s="588" t="s">
        <v>264</v>
      </c>
    </row>
    <row r="177" spans="1:27" ht="21.95" customHeight="1">
      <c r="A177" s="606"/>
      <c r="B177" s="609"/>
      <c r="C177" s="609"/>
      <c r="D177" s="609"/>
      <c r="E177" s="612"/>
      <c r="F177" s="625"/>
      <c r="G177" s="348" t="s">
        <v>552</v>
      </c>
      <c r="H177" s="547" t="s">
        <v>297</v>
      </c>
      <c r="I177" s="609"/>
      <c r="J177" s="615"/>
      <c r="K177" s="618"/>
      <c r="L177" s="609"/>
      <c r="M177" s="620"/>
      <c r="N177" s="621"/>
      <c r="O177" s="588"/>
      <c r="P177" s="588"/>
      <c r="Q177" s="588"/>
      <c r="R177" s="622"/>
      <c r="S177" s="591"/>
      <c r="T177" s="588"/>
      <c r="U177" s="588"/>
      <c r="V177" s="588"/>
      <c r="W177" s="621"/>
      <c r="X177" s="588"/>
      <c r="Y177" s="588"/>
      <c r="Z177" s="588"/>
      <c r="AA177" s="588"/>
    </row>
    <row r="178" spans="1:27" ht="20.100000000000001" hidden="1" customHeight="1">
      <c r="A178" s="299">
        <v>30100030</v>
      </c>
      <c r="B178" s="540" t="s">
        <v>178</v>
      </c>
      <c r="C178" s="126" t="s">
        <v>179</v>
      </c>
      <c r="D178" s="108">
        <v>5.03</v>
      </c>
      <c r="E178" s="108"/>
      <c r="F178" s="127"/>
      <c r="G178" s="128"/>
      <c r="H178" s="541">
        <f t="shared" ref="H178:H187" si="77">D178*G178</f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16</v>
      </c>
      <c r="M178" s="109">
        <f t="shared" ref="M178:M187" si="78">IF(ISERROR(I178-K178),"",I178-K178)</f>
        <v>0</v>
      </c>
      <c r="N178" s="130">
        <f>SUM(O178:U178)</f>
        <v>0</v>
      </c>
      <c r="O178" s="549"/>
      <c r="P178" s="549"/>
      <c r="Q178" s="549"/>
      <c r="R178" s="549"/>
      <c r="S178" s="549"/>
      <c r="T178" s="549"/>
      <c r="U178" s="549"/>
      <c r="V178" s="132">
        <f t="shared" ref="V178:V183" si="79">SUM(X178:AA178)</f>
        <v>0</v>
      </c>
      <c r="W178" s="133" t="str">
        <f t="shared" ref="W178:W183" si="80">IF(ISERROR(V178/G178),"",V178/G178)</f>
        <v/>
      </c>
      <c r="X178" s="132"/>
      <c r="Y178" s="132"/>
      <c r="Z178" s="132"/>
      <c r="AA178" s="132"/>
    </row>
    <row r="179" spans="1:27" ht="20.100000000000001" hidden="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28"/>
      <c r="H179" s="541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ref="N179:N187" si="81">SUM(O179:U179)</f>
        <v>0</v>
      </c>
      <c r="O179" s="549"/>
      <c r="P179" s="549"/>
      <c r="Q179" s="549"/>
      <c r="R179" s="549"/>
      <c r="S179" s="549"/>
      <c r="T179" s="549"/>
      <c r="U179" s="549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28"/>
      <c r="H180" s="541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549"/>
      <c r="P180" s="549"/>
      <c r="Q180" s="549"/>
      <c r="R180" s="549"/>
      <c r="S180" s="549"/>
      <c r="T180" s="549"/>
      <c r="U180" s="549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/>
      <c r="G181" s="128"/>
      <c r="H181" s="541">
        <f t="shared" si="77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19</v>
      </c>
      <c r="M181" s="109">
        <f t="shared" si="78"/>
        <v>0</v>
      </c>
      <c r="N181" s="130">
        <f t="shared" si="81"/>
        <v>0</v>
      </c>
      <c r="O181" s="549"/>
      <c r="P181" s="549"/>
      <c r="Q181" s="549"/>
      <c r="R181" s="549"/>
      <c r="S181" s="549"/>
      <c r="T181" s="549"/>
      <c r="U181" s="549"/>
      <c r="V181" s="132">
        <f t="shared" si="79"/>
        <v>0</v>
      </c>
      <c r="W181" s="133" t="str">
        <f t="shared" si="80"/>
        <v/>
      </c>
      <c r="X181" s="132"/>
      <c r="Y181" s="132"/>
      <c r="Z181" s="132"/>
      <c r="AA181" s="132"/>
    </row>
    <row r="182" spans="1:27" ht="20.100000000000001" hidden="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/>
      <c r="G182" s="128"/>
      <c r="H182" s="541">
        <f t="shared" si="77"/>
        <v>0</v>
      </c>
      <c r="I182" s="129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20</v>
      </c>
      <c r="M182" s="109">
        <f t="shared" si="78"/>
        <v>0</v>
      </c>
      <c r="N182" s="130">
        <f t="shared" si="81"/>
        <v>0</v>
      </c>
      <c r="O182" s="549"/>
      <c r="P182" s="549"/>
      <c r="Q182" s="549"/>
      <c r="R182" s="549"/>
      <c r="S182" s="549"/>
      <c r="T182" s="549"/>
      <c r="U182" s="549"/>
      <c r="V182" s="132">
        <f t="shared" si="79"/>
        <v>0</v>
      </c>
      <c r="W182" s="133" t="str">
        <f t="shared" si="80"/>
        <v/>
      </c>
      <c r="X182" s="132"/>
      <c r="Y182" s="132"/>
      <c r="Z182" s="132"/>
      <c r="AA182" s="132"/>
    </row>
    <row r="183" spans="1:27" ht="20.100000000000001" hidden="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58"/>
      <c r="G183" s="137"/>
      <c r="H183" s="541">
        <f t="shared" si="77"/>
        <v>0</v>
      </c>
      <c r="I183" s="138"/>
      <c r="J183" s="130" t="str">
        <f t="array" ref="J183">IF(ISERROR(G183/I183),"",G183/I183)</f>
        <v/>
      </c>
      <c r="K183" s="131">
        <f t="array" ref="K183">IF(ISERROR(G183/L183),"",G183/L183)</f>
        <v>0</v>
      </c>
      <c r="L183" s="129">
        <v>19</v>
      </c>
      <c r="M183" s="109">
        <f t="shared" si="78"/>
        <v>0</v>
      </c>
      <c r="N183" s="130">
        <f t="shared" si="81"/>
        <v>0</v>
      </c>
      <c r="O183" s="549"/>
      <c r="P183" s="549"/>
      <c r="Q183" s="549"/>
      <c r="R183" s="549"/>
      <c r="S183" s="549"/>
      <c r="T183" s="549"/>
      <c r="U183" s="549"/>
      <c r="V183" s="132">
        <f t="shared" si="79"/>
        <v>0</v>
      </c>
      <c r="W183" s="133" t="str">
        <f t="shared" si="80"/>
        <v/>
      </c>
      <c r="X183" s="132"/>
      <c r="Y183" s="132"/>
      <c r="Z183" s="132"/>
      <c r="AA183" s="132"/>
    </row>
    <row r="184" spans="1:27" ht="20.100000000000001" hidden="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/>
      <c r="G184" s="128"/>
      <c r="H184" s="541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549"/>
      <c r="P184" s="549"/>
      <c r="Q184" s="549"/>
      <c r="R184" s="549"/>
      <c r="S184" s="549"/>
      <c r="T184" s="549"/>
      <c r="U184" s="549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28"/>
      <c r="H185" s="541">
        <f t="shared" si="77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78"/>
        <v>0</v>
      </c>
      <c r="N185" s="130">
        <f t="shared" si="81"/>
        <v>0</v>
      </c>
      <c r="O185" s="549"/>
      <c r="P185" s="549"/>
      <c r="Q185" s="549"/>
      <c r="R185" s="549"/>
      <c r="S185" s="549"/>
      <c r="T185" s="549"/>
      <c r="U185" s="549"/>
      <c r="V185" s="132"/>
      <c r="W185" s="133"/>
      <c r="X185" s="132"/>
      <c r="Y185" s="132"/>
      <c r="Z185" s="132"/>
      <c r="AA185" s="132"/>
    </row>
    <row r="186" spans="1:27" ht="20.10000000000000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>
        <v>42747</v>
      </c>
      <c r="G186" s="128">
        <f>100+82</f>
        <v>182</v>
      </c>
      <c r="H186" s="541">
        <f t="shared" si="77"/>
        <v>917.28</v>
      </c>
      <c r="I186" s="541">
        <f>3*5</f>
        <v>15</v>
      </c>
      <c r="J186" s="130">
        <f t="array" ref="J186">IF(ISERROR(G186/I186),"",G186/I186)</f>
        <v>12.133333333333333</v>
      </c>
      <c r="K186" s="131">
        <f t="array" ref="K186">IF(ISERROR(G186/L186),"",G186/L186)</f>
        <v>10.705882352941176</v>
      </c>
      <c r="L186" s="129">
        <v>17</v>
      </c>
      <c r="M186" s="109">
        <f t="shared" si="78"/>
        <v>4.2941176470588243</v>
      </c>
      <c r="N186" s="130">
        <f t="shared" si="81"/>
        <v>0</v>
      </c>
      <c r="O186" s="549"/>
      <c r="P186" s="549"/>
      <c r="Q186" s="549"/>
      <c r="R186" s="549"/>
      <c r="S186" s="549"/>
      <c r="T186" s="549"/>
      <c r="U186" s="549"/>
      <c r="V186" s="132">
        <f>SUM(X186:AA186)</f>
        <v>0</v>
      </c>
      <c r="W186" s="133">
        <f>IF(ISERROR(V186/G186),"",V186/G186)</f>
        <v>0</v>
      </c>
      <c r="X186" s="132"/>
      <c r="Y186" s="132"/>
      <c r="Z186" s="132"/>
      <c r="AA186" s="132"/>
    </row>
    <row r="187" spans="1:27" ht="20.100000000000001" hidden="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/>
      <c r="G187" s="128"/>
      <c r="H187" s="541">
        <f t="shared" si="77"/>
        <v>0</v>
      </c>
      <c r="I187" s="541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 t="shared" si="78"/>
        <v>0</v>
      </c>
      <c r="N187" s="130">
        <f t="shared" si="81"/>
        <v>0</v>
      </c>
      <c r="O187" s="549"/>
      <c r="P187" s="549"/>
      <c r="Q187" s="549"/>
      <c r="R187" s="549"/>
      <c r="S187" s="549"/>
      <c r="T187" s="549"/>
      <c r="U187" s="549"/>
      <c r="V187" s="132">
        <f>SUM(X187:AA187)</f>
        <v>0</v>
      </c>
      <c r="W187" s="133" t="str">
        <f>IF(ISERROR(V187/G187),"",V187/G187)</f>
        <v/>
      </c>
      <c r="X187" s="132"/>
      <c r="Y187" s="132"/>
      <c r="Z187" s="132"/>
      <c r="AA187" s="132"/>
    </row>
    <row r="188" spans="1:27" ht="20.100000000000001" hidden="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28"/>
      <c r="H188" s="541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549"/>
      <c r="P188" s="549"/>
      <c r="Q188" s="549"/>
      <c r="R188" s="549"/>
      <c r="S188" s="549"/>
      <c r="T188" s="549"/>
      <c r="U188" s="549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28"/>
      <c r="H189" s="541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549"/>
      <c r="P189" s="549"/>
      <c r="Q189" s="549"/>
      <c r="R189" s="549"/>
      <c r="S189" s="549"/>
      <c r="T189" s="549"/>
      <c r="U189" s="549"/>
      <c r="V189" s="132"/>
      <c r="W189" s="133"/>
      <c r="X189" s="132"/>
      <c r="Y189" s="132"/>
      <c r="Z189" s="132"/>
      <c r="AA189" s="132"/>
    </row>
    <row r="190" spans="1:27" ht="20.10000000000000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E190" s="108"/>
      <c r="F190" s="127">
        <v>42747</v>
      </c>
      <c r="G190" s="128">
        <f>90*5+40+90-90</f>
        <v>490</v>
      </c>
      <c r="H190" s="541">
        <f t="shared" ref="H190:H198" si="82">D190*G190</f>
        <v>2479.3999999999996</v>
      </c>
      <c r="I190" s="129">
        <f>8.5*5</f>
        <v>42.5</v>
      </c>
      <c r="J190" s="130">
        <f t="array" ref="J190">IF(ISERROR(G190/I190),"",G190/I190)</f>
        <v>11.529411764705882</v>
      </c>
      <c r="K190" s="131">
        <f t="array" ref="K190">IF(ISERROR(G190/L190),"",G190/L190)</f>
        <v>25.789473684210527</v>
      </c>
      <c r="L190" s="129">
        <v>19</v>
      </c>
      <c r="M190" s="109">
        <f t="shared" ref="M190:M198" si="83">IF(ISERROR(I190-K190),"",I190-K190)</f>
        <v>16.710526315789473</v>
      </c>
      <c r="N190" s="130">
        <f t="shared" ref="N190:N192" si="84">SUM(O190:U190)</f>
        <v>0</v>
      </c>
      <c r="O190" s="549"/>
      <c r="P190" s="549"/>
      <c r="Q190" s="549"/>
      <c r="R190" s="549"/>
      <c r="S190" s="549"/>
      <c r="T190" s="549"/>
      <c r="U190" s="549"/>
      <c r="V190" s="132">
        <f t="shared" ref="V190:V192" si="85">SUM(X190:AA190)</f>
        <v>0</v>
      </c>
      <c r="W190" s="133">
        <f t="shared" ref="W190:W192" si="86">IF(ISERROR(V190/G190),"",V190/G190)</f>
        <v>0</v>
      </c>
      <c r="X190" s="132"/>
      <c r="Y190" s="132"/>
      <c r="Z190" s="132"/>
      <c r="AA190" s="132"/>
    </row>
    <row r="191" spans="1:27" ht="20.100000000000001" hidden="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27"/>
      <c r="G191" s="128"/>
      <c r="H191" s="541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549"/>
      <c r="P191" s="549"/>
      <c r="Q191" s="549"/>
      <c r="R191" s="549"/>
      <c r="S191" s="549"/>
      <c r="T191" s="549"/>
      <c r="U191" s="549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>
        <v>42745</v>
      </c>
      <c r="G192" s="128">
        <f>100*10</f>
        <v>1000</v>
      </c>
      <c r="H192" s="541">
        <f t="shared" si="82"/>
        <v>5090</v>
      </c>
      <c r="I192" s="129">
        <f>11.5*5</f>
        <v>57.5</v>
      </c>
      <c r="J192" s="130">
        <f t="array" ref="J192">IF(ISERROR(G192/I192),"",G192/I192)</f>
        <v>17.391304347826086</v>
      </c>
      <c r="K192" s="131">
        <f t="array" ref="K192">IF(ISERROR(G192/L192),"",G192/L192)</f>
        <v>43.478260869565219</v>
      </c>
      <c r="L192" s="129">
        <v>23</v>
      </c>
      <c r="M192" s="109">
        <f t="shared" si="83"/>
        <v>14.021739130434781</v>
      </c>
      <c r="N192" s="130">
        <f t="shared" si="84"/>
        <v>0</v>
      </c>
      <c r="O192" s="549"/>
      <c r="P192" s="549"/>
      <c r="Q192" s="549"/>
      <c r="R192" s="549"/>
      <c r="S192" s="549"/>
      <c r="T192" s="549"/>
      <c r="U192" s="549"/>
      <c r="V192" s="132">
        <f t="shared" si="85"/>
        <v>0</v>
      </c>
      <c r="W192" s="133">
        <f t="shared" si="86"/>
        <v>0</v>
      </c>
      <c r="X192" s="132"/>
      <c r="Y192" s="132"/>
      <c r="Z192" s="132"/>
      <c r="AA192" s="132"/>
    </row>
    <row r="193" spans="1:27" ht="20.100000000000001" hidden="1" customHeight="1">
      <c r="A193" s="300">
        <v>30100003</v>
      </c>
      <c r="B193" s="141" t="s">
        <v>198</v>
      </c>
      <c r="C193" s="547" t="s">
        <v>190</v>
      </c>
      <c r="D193" s="108">
        <v>4.8</v>
      </c>
      <c r="E193" s="108"/>
      <c r="F193" s="127"/>
      <c r="G193" s="128"/>
      <c r="H193" s="541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549"/>
      <c r="P193" s="549"/>
      <c r="Q193" s="549"/>
      <c r="R193" s="549"/>
      <c r="S193" s="549"/>
      <c r="T193" s="549"/>
      <c r="U193" s="549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30100004</v>
      </c>
      <c r="B194" s="141" t="s">
        <v>198</v>
      </c>
      <c r="C194" s="547" t="s">
        <v>187</v>
      </c>
      <c r="D194" s="108">
        <v>4.8</v>
      </c>
      <c r="E194" s="108"/>
      <c r="F194" s="127"/>
      <c r="G194" s="128"/>
      <c r="H194" s="541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549"/>
      <c r="P194" s="549"/>
      <c r="Q194" s="549"/>
      <c r="R194" s="549"/>
      <c r="S194" s="549"/>
      <c r="T194" s="549"/>
      <c r="U194" s="549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30100006</v>
      </c>
      <c r="B195" s="141" t="s">
        <v>198</v>
      </c>
      <c r="C195" s="547" t="s">
        <v>179</v>
      </c>
      <c r="D195" s="108">
        <v>4.8</v>
      </c>
      <c r="E195" s="108"/>
      <c r="F195" s="127"/>
      <c r="G195" s="128"/>
      <c r="H195" s="541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549"/>
      <c r="P195" s="549"/>
      <c r="Q195" s="549"/>
      <c r="R195" s="549"/>
      <c r="S195" s="549"/>
      <c r="T195" s="549"/>
      <c r="U195" s="549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30100005</v>
      </c>
      <c r="B196" s="141" t="s">
        <v>198</v>
      </c>
      <c r="C196" s="547" t="s">
        <v>199</v>
      </c>
      <c r="D196" s="108">
        <v>4.8</v>
      </c>
      <c r="E196" s="108"/>
      <c r="F196" s="127"/>
      <c r="G196" s="128"/>
      <c r="H196" s="541">
        <f t="shared" si="82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3"/>
        <v>0</v>
      </c>
      <c r="N196" s="130"/>
      <c r="O196" s="549"/>
      <c r="P196" s="549"/>
      <c r="Q196" s="549"/>
      <c r="R196" s="549"/>
      <c r="S196" s="549"/>
      <c r="T196" s="549"/>
      <c r="U196" s="549"/>
      <c r="V196" s="132"/>
      <c r="W196" s="133"/>
      <c r="X196" s="132"/>
      <c r="Y196" s="132"/>
      <c r="Z196" s="132"/>
      <c r="AA196" s="132"/>
    </row>
    <row r="197" spans="1:27" ht="20.100000000000001" hidden="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/>
      <c r="G197" s="128"/>
      <c r="H197" s="541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ref="N197:N198" si="87">SUM(O197:U197)</f>
        <v>0</v>
      </c>
      <c r="O197" s="549"/>
      <c r="P197" s="549"/>
      <c r="Q197" s="549"/>
      <c r="R197" s="549"/>
      <c r="S197" s="549"/>
      <c r="T197" s="549"/>
      <c r="U197" s="549"/>
      <c r="V197" s="132">
        <f t="shared" ref="V197:V198" si="88">SUM(X197:AA197)</f>
        <v>0</v>
      </c>
      <c r="W197" s="133" t="str">
        <f t="shared" ref="W197:W198" si="89">IF(ISERROR(V197/G197),"",V197/G197)</f>
        <v/>
      </c>
      <c r="X197" s="132"/>
      <c r="Y197" s="132"/>
      <c r="Z197" s="132"/>
      <c r="AA197" s="132"/>
    </row>
    <row r="198" spans="1:27" ht="20.100000000000001" hidden="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42"/>
      <c r="G198" s="128"/>
      <c r="H198" s="541">
        <f t="shared" si="82"/>
        <v>0</v>
      </c>
      <c r="I198" s="129"/>
      <c r="J198" s="130" t="str">
        <f t="array" ref="J198">IF(ISERROR(G198/I198),"",G198/I198)</f>
        <v/>
      </c>
      <c r="K198" s="131">
        <f t="array" ref="K198">IF(ISERROR(G198/L198),"",G198/L198)</f>
        <v>0</v>
      </c>
      <c r="L198" s="129">
        <v>23.5</v>
      </c>
      <c r="M198" s="109">
        <f t="shared" si="83"/>
        <v>0</v>
      </c>
      <c r="N198" s="130">
        <f t="shared" si="87"/>
        <v>0</v>
      </c>
      <c r="O198" s="549"/>
      <c r="P198" s="549"/>
      <c r="Q198" s="549"/>
      <c r="R198" s="549"/>
      <c r="S198" s="549"/>
      <c r="T198" s="549"/>
      <c r="U198" s="549"/>
      <c r="V198" s="132">
        <f t="shared" si="88"/>
        <v>0</v>
      </c>
      <c r="W198" s="133" t="str">
        <f t="shared" si="89"/>
        <v/>
      </c>
      <c r="X198" s="132"/>
      <c r="Y198" s="132"/>
      <c r="Z198" s="132"/>
      <c r="AA198" s="132"/>
    </row>
    <row r="199" spans="1:27" ht="20.100000000000001" customHeight="1">
      <c r="A199" s="578" t="s">
        <v>201</v>
      </c>
      <c r="B199" s="579"/>
      <c r="C199" s="550" t="s">
        <v>202</v>
      </c>
      <c r="D199" s="143"/>
      <c r="E199" s="143"/>
      <c r="F199" s="144"/>
      <c r="G199" s="145">
        <f>SUM(G178:G198)</f>
        <v>1672</v>
      </c>
      <c r="H199" s="146">
        <f>SUM(H178:H198)</f>
        <v>8486.68</v>
      </c>
      <c r="I199" s="146">
        <f>SUM(I178:I198)</f>
        <v>115</v>
      </c>
      <c r="J199" s="130">
        <f t="array" ref="J199">IF(ISERROR(G199/I199),"",G199/I199)</f>
        <v>14.539130434782608</v>
      </c>
      <c r="K199" s="146">
        <f>SUM(K178:K198)</f>
        <v>79.973616906716927</v>
      </c>
      <c r="L199" s="147"/>
      <c r="M199" s="150">
        <f t="shared" ref="M199:AA199" si="90">SUM(M178:M198)</f>
        <v>35.02638309328308</v>
      </c>
      <c r="N199" s="146">
        <f t="shared" si="90"/>
        <v>0</v>
      </c>
      <c r="O199" s="148">
        <f t="shared" si="90"/>
        <v>0</v>
      </c>
      <c r="P199" s="148">
        <f t="shared" si="90"/>
        <v>0</v>
      </c>
      <c r="Q199" s="148">
        <f t="shared" si="90"/>
        <v>0</v>
      </c>
      <c r="R199" s="148">
        <f t="shared" si="90"/>
        <v>0</v>
      </c>
      <c r="S199" s="148">
        <f t="shared" si="90"/>
        <v>0</v>
      </c>
      <c r="T199" s="148">
        <f t="shared" si="90"/>
        <v>0</v>
      </c>
      <c r="U199" s="148">
        <f t="shared" si="90"/>
        <v>0</v>
      </c>
      <c r="V199" s="149">
        <f t="shared" si="90"/>
        <v>0</v>
      </c>
      <c r="W199" s="133">
        <f t="shared" si="90"/>
        <v>0</v>
      </c>
      <c r="X199" s="149">
        <f t="shared" si="90"/>
        <v>0</v>
      </c>
      <c r="Y199" s="149">
        <f t="shared" si="90"/>
        <v>0</v>
      </c>
      <c r="Z199" s="149">
        <f t="shared" si="90"/>
        <v>0</v>
      </c>
      <c r="AA199" s="149">
        <f t="shared" si="90"/>
        <v>0</v>
      </c>
    </row>
    <row r="200" spans="1:27" ht="20.100000000000001" customHeight="1">
      <c r="A200" s="300">
        <v>30100012</v>
      </c>
      <c r="B200" s="540" t="s">
        <v>206</v>
      </c>
      <c r="C200" s="126" t="s">
        <v>199</v>
      </c>
      <c r="D200" s="108">
        <v>5.03</v>
      </c>
      <c r="E200" s="108"/>
      <c r="F200" s="127">
        <v>42746</v>
      </c>
      <c r="G200" s="128">
        <v>13</v>
      </c>
      <c r="H200" s="541">
        <f t="shared" ref="H200:H256" si="91">D200*G200</f>
        <v>65.39</v>
      </c>
      <c r="I200" s="129">
        <v>0.5</v>
      </c>
      <c r="J200" s="130">
        <f t="array" ref="J200">IF(ISERROR(G200/I200),"",G200/I200)</f>
        <v>26</v>
      </c>
      <c r="K200" s="131">
        <f t="array" ref="K200">IF(ISERROR(G200/L200),"",G200/L200)</f>
        <v>0.25</v>
      </c>
      <c r="L200" s="129">
        <v>52</v>
      </c>
      <c r="M200" s="109">
        <f t="shared" ref="M200" si="92">IF(ISERROR(I200-K200),"",I200-K200)</f>
        <v>0.25</v>
      </c>
      <c r="N200" s="130">
        <f t="shared" ref="N200" si="93">SUM(O200:U200)</f>
        <v>0</v>
      </c>
      <c r="O200" s="545"/>
      <c r="P200" s="545"/>
      <c r="Q200" s="545"/>
      <c r="R200" s="545"/>
      <c r="S200" s="545"/>
      <c r="T200" s="545"/>
      <c r="U200" s="545"/>
      <c r="V200" s="132">
        <f t="shared" ref="V200" si="94">SUM(X200:AA200)</f>
        <v>0</v>
      </c>
      <c r="W200" s="133">
        <f t="shared" ref="W200" si="95">IF(ISERROR(V200/G200),"",V200/G200)</f>
        <v>0</v>
      </c>
      <c r="X200" s="132"/>
      <c r="Y200" s="132"/>
      <c r="Z200" s="132"/>
      <c r="AA200" s="132"/>
    </row>
    <row r="201" spans="1:27" ht="20.100000000000001" hidden="1" customHeight="1">
      <c r="A201" s="300">
        <v>30100011</v>
      </c>
      <c r="B201" s="540" t="s">
        <v>425</v>
      </c>
      <c r="C201" s="187" t="s">
        <v>427</v>
      </c>
      <c r="D201" s="108">
        <v>5.03</v>
      </c>
      <c r="E201" s="108"/>
      <c r="F201" s="127"/>
      <c r="G201" s="128"/>
      <c r="H201" s="541">
        <f t="shared" si="91"/>
        <v>0</v>
      </c>
      <c r="I201" s="129"/>
      <c r="J201" s="130"/>
      <c r="K201" s="131"/>
      <c r="L201" s="129">
        <v>52</v>
      </c>
      <c r="M201" s="109"/>
      <c r="N201" s="130"/>
      <c r="O201" s="545"/>
      <c r="P201" s="545"/>
      <c r="Q201" s="545"/>
      <c r="R201" s="545"/>
      <c r="S201" s="545"/>
      <c r="T201" s="545"/>
      <c r="U201" s="545"/>
      <c r="V201" s="132"/>
      <c r="W201" s="133"/>
      <c r="X201" s="132"/>
      <c r="Y201" s="132"/>
      <c r="Z201" s="132"/>
      <c r="AA201" s="132"/>
    </row>
    <row r="202" spans="1:27" ht="20.100000000000001" hidden="1" customHeight="1">
      <c r="A202" s="300">
        <v>30100010</v>
      </c>
      <c r="B202" s="540" t="s">
        <v>206</v>
      </c>
      <c r="C202" s="126" t="s">
        <v>186</v>
      </c>
      <c r="D202" s="108">
        <v>5.03</v>
      </c>
      <c r="E202" s="108"/>
      <c r="F202" s="127"/>
      <c r="G202" s="128"/>
      <c r="H202" s="541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 t="shared" ref="M202" si="96">IF(ISERROR(I202-K202),"",I202-K202)</f>
        <v>0</v>
      </c>
      <c r="N202" s="130">
        <f t="shared" ref="N202:N204" si="97">SUM(O202:U202)</f>
        <v>0</v>
      </c>
      <c r="O202" s="545"/>
      <c r="P202" s="545"/>
      <c r="Q202" s="545"/>
      <c r="R202" s="545"/>
      <c r="S202" s="545"/>
      <c r="T202" s="545"/>
      <c r="U202" s="545"/>
      <c r="V202" s="132">
        <f t="shared" ref="V202:V204" si="98">SUM(X202:AA202)</f>
        <v>0</v>
      </c>
      <c r="W202" s="133" t="str">
        <f t="shared" ref="W202:W204" si="99">IF(ISERROR(V202/G202),"",V202/G202)</f>
        <v/>
      </c>
      <c r="X202" s="132"/>
      <c r="Y202" s="132"/>
      <c r="Z202" s="132"/>
      <c r="AA202" s="132"/>
    </row>
    <row r="203" spans="1:27" ht="20.100000000000001" hidden="1" customHeight="1">
      <c r="A203" s="300">
        <v>30100014</v>
      </c>
      <c r="B203" s="540" t="s">
        <v>206</v>
      </c>
      <c r="C203" s="126" t="s">
        <v>203</v>
      </c>
      <c r="D203" s="108">
        <v>5.03</v>
      </c>
      <c r="E203" s="108"/>
      <c r="F203" s="127"/>
      <c r="G203" s="128"/>
      <c r="H203" s="541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>IF(ISERROR(I203-K203),"",I203-K203)</f>
        <v>0</v>
      </c>
      <c r="N203" s="130">
        <f t="shared" si="97"/>
        <v>0</v>
      </c>
      <c r="O203" s="545"/>
      <c r="P203" s="545"/>
      <c r="Q203" s="545"/>
      <c r="R203" s="545"/>
      <c r="S203" s="545"/>
      <c r="T203" s="545"/>
      <c r="U203" s="545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30100013</v>
      </c>
      <c r="B204" s="540" t="s">
        <v>206</v>
      </c>
      <c r="C204" s="126" t="s">
        <v>207</v>
      </c>
      <c r="D204" s="108">
        <v>5.03</v>
      </c>
      <c r="E204" s="108"/>
      <c r="F204" s="127"/>
      <c r="G204" s="128"/>
      <c r="H204" s="541">
        <f t="shared" si="91"/>
        <v>0</v>
      </c>
      <c r="I204" s="129"/>
      <c r="J204" s="130" t="str">
        <f t="array" ref="J204">IF(ISERROR(G204/I204),"",G204/I204)</f>
        <v/>
      </c>
      <c r="K204" s="131">
        <f t="array" ref="K204">IF(ISERROR(G204/L204),"",G204/L204)</f>
        <v>0</v>
      </c>
      <c r="L204" s="129">
        <v>52</v>
      </c>
      <c r="M204" s="109">
        <f t="shared" ref="M204" si="100">IF(ISERROR(I204-K204),"",I204-K204)</f>
        <v>0</v>
      </c>
      <c r="N204" s="130">
        <f t="shared" si="97"/>
        <v>0</v>
      </c>
      <c r="O204" s="545"/>
      <c r="P204" s="545"/>
      <c r="Q204" s="545"/>
      <c r="R204" s="545"/>
      <c r="S204" s="545"/>
      <c r="T204" s="545"/>
      <c r="U204" s="545"/>
      <c r="V204" s="132">
        <f t="shared" si="98"/>
        <v>0</v>
      </c>
      <c r="W204" s="133" t="str">
        <f t="shared" si="99"/>
        <v/>
      </c>
      <c r="X204" s="132"/>
      <c r="Y204" s="132"/>
      <c r="Z204" s="132"/>
      <c r="AA204" s="132"/>
    </row>
    <row r="205" spans="1:27" ht="20.100000000000001" hidden="1" customHeight="1">
      <c r="A205" s="300">
        <v>30100016</v>
      </c>
      <c r="B205" s="540" t="s">
        <v>414</v>
      </c>
      <c r="C205" s="187" t="s">
        <v>415</v>
      </c>
      <c r="D205" s="108">
        <v>5.03</v>
      </c>
      <c r="E205" s="108"/>
      <c r="F205" s="127"/>
      <c r="G205" s="128"/>
      <c r="H205" s="541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545"/>
      <c r="P205" s="545"/>
      <c r="Q205" s="545"/>
      <c r="R205" s="545"/>
      <c r="S205" s="545"/>
      <c r="T205" s="545"/>
      <c r="U205" s="545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30100017</v>
      </c>
      <c r="B206" s="540" t="s">
        <v>414</v>
      </c>
      <c r="C206" s="187" t="s">
        <v>416</v>
      </c>
      <c r="D206" s="108">
        <v>5.03</v>
      </c>
      <c r="E206" s="108"/>
      <c r="F206" s="127"/>
      <c r="G206" s="128"/>
      <c r="H206" s="541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545"/>
      <c r="P206" s="545"/>
      <c r="Q206" s="545"/>
      <c r="R206" s="545"/>
      <c r="S206" s="545"/>
      <c r="T206" s="545"/>
      <c r="U206" s="545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30100015</v>
      </c>
      <c r="B207" s="540" t="s">
        <v>414</v>
      </c>
      <c r="C207" s="187" t="s">
        <v>61</v>
      </c>
      <c r="D207" s="108">
        <v>5.03</v>
      </c>
      <c r="E207" s="108"/>
      <c r="F207" s="127"/>
      <c r="G207" s="128"/>
      <c r="H207" s="541">
        <f t="shared" si="91"/>
        <v>0</v>
      </c>
      <c r="I207" s="129"/>
      <c r="J207" s="130"/>
      <c r="K207" s="131"/>
      <c r="L207" s="129">
        <v>52</v>
      </c>
      <c r="M207" s="109"/>
      <c r="N207" s="130"/>
      <c r="O207" s="545"/>
      <c r="P207" s="545"/>
      <c r="Q207" s="545"/>
      <c r="R207" s="545"/>
      <c r="S207" s="545"/>
      <c r="T207" s="545"/>
      <c r="U207" s="545"/>
      <c r="V207" s="132"/>
      <c r="W207" s="133"/>
      <c r="X207" s="132"/>
      <c r="Y207" s="132"/>
      <c r="Z207" s="132"/>
      <c r="AA207" s="132"/>
    </row>
    <row r="208" spans="1:27" ht="20.100000000000001" customHeight="1">
      <c r="A208" s="300">
        <v>30100027</v>
      </c>
      <c r="B208" s="540" t="s">
        <v>208</v>
      </c>
      <c r="C208" s="126" t="s">
        <v>179</v>
      </c>
      <c r="D208" s="108">
        <v>5.08</v>
      </c>
      <c r="E208" s="108"/>
      <c r="F208" s="127">
        <v>42746</v>
      </c>
      <c r="G208" s="128">
        <f>108*3+108*4+45</f>
        <v>801</v>
      </c>
      <c r="H208" s="541">
        <f t="shared" si="91"/>
        <v>4069.08</v>
      </c>
      <c r="I208" s="129">
        <f>11.5*3</f>
        <v>34.5</v>
      </c>
      <c r="J208" s="130">
        <f t="array" ref="J208">IF(ISERROR(G208/I208),"",G208/I208)</f>
        <v>23.217391304347824</v>
      </c>
      <c r="K208" s="131">
        <f t="array" ref="K208">IF(ISERROR(G208/L208),"",G208/L208)</f>
        <v>38.142857142857146</v>
      </c>
      <c r="L208" s="129">
        <v>21</v>
      </c>
      <c r="M208" s="109">
        <f t="shared" ref="M208:M237" si="101">IF(ISERROR(I208-K208),"",I208-K208)</f>
        <v>-3.6428571428571459</v>
      </c>
      <c r="N208" s="130">
        <f t="shared" ref="N208:N237" si="102">SUM(O208:U208)</f>
        <v>0</v>
      </c>
      <c r="O208" s="545"/>
      <c r="P208" s="545"/>
      <c r="Q208" s="545"/>
      <c r="R208" s="545"/>
      <c r="S208" s="545"/>
      <c r="T208" s="545"/>
      <c r="U208" s="545"/>
      <c r="V208" s="132">
        <f t="shared" ref="V208:V219" si="103">SUM(X208:AA208)</f>
        <v>0</v>
      </c>
      <c r="W208" s="133">
        <f t="shared" ref="W208:W219" si="104">IF(ISERROR(V208/G208),"",V208/G208)</f>
        <v>0</v>
      </c>
      <c r="X208" s="132"/>
      <c r="Y208" s="132"/>
      <c r="Z208" s="132"/>
      <c r="AA208" s="132"/>
    </row>
    <row r="209" spans="1:27" ht="20.100000000000001" hidden="1" customHeight="1">
      <c r="A209" s="300">
        <v>30100023</v>
      </c>
      <c r="B209" s="540" t="s">
        <v>208</v>
      </c>
      <c r="C209" s="126" t="s">
        <v>204</v>
      </c>
      <c r="D209" s="108">
        <v>5.08</v>
      </c>
      <c r="E209" s="108"/>
      <c r="F209" s="127"/>
      <c r="G209" s="128"/>
      <c r="H209" s="541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545"/>
      <c r="P209" s="545"/>
      <c r="Q209" s="545"/>
      <c r="R209" s="545"/>
      <c r="S209" s="545"/>
      <c r="T209" s="545"/>
      <c r="U209" s="545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30100024</v>
      </c>
      <c r="B210" s="540" t="s">
        <v>208</v>
      </c>
      <c r="C210" s="126" t="s">
        <v>205</v>
      </c>
      <c r="D210" s="108">
        <v>5.08</v>
      </c>
      <c r="E210" s="108"/>
      <c r="F210" s="127"/>
      <c r="G210" s="128"/>
      <c r="H210" s="541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545"/>
      <c r="P210" s="545"/>
      <c r="Q210" s="545"/>
      <c r="R210" s="545"/>
      <c r="S210" s="545"/>
      <c r="T210" s="545"/>
      <c r="U210" s="545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30100022</v>
      </c>
      <c r="B211" s="540" t="s">
        <v>208</v>
      </c>
      <c r="C211" s="126" t="s">
        <v>186</v>
      </c>
      <c r="D211" s="108">
        <v>5.08</v>
      </c>
      <c r="E211" s="108"/>
      <c r="F211" s="127"/>
      <c r="G211" s="128"/>
      <c r="H211" s="541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545"/>
      <c r="P211" s="545"/>
      <c r="Q211" s="545"/>
      <c r="R211" s="545"/>
      <c r="S211" s="545"/>
      <c r="T211" s="545"/>
      <c r="U211" s="545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30100029</v>
      </c>
      <c r="B212" s="540" t="s">
        <v>208</v>
      </c>
      <c r="C212" s="126" t="s">
        <v>203</v>
      </c>
      <c r="D212" s="108">
        <v>5.08</v>
      </c>
      <c r="E212" s="108"/>
      <c r="F212" s="127"/>
      <c r="G212" s="128"/>
      <c r="H212" s="541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545"/>
      <c r="P212" s="545"/>
      <c r="Q212" s="545"/>
      <c r="R212" s="545"/>
      <c r="S212" s="545"/>
      <c r="T212" s="545"/>
      <c r="U212" s="545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30100026</v>
      </c>
      <c r="B213" s="540" t="s">
        <v>208</v>
      </c>
      <c r="C213" s="126" t="s">
        <v>199</v>
      </c>
      <c r="D213" s="108">
        <v>5.08</v>
      </c>
      <c r="E213" s="108"/>
      <c r="F213" s="127"/>
      <c r="G213" s="128"/>
      <c r="H213" s="541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1"/>
        <v>0</v>
      </c>
      <c r="N213" s="130">
        <f t="shared" si="102"/>
        <v>0</v>
      </c>
      <c r="O213" s="549"/>
      <c r="P213" s="549"/>
      <c r="Q213" s="549"/>
      <c r="R213" s="549"/>
      <c r="S213" s="549"/>
      <c r="T213" s="549"/>
      <c r="U213" s="549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30100025</v>
      </c>
      <c r="B214" s="540" t="s">
        <v>208</v>
      </c>
      <c r="C214" s="126" t="s">
        <v>187</v>
      </c>
      <c r="D214" s="108">
        <v>5.08</v>
      </c>
      <c r="E214" s="108"/>
      <c r="F214" s="127"/>
      <c r="G214" s="128"/>
      <c r="H214" s="541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545"/>
      <c r="P214" s="545"/>
      <c r="Q214" s="545"/>
      <c r="R214" s="545"/>
      <c r="S214" s="545"/>
      <c r="T214" s="545"/>
      <c r="U214" s="545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hidden="1" customHeight="1">
      <c r="A215" s="300">
        <v>30100028</v>
      </c>
      <c r="B215" s="540" t="s">
        <v>208</v>
      </c>
      <c r="C215" s="126" t="s">
        <v>207</v>
      </c>
      <c r="D215" s="108">
        <v>5.08</v>
      </c>
      <c r="E215" s="108"/>
      <c r="F215" s="127"/>
      <c r="G215" s="128"/>
      <c r="H215" s="541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21</v>
      </c>
      <c r="M215" s="109">
        <f t="shared" si="101"/>
        <v>0</v>
      </c>
      <c r="N215" s="130">
        <f t="shared" si="102"/>
        <v>0</v>
      </c>
      <c r="O215" s="549"/>
      <c r="P215" s="549"/>
      <c r="Q215" s="549"/>
      <c r="R215" s="549"/>
      <c r="S215" s="549"/>
      <c r="T215" s="549"/>
      <c r="U215" s="549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customHeight="1">
      <c r="A216" s="300">
        <v>30100032</v>
      </c>
      <c r="B216" s="540" t="s">
        <v>209</v>
      </c>
      <c r="C216" s="126" t="s">
        <v>194</v>
      </c>
      <c r="D216" s="108">
        <v>5.03</v>
      </c>
      <c r="E216" s="108"/>
      <c r="F216" s="127">
        <v>42746</v>
      </c>
      <c r="G216" s="128">
        <f>108*7+96</f>
        <v>852</v>
      </c>
      <c r="H216" s="541">
        <f t="shared" si="91"/>
        <v>4285.5600000000004</v>
      </c>
      <c r="I216" s="129">
        <v>7</v>
      </c>
      <c r="J216" s="130">
        <f t="array" ref="J216">IF(ISERROR(G216/I216),"",G216/I216)</f>
        <v>121.71428571428571</v>
      </c>
      <c r="K216" s="131">
        <f t="array" ref="K216">IF(ISERROR(G216/L216),"",G216/L216)</f>
        <v>15.214285714285714</v>
      </c>
      <c r="L216" s="129">
        <v>56</v>
      </c>
      <c r="M216" s="109">
        <f t="shared" si="101"/>
        <v>-8.2142857142857135</v>
      </c>
      <c r="N216" s="130">
        <f t="shared" si="102"/>
        <v>0</v>
      </c>
      <c r="O216" s="545"/>
      <c r="P216" s="545"/>
      <c r="Q216" s="545"/>
      <c r="R216" s="545"/>
      <c r="S216" s="545"/>
      <c r="T216" s="545"/>
      <c r="U216" s="545"/>
      <c r="V216" s="132">
        <f t="shared" si="103"/>
        <v>0</v>
      </c>
      <c r="W216" s="133">
        <f t="shared" si="104"/>
        <v>0</v>
      </c>
      <c r="X216" s="132"/>
      <c r="Y216" s="132"/>
      <c r="Z216" s="132"/>
      <c r="AA216" s="132"/>
    </row>
    <row r="217" spans="1:27" ht="20.100000000000001" hidden="1" customHeight="1">
      <c r="A217" s="300">
        <v>30100033</v>
      </c>
      <c r="B217" s="540" t="s">
        <v>209</v>
      </c>
      <c r="C217" s="126" t="s">
        <v>179</v>
      </c>
      <c r="D217" s="108">
        <v>5.03</v>
      </c>
      <c r="E217" s="108"/>
      <c r="F217" s="554"/>
      <c r="G217" s="527"/>
      <c r="H217" s="541">
        <f t="shared" si="91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1"/>
        <v>0</v>
      </c>
      <c r="N217" s="130">
        <f t="shared" si="102"/>
        <v>0</v>
      </c>
      <c r="O217" s="545"/>
      <c r="P217" s="545"/>
      <c r="Q217" s="545"/>
      <c r="R217" s="545"/>
      <c r="S217" s="545"/>
      <c r="T217" s="545"/>
      <c r="U217" s="545"/>
      <c r="V217" s="132">
        <f t="shared" si="103"/>
        <v>0</v>
      </c>
      <c r="W217" s="133" t="str">
        <f t="shared" si="104"/>
        <v/>
      </c>
      <c r="X217" s="132"/>
      <c r="Y217" s="132"/>
      <c r="Z217" s="132"/>
      <c r="AA217" s="132"/>
    </row>
    <row r="218" spans="1:27" ht="20.100000000000001" customHeight="1">
      <c r="A218" s="300">
        <v>30100062</v>
      </c>
      <c r="B218" s="540" t="s">
        <v>209</v>
      </c>
      <c r="C218" s="126" t="s">
        <v>195</v>
      </c>
      <c r="D218" s="108">
        <v>5.03</v>
      </c>
      <c r="E218" s="108"/>
      <c r="F218" s="127">
        <v>42746</v>
      </c>
      <c r="G218" s="128">
        <f>108+48+54</f>
        <v>210</v>
      </c>
      <c r="H218" s="541">
        <f t="shared" si="91"/>
        <v>1056.3</v>
      </c>
      <c r="I218" s="129">
        <v>4.5</v>
      </c>
      <c r="J218" s="130">
        <f t="array" ref="J218">IF(ISERROR(G218/I218),"",G218/I218)</f>
        <v>46.666666666666664</v>
      </c>
      <c r="K218" s="131">
        <f t="array" ref="K218">IF(ISERROR(G218/L218),"",G218/L218)</f>
        <v>3.75</v>
      </c>
      <c r="L218" s="129">
        <v>56</v>
      </c>
      <c r="M218" s="109">
        <f t="shared" si="101"/>
        <v>0.75</v>
      </c>
      <c r="N218" s="130">
        <f t="shared" si="102"/>
        <v>0</v>
      </c>
      <c r="O218" s="545"/>
      <c r="P218" s="545"/>
      <c r="Q218" s="545"/>
      <c r="R218" s="545"/>
      <c r="S218" s="545"/>
      <c r="T218" s="545"/>
      <c r="U218" s="545"/>
      <c r="V218" s="132">
        <f t="shared" si="103"/>
        <v>0</v>
      </c>
      <c r="W218" s="133">
        <f t="shared" si="104"/>
        <v>0</v>
      </c>
      <c r="X218" s="132"/>
      <c r="Y218" s="132"/>
      <c r="Z218" s="132"/>
      <c r="AA218" s="132"/>
    </row>
    <row r="219" spans="1:27" ht="20.100000000000001" hidden="1" customHeight="1">
      <c r="A219" s="300">
        <v>30100031</v>
      </c>
      <c r="B219" s="540" t="s">
        <v>209</v>
      </c>
      <c r="C219" s="126" t="s">
        <v>204</v>
      </c>
      <c r="D219" s="108">
        <v>5.03</v>
      </c>
      <c r="E219" s="108"/>
      <c r="F219" s="127"/>
      <c r="G219" s="128"/>
      <c r="H219" s="541">
        <f t="shared" si="91"/>
        <v>0</v>
      </c>
      <c r="I219" s="129"/>
      <c r="J219" s="130" t="str">
        <f t="array" ref="J219">IF(ISERROR(G219/I219),"",G219/I219)</f>
        <v/>
      </c>
      <c r="K219" s="131">
        <f t="array" ref="K219">IF(ISERROR(G219/L219),"",G219/L219)</f>
        <v>0</v>
      </c>
      <c r="L219" s="129">
        <v>56</v>
      </c>
      <c r="M219" s="109">
        <f t="shared" si="101"/>
        <v>0</v>
      </c>
      <c r="N219" s="130">
        <f t="shared" si="102"/>
        <v>0</v>
      </c>
      <c r="O219" s="545"/>
      <c r="P219" s="545"/>
      <c r="Q219" s="545"/>
      <c r="R219" s="545"/>
      <c r="S219" s="545"/>
      <c r="T219" s="545"/>
      <c r="U219" s="545"/>
      <c r="V219" s="132">
        <f t="shared" si="103"/>
        <v>0</v>
      </c>
      <c r="W219" s="133" t="str">
        <f t="shared" si="104"/>
        <v/>
      </c>
      <c r="X219" s="132"/>
      <c r="Y219" s="132"/>
      <c r="Z219" s="132"/>
      <c r="AA219" s="132"/>
    </row>
    <row r="220" spans="1:27" ht="20.100000000000001" customHeight="1">
      <c r="A220" s="300">
        <v>30100019</v>
      </c>
      <c r="B220" s="540" t="s">
        <v>382</v>
      </c>
      <c r="C220" s="187" t="s">
        <v>383</v>
      </c>
      <c r="D220" s="108">
        <v>5.03</v>
      </c>
      <c r="E220" s="108"/>
      <c r="F220" s="127">
        <v>42747</v>
      </c>
      <c r="G220" s="527">
        <v>55</v>
      </c>
      <c r="H220" s="541">
        <f t="shared" si="91"/>
        <v>276.65000000000003</v>
      </c>
      <c r="I220" s="129">
        <v>1</v>
      </c>
      <c r="J220" s="130">
        <f t="array" ref="J220">IF(ISERROR(G220/I220),"",G220/I220)</f>
        <v>55</v>
      </c>
      <c r="K220" s="131">
        <f t="array" ref="K220">IF(ISERROR(G220/L220),"",G220/L220)</f>
        <v>1.0185185185185186</v>
      </c>
      <c r="L220" s="129">
        <v>54</v>
      </c>
      <c r="M220" s="109">
        <f t="shared" si="101"/>
        <v>-1.8518518518518601E-2</v>
      </c>
      <c r="N220" s="130">
        <f t="shared" si="102"/>
        <v>0</v>
      </c>
      <c r="O220" s="545"/>
      <c r="P220" s="545"/>
      <c r="Q220" s="545"/>
      <c r="R220" s="545"/>
      <c r="S220" s="545"/>
      <c r="T220" s="545"/>
      <c r="U220" s="545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30100020</v>
      </c>
      <c r="B221" s="540" t="s">
        <v>382</v>
      </c>
      <c r="C221" s="187" t="s">
        <v>384</v>
      </c>
      <c r="D221" s="108">
        <v>5.03</v>
      </c>
      <c r="E221" s="108"/>
      <c r="F221" s="127"/>
      <c r="G221" s="128"/>
      <c r="H221" s="541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545"/>
      <c r="P221" s="545"/>
      <c r="Q221" s="545"/>
      <c r="R221" s="545"/>
      <c r="S221" s="545"/>
      <c r="T221" s="545"/>
      <c r="U221" s="545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30100021</v>
      </c>
      <c r="B222" s="540" t="s">
        <v>382</v>
      </c>
      <c r="C222" s="187" t="s">
        <v>389</v>
      </c>
      <c r="D222" s="108">
        <v>5.03</v>
      </c>
      <c r="E222" s="108"/>
      <c r="F222" s="127"/>
      <c r="G222" s="128"/>
      <c r="H222" s="541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545"/>
      <c r="P222" s="545"/>
      <c r="Q222" s="545"/>
      <c r="R222" s="545"/>
      <c r="S222" s="545"/>
      <c r="T222" s="545"/>
      <c r="U222" s="545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0">
        <v>30100018</v>
      </c>
      <c r="B223" s="540" t="s">
        <v>382</v>
      </c>
      <c r="C223" s="187" t="s">
        <v>391</v>
      </c>
      <c r="D223" s="108">
        <v>5.03</v>
      </c>
      <c r="E223" s="108"/>
      <c r="F223" s="127"/>
      <c r="G223" s="128"/>
      <c r="H223" s="541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54</v>
      </c>
      <c r="M223" s="109">
        <f t="shared" si="101"/>
        <v>0</v>
      </c>
      <c r="N223" s="130">
        <f t="shared" si="102"/>
        <v>0</v>
      </c>
      <c r="O223" s="545"/>
      <c r="P223" s="545"/>
      <c r="Q223" s="545"/>
      <c r="R223" s="545"/>
      <c r="S223" s="545"/>
      <c r="T223" s="545"/>
      <c r="U223" s="545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30700007</v>
      </c>
      <c r="B224" s="540" t="s">
        <v>418</v>
      </c>
      <c r="C224" s="187" t="s">
        <v>364</v>
      </c>
      <c r="D224" s="108">
        <v>5.03</v>
      </c>
      <c r="E224" s="108"/>
      <c r="F224" s="127"/>
      <c r="G224" s="128"/>
      <c r="H224" s="541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545"/>
      <c r="P224" s="545"/>
      <c r="Q224" s="545"/>
      <c r="R224" s="545"/>
      <c r="S224" s="545"/>
      <c r="T224" s="545"/>
      <c r="U224" s="545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30700006</v>
      </c>
      <c r="B225" s="540" t="s">
        <v>418</v>
      </c>
      <c r="C225" s="187" t="s">
        <v>365</v>
      </c>
      <c r="D225" s="108">
        <v>5.03</v>
      </c>
      <c r="E225" s="108"/>
      <c r="F225" s="127"/>
      <c r="G225" s="128"/>
      <c r="H225" s="541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545"/>
      <c r="P225" s="545"/>
      <c r="Q225" s="545"/>
      <c r="R225" s="545"/>
      <c r="S225" s="545"/>
      <c r="T225" s="545"/>
      <c r="U225" s="545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30700008</v>
      </c>
      <c r="B226" s="540" t="s">
        <v>418</v>
      </c>
      <c r="C226" s="187" t="s">
        <v>366</v>
      </c>
      <c r="D226" s="108">
        <v>5.03</v>
      </c>
      <c r="E226" s="108"/>
      <c r="F226" s="127"/>
      <c r="G226" s="128"/>
      <c r="H226" s="541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545"/>
      <c r="P226" s="545"/>
      <c r="Q226" s="545"/>
      <c r="R226" s="545"/>
      <c r="S226" s="545"/>
      <c r="T226" s="545"/>
      <c r="U226" s="545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3">
        <v>30700009</v>
      </c>
      <c r="B227" s="540" t="s">
        <v>418</v>
      </c>
      <c r="C227" s="187" t="s">
        <v>367</v>
      </c>
      <c r="D227" s="108">
        <v>5.03</v>
      </c>
      <c r="E227" s="108"/>
      <c r="F227" s="127"/>
      <c r="G227" s="128"/>
      <c r="H227" s="541">
        <f t="shared" si="91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101"/>
        <v>0</v>
      </c>
      <c r="N227" s="130">
        <f t="shared" si="102"/>
        <v>0</v>
      </c>
      <c r="O227" s="545"/>
      <c r="P227" s="545"/>
      <c r="Q227" s="545"/>
      <c r="R227" s="545"/>
      <c r="S227" s="545"/>
      <c r="T227" s="545"/>
      <c r="U227" s="545"/>
      <c r="V227" s="132"/>
      <c r="W227" s="133"/>
      <c r="X227" s="132"/>
      <c r="Y227" s="132"/>
      <c r="Z227" s="132"/>
      <c r="AA227" s="132"/>
    </row>
    <row r="228" spans="1:27" ht="20.100000000000001" hidden="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/>
      <c r="G228" s="128"/>
      <c r="H228" s="541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549"/>
      <c r="P228" s="549"/>
      <c r="Q228" s="549"/>
      <c r="R228" s="549"/>
      <c r="S228" s="549"/>
      <c r="T228" s="549"/>
      <c r="U228" s="549"/>
      <c r="V228" s="132">
        <f t="shared" ref="V228:V237" si="105">SUM(X228:AA228)</f>
        <v>0</v>
      </c>
      <c r="W228" s="133" t="str">
        <f t="shared" ref="W228:W237" si="106">IF(ISERROR(V228/G228),"",V228/G228)</f>
        <v/>
      </c>
      <c r="X228" s="132"/>
      <c r="Y228" s="132"/>
      <c r="Z228" s="132"/>
      <c r="AA228" s="132"/>
    </row>
    <row r="229" spans="1:27" ht="20.100000000000001" hidden="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/>
      <c r="G229" s="128"/>
      <c r="H229" s="541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549"/>
      <c r="P229" s="549"/>
      <c r="Q229" s="549"/>
      <c r="R229" s="549"/>
      <c r="S229" s="549"/>
      <c r="T229" s="549"/>
      <c r="U229" s="549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/>
      <c r="G230" s="128"/>
      <c r="H230" s="541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40</v>
      </c>
      <c r="M230" s="109">
        <f t="shared" si="101"/>
        <v>0</v>
      </c>
      <c r="N230" s="130">
        <f t="shared" si="102"/>
        <v>0</v>
      </c>
      <c r="O230" s="549"/>
      <c r="P230" s="549"/>
      <c r="Q230" s="549"/>
      <c r="R230" s="549"/>
      <c r="S230" s="549"/>
      <c r="T230" s="549"/>
      <c r="U230" s="549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28"/>
      <c r="H231" s="541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549"/>
      <c r="P231" s="549"/>
      <c r="Q231" s="549"/>
      <c r="R231" s="549"/>
      <c r="S231" s="549"/>
      <c r="T231" s="549"/>
      <c r="U231" s="549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28"/>
      <c r="H232" s="541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549"/>
      <c r="P232" s="549"/>
      <c r="Q232" s="549"/>
      <c r="R232" s="549"/>
      <c r="S232" s="549"/>
      <c r="T232" s="549"/>
      <c r="U232" s="549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28"/>
      <c r="H233" s="541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549"/>
      <c r="P233" s="549"/>
      <c r="Q233" s="549"/>
      <c r="R233" s="549"/>
      <c r="S233" s="549"/>
      <c r="T233" s="549"/>
      <c r="U233" s="549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28"/>
      <c r="H234" s="541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549"/>
      <c r="P234" s="549"/>
      <c r="Q234" s="549"/>
      <c r="R234" s="549"/>
      <c r="S234" s="549"/>
      <c r="T234" s="549"/>
      <c r="U234" s="549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/>
      <c r="G235" s="128"/>
      <c r="H235" s="541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549"/>
      <c r="P235" s="549"/>
      <c r="Q235" s="549"/>
      <c r="R235" s="549"/>
      <c r="S235" s="549"/>
      <c r="T235" s="549"/>
      <c r="U235" s="549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>
        <v>42747</v>
      </c>
      <c r="G236" s="128">
        <f>90*9</f>
        <v>810</v>
      </c>
      <c r="H236" s="541">
        <f t="shared" si="91"/>
        <v>4074.3</v>
      </c>
      <c r="I236" s="129">
        <v>16</v>
      </c>
      <c r="J236" s="130">
        <f t="array" ref="J236">IF(ISERROR(G236/I236),"",G236/I236)</f>
        <v>50.625</v>
      </c>
      <c r="K236" s="131">
        <f t="array" ref="K236">IF(ISERROR(G236/L236),"",G236/L236)</f>
        <v>16.2</v>
      </c>
      <c r="L236" s="129">
        <v>50</v>
      </c>
      <c r="M236" s="109">
        <f t="shared" si="101"/>
        <v>-0.19999999999999929</v>
      </c>
      <c r="N236" s="130">
        <f t="shared" si="102"/>
        <v>0</v>
      </c>
      <c r="O236" s="549"/>
      <c r="P236" s="549"/>
      <c r="Q236" s="549"/>
      <c r="R236" s="549"/>
      <c r="S236" s="549"/>
      <c r="T236" s="549"/>
      <c r="U236" s="549"/>
      <c r="V236" s="132">
        <f t="shared" si="105"/>
        <v>0</v>
      </c>
      <c r="W236" s="133">
        <f t="shared" si="106"/>
        <v>0</v>
      </c>
      <c r="X236" s="132"/>
      <c r="Y236" s="132"/>
      <c r="Z236" s="132"/>
      <c r="AA236" s="132"/>
    </row>
    <row r="237" spans="1:27" ht="20.100000000000001" hidden="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/>
      <c r="G237" s="128"/>
      <c r="H237" s="541">
        <f t="shared" si="91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50</v>
      </c>
      <c r="M237" s="109">
        <f t="shared" si="101"/>
        <v>0</v>
      </c>
      <c r="N237" s="130">
        <f t="shared" si="102"/>
        <v>0</v>
      </c>
      <c r="O237" s="549"/>
      <c r="P237" s="549"/>
      <c r="Q237" s="549"/>
      <c r="R237" s="549"/>
      <c r="S237" s="549"/>
      <c r="T237" s="549"/>
      <c r="U237" s="549"/>
      <c r="V237" s="132">
        <f t="shared" si="105"/>
        <v>0</v>
      </c>
      <c r="W237" s="133" t="str">
        <f t="shared" si="106"/>
        <v/>
      </c>
      <c r="X237" s="132"/>
      <c r="Y237" s="132"/>
      <c r="Z237" s="132"/>
      <c r="AA237" s="132"/>
    </row>
    <row r="238" spans="1:27" ht="20.100000000000001" hidden="1" customHeight="1">
      <c r="A238" s="300">
        <v>30100043</v>
      </c>
      <c r="B238" s="134" t="s">
        <v>429</v>
      </c>
      <c r="C238" s="187" t="s">
        <v>427</v>
      </c>
      <c r="D238" s="108">
        <v>5.03</v>
      </c>
      <c r="E238" s="108"/>
      <c r="F238" s="127"/>
      <c r="G238" s="128"/>
      <c r="H238" s="541">
        <f t="shared" si="91"/>
        <v>0</v>
      </c>
      <c r="I238" s="129"/>
      <c r="J238" s="130"/>
      <c r="K238" s="131"/>
      <c r="L238" s="129">
        <v>50</v>
      </c>
      <c r="M238" s="109"/>
      <c r="N238" s="130"/>
      <c r="O238" s="549"/>
      <c r="P238" s="549"/>
      <c r="Q238" s="549"/>
      <c r="R238" s="549"/>
      <c r="S238" s="549"/>
      <c r="T238" s="549"/>
      <c r="U238" s="549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/>
      <c r="G239" s="128"/>
      <c r="H239" s="541">
        <f t="shared" si="91"/>
        <v>0</v>
      </c>
      <c r="I239" s="129"/>
      <c r="J239" s="130"/>
      <c r="K239" s="131">
        <f t="array" ref="K239">IF(ISERROR(G239/L239),"",G239/L239)</f>
        <v>0</v>
      </c>
      <c r="L239" s="129">
        <v>50</v>
      </c>
      <c r="M239" s="109">
        <f t="shared" ref="M239:M250" si="107">IF(ISERROR(I239-K239),"",I239-K239)</f>
        <v>0</v>
      </c>
      <c r="N239" s="130"/>
      <c r="O239" s="549"/>
      <c r="P239" s="549"/>
      <c r="Q239" s="549"/>
      <c r="R239" s="549"/>
      <c r="S239" s="549"/>
      <c r="T239" s="549"/>
      <c r="U239" s="549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/>
      <c r="G240" s="128"/>
      <c r="H240" s="541">
        <f t="shared" si="91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7"/>
        <v>0</v>
      </c>
      <c r="N240" s="130">
        <f t="shared" ref="N240:N241" si="108">SUM(O240:U240)</f>
        <v>0</v>
      </c>
      <c r="O240" s="549"/>
      <c r="P240" s="549"/>
      <c r="Q240" s="549"/>
      <c r="R240" s="549"/>
      <c r="S240" s="549"/>
      <c r="T240" s="549"/>
      <c r="U240" s="549"/>
      <c r="V240" s="132">
        <f t="shared" ref="V240:V241" si="109">SUM(X240:AA240)</f>
        <v>0</v>
      </c>
      <c r="W240" s="133" t="str">
        <f t="shared" ref="W240:W241" si="110">IF(ISERROR(V240/G240),"",V240/G240)</f>
        <v/>
      </c>
      <c r="X240" s="132"/>
      <c r="Y240" s="132"/>
      <c r="Z240" s="132"/>
      <c r="AA240" s="132"/>
    </row>
    <row r="241" spans="1:27" ht="20.100000000000001" hidden="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/>
      <c r="G241" s="128"/>
      <c r="H241" s="541">
        <f t="shared" si="91"/>
        <v>0</v>
      </c>
      <c r="I241" s="129"/>
      <c r="J241" s="130" t="str">
        <f t="array" ref="J241">IF(ISERROR(G241/I241),"",G241/I241)</f>
        <v/>
      </c>
      <c r="K241" s="131">
        <f t="array" ref="K241">IF(ISERROR(G241/L241),"",G241/L241)</f>
        <v>0</v>
      </c>
      <c r="L241" s="129">
        <v>21.5</v>
      </c>
      <c r="M241" s="109">
        <f t="shared" si="107"/>
        <v>0</v>
      </c>
      <c r="N241" s="130">
        <f t="shared" si="108"/>
        <v>0</v>
      </c>
      <c r="O241" s="549"/>
      <c r="P241" s="549"/>
      <c r="Q241" s="549"/>
      <c r="R241" s="549"/>
      <c r="S241" s="549"/>
      <c r="T241" s="549"/>
      <c r="U241" s="549"/>
      <c r="V241" s="132">
        <f t="shared" si="109"/>
        <v>0</v>
      </c>
      <c r="W241" s="133" t="str">
        <f t="shared" si="110"/>
        <v/>
      </c>
      <c r="X241" s="132"/>
      <c r="Y241" s="132"/>
      <c r="Z241" s="132"/>
      <c r="AA241" s="132"/>
    </row>
    <row r="242" spans="1:27" ht="20.100000000000001" hidden="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28"/>
      <c r="H242" s="541">
        <f t="shared" si="91"/>
        <v>0</v>
      </c>
      <c r="I242" s="129"/>
      <c r="J242" s="130"/>
      <c r="K242" s="131"/>
      <c r="L242" s="129"/>
      <c r="M242" s="109">
        <f t="shared" si="107"/>
        <v>0</v>
      </c>
      <c r="N242" s="130"/>
      <c r="O242" s="549"/>
      <c r="P242" s="549"/>
      <c r="Q242" s="549"/>
      <c r="R242" s="549"/>
      <c r="S242" s="549"/>
      <c r="T242" s="549"/>
      <c r="U242" s="549"/>
      <c r="V242" s="132"/>
      <c r="W242" s="133"/>
      <c r="X242" s="132"/>
      <c r="Y242" s="132"/>
      <c r="Z242" s="132"/>
      <c r="AA242" s="132"/>
    </row>
    <row r="243" spans="1:27" ht="20.100000000000001" hidden="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28"/>
      <c r="H243" s="541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ref="N243:N246" si="111">SUM(O243:U243)</f>
        <v>0</v>
      </c>
      <c r="O243" s="549"/>
      <c r="P243" s="549"/>
      <c r="Q243" s="549"/>
      <c r="R243" s="549"/>
      <c r="S243" s="549"/>
      <c r="T243" s="549"/>
      <c r="U243" s="549"/>
      <c r="V243" s="132">
        <f t="shared" ref="V243:V246" si="112">SUM(X243:AA243)</f>
        <v>0</v>
      </c>
      <c r="W243" s="133" t="str">
        <f t="shared" ref="W243:W246" si="113">IF(ISERROR(V243/G243),"",V243/G243)</f>
        <v/>
      </c>
      <c r="X243" s="132"/>
      <c r="Y243" s="132"/>
      <c r="Z243" s="132"/>
      <c r="AA243" s="132"/>
    </row>
    <row r="244" spans="1:27" ht="20.100000000000001" hidden="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28"/>
      <c r="H244" s="541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549"/>
      <c r="P244" s="549"/>
      <c r="Q244" s="549"/>
      <c r="R244" s="549"/>
      <c r="S244" s="549"/>
      <c r="T244" s="549"/>
      <c r="U244" s="549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28"/>
      <c r="H245" s="541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549"/>
      <c r="P245" s="549"/>
      <c r="Q245" s="549"/>
      <c r="R245" s="549"/>
      <c r="S245" s="549"/>
      <c r="T245" s="549"/>
      <c r="U245" s="549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28"/>
      <c r="H246" s="541">
        <f t="shared" si="91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7"/>
        <v/>
      </c>
      <c r="N246" s="130">
        <f t="shared" si="111"/>
        <v>0</v>
      </c>
      <c r="O246" s="549"/>
      <c r="P246" s="549"/>
      <c r="Q246" s="549"/>
      <c r="R246" s="549"/>
      <c r="S246" s="549"/>
      <c r="T246" s="549"/>
      <c r="U246" s="549"/>
      <c r="V246" s="132">
        <f t="shared" si="112"/>
        <v>0</v>
      </c>
      <c r="W246" s="133" t="str">
        <f t="shared" si="113"/>
        <v/>
      </c>
      <c r="X246" s="132"/>
      <c r="Y246" s="132"/>
      <c r="Z246" s="132"/>
      <c r="AA246" s="132"/>
    </row>
    <row r="247" spans="1:27" ht="20.100000000000001" hidden="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28"/>
      <c r="H247" s="541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549"/>
      <c r="P247" s="549"/>
      <c r="Q247" s="549"/>
      <c r="R247" s="549"/>
      <c r="S247" s="549"/>
      <c r="T247" s="549"/>
      <c r="U247" s="549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28"/>
      <c r="H248" s="541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549"/>
      <c r="P248" s="549"/>
      <c r="Q248" s="549"/>
      <c r="R248" s="549"/>
      <c r="S248" s="549"/>
      <c r="T248" s="549"/>
      <c r="U248" s="549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28"/>
      <c r="H249" s="541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549"/>
      <c r="P249" s="549"/>
      <c r="Q249" s="549"/>
      <c r="R249" s="549"/>
      <c r="S249" s="549"/>
      <c r="T249" s="549"/>
      <c r="U249" s="549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28"/>
      <c r="H250" s="541">
        <f t="shared" si="91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7"/>
        <v>0</v>
      </c>
      <c r="N250" s="130"/>
      <c r="O250" s="549"/>
      <c r="P250" s="549"/>
      <c r="Q250" s="549"/>
      <c r="R250" s="549"/>
      <c r="S250" s="549"/>
      <c r="T250" s="549"/>
      <c r="U250" s="549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28"/>
      <c r="H251" s="541">
        <f t="shared" si="91"/>
        <v>0</v>
      </c>
      <c r="I251" s="129"/>
      <c r="J251" s="130"/>
      <c r="K251" s="131"/>
      <c r="L251" s="129">
        <v>4</v>
      </c>
      <c r="M251" s="109"/>
      <c r="N251" s="130"/>
      <c r="O251" s="549"/>
      <c r="P251" s="549"/>
      <c r="Q251" s="549"/>
      <c r="R251" s="549"/>
      <c r="S251" s="549"/>
      <c r="T251" s="549"/>
      <c r="U251" s="549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28"/>
      <c r="H252" s="541">
        <f t="shared" si="91"/>
        <v>0</v>
      </c>
      <c r="I252" s="129"/>
      <c r="J252" s="130"/>
      <c r="K252" s="131"/>
      <c r="L252" s="129">
        <v>4</v>
      </c>
      <c r="M252" s="109"/>
      <c r="N252" s="130"/>
      <c r="O252" s="549"/>
      <c r="P252" s="549"/>
      <c r="Q252" s="549"/>
      <c r="R252" s="549"/>
      <c r="S252" s="549"/>
      <c r="T252" s="549"/>
      <c r="U252" s="549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28"/>
      <c r="H253" s="541">
        <f t="shared" si="91"/>
        <v>0</v>
      </c>
      <c r="I253" s="129"/>
      <c r="J253" s="130"/>
      <c r="K253" s="131"/>
      <c r="L253" s="129">
        <v>4</v>
      </c>
      <c r="M253" s="109"/>
      <c r="N253" s="130"/>
      <c r="O253" s="549"/>
      <c r="P253" s="549"/>
      <c r="Q253" s="549"/>
      <c r="R253" s="549"/>
      <c r="S253" s="549"/>
      <c r="T253" s="549"/>
      <c r="U253" s="549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28"/>
      <c r="H254" s="541">
        <f t="shared" si="91"/>
        <v>0</v>
      </c>
      <c r="I254" s="129"/>
      <c r="J254" s="130"/>
      <c r="K254" s="131"/>
      <c r="L254" s="129">
        <v>4</v>
      </c>
      <c r="M254" s="109"/>
      <c r="N254" s="130"/>
      <c r="O254" s="549"/>
      <c r="P254" s="549"/>
      <c r="Q254" s="549"/>
      <c r="R254" s="549"/>
      <c r="S254" s="549"/>
      <c r="T254" s="549"/>
      <c r="U254" s="549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28"/>
      <c r="H255" s="541">
        <f t="shared" si="91"/>
        <v>0</v>
      </c>
      <c r="I255" s="129"/>
      <c r="J255" s="130"/>
      <c r="K255" s="131"/>
      <c r="L255" s="129">
        <v>4</v>
      </c>
      <c r="M255" s="109"/>
      <c r="N255" s="130"/>
      <c r="O255" s="549"/>
      <c r="P255" s="549"/>
      <c r="Q255" s="549"/>
      <c r="R255" s="549"/>
      <c r="S255" s="549"/>
      <c r="T255" s="549"/>
      <c r="U255" s="549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28"/>
      <c r="H256" s="541">
        <f t="shared" si="91"/>
        <v>0</v>
      </c>
      <c r="I256" s="129"/>
      <c r="J256" s="130"/>
      <c r="K256" s="131"/>
      <c r="L256" s="129">
        <v>4</v>
      </c>
      <c r="M256" s="109"/>
      <c r="N256" s="130"/>
      <c r="O256" s="549"/>
      <c r="P256" s="549"/>
      <c r="Q256" s="549"/>
      <c r="R256" s="549"/>
      <c r="S256" s="549"/>
      <c r="T256" s="549"/>
      <c r="U256" s="549"/>
      <c r="V256" s="132"/>
      <c r="W256" s="133"/>
      <c r="X256" s="132"/>
      <c r="Y256" s="132"/>
      <c r="Z256" s="132"/>
      <c r="AA256" s="132"/>
    </row>
    <row r="257" spans="1:27" ht="20.100000000000001" customHeight="1">
      <c r="A257" s="589" t="s">
        <v>216</v>
      </c>
      <c r="B257" s="589"/>
      <c r="C257" s="550" t="s">
        <v>202</v>
      </c>
      <c r="D257" s="143"/>
      <c r="E257" s="143"/>
      <c r="F257" s="144"/>
      <c r="G257" s="145">
        <f>SUM(G200:G256)</f>
        <v>2741</v>
      </c>
      <c r="H257" s="146">
        <f>SUM(H200:H256)</f>
        <v>13827.279999999999</v>
      </c>
      <c r="I257" s="146">
        <f>SUM(I200:I256)</f>
        <v>63.5</v>
      </c>
      <c r="J257" s="130">
        <f t="array" ref="J257">IF(ISERROR(G257/I257),"",G257/I257)</f>
        <v>43.165354330708659</v>
      </c>
      <c r="K257" s="146">
        <f>SUM(K200:K256)</f>
        <v>74.575661375661383</v>
      </c>
      <c r="L257" s="147"/>
      <c r="M257" s="150">
        <f t="shared" ref="M257:V257" si="114">SUM(M200:M256)</f>
        <v>-11.075661375661378</v>
      </c>
      <c r="N257" s="146">
        <f t="shared" si="114"/>
        <v>0</v>
      </c>
      <c r="O257" s="148">
        <f t="shared" si="114"/>
        <v>0</v>
      </c>
      <c r="P257" s="148">
        <f t="shared" si="114"/>
        <v>0</v>
      </c>
      <c r="Q257" s="148">
        <f t="shared" si="114"/>
        <v>0</v>
      </c>
      <c r="R257" s="148">
        <f t="shared" si="114"/>
        <v>0</v>
      </c>
      <c r="S257" s="148">
        <f t="shared" si="114"/>
        <v>0</v>
      </c>
      <c r="T257" s="148">
        <f t="shared" si="114"/>
        <v>0</v>
      </c>
      <c r="U257" s="148">
        <f t="shared" si="114"/>
        <v>0</v>
      </c>
      <c r="V257" s="149">
        <f t="shared" si="114"/>
        <v>0</v>
      </c>
      <c r="W257" s="133">
        <f t="shared" ref="W257:W264" si="115">IF(ISERROR(V257/G257),"",V257/G257)</f>
        <v>0</v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hidden="1" customHeight="1">
      <c r="A258" s="299">
        <v>30400012</v>
      </c>
      <c r="B258" s="540" t="s">
        <v>217</v>
      </c>
      <c r="C258" s="126" t="s">
        <v>179</v>
      </c>
      <c r="D258" s="108">
        <v>5.03</v>
      </c>
      <c r="E258" s="108"/>
      <c r="F258" s="127"/>
      <c r="G258" s="128"/>
      <c r="H258" s="541">
        <f t="shared" ref="H258:H291" si="116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7">IF(ISERROR(I258-K258),"",I258-K258)</f>
        <v>0</v>
      </c>
      <c r="N258" s="130">
        <f t="shared" ref="N258:N265" si="118">SUM(O258:U258)</f>
        <v>0</v>
      </c>
      <c r="O258" s="549"/>
      <c r="P258" s="549"/>
      <c r="Q258" s="549"/>
      <c r="R258" s="549"/>
      <c r="S258" s="549"/>
      <c r="T258" s="549"/>
      <c r="U258" s="549"/>
      <c r="V258" s="132">
        <f t="shared" ref="V258:V264" si="119">SUM(X258:AA258)</f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30400010</v>
      </c>
      <c r="B259" s="540" t="s">
        <v>217</v>
      </c>
      <c r="C259" s="126" t="s">
        <v>186</v>
      </c>
      <c r="D259" s="108">
        <v>5.03</v>
      </c>
      <c r="E259" s="108"/>
      <c r="F259" s="127"/>
      <c r="G259" s="128"/>
      <c r="H259" s="541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549"/>
      <c r="P259" s="549"/>
      <c r="Q259" s="549"/>
      <c r="R259" s="549"/>
      <c r="S259" s="549"/>
      <c r="T259" s="549"/>
      <c r="U259" s="549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30400011</v>
      </c>
      <c r="B260" s="540" t="s">
        <v>217</v>
      </c>
      <c r="C260" s="126" t="s">
        <v>204</v>
      </c>
      <c r="D260" s="108">
        <v>5.03</v>
      </c>
      <c r="E260" s="108"/>
      <c r="F260" s="127"/>
      <c r="G260" s="128"/>
      <c r="H260" s="541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8.8000000000000007</v>
      </c>
      <c r="M260" s="109">
        <f t="shared" si="117"/>
        <v>0</v>
      </c>
      <c r="N260" s="130">
        <f t="shared" si="118"/>
        <v>0</v>
      </c>
      <c r="O260" s="549"/>
      <c r="P260" s="549"/>
      <c r="Q260" s="549"/>
      <c r="R260" s="549"/>
      <c r="S260" s="549"/>
      <c r="T260" s="549"/>
      <c r="U260" s="549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28"/>
      <c r="H261" s="541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549"/>
      <c r="P261" s="549"/>
      <c r="Q261" s="549"/>
      <c r="R261" s="549"/>
      <c r="S261" s="549"/>
      <c r="T261" s="549"/>
      <c r="U261" s="549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/>
      <c r="G262" s="128"/>
      <c r="H262" s="541">
        <f t="shared" si="116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549"/>
      <c r="P262" s="549"/>
      <c r="Q262" s="549"/>
      <c r="R262" s="549"/>
      <c r="S262" s="549"/>
      <c r="T262" s="549"/>
      <c r="U262" s="549"/>
      <c r="V262" s="132">
        <f t="shared" si="119"/>
        <v>0</v>
      </c>
      <c r="W262" s="133" t="str">
        <f t="shared" si="115"/>
        <v/>
      </c>
      <c r="X262" s="132"/>
      <c r="Y262" s="132"/>
      <c r="Z262" s="132"/>
      <c r="AA262" s="132"/>
    </row>
    <row r="263" spans="1:27" ht="20.10000000000000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>
        <v>42748</v>
      </c>
      <c r="G263" s="128">
        <v>40</v>
      </c>
      <c r="H263" s="541">
        <f t="shared" si="116"/>
        <v>201.20000000000002</v>
      </c>
      <c r="I263" s="129">
        <v>4</v>
      </c>
      <c r="J263" s="130">
        <f t="array" ref="J263">IF(ISERROR(G263/I263),"",G263/I263)</f>
        <v>10</v>
      </c>
      <c r="K263" s="131">
        <f t="array" ref="K263">IF(ISERROR(G263/L263),"",G263/L263)</f>
        <v>4.301075268817204</v>
      </c>
      <c r="L263" s="129">
        <v>9.3000000000000007</v>
      </c>
      <c r="M263" s="109">
        <f t="shared" si="117"/>
        <v>-0.30107526881720403</v>
      </c>
      <c r="N263" s="130">
        <f t="shared" si="118"/>
        <v>0</v>
      </c>
      <c r="O263" s="549"/>
      <c r="P263" s="549"/>
      <c r="Q263" s="549"/>
      <c r="R263" s="549"/>
      <c r="S263" s="549"/>
      <c r="T263" s="549"/>
      <c r="U263" s="549"/>
      <c r="V263" s="132">
        <f t="shared" si="119"/>
        <v>0</v>
      </c>
      <c r="W263" s="133">
        <f t="shared" si="115"/>
        <v>0</v>
      </c>
      <c r="X263" s="132"/>
      <c r="Y263" s="132"/>
      <c r="Z263" s="132"/>
      <c r="AA263" s="132"/>
    </row>
    <row r="264" spans="1:27" ht="20.100000000000001" hidden="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/>
      <c r="G264" s="128"/>
      <c r="H264" s="541">
        <f t="shared" si="116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549"/>
      <c r="P264" s="549"/>
      <c r="Q264" s="549"/>
      <c r="R264" s="549"/>
      <c r="S264" s="549"/>
      <c r="T264" s="549"/>
      <c r="U264" s="549"/>
      <c r="V264" s="132">
        <f t="shared" si="119"/>
        <v>0</v>
      </c>
      <c r="W264" s="133" t="str">
        <f t="shared" si="115"/>
        <v/>
      </c>
      <c r="X264" s="132"/>
      <c r="Y264" s="132"/>
      <c r="Z264" s="132"/>
      <c r="AA264" s="132"/>
    </row>
    <row r="265" spans="1:27" ht="20.100000000000001" hidden="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/>
      <c r="G265" s="128"/>
      <c r="H265" s="541">
        <f t="shared" si="116"/>
        <v>0</v>
      </c>
      <c r="I265" s="129"/>
      <c r="J265" s="130"/>
      <c r="K265" s="131">
        <f t="array" ref="K265">IF(ISERROR(G265/L265),"",G265/L265)</f>
        <v>0</v>
      </c>
      <c r="L265" s="129">
        <v>9.3000000000000007</v>
      </c>
      <c r="M265" s="109">
        <f t="shared" si="117"/>
        <v>0</v>
      </c>
      <c r="N265" s="130">
        <f t="shared" si="118"/>
        <v>0</v>
      </c>
      <c r="O265" s="549"/>
      <c r="P265" s="549"/>
      <c r="Q265" s="549"/>
      <c r="R265" s="549"/>
      <c r="S265" s="549"/>
      <c r="T265" s="549"/>
      <c r="U265" s="549"/>
      <c r="V265" s="132"/>
      <c r="W265" s="133"/>
      <c r="X265" s="132"/>
      <c r="Y265" s="132"/>
      <c r="Z265" s="132"/>
      <c r="AA265" s="132"/>
    </row>
    <row r="266" spans="1:27" ht="20.100000000000001" hidden="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28"/>
      <c r="H266" s="541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549"/>
      <c r="P266" s="549"/>
      <c r="Q266" s="549"/>
      <c r="R266" s="549"/>
      <c r="S266" s="549"/>
      <c r="T266" s="549"/>
      <c r="U266" s="549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28"/>
      <c r="H267" s="541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549"/>
      <c r="P267" s="549"/>
      <c r="Q267" s="549"/>
      <c r="R267" s="549"/>
      <c r="S267" s="549"/>
      <c r="T267" s="549"/>
      <c r="U267" s="549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28"/>
      <c r="H268" s="541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549"/>
      <c r="P268" s="549"/>
      <c r="Q268" s="549"/>
      <c r="R268" s="549"/>
      <c r="S268" s="549"/>
      <c r="T268" s="549"/>
      <c r="U268" s="549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28"/>
      <c r="H269" s="541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549"/>
      <c r="P269" s="549"/>
      <c r="Q269" s="549"/>
      <c r="R269" s="549"/>
      <c r="S269" s="549"/>
      <c r="T269" s="549"/>
      <c r="U269" s="549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28"/>
      <c r="H270" s="541">
        <f t="shared" si="116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5" si="120">IF(ISERROR(I270-K270),"",I270-K270)</f>
        <v>0</v>
      </c>
      <c r="N270" s="130">
        <f t="shared" ref="N270:N285" si="121">SUM(O270:U270)</f>
        <v>0</v>
      </c>
      <c r="O270" s="549"/>
      <c r="P270" s="549"/>
      <c r="Q270" s="549"/>
      <c r="R270" s="549"/>
      <c r="S270" s="549"/>
      <c r="T270" s="549"/>
      <c r="U270" s="549"/>
      <c r="V270" s="132">
        <f t="shared" ref="V270:V273" si="122">SUM(X270:AA270)</f>
        <v>0</v>
      </c>
      <c r="W270" s="133" t="str">
        <f t="shared" ref="W270:W277" si="123">IF(ISERROR(V270/G270),"",V270/G270)</f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28"/>
      <c r="H271" s="541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549"/>
      <c r="P271" s="549"/>
      <c r="Q271" s="549"/>
      <c r="R271" s="549"/>
      <c r="S271" s="549"/>
      <c r="T271" s="549"/>
      <c r="U271" s="549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28"/>
      <c r="H272" s="541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549"/>
      <c r="P272" s="549"/>
      <c r="Q272" s="549"/>
      <c r="R272" s="549"/>
      <c r="S272" s="549"/>
      <c r="T272" s="549"/>
      <c r="U272" s="549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28"/>
      <c r="H273" s="541">
        <f t="shared" si="116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20"/>
        <v/>
      </c>
      <c r="N273" s="130">
        <f t="shared" si="121"/>
        <v>0</v>
      </c>
      <c r="O273" s="549"/>
      <c r="P273" s="549"/>
      <c r="Q273" s="549"/>
      <c r="R273" s="549"/>
      <c r="S273" s="549"/>
      <c r="T273" s="549"/>
      <c r="U273" s="549"/>
      <c r="V273" s="132">
        <f t="shared" si="122"/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30600005</v>
      </c>
      <c r="B274" s="540" t="s">
        <v>222</v>
      </c>
      <c r="C274" s="126" t="s">
        <v>181</v>
      </c>
      <c r="D274" s="108">
        <v>9.36</v>
      </c>
      <c r="E274" s="108"/>
      <c r="F274" s="127"/>
      <c r="G274" s="128"/>
      <c r="H274" s="541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549"/>
      <c r="P274" s="549"/>
      <c r="Q274" s="549"/>
      <c r="R274" s="549"/>
      <c r="S274" s="549"/>
      <c r="T274" s="549"/>
      <c r="U274" s="549"/>
      <c r="V274" s="132">
        <f t="shared" ref="V274:V277" si="124">SUM(X274:AA274)</f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30600008</v>
      </c>
      <c r="B275" s="540" t="s">
        <v>222</v>
      </c>
      <c r="C275" s="126" t="s">
        <v>179</v>
      </c>
      <c r="D275" s="108">
        <v>9.36</v>
      </c>
      <c r="E275" s="108"/>
      <c r="F275" s="127"/>
      <c r="G275" s="128"/>
      <c r="H275" s="541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549"/>
      <c r="P275" s="549"/>
      <c r="Q275" s="549"/>
      <c r="R275" s="549"/>
      <c r="S275" s="549"/>
      <c r="T275" s="549"/>
      <c r="U275" s="549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30600007</v>
      </c>
      <c r="B276" s="540" t="s">
        <v>222</v>
      </c>
      <c r="C276" s="126" t="s">
        <v>221</v>
      </c>
      <c r="D276" s="108">
        <v>9.36</v>
      </c>
      <c r="E276" s="108"/>
      <c r="F276" s="127"/>
      <c r="G276" s="128"/>
      <c r="H276" s="541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549"/>
      <c r="P276" s="549"/>
      <c r="Q276" s="549"/>
      <c r="R276" s="549"/>
      <c r="S276" s="549"/>
      <c r="T276" s="549"/>
      <c r="U276" s="549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304">
        <v>30600006</v>
      </c>
      <c r="B277" s="540" t="s">
        <v>222</v>
      </c>
      <c r="C277" s="126" t="s">
        <v>186</v>
      </c>
      <c r="D277" s="108">
        <v>9.36</v>
      </c>
      <c r="E277" s="108"/>
      <c r="F277" s="127"/>
      <c r="G277" s="128"/>
      <c r="H277" s="541">
        <f t="shared" si="116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20"/>
        <v>0</v>
      </c>
      <c r="N277" s="130">
        <f t="shared" si="121"/>
        <v>0</v>
      </c>
      <c r="O277" s="549"/>
      <c r="P277" s="549"/>
      <c r="Q277" s="549"/>
      <c r="R277" s="549"/>
      <c r="S277" s="549"/>
      <c r="T277" s="549"/>
      <c r="U277" s="549"/>
      <c r="V277" s="132">
        <f t="shared" si="124"/>
        <v>0</v>
      </c>
      <c r="W277" s="133" t="str">
        <f t="shared" si="123"/>
        <v/>
      </c>
      <c r="X277" s="132"/>
      <c r="Y277" s="132"/>
      <c r="Z277" s="132"/>
      <c r="AA277" s="132"/>
    </row>
    <row r="278" spans="1:27" ht="20.100000000000001" hidden="1" customHeight="1">
      <c r="A278" s="299">
        <v>30400026</v>
      </c>
      <c r="B278" s="540" t="s">
        <v>393</v>
      </c>
      <c r="C278" s="187" t="s">
        <v>395</v>
      </c>
      <c r="D278" s="108">
        <v>5</v>
      </c>
      <c r="E278" s="108"/>
      <c r="F278" s="127"/>
      <c r="G278" s="128"/>
      <c r="H278" s="541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549"/>
      <c r="P278" s="549"/>
      <c r="Q278" s="549"/>
      <c r="R278" s="549"/>
      <c r="S278" s="549"/>
      <c r="T278" s="549"/>
      <c r="U278" s="549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30400028</v>
      </c>
      <c r="B279" s="540" t="s">
        <v>393</v>
      </c>
      <c r="C279" s="187" t="s">
        <v>402</v>
      </c>
      <c r="D279" s="108">
        <v>5</v>
      </c>
      <c r="E279" s="108"/>
      <c r="F279" s="127"/>
      <c r="G279" s="128"/>
      <c r="H279" s="541">
        <f t="shared" si="116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549"/>
      <c r="P279" s="549"/>
      <c r="Q279" s="549"/>
      <c r="R279" s="549"/>
      <c r="S279" s="549"/>
      <c r="T279" s="549"/>
      <c r="U279" s="549"/>
      <c r="V279" s="132"/>
      <c r="W279" s="133"/>
      <c r="X279" s="132"/>
      <c r="Y279" s="132"/>
      <c r="Z279" s="132"/>
      <c r="AA279" s="132"/>
    </row>
    <row r="280" spans="1:27" ht="20.100000000000001" customHeight="1">
      <c r="A280" s="299">
        <v>30400027</v>
      </c>
      <c r="B280" s="540" t="s">
        <v>404</v>
      </c>
      <c r="C280" s="187" t="s">
        <v>405</v>
      </c>
      <c r="D280" s="108">
        <v>5</v>
      </c>
      <c r="E280" s="108"/>
      <c r="F280" s="127">
        <v>42746</v>
      </c>
      <c r="G280" s="128">
        <f>90+20</f>
        <v>110</v>
      </c>
      <c r="H280" s="541">
        <f t="shared" si="116"/>
        <v>550</v>
      </c>
      <c r="I280" s="129">
        <f>2.5*4</f>
        <v>10</v>
      </c>
      <c r="J280" s="130">
        <f t="array" ref="J280">IF(ISERROR(G280/I280),"",G280/I280)</f>
        <v>11</v>
      </c>
      <c r="K280" s="131">
        <f t="array" ref="K280">IF(ISERROR(G280/L280),"",G280/L280)</f>
        <v>22</v>
      </c>
      <c r="L280" s="129">
        <v>5</v>
      </c>
      <c r="M280" s="109">
        <f t="shared" si="120"/>
        <v>-12</v>
      </c>
      <c r="N280" s="130">
        <f t="shared" si="121"/>
        <v>0</v>
      </c>
      <c r="O280" s="549"/>
      <c r="P280" s="549"/>
      <c r="Q280" s="549"/>
      <c r="R280" s="549"/>
      <c r="S280" s="549"/>
      <c r="T280" s="549"/>
      <c r="U280" s="549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/>
      <c r="B281" s="540" t="s">
        <v>342</v>
      </c>
      <c r="C281" s="187" t="s">
        <v>372</v>
      </c>
      <c r="D281" s="108">
        <v>5</v>
      </c>
      <c r="E281" s="108"/>
      <c r="F281" s="127"/>
      <c r="G281" s="128"/>
      <c r="H281" s="541">
        <f t="shared" si="116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549"/>
      <c r="P281" s="549"/>
      <c r="Q281" s="549"/>
      <c r="R281" s="549"/>
      <c r="S281" s="549"/>
      <c r="T281" s="549"/>
      <c r="U281" s="549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30600009</v>
      </c>
      <c r="B282" s="540" t="s">
        <v>343</v>
      </c>
      <c r="C282" s="126" t="s">
        <v>345</v>
      </c>
      <c r="D282" s="108">
        <v>5</v>
      </c>
      <c r="E282" s="108"/>
      <c r="F282" s="127"/>
      <c r="G282" s="128"/>
      <c r="H282" s="541">
        <f t="shared" si="116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549"/>
      <c r="P282" s="549"/>
      <c r="Q282" s="549"/>
      <c r="R282" s="549"/>
      <c r="S282" s="549"/>
      <c r="T282" s="549"/>
      <c r="U282" s="549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30600010</v>
      </c>
      <c r="B283" s="540" t="s">
        <v>343</v>
      </c>
      <c r="C283" s="126" t="s">
        <v>347</v>
      </c>
      <c r="D283" s="108">
        <v>5</v>
      </c>
      <c r="E283" s="108"/>
      <c r="F283" s="127"/>
      <c r="G283" s="128"/>
      <c r="H283" s="541">
        <f t="shared" si="116"/>
        <v>0</v>
      </c>
      <c r="I283" s="129"/>
      <c r="J283" s="130"/>
      <c r="K283" s="131">
        <f t="array" ref="K283">IF(ISERROR(G283/L283),"",G283/L283)</f>
        <v>0</v>
      </c>
      <c r="L283" s="129">
        <v>5</v>
      </c>
      <c r="M283" s="109">
        <f t="shared" si="120"/>
        <v>0</v>
      </c>
      <c r="N283" s="130">
        <f t="shared" si="121"/>
        <v>0</v>
      </c>
      <c r="O283" s="549"/>
      <c r="P283" s="549"/>
      <c r="Q283" s="549"/>
      <c r="R283" s="549"/>
      <c r="S283" s="549"/>
      <c r="T283" s="549"/>
      <c r="U283" s="549"/>
      <c r="V283" s="132"/>
      <c r="W283" s="133"/>
      <c r="X283" s="132"/>
      <c r="Y283" s="132"/>
      <c r="Z283" s="132"/>
      <c r="AA283" s="132"/>
    </row>
    <row r="284" spans="1:27" ht="20.100000000000001" hidden="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/>
      <c r="G284" s="128"/>
      <c r="H284" s="541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549"/>
      <c r="P284" s="549"/>
      <c r="Q284" s="549"/>
      <c r="R284" s="549"/>
      <c r="S284" s="549"/>
      <c r="T284" s="549"/>
      <c r="U284" s="549"/>
      <c r="V284" s="132">
        <f t="shared" ref="V284:V285" si="125">SUM(X284:AA284)</f>
        <v>0</v>
      </c>
      <c r="W284" s="133" t="str">
        <f t="shared" ref="W284:W285" si="126">IF(ISERROR(V284/G284),"",V284/G284)</f>
        <v/>
      </c>
      <c r="X284" s="132"/>
      <c r="Y284" s="132"/>
      <c r="Z284" s="132"/>
      <c r="AA284" s="132"/>
    </row>
    <row r="285" spans="1:27" ht="20.100000000000001" hidden="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28"/>
      <c r="H285" s="541">
        <f t="shared" si="116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20"/>
        <v>0</v>
      </c>
      <c r="N285" s="130">
        <f t="shared" si="121"/>
        <v>0</v>
      </c>
      <c r="O285" s="549"/>
      <c r="P285" s="549"/>
      <c r="Q285" s="549"/>
      <c r="R285" s="549"/>
      <c r="S285" s="549"/>
      <c r="T285" s="549"/>
      <c r="U285" s="549"/>
      <c r="V285" s="132">
        <f t="shared" si="125"/>
        <v>0</v>
      </c>
      <c r="W285" s="133" t="str">
        <f t="shared" si="126"/>
        <v/>
      </c>
      <c r="X285" s="132"/>
      <c r="Y285" s="132"/>
      <c r="Z285" s="132"/>
      <c r="AA285" s="132"/>
    </row>
    <row r="286" spans="1:27" ht="20.100000000000001" hidden="1" customHeight="1">
      <c r="A286" s="299">
        <v>30400004</v>
      </c>
      <c r="B286" s="151" t="s">
        <v>419</v>
      </c>
      <c r="C286" s="187" t="s">
        <v>73</v>
      </c>
      <c r="D286" s="108">
        <v>5.03</v>
      </c>
      <c r="E286" s="108"/>
      <c r="F286" s="127"/>
      <c r="G286" s="128"/>
      <c r="H286" s="541">
        <f t="shared" si="116"/>
        <v>0</v>
      </c>
      <c r="I286" s="129"/>
      <c r="J286" s="130"/>
      <c r="K286" s="131"/>
      <c r="L286" s="129">
        <v>24</v>
      </c>
      <c r="M286" s="109"/>
      <c r="N286" s="130"/>
      <c r="O286" s="549"/>
      <c r="P286" s="549"/>
      <c r="Q286" s="549"/>
      <c r="R286" s="549"/>
      <c r="S286" s="549"/>
      <c r="T286" s="549"/>
      <c r="U286" s="549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/>
      <c r="G287" s="128"/>
      <c r="H287" s="541">
        <f t="shared" si="116"/>
        <v>0</v>
      </c>
      <c r="I287" s="129"/>
      <c r="J287" s="130"/>
      <c r="K287" s="131"/>
      <c r="L287" s="129">
        <v>24</v>
      </c>
      <c r="M287" s="109"/>
      <c r="N287" s="130"/>
      <c r="O287" s="549"/>
      <c r="P287" s="549"/>
      <c r="Q287" s="549"/>
      <c r="R287" s="549"/>
      <c r="S287" s="549"/>
      <c r="T287" s="549"/>
      <c r="U287" s="549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/>
      <c r="G288" s="128"/>
      <c r="H288" s="541">
        <f t="shared" si="116"/>
        <v>0</v>
      </c>
      <c r="I288" s="129"/>
      <c r="J288" s="130"/>
      <c r="K288" s="131"/>
      <c r="L288" s="129">
        <v>24</v>
      </c>
      <c r="M288" s="109"/>
      <c r="N288" s="130"/>
      <c r="O288" s="549"/>
      <c r="P288" s="549"/>
      <c r="Q288" s="549"/>
      <c r="R288" s="549"/>
      <c r="S288" s="549"/>
      <c r="T288" s="549"/>
      <c r="U288" s="549"/>
      <c r="V288" s="132"/>
      <c r="W288" s="133"/>
      <c r="X288" s="132"/>
      <c r="Y288" s="132"/>
      <c r="Z288" s="132"/>
      <c r="AA288" s="132"/>
    </row>
    <row r="289" spans="1:27" ht="20.100000000000001" hidden="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/>
      <c r="G289" s="128"/>
      <c r="H289" s="541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ref="M289:M291" si="127">IF(ISERROR(I289-K289),"",I289-K289)</f>
        <v>0</v>
      </c>
      <c r="N289" s="130">
        <f t="shared" ref="N289:N291" si="128">SUM(O289:U289)</f>
        <v>0</v>
      </c>
      <c r="O289" s="549"/>
      <c r="P289" s="549"/>
      <c r="Q289" s="549"/>
      <c r="R289" s="549"/>
      <c r="S289" s="549"/>
      <c r="T289" s="549"/>
      <c r="U289" s="549"/>
      <c r="V289" s="132">
        <f t="shared" ref="V289:V291" si="129">SUM(X289:AA289)</f>
        <v>0</v>
      </c>
      <c r="W289" s="133" t="str">
        <f t="shared" ref="W289:W313" si="130">IF(ISERROR(V289/G289),"",V289/G289)</f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28"/>
      <c r="H290" s="541">
        <f t="shared" si="116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549"/>
      <c r="P290" s="549"/>
      <c r="Q290" s="549"/>
      <c r="R290" s="549"/>
      <c r="S290" s="549"/>
      <c r="T290" s="549"/>
      <c r="U290" s="549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>
        <v>42745</v>
      </c>
      <c r="G291" s="128">
        <f>100*2+36</f>
        <v>236</v>
      </c>
      <c r="H291" s="541">
        <f t="shared" si="116"/>
        <v>1194.1599999999999</v>
      </c>
      <c r="I291" s="129">
        <f>9*4</f>
        <v>36</v>
      </c>
      <c r="J291" s="130">
        <f t="array" ref="J291">IF(ISERROR(G291/I291),"",G291/I291)</f>
        <v>6.5555555555555554</v>
      </c>
      <c r="K291" s="541">
        <f t="array" ref="K291">IF(ISERROR(G291/L291),"",G291/L291)</f>
        <v>26.222222222222221</v>
      </c>
      <c r="L291" s="129">
        <v>9</v>
      </c>
      <c r="M291" s="109">
        <f t="shared" si="127"/>
        <v>9.7777777777777786</v>
      </c>
      <c r="N291" s="130">
        <f t="shared" si="128"/>
        <v>0</v>
      </c>
      <c r="O291" s="549"/>
      <c r="P291" s="549"/>
      <c r="Q291" s="549"/>
      <c r="R291" s="549"/>
      <c r="S291" s="549"/>
      <c r="T291" s="549"/>
      <c r="U291" s="549"/>
      <c r="V291" s="132">
        <f t="shared" si="129"/>
        <v>0</v>
      </c>
      <c r="W291" s="133">
        <f t="shared" si="130"/>
        <v>0</v>
      </c>
      <c r="X291" s="132"/>
      <c r="Y291" s="132"/>
      <c r="Z291" s="132"/>
      <c r="AA291" s="132"/>
    </row>
    <row r="292" spans="1:27" ht="20.100000000000001" customHeight="1">
      <c r="A292" s="578" t="s">
        <v>224</v>
      </c>
      <c r="B292" s="579"/>
      <c r="C292" s="550" t="s">
        <v>202</v>
      </c>
      <c r="D292" s="143"/>
      <c r="E292" s="143"/>
      <c r="F292" s="144"/>
      <c r="G292" s="145">
        <f>SUM(G258:G291)</f>
        <v>386</v>
      </c>
      <c r="H292" s="146">
        <f>SUM(H258:H291)</f>
        <v>1945.36</v>
      </c>
      <c r="I292" s="146">
        <f>SUM(I258:I291)</f>
        <v>50</v>
      </c>
      <c r="J292" s="130">
        <f t="array" ref="J292">IF(ISERROR(G292/I292),"",G292/I292)</f>
        <v>7.72</v>
      </c>
      <c r="K292" s="146">
        <f>SUM(K258:K291)</f>
        <v>52.523297491039429</v>
      </c>
      <c r="L292" s="147"/>
      <c r="M292" s="150">
        <f t="shared" ref="M292:V292" si="131">SUM(M258:M291)</f>
        <v>-2.5232974910394255</v>
      </c>
      <c r="N292" s="146">
        <f t="shared" si="131"/>
        <v>0</v>
      </c>
      <c r="O292" s="148">
        <f t="shared" si="131"/>
        <v>0</v>
      </c>
      <c r="P292" s="148">
        <f t="shared" si="131"/>
        <v>0</v>
      </c>
      <c r="Q292" s="148">
        <f t="shared" si="131"/>
        <v>0</v>
      </c>
      <c r="R292" s="148">
        <f t="shared" si="131"/>
        <v>0</v>
      </c>
      <c r="S292" s="148">
        <f t="shared" si="131"/>
        <v>0</v>
      </c>
      <c r="T292" s="148">
        <f t="shared" si="131"/>
        <v>0</v>
      </c>
      <c r="U292" s="148">
        <f t="shared" si="131"/>
        <v>0</v>
      </c>
      <c r="V292" s="149">
        <f t="shared" si="131"/>
        <v>0</v>
      </c>
      <c r="W292" s="133">
        <f t="shared" si="130"/>
        <v>0</v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>
        <v>42746</v>
      </c>
      <c r="G293" s="527">
        <f>90+6+90</f>
        <v>186</v>
      </c>
      <c r="H293" s="541">
        <f t="shared" ref="H293:H307" si="132">D293*G293</f>
        <v>935.58</v>
      </c>
      <c r="I293" s="129">
        <f>3*2</f>
        <v>6</v>
      </c>
      <c r="J293" s="130">
        <f t="array" ref="J293">IF(ISERROR(G293/I293),"",G293/I293)</f>
        <v>31</v>
      </c>
      <c r="K293" s="131">
        <f t="array" ref="K293">IF(ISERROR(G293/L293),"",G293/L293)</f>
        <v>7.44</v>
      </c>
      <c r="L293" s="129">
        <v>25</v>
      </c>
      <c r="M293" s="109">
        <f t="shared" ref="M293:M307" si="133">IF(ISERROR(I293-K293),"",I293-K293)</f>
        <v>-1.4400000000000004</v>
      </c>
      <c r="N293" s="130">
        <f t="shared" ref="N293:N307" si="134">SUM(O293:U293)</f>
        <v>0</v>
      </c>
      <c r="O293" s="549"/>
      <c r="P293" s="549"/>
      <c r="Q293" s="549"/>
      <c r="R293" s="549"/>
      <c r="S293" s="549"/>
      <c r="T293" s="549"/>
      <c r="U293" s="549"/>
      <c r="V293" s="132">
        <f t="shared" ref="V293:V307" si="135">SUM(X293:AA293)</f>
        <v>0</v>
      </c>
      <c r="W293" s="133">
        <f t="shared" si="130"/>
        <v>0</v>
      </c>
      <c r="X293" s="132"/>
      <c r="Y293" s="132"/>
      <c r="Z293" s="132"/>
      <c r="AA293" s="132"/>
    </row>
    <row r="294" spans="1:27" ht="20.10000000000000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>
        <v>42746</v>
      </c>
      <c r="G294" s="527">
        <v>70</v>
      </c>
      <c r="H294" s="541">
        <f t="shared" si="132"/>
        <v>352.1</v>
      </c>
      <c r="I294" s="129">
        <v>3</v>
      </c>
      <c r="J294" s="130">
        <f t="array" ref="J294">IF(ISERROR(G294/I294),"",G294/I294)</f>
        <v>23.333333333333332</v>
      </c>
      <c r="K294" s="131">
        <f t="array" ref="K294">IF(ISERROR(G294/L294),"",G294/L294)</f>
        <v>2.8</v>
      </c>
      <c r="L294" s="129">
        <v>25</v>
      </c>
      <c r="M294" s="109">
        <f t="shared" si="133"/>
        <v>0.20000000000000018</v>
      </c>
      <c r="N294" s="130">
        <f t="shared" si="134"/>
        <v>0</v>
      </c>
      <c r="O294" s="549"/>
      <c r="P294" s="549"/>
      <c r="Q294" s="549"/>
      <c r="R294" s="549"/>
      <c r="S294" s="549"/>
      <c r="T294" s="549"/>
      <c r="U294" s="549"/>
      <c r="V294" s="132">
        <f t="shared" si="135"/>
        <v>0</v>
      </c>
      <c r="W294" s="133">
        <f t="shared" si="130"/>
        <v>0</v>
      </c>
      <c r="X294" s="132"/>
      <c r="Y294" s="132"/>
      <c r="Z294" s="132"/>
      <c r="AA294" s="132"/>
    </row>
    <row r="295" spans="1:27" ht="20.100000000000001" hidden="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/>
      <c r="G295" s="128"/>
      <c r="H295" s="541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20</v>
      </c>
      <c r="M295" s="109">
        <f t="shared" si="133"/>
        <v>0</v>
      </c>
      <c r="N295" s="130">
        <f t="shared" si="134"/>
        <v>0</v>
      </c>
      <c r="O295" s="549"/>
      <c r="P295" s="549"/>
      <c r="Q295" s="549"/>
      <c r="R295" s="549"/>
      <c r="S295" s="549"/>
      <c r="T295" s="549"/>
      <c r="U295" s="549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28"/>
      <c r="H296" s="541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549"/>
      <c r="P296" s="549"/>
      <c r="Q296" s="549"/>
      <c r="R296" s="549"/>
      <c r="S296" s="549"/>
      <c r="T296" s="549"/>
      <c r="U296" s="549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30100054</v>
      </c>
      <c r="B297" s="140" t="s">
        <v>227</v>
      </c>
      <c r="C297" s="546" t="s">
        <v>203</v>
      </c>
      <c r="D297" s="108">
        <v>5.03</v>
      </c>
      <c r="E297" s="108"/>
      <c r="F297" s="127"/>
      <c r="G297" s="128"/>
      <c r="H297" s="541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549"/>
      <c r="P297" s="549"/>
      <c r="Q297" s="549"/>
      <c r="R297" s="549"/>
      <c r="S297" s="549"/>
      <c r="T297" s="549"/>
      <c r="U297" s="549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/>
      <c r="G298" s="128"/>
      <c r="H298" s="541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549"/>
      <c r="P298" s="549"/>
      <c r="Q298" s="549"/>
      <c r="R298" s="549"/>
      <c r="S298" s="549"/>
      <c r="T298" s="549"/>
      <c r="U298" s="549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28"/>
      <c r="H299" s="541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549"/>
      <c r="P299" s="549"/>
      <c r="Q299" s="549"/>
      <c r="R299" s="549"/>
      <c r="S299" s="549"/>
      <c r="T299" s="549"/>
      <c r="U299" s="549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/>
      <c r="B300" s="140" t="s">
        <v>227</v>
      </c>
      <c r="C300" s="546" t="s">
        <v>228</v>
      </c>
      <c r="D300" s="108">
        <v>5.03</v>
      </c>
      <c r="E300" s="108"/>
      <c r="F300" s="127"/>
      <c r="G300" s="128"/>
      <c r="H300" s="541">
        <f t="shared" si="132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3"/>
        <v>0</v>
      </c>
      <c r="N300" s="130">
        <f t="shared" si="134"/>
        <v>0</v>
      </c>
      <c r="O300" s="549"/>
      <c r="P300" s="549"/>
      <c r="Q300" s="549"/>
      <c r="R300" s="549"/>
      <c r="S300" s="549"/>
      <c r="T300" s="549"/>
      <c r="U300" s="549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30101067</v>
      </c>
      <c r="B301" s="140" t="s">
        <v>229</v>
      </c>
      <c r="C301" s="546" t="s">
        <v>212</v>
      </c>
      <c r="D301" s="108">
        <v>5.03</v>
      </c>
      <c r="E301" s="108"/>
      <c r="F301" s="127"/>
      <c r="G301" s="128"/>
      <c r="H301" s="541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549"/>
      <c r="P301" s="549"/>
      <c r="Q301" s="549"/>
      <c r="R301" s="549"/>
      <c r="S301" s="549"/>
      <c r="T301" s="549"/>
      <c r="U301" s="549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30101068</v>
      </c>
      <c r="B302" s="140" t="s">
        <v>229</v>
      </c>
      <c r="C302" s="546" t="s">
        <v>203</v>
      </c>
      <c r="D302" s="108">
        <v>5.03</v>
      </c>
      <c r="E302" s="108"/>
      <c r="F302" s="127"/>
      <c r="G302" s="128"/>
      <c r="H302" s="541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549"/>
      <c r="P302" s="549"/>
      <c r="Q302" s="549"/>
      <c r="R302" s="549"/>
      <c r="S302" s="549"/>
      <c r="T302" s="549"/>
      <c r="U302" s="549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30101069</v>
      </c>
      <c r="B303" s="140" t="s">
        <v>229</v>
      </c>
      <c r="C303" s="546" t="s">
        <v>186</v>
      </c>
      <c r="D303" s="108">
        <v>5.03</v>
      </c>
      <c r="E303" s="108"/>
      <c r="F303" s="127"/>
      <c r="G303" s="128"/>
      <c r="H303" s="541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549"/>
      <c r="P303" s="549"/>
      <c r="Q303" s="549"/>
      <c r="R303" s="549"/>
      <c r="S303" s="549"/>
      <c r="T303" s="549"/>
      <c r="U303" s="549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30101070</v>
      </c>
      <c r="B304" s="140" t="s">
        <v>229</v>
      </c>
      <c r="C304" s="546" t="s">
        <v>228</v>
      </c>
      <c r="D304" s="108">
        <v>5.03</v>
      </c>
      <c r="E304" s="108"/>
      <c r="F304" s="127"/>
      <c r="G304" s="128"/>
      <c r="H304" s="541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549"/>
      <c r="P304" s="549"/>
      <c r="Q304" s="549"/>
      <c r="R304" s="549"/>
      <c r="S304" s="549"/>
      <c r="T304" s="549"/>
      <c r="U304" s="549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299">
        <v>30101071</v>
      </c>
      <c r="B305" s="140" t="s">
        <v>229</v>
      </c>
      <c r="C305" s="546" t="s">
        <v>199</v>
      </c>
      <c r="D305" s="108">
        <v>5.03</v>
      </c>
      <c r="E305" s="108"/>
      <c r="F305" s="127"/>
      <c r="G305" s="128"/>
      <c r="H305" s="541">
        <f t="shared" si="132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3"/>
        <v/>
      </c>
      <c r="N305" s="130">
        <f t="shared" si="134"/>
        <v>0</v>
      </c>
      <c r="O305" s="549"/>
      <c r="P305" s="549"/>
      <c r="Q305" s="549"/>
      <c r="R305" s="549"/>
      <c r="S305" s="549"/>
      <c r="T305" s="549"/>
      <c r="U305" s="549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/>
      <c r="G306" s="128"/>
      <c r="H306" s="541">
        <f t="shared" si="132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3"/>
        <v>0</v>
      </c>
      <c r="N306" s="130">
        <f t="shared" si="134"/>
        <v>0</v>
      </c>
      <c r="O306" s="549"/>
      <c r="P306" s="549"/>
      <c r="Q306" s="549"/>
      <c r="R306" s="549"/>
      <c r="S306" s="549"/>
      <c r="T306" s="549"/>
      <c r="U306" s="549"/>
      <c r="V306" s="132">
        <f t="shared" si="135"/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>
        <v>42748</v>
      </c>
      <c r="G307" s="128">
        <f>90*4+38-90</f>
        <v>308</v>
      </c>
      <c r="H307" s="541">
        <f t="shared" si="132"/>
        <v>1558.4799999999998</v>
      </c>
      <c r="I307" s="129">
        <f>6*4</f>
        <v>24</v>
      </c>
      <c r="J307" s="130">
        <f t="array" ref="J307">IF(ISERROR(G307/I307),"",G307/I307)</f>
        <v>12.833333333333334</v>
      </c>
      <c r="K307" s="131">
        <f t="array" ref="K307">IF(ISERROR(G307/L307),"",G307/L307)</f>
        <v>12.32</v>
      </c>
      <c r="L307" s="129">
        <v>25</v>
      </c>
      <c r="M307" s="109">
        <f t="shared" si="133"/>
        <v>11.68</v>
      </c>
      <c r="N307" s="130">
        <f t="shared" si="134"/>
        <v>0</v>
      </c>
      <c r="O307" s="549"/>
      <c r="P307" s="549"/>
      <c r="Q307" s="549"/>
      <c r="R307" s="549"/>
      <c r="S307" s="549"/>
      <c r="T307" s="549"/>
      <c r="U307" s="549"/>
      <c r="V307" s="132">
        <f t="shared" si="135"/>
        <v>0</v>
      </c>
      <c r="W307" s="133">
        <f t="shared" si="130"/>
        <v>0</v>
      </c>
      <c r="X307" s="132"/>
      <c r="Y307" s="132"/>
      <c r="Z307" s="132"/>
      <c r="AA307" s="132"/>
    </row>
    <row r="308" spans="1:27" ht="20.100000000000001" customHeight="1">
      <c r="A308" s="578" t="s">
        <v>231</v>
      </c>
      <c r="B308" s="579"/>
      <c r="C308" s="550" t="s">
        <v>202</v>
      </c>
      <c r="D308" s="143"/>
      <c r="E308" s="143"/>
      <c r="F308" s="144"/>
      <c r="G308" s="145">
        <f>SUM(G293:G307)</f>
        <v>564</v>
      </c>
      <c r="H308" s="146">
        <f>SUM(H293:H307)</f>
        <v>2846.16</v>
      </c>
      <c r="I308" s="146">
        <f>SUM(I293:I307)</f>
        <v>33</v>
      </c>
      <c r="J308" s="130">
        <f t="array" ref="J308">IF(ISERROR(G308/I308),"",G308/I308)</f>
        <v>17.09090909090909</v>
      </c>
      <c r="K308" s="146">
        <f>SUM(K293:K307)</f>
        <v>22.560000000000002</v>
      </c>
      <c r="L308" s="146"/>
      <c r="M308" s="150">
        <f>SUM(M293:M307)</f>
        <v>10.44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>
        <f t="shared" si="130"/>
        <v>0</v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hidden="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28"/>
      <c r="H309" s="541">
        <f t="shared" ref="H309:H318" si="136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3" si="137">IF(ISERROR(I309-K309),"",I309-K309)</f>
        <v>0</v>
      </c>
      <c r="N309" s="130">
        <f t="shared" ref="N309:N313" si="138">SUM(O309:U309)</f>
        <v>0</v>
      </c>
      <c r="O309" s="549"/>
      <c r="P309" s="549"/>
      <c r="Q309" s="549"/>
      <c r="R309" s="549"/>
      <c r="S309" s="549"/>
      <c r="T309" s="549"/>
      <c r="U309" s="549"/>
      <c r="V309" s="132">
        <f t="shared" ref="V309:V313" si="139">SUM(X309:AA309)</f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28"/>
      <c r="H310" s="541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549"/>
      <c r="P310" s="549"/>
      <c r="Q310" s="549"/>
      <c r="R310" s="549"/>
      <c r="S310" s="549"/>
      <c r="T310" s="549"/>
      <c r="U310" s="549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28"/>
      <c r="H311" s="541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549"/>
      <c r="P311" s="549"/>
      <c r="Q311" s="549"/>
      <c r="R311" s="549"/>
      <c r="S311" s="549"/>
      <c r="T311" s="549"/>
      <c r="U311" s="549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28"/>
      <c r="H312" s="541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549"/>
      <c r="P312" s="549"/>
      <c r="Q312" s="549"/>
      <c r="R312" s="549"/>
      <c r="S312" s="549"/>
      <c r="T312" s="549"/>
      <c r="U312" s="549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28"/>
      <c r="H313" s="541">
        <f t="shared" si="136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37"/>
        <v>0</v>
      </c>
      <c r="N313" s="130">
        <f t="shared" si="138"/>
        <v>0</v>
      </c>
      <c r="O313" s="549"/>
      <c r="P313" s="549"/>
      <c r="Q313" s="549"/>
      <c r="R313" s="549"/>
      <c r="S313" s="549"/>
      <c r="T313" s="549"/>
      <c r="U313" s="549"/>
      <c r="V313" s="132">
        <f t="shared" si="139"/>
        <v>0</v>
      </c>
      <c r="W313" s="133" t="str">
        <f t="shared" si="130"/>
        <v/>
      </c>
      <c r="X313" s="132"/>
      <c r="Y313" s="132"/>
      <c r="Z313" s="132"/>
      <c r="AA313" s="132"/>
    </row>
    <row r="314" spans="1:27" ht="20.100000000000001" hidden="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/>
      <c r="G314" s="128"/>
      <c r="H314" s="541">
        <f t="shared" si="136"/>
        <v>0</v>
      </c>
      <c r="I314" s="129"/>
      <c r="J314" s="130"/>
      <c r="K314" s="131"/>
      <c r="L314" s="129">
        <v>13.5</v>
      </c>
      <c r="M314" s="109"/>
      <c r="N314" s="130"/>
      <c r="O314" s="549"/>
      <c r="P314" s="549"/>
      <c r="Q314" s="549"/>
      <c r="R314" s="549"/>
      <c r="S314" s="549"/>
      <c r="T314" s="549"/>
      <c r="U314" s="549"/>
      <c r="V314" s="132"/>
      <c r="W314" s="133"/>
      <c r="X314" s="132"/>
      <c r="Y314" s="132"/>
      <c r="Z314" s="132"/>
      <c r="AA314" s="132"/>
    </row>
    <row r="315" spans="1:27" ht="20.100000000000001" hidden="1" customHeight="1">
      <c r="A315" s="300">
        <v>30400020</v>
      </c>
      <c r="B315" s="134" t="s">
        <v>439</v>
      </c>
      <c r="C315" s="187" t="s">
        <v>74</v>
      </c>
      <c r="D315" s="108">
        <v>5.03</v>
      </c>
      <c r="E315" s="108"/>
      <c r="F315" s="127"/>
      <c r="G315" s="128"/>
      <c r="H315" s="541">
        <f t="shared" si="136"/>
        <v>0</v>
      </c>
      <c r="I315" s="129"/>
      <c r="J315" s="130"/>
      <c r="K315" s="131"/>
      <c r="L315" s="129">
        <v>13.5</v>
      </c>
      <c r="M315" s="109"/>
      <c r="N315" s="130"/>
      <c r="O315" s="549"/>
      <c r="P315" s="549"/>
      <c r="Q315" s="549"/>
      <c r="R315" s="549"/>
      <c r="S315" s="549"/>
      <c r="T315" s="549"/>
      <c r="U315" s="549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30400021</v>
      </c>
      <c r="B316" s="134" t="s">
        <v>439</v>
      </c>
      <c r="C316" s="187" t="s">
        <v>53</v>
      </c>
      <c r="D316" s="108">
        <v>5.03</v>
      </c>
      <c r="E316" s="108"/>
      <c r="F316" s="127"/>
      <c r="G316" s="128"/>
      <c r="H316" s="541">
        <f t="shared" si="136"/>
        <v>0</v>
      </c>
      <c r="I316" s="129"/>
      <c r="J316" s="130"/>
      <c r="K316" s="131"/>
      <c r="L316" s="129">
        <v>13.5</v>
      </c>
      <c r="M316" s="109"/>
      <c r="N316" s="130"/>
      <c r="O316" s="549"/>
      <c r="P316" s="549"/>
      <c r="Q316" s="549"/>
      <c r="R316" s="549"/>
      <c r="S316" s="549"/>
      <c r="T316" s="549"/>
      <c r="U316" s="549"/>
      <c r="V316" s="132"/>
      <c r="W316" s="133"/>
      <c r="X316" s="132"/>
      <c r="Y316" s="132"/>
      <c r="Z316" s="132"/>
      <c r="AA316" s="132"/>
    </row>
    <row r="317" spans="1:27" ht="20.100000000000001" hidden="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/>
      <c r="G317" s="128"/>
      <c r="H317" s="541">
        <f t="shared" si="136"/>
        <v>0</v>
      </c>
      <c r="I317" s="129"/>
      <c r="J317" s="130"/>
      <c r="K317" s="131"/>
      <c r="L317" s="129"/>
      <c r="M317" s="109"/>
      <c r="N317" s="130"/>
      <c r="O317" s="549"/>
      <c r="P317" s="549"/>
      <c r="Q317" s="549"/>
      <c r="R317" s="549"/>
      <c r="S317" s="549"/>
      <c r="T317" s="549"/>
      <c r="U317" s="549"/>
      <c r="V317" s="132"/>
      <c r="W317" s="133"/>
      <c r="X317" s="132"/>
      <c r="Y317" s="132"/>
      <c r="Z317" s="132"/>
      <c r="AA317" s="132"/>
    </row>
    <row r="318" spans="1:27" ht="20.100000000000001" hidden="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28"/>
      <c r="H318" s="541">
        <f t="shared" si="136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ref="M318" si="140">IF(ISERROR(I318-K318),"",I318-K318)</f>
        <v>0</v>
      </c>
      <c r="N318" s="130">
        <f t="shared" ref="N318" si="141">SUM(O318:U318)</f>
        <v>0</v>
      </c>
      <c r="O318" s="549"/>
      <c r="P318" s="549"/>
      <c r="Q318" s="549"/>
      <c r="R318" s="549"/>
      <c r="S318" s="549"/>
      <c r="T318" s="549"/>
      <c r="U318" s="549"/>
      <c r="V318" s="132">
        <f t="shared" ref="V318" si="142">SUM(X318:AA318)</f>
        <v>0</v>
      </c>
      <c r="W318" s="133" t="str">
        <f t="shared" ref="W318:W323" si="143">IF(ISERROR(V318/G318),"",V318/G318)</f>
        <v/>
      </c>
      <c r="X318" s="132"/>
      <c r="Y318" s="132"/>
      <c r="Z318" s="132"/>
      <c r="AA318" s="132"/>
    </row>
    <row r="319" spans="1:27" ht="20.100000000000001" hidden="1" customHeight="1">
      <c r="A319" s="578" t="s">
        <v>234</v>
      </c>
      <c r="B319" s="579"/>
      <c r="C319" s="550" t="s">
        <v>202</v>
      </c>
      <c r="D319" s="143"/>
      <c r="E319" s="143"/>
      <c r="F319" s="144"/>
      <c r="G319" s="145">
        <f>SUM(G309:G318)</f>
        <v>0</v>
      </c>
      <c r="H319" s="146">
        <f>SUM(H309:H318)</f>
        <v>0</v>
      </c>
      <c r="I319" s="146">
        <f>SUM(I309:I318)</f>
        <v>0</v>
      </c>
      <c r="J319" s="130" t="str">
        <f t="array" ref="J319">IF(ISERROR(G319/I319),"",G319/I319)</f>
        <v/>
      </c>
      <c r="K319" s="146">
        <f>SUM(K309:K318)</f>
        <v>0</v>
      </c>
      <c r="L319" s="147"/>
      <c r="M319" s="150">
        <f>SUM(M309:M318)</f>
        <v>0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 t="str">
        <f t="shared" si="143"/>
        <v/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hidden="1" customHeight="1">
      <c r="A320" s="299">
        <v>30700013</v>
      </c>
      <c r="B320" s="141" t="s">
        <v>235</v>
      </c>
      <c r="C320" s="547"/>
      <c r="D320" s="108">
        <v>3.65</v>
      </c>
      <c r="E320" s="108"/>
      <c r="F320" s="153"/>
      <c r="G320" s="128"/>
      <c r="H320" s="541">
        <f t="shared" ref="H320:H333" si="144">D320*G320</f>
        <v>0</v>
      </c>
      <c r="I320" s="129"/>
      <c r="J320" s="130" t="str">
        <f t="array" ref="J320">IF(ISERROR(G320/I320),"",G320/I320)</f>
        <v/>
      </c>
      <c r="K320" s="541">
        <f t="array" ref="K320">IF(ISERROR(G320/L320),"",G320/L320)</f>
        <v>0</v>
      </c>
      <c r="L320" s="129">
        <v>5</v>
      </c>
      <c r="M320" s="109">
        <f t="shared" ref="M320:M323" si="145">IF(ISERROR(I320-K320),"",I320-K320)</f>
        <v>0</v>
      </c>
      <c r="N320" s="130">
        <f t="shared" ref="N320:N323" si="146">SUM(O320:U320)</f>
        <v>0</v>
      </c>
      <c r="O320" s="549"/>
      <c r="P320" s="549"/>
      <c r="Q320" s="549"/>
      <c r="R320" s="549"/>
      <c r="S320" s="549"/>
      <c r="T320" s="549"/>
      <c r="U320" s="549"/>
      <c r="V320" s="132">
        <f t="shared" ref="V320:V323" si="147">SUM(X320:AA320)</f>
        <v>0</v>
      </c>
      <c r="W320" s="133" t="str">
        <f t="shared" si="143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30700014</v>
      </c>
      <c r="B321" s="141" t="s">
        <v>236</v>
      </c>
      <c r="C321" s="547"/>
      <c r="D321" s="108">
        <v>6.58</v>
      </c>
      <c r="E321" s="108"/>
      <c r="F321" s="127"/>
      <c r="G321" s="128"/>
      <c r="H321" s="541">
        <f t="shared" si="144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</v>
      </c>
      <c r="M321" s="109">
        <f t="shared" si="145"/>
        <v>0</v>
      </c>
      <c r="N321" s="130">
        <f t="shared" si="146"/>
        <v>0</v>
      </c>
      <c r="O321" s="549"/>
      <c r="P321" s="549"/>
      <c r="Q321" s="549"/>
      <c r="R321" s="549"/>
      <c r="S321" s="549"/>
      <c r="T321" s="549"/>
      <c r="U321" s="549"/>
      <c r="V321" s="132">
        <f t="shared" si="147"/>
        <v>0</v>
      </c>
      <c r="W321" s="133" t="str">
        <f t="shared" si="143"/>
        <v/>
      </c>
      <c r="X321" s="132"/>
      <c r="Y321" s="132"/>
      <c r="Z321" s="132"/>
      <c r="AA321" s="132"/>
    </row>
    <row r="322" spans="1:27" ht="20.100000000000001" customHeight="1">
      <c r="A322" s="299">
        <v>30700016</v>
      </c>
      <c r="B322" s="141" t="s">
        <v>237</v>
      </c>
      <c r="C322" s="547"/>
      <c r="D322" s="108">
        <v>7.8</v>
      </c>
      <c r="E322" s="108"/>
      <c r="F322" s="127">
        <v>42745</v>
      </c>
      <c r="G322" s="128">
        <f>32*2</f>
        <v>64</v>
      </c>
      <c r="H322" s="541">
        <f t="shared" si="144"/>
        <v>499.2</v>
      </c>
      <c r="I322" s="129">
        <v>14</v>
      </c>
      <c r="J322" s="130">
        <f t="array" ref="J322">IF(ISERROR(G322/I322),"",G322/I322)</f>
        <v>4.5714285714285712</v>
      </c>
      <c r="K322" s="131">
        <f t="array" ref="K322">IF(ISERROR(G322/L322),"",G322/L322)</f>
        <v>13.913043478260871</v>
      </c>
      <c r="L322" s="129">
        <v>4.5999999999999996</v>
      </c>
      <c r="M322" s="109">
        <f t="shared" si="145"/>
        <v>8.6956521739129045E-2</v>
      </c>
      <c r="N322" s="130">
        <f t="shared" si="146"/>
        <v>0</v>
      </c>
      <c r="O322" s="549"/>
      <c r="P322" s="549"/>
      <c r="Q322" s="549"/>
      <c r="R322" s="549"/>
      <c r="S322" s="549"/>
      <c r="T322" s="549"/>
      <c r="U322" s="549"/>
      <c r="V322" s="132">
        <f t="shared" si="147"/>
        <v>0</v>
      </c>
      <c r="W322" s="133">
        <f t="shared" si="143"/>
        <v>0</v>
      </c>
      <c r="X322" s="132"/>
      <c r="Y322" s="132"/>
      <c r="Z322" s="132"/>
      <c r="AA322" s="132"/>
    </row>
    <row r="323" spans="1:27" ht="20.100000000000001" hidden="1" customHeight="1">
      <c r="A323" s="299">
        <v>30700017</v>
      </c>
      <c r="B323" s="141" t="s">
        <v>238</v>
      </c>
      <c r="C323" s="547"/>
      <c r="D323" s="108">
        <v>4.4000000000000004</v>
      </c>
      <c r="E323" s="108"/>
      <c r="F323" s="127"/>
      <c r="G323" s="128"/>
      <c r="H323" s="541">
        <f t="shared" si="144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5.8</v>
      </c>
      <c r="M323" s="109">
        <f t="shared" si="145"/>
        <v>0</v>
      </c>
      <c r="N323" s="130">
        <f t="shared" si="146"/>
        <v>0</v>
      </c>
      <c r="O323" s="549"/>
      <c r="P323" s="549"/>
      <c r="Q323" s="549"/>
      <c r="R323" s="549"/>
      <c r="S323" s="549"/>
      <c r="T323" s="549"/>
      <c r="U323" s="549"/>
      <c r="V323" s="132">
        <f t="shared" si="147"/>
        <v>0</v>
      </c>
      <c r="W323" s="133" t="str">
        <f t="shared" si="143"/>
        <v/>
      </c>
      <c r="X323" s="132"/>
      <c r="Y323" s="132"/>
      <c r="Z323" s="132"/>
      <c r="AA323" s="132"/>
    </row>
    <row r="324" spans="1:27" ht="20.100000000000001" hidden="1" customHeight="1">
      <c r="A324" s="299">
        <v>30700001</v>
      </c>
      <c r="B324" s="127" t="s">
        <v>359</v>
      </c>
      <c r="C324" s="547"/>
      <c r="D324" s="108"/>
      <c r="E324" s="108"/>
      <c r="F324" s="127"/>
      <c r="G324" s="128"/>
      <c r="H324" s="541">
        <f t="shared" si="144"/>
        <v>0</v>
      </c>
      <c r="I324" s="129"/>
      <c r="J324" s="130"/>
      <c r="K324" s="131"/>
      <c r="L324" s="129">
        <v>6</v>
      </c>
      <c r="M324" s="109"/>
      <c r="N324" s="130"/>
      <c r="O324" s="549"/>
      <c r="P324" s="549"/>
      <c r="Q324" s="549"/>
      <c r="R324" s="549"/>
      <c r="S324" s="549"/>
      <c r="T324" s="549"/>
      <c r="U324" s="549"/>
      <c r="V324" s="132"/>
      <c r="W324" s="133"/>
      <c r="X324" s="132"/>
      <c r="Y324" s="132"/>
      <c r="Z324" s="132"/>
      <c r="AA324" s="132"/>
    </row>
    <row r="325" spans="1:27" ht="20.100000000000001" hidden="1" customHeight="1">
      <c r="A325" s="305"/>
      <c r="B325" s="547" t="s">
        <v>239</v>
      </c>
      <c r="C325" s="547" t="s">
        <v>179</v>
      </c>
      <c r="D325" s="108">
        <v>6.04</v>
      </c>
      <c r="E325" s="108"/>
      <c r="F325" s="127"/>
      <c r="G325" s="128"/>
      <c r="H325" s="541">
        <f t="shared" si="144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8" si="148">IF(ISERROR(I325-K325),"",I325-K325)</f>
        <v>0</v>
      </c>
      <c r="N325" s="130">
        <f t="shared" ref="N325:N326" si="149">SUM(O325:U325)</f>
        <v>0</v>
      </c>
      <c r="O325" s="549"/>
      <c r="P325" s="549"/>
      <c r="Q325" s="549"/>
      <c r="R325" s="549"/>
      <c r="S325" s="549"/>
      <c r="T325" s="549"/>
      <c r="U325" s="549"/>
      <c r="V325" s="132">
        <f t="shared" ref="V325:V326" si="150">SUM(X325:AA325)</f>
        <v>0</v>
      </c>
      <c r="W325" s="133" t="str">
        <f t="shared" ref="W325:W326" si="151">IF(ISERROR(V325/G325),"",V325/G325)</f>
        <v/>
      </c>
      <c r="X325" s="132"/>
      <c r="Y325" s="132"/>
      <c r="Z325" s="132"/>
      <c r="AA325" s="132"/>
    </row>
    <row r="326" spans="1:27" ht="20.100000000000001" hidden="1" customHeight="1">
      <c r="A326" s="305">
        <v>30700019</v>
      </c>
      <c r="B326" s="547" t="s">
        <v>239</v>
      </c>
      <c r="C326" s="547" t="s">
        <v>186</v>
      </c>
      <c r="D326" s="108">
        <v>6.04</v>
      </c>
      <c r="E326" s="108"/>
      <c r="F326" s="127"/>
      <c r="G326" s="128"/>
      <c r="H326" s="541">
        <f t="shared" si="144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48"/>
        <v>0</v>
      </c>
      <c r="N326" s="130">
        <f t="shared" si="149"/>
        <v>0</v>
      </c>
      <c r="O326" s="549"/>
      <c r="P326" s="549"/>
      <c r="Q326" s="549"/>
      <c r="R326" s="549"/>
      <c r="S326" s="549"/>
      <c r="T326" s="549"/>
      <c r="U326" s="549"/>
      <c r="V326" s="132">
        <f t="shared" si="150"/>
        <v>0</v>
      </c>
      <c r="W326" s="133" t="str">
        <f t="shared" si="151"/>
        <v/>
      </c>
      <c r="X326" s="132"/>
      <c r="Y326" s="132"/>
      <c r="Z326" s="132"/>
      <c r="AA326" s="132"/>
    </row>
    <row r="327" spans="1:27" ht="20.100000000000001" customHeight="1">
      <c r="A327" s="305">
        <v>30601015</v>
      </c>
      <c r="B327" s="547" t="s">
        <v>443</v>
      </c>
      <c r="C327" s="547" t="s">
        <v>179</v>
      </c>
      <c r="D327" s="108">
        <v>6</v>
      </c>
      <c r="E327" s="108"/>
      <c r="F327" s="127">
        <v>42746</v>
      </c>
      <c r="G327" s="128">
        <f>42+17</f>
        <v>59</v>
      </c>
      <c r="H327" s="541">
        <f t="shared" si="144"/>
        <v>354</v>
      </c>
      <c r="I327" s="129">
        <f>5*4</f>
        <v>20</v>
      </c>
      <c r="J327" s="130">
        <f t="array" ref="J327">IF(ISERROR(G327/I327),"",G327/I327)</f>
        <v>2.95</v>
      </c>
      <c r="K327" s="131">
        <f>IF(ISERROR(G327/L327),"",G327/L327)</f>
        <v>9.8333333333333339</v>
      </c>
      <c r="L327" s="129">
        <v>6</v>
      </c>
      <c r="M327" s="109">
        <f t="shared" si="148"/>
        <v>10.166666666666666</v>
      </c>
      <c r="N327" s="130"/>
      <c r="O327" s="549"/>
      <c r="P327" s="549"/>
      <c r="Q327" s="549"/>
      <c r="R327" s="549"/>
      <c r="S327" s="549"/>
      <c r="T327" s="549"/>
      <c r="U327" s="549"/>
      <c r="V327" s="132"/>
      <c r="W327" s="133"/>
      <c r="X327" s="132"/>
      <c r="Y327" s="132"/>
      <c r="Z327" s="132"/>
      <c r="AA327" s="132"/>
    </row>
    <row r="328" spans="1:27" ht="20.100000000000001" customHeight="1">
      <c r="A328" s="305">
        <v>30101016</v>
      </c>
      <c r="B328" s="547" t="s">
        <v>443</v>
      </c>
      <c r="C328" s="547" t="s">
        <v>60</v>
      </c>
      <c r="D328" s="108">
        <v>6</v>
      </c>
      <c r="E328" s="108"/>
      <c r="F328" s="127">
        <v>42746</v>
      </c>
      <c r="G328" s="128">
        <f>42+23</f>
        <v>65</v>
      </c>
      <c r="H328" s="541">
        <f t="shared" si="144"/>
        <v>390</v>
      </c>
      <c r="I328" s="129">
        <f>6*4</f>
        <v>24</v>
      </c>
      <c r="J328" s="130">
        <f t="array" ref="J328">IF(ISERROR(G328/I328),"",G328/I328)</f>
        <v>2.7083333333333335</v>
      </c>
      <c r="K328" s="131">
        <f t="array" ref="K328">IF(ISERROR(G328/L328),"",G328/L328)</f>
        <v>10.833333333333334</v>
      </c>
      <c r="L328" s="129">
        <v>6</v>
      </c>
      <c r="M328" s="109">
        <f t="shared" si="148"/>
        <v>13.166666666666666</v>
      </c>
      <c r="N328" s="130"/>
      <c r="O328" s="549"/>
      <c r="P328" s="549"/>
      <c r="Q328" s="549"/>
      <c r="R328" s="549"/>
      <c r="S328" s="549"/>
      <c r="T328" s="549"/>
      <c r="U328" s="549"/>
      <c r="V328" s="132"/>
      <c r="W328" s="133"/>
      <c r="X328" s="132"/>
      <c r="Y328" s="132"/>
      <c r="Z328" s="132"/>
      <c r="AA328" s="132"/>
    </row>
    <row r="329" spans="1:27" ht="20.100000000000001" hidden="1" customHeight="1">
      <c r="A329" s="299">
        <v>30700018</v>
      </c>
      <c r="B329" s="540" t="s">
        <v>240</v>
      </c>
      <c r="C329" s="126"/>
      <c r="D329" s="108">
        <v>7.3</v>
      </c>
      <c r="E329" s="108"/>
      <c r="F329" s="127"/>
      <c r="G329" s="128"/>
      <c r="H329" s="541">
        <f t="shared" si="144"/>
        <v>0</v>
      </c>
      <c r="I329" s="129"/>
      <c r="J329" s="130"/>
      <c r="K329" s="131"/>
      <c r="L329" s="129"/>
      <c r="M329" s="109"/>
      <c r="N329" s="130"/>
      <c r="O329" s="549"/>
      <c r="P329" s="549"/>
      <c r="Q329" s="549"/>
      <c r="R329" s="549"/>
      <c r="S329" s="549"/>
      <c r="T329" s="549"/>
      <c r="U329" s="549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30700010</v>
      </c>
      <c r="B330" s="540" t="s">
        <v>241</v>
      </c>
      <c r="C330" s="126"/>
      <c r="D330" s="108">
        <f>78*120/1000</f>
        <v>9.36</v>
      </c>
      <c r="E330" s="108"/>
      <c r="F330" s="127"/>
      <c r="G330" s="128"/>
      <c r="H330" s="541">
        <f t="shared" si="144"/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2">SUM(O330:U330)</f>
        <v>0</v>
      </c>
      <c r="O330" s="549"/>
      <c r="P330" s="549"/>
      <c r="Q330" s="549"/>
      <c r="R330" s="549"/>
      <c r="S330" s="549"/>
      <c r="T330" s="549"/>
      <c r="U330" s="549"/>
      <c r="V330" s="132">
        <f t="shared" ref="V330" si="153">SUM(X330:AA330)</f>
        <v>0</v>
      </c>
      <c r="W330" s="133" t="str">
        <f t="shared" ref="W330" si="154">IF(ISERROR(V330/G330),"",V330/G330)</f>
        <v/>
      </c>
      <c r="X330" s="132"/>
      <c r="Y330" s="132"/>
      <c r="Z330" s="132"/>
      <c r="AA330" s="132"/>
    </row>
    <row r="331" spans="1:27" ht="20.100000000000001" hidden="1" customHeight="1">
      <c r="A331" s="299">
        <v>30700015</v>
      </c>
      <c r="B331" s="540" t="s">
        <v>242</v>
      </c>
      <c r="C331" s="126"/>
      <c r="D331" s="108">
        <v>4.5</v>
      </c>
      <c r="E331" s="108"/>
      <c r="F331" s="127"/>
      <c r="G331" s="128"/>
      <c r="H331" s="541">
        <f t="shared" si="144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549"/>
      <c r="P331" s="549"/>
      <c r="Q331" s="549"/>
      <c r="R331" s="549"/>
      <c r="S331" s="549"/>
      <c r="T331" s="549"/>
      <c r="U331" s="549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299">
        <v>30700012</v>
      </c>
      <c r="B332" s="540" t="s">
        <v>243</v>
      </c>
      <c r="C332" s="126"/>
      <c r="D332" s="108">
        <v>4.5</v>
      </c>
      <c r="E332" s="108"/>
      <c r="F332" s="127"/>
      <c r="G332" s="128"/>
      <c r="H332" s="541">
        <f t="shared" si="144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549"/>
      <c r="P332" s="549"/>
      <c r="Q332" s="549"/>
      <c r="R332" s="549"/>
      <c r="S332" s="549"/>
      <c r="T332" s="549"/>
      <c r="U332" s="549"/>
      <c r="V332" s="132"/>
      <c r="W332" s="133"/>
      <c r="X332" s="132"/>
      <c r="Y332" s="132"/>
      <c r="Z332" s="132"/>
      <c r="AA332" s="132"/>
    </row>
    <row r="333" spans="1:27" ht="20.100000000000001" hidden="1" customHeight="1">
      <c r="A333" s="299"/>
      <c r="B333" s="199" t="s">
        <v>438</v>
      </c>
      <c r="C333" s="126"/>
      <c r="D333" s="108">
        <v>4.5</v>
      </c>
      <c r="E333" s="108"/>
      <c r="F333" s="127"/>
      <c r="G333" s="128"/>
      <c r="H333" s="541">
        <f t="shared" si="144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549"/>
      <c r="P333" s="549"/>
      <c r="Q333" s="549"/>
      <c r="R333" s="549"/>
      <c r="S333" s="549"/>
      <c r="T333" s="549"/>
      <c r="U333" s="549"/>
      <c r="V333" s="132"/>
      <c r="W333" s="133"/>
      <c r="X333" s="132"/>
      <c r="Y333" s="132"/>
      <c r="Z333" s="132"/>
      <c r="AA333" s="132"/>
    </row>
    <row r="334" spans="1:27" ht="20.100000000000001" customHeight="1">
      <c r="A334" s="578" t="s">
        <v>244</v>
      </c>
      <c r="B334" s="579"/>
      <c r="C334" s="550" t="s">
        <v>202</v>
      </c>
      <c r="D334" s="143"/>
      <c r="E334" s="143"/>
      <c r="F334" s="144"/>
      <c r="G334" s="145">
        <f>SUM(G320:G333)</f>
        <v>188</v>
      </c>
      <c r="H334" s="146">
        <f>SUM(H320:H330)</f>
        <v>1243.2</v>
      </c>
      <c r="I334" s="146">
        <f>SUM(I320:I333)</f>
        <v>58</v>
      </c>
      <c r="J334" s="130"/>
      <c r="K334" s="146">
        <f>SUM(K320:K330)</f>
        <v>34.579710144927539</v>
      </c>
      <c r="L334" s="147"/>
      <c r="M334" s="150">
        <f t="shared" ref="M334:AA334" si="155">SUM(M320:M330)</f>
        <v>23.420289855072461</v>
      </c>
      <c r="N334" s="146">
        <f t="shared" si="155"/>
        <v>0</v>
      </c>
      <c r="O334" s="148">
        <f t="shared" si="155"/>
        <v>0</v>
      </c>
      <c r="P334" s="148">
        <f t="shared" si="155"/>
        <v>0</v>
      </c>
      <c r="Q334" s="148">
        <f t="shared" si="155"/>
        <v>0</v>
      </c>
      <c r="R334" s="148">
        <f t="shared" si="155"/>
        <v>0</v>
      </c>
      <c r="S334" s="148">
        <f t="shared" si="155"/>
        <v>0</v>
      </c>
      <c r="T334" s="148">
        <f t="shared" si="155"/>
        <v>0</v>
      </c>
      <c r="U334" s="148">
        <f t="shared" si="155"/>
        <v>0</v>
      </c>
      <c r="V334" s="149">
        <f t="shared" si="155"/>
        <v>0</v>
      </c>
      <c r="W334" s="133">
        <f t="shared" si="155"/>
        <v>0</v>
      </c>
      <c r="X334" s="149">
        <f t="shared" si="155"/>
        <v>0</v>
      </c>
      <c r="Y334" s="149">
        <f t="shared" si="155"/>
        <v>0</v>
      </c>
      <c r="Z334" s="149">
        <f t="shared" si="155"/>
        <v>0</v>
      </c>
      <c r="AA334" s="149">
        <f t="shared" si="155"/>
        <v>0</v>
      </c>
    </row>
    <row r="335" spans="1:27" ht="20.100000000000001" customHeight="1">
      <c r="A335" s="580" t="s">
        <v>246</v>
      </c>
      <c r="B335" s="581"/>
      <c r="C335" s="581"/>
      <c r="D335" s="581"/>
      <c r="E335" s="581"/>
      <c r="F335" s="582"/>
      <c r="G335" s="154">
        <f>SUM(G199,G257,G292,G308,G319,G334)</f>
        <v>5551</v>
      </c>
      <c r="H335" s="154">
        <f>SUM(H199,H257,H292,H308,H319,H334)</f>
        <v>28348.68</v>
      </c>
      <c r="I335" s="154">
        <f>SUM(I199,I257,I292,I308,I319,I334)</f>
        <v>319.5</v>
      </c>
      <c r="J335" s="155">
        <f t="array" ref="J335">IF(ISERROR(G335/I335),"",G335/I335)</f>
        <v>17.374021909233178</v>
      </c>
      <c r="K335" s="154">
        <f>SUM(K199,K257,K292,K308,K319,K334)</f>
        <v>264.21228591834529</v>
      </c>
      <c r="L335" s="155">
        <f>IF(ISERROR(G335/K335),"",G335/K335)</f>
        <v>21.009621035244116</v>
      </c>
      <c r="M335" s="154">
        <f t="shared" ref="M335:AA335" si="156">SUM(M199,M257,M292,M308,M319,M334)</f>
        <v>55.287714081654741</v>
      </c>
      <c r="N335" s="154">
        <f t="shared" si="156"/>
        <v>0</v>
      </c>
      <c r="O335" s="154">
        <f t="shared" si="156"/>
        <v>0</v>
      </c>
      <c r="P335" s="154">
        <f t="shared" si="156"/>
        <v>0</v>
      </c>
      <c r="Q335" s="154">
        <f t="shared" si="156"/>
        <v>0</v>
      </c>
      <c r="R335" s="154">
        <f t="shared" si="156"/>
        <v>0</v>
      </c>
      <c r="S335" s="154">
        <f t="shared" si="156"/>
        <v>0</v>
      </c>
      <c r="T335" s="154">
        <f t="shared" si="156"/>
        <v>0</v>
      </c>
      <c r="U335" s="154">
        <f t="shared" si="156"/>
        <v>0</v>
      </c>
      <c r="V335" s="154">
        <f t="shared" si="156"/>
        <v>0</v>
      </c>
      <c r="W335" s="154">
        <f t="shared" si="156"/>
        <v>0</v>
      </c>
      <c r="X335" s="154">
        <f t="shared" si="156"/>
        <v>0</v>
      </c>
      <c r="Y335" s="154">
        <f t="shared" si="156"/>
        <v>0</v>
      </c>
      <c r="Z335" s="154">
        <f t="shared" si="156"/>
        <v>0</v>
      </c>
      <c r="AA335" s="154">
        <f t="shared" si="156"/>
        <v>0</v>
      </c>
    </row>
    <row r="336" spans="1:27" ht="20.100000000000001" customHeight="1">
      <c r="A336" s="583" t="s">
        <v>476</v>
      </c>
      <c r="B336" s="543" t="s">
        <v>247</v>
      </c>
      <c r="C336" s="586" t="s">
        <v>248</v>
      </c>
      <c r="D336" s="587"/>
      <c r="E336" s="588" t="s">
        <v>249</v>
      </c>
      <c r="F336" s="588"/>
      <c r="G336" s="591" t="s">
        <v>250</v>
      </c>
      <c r="H336" s="591"/>
      <c r="I336" s="588" t="s">
        <v>251</v>
      </c>
      <c r="J336" s="588"/>
      <c r="K336" s="588" t="s">
        <v>252</v>
      </c>
      <c r="L336" s="588"/>
      <c r="M336" s="588" t="s">
        <v>253</v>
      </c>
      <c r="N336" s="588"/>
      <c r="O336" s="588" t="s">
        <v>254</v>
      </c>
      <c r="P336" s="591" t="s">
        <v>255</v>
      </c>
      <c r="Q336" s="591"/>
      <c r="R336" s="591" t="s">
        <v>252</v>
      </c>
      <c r="S336" s="591"/>
      <c r="T336" s="591" t="s">
        <v>256</v>
      </c>
      <c r="U336" s="591"/>
      <c r="V336" s="591" t="s">
        <v>257</v>
      </c>
      <c r="W336" s="591"/>
      <c r="X336" s="591" t="s">
        <v>252</v>
      </c>
      <c r="Y336" s="591"/>
      <c r="Z336" s="591" t="s">
        <v>256</v>
      </c>
      <c r="AA336" s="591"/>
    </row>
    <row r="337" spans="1:27" ht="20.100000000000001" customHeight="1">
      <c r="A337" s="584"/>
      <c r="B337" s="543" t="s">
        <v>258</v>
      </c>
      <c r="C337" s="626">
        <v>1</v>
      </c>
      <c r="D337" s="627"/>
      <c r="E337" s="590">
        <f>C337*11</f>
        <v>11</v>
      </c>
      <c r="F337" s="590"/>
      <c r="G337" s="591">
        <v>1</v>
      </c>
      <c r="H337" s="591"/>
      <c r="I337" s="590">
        <f>G337*11</f>
        <v>11</v>
      </c>
      <c r="J337" s="590"/>
      <c r="K337" s="590">
        <f>E337-I337</f>
        <v>0</v>
      </c>
      <c r="L337" s="590"/>
      <c r="M337" s="592">
        <f>IF(ISERROR(K337/E337),"",K337/E337)</f>
        <v>0</v>
      </c>
      <c r="N337" s="592"/>
      <c r="O337" s="588"/>
      <c r="P337" s="591" t="s">
        <v>201</v>
      </c>
      <c r="Q337" s="591"/>
      <c r="R337" s="593">
        <f>SUM(O199:U199)</f>
        <v>0</v>
      </c>
      <c r="S337" s="593"/>
      <c r="T337" s="594" t="str">
        <f t="array" ref="T337">IF(ISERROR(R337/R344),"",R337/R344)</f>
        <v/>
      </c>
      <c r="U337" s="594"/>
      <c r="V337" s="591" t="s">
        <v>259</v>
      </c>
      <c r="W337" s="591"/>
      <c r="X337" s="628">
        <f>SUM(P198,P256,P291,P307,P318,P333)</f>
        <v>0</v>
      </c>
      <c r="Y337" s="629"/>
      <c r="Z337" s="594" t="str">
        <f t="array" ref="Z337">IF(ISERROR(X337/X344),"",X337/X344)</f>
        <v/>
      </c>
      <c r="AA337" s="594"/>
    </row>
    <row r="338" spans="1:27" ht="20.100000000000001" customHeight="1">
      <c r="A338" s="584"/>
      <c r="B338" s="543" t="s">
        <v>260</v>
      </c>
      <c r="C338" s="586">
        <v>0</v>
      </c>
      <c r="D338" s="587"/>
      <c r="E338" s="590">
        <f>C338*11</f>
        <v>0</v>
      </c>
      <c r="F338" s="590"/>
      <c r="G338" s="591">
        <v>0</v>
      </c>
      <c r="H338" s="591"/>
      <c r="I338" s="590">
        <f>G338*11</f>
        <v>0</v>
      </c>
      <c r="J338" s="590"/>
      <c r="K338" s="590">
        <f>E338-I338</f>
        <v>0</v>
      </c>
      <c r="L338" s="590"/>
      <c r="M338" s="592" t="str">
        <f>IF(ISERROR(K338/E338),"",K338/E338)</f>
        <v/>
      </c>
      <c r="N338" s="592"/>
      <c r="O338" s="588"/>
      <c r="P338" s="591" t="s">
        <v>216</v>
      </c>
      <c r="Q338" s="591"/>
      <c r="R338" s="593">
        <f>SUM(O257:U257)</f>
        <v>0</v>
      </c>
      <c r="S338" s="593"/>
      <c r="T338" s="594" t="str">
        <f>IF(ISERROR(R338/R344),"",R338/R344)</f>
        <v/>
      </c>
      <c r="U338" s="594"/>
      <c r="V338" s="591" t="s">
        <v>261</v>
      </c>
      <c r="W338" s="591"/>
      <c r="X338" s="628">
        <f>SUM(P199,P257,P292,P308,P319,P334)</f>
        <v>0</v>
      </c>
      <c r="Y338" s="629"/>
      <c r="Z338" s="594" t="str">
        <f>IF(ISERROR(X338/X344),"",X338/X344)</f>
        <v/>
      </c>
      <c r="AA338" s="594"/>
    </row>
    <row r="339" spans="1:27" ht="20.100000000000001" customHeight="1">
      <c r="A339" s="584"/>
      <c r="B339" s="543" t="s">
        <v>262</v>
      </c>
      <c r="C339" s="586">
        <v>0</v>
      </c>
      <c r="D339" s="587"/>
      <c r="E339" s="590">
        <f>C339*8</f>
        <v>0</v>
      </c>
      <c r="F339" s="590"/>
      <c r="G339" s="591">
        <v>1</v>
      </c>
      <c r="H339" s="591"/>
      <c r="I339" s="590">
        <f>G339*8</f>
        <v>8</v>
      </c>
      <c r="J339" s="590"/>
      <c r="K339" s="590">
        <f>E339-I339</f>
        <v>-8</v>
      </c>
      <c r="L339" s="590"/>
      <c r="M339" s="592" t="str">
        <f>IF(ISERROR(K339/E339),"",K339/E339)</f>
        <v/>
      </c>
      <c r="N339" s="592"/>
      <c r="O339" s="588"/>
      <c r="P339" s="591" t="s">
        <v>224</v>
      </c>
      <c r="Q339" s="591"/>
      <c r="R339" s="593">
        <f>SUM(O292:U292)</f>
        <v>0</v>
      </c>
      <c r="S339" s="593"/>
      <c r="T339" s="594" t="str">
        <f>IF(ISERROR(R339/R344),"",R339/R344)</f>
        <v/>
      </c>
      <c r="U339" s="594"/>
      <c r="V339" s="591" t="s">
        <v>263</v>
      </c>
      <c r="W339" s="591"/>
      <c r="X339" s="628">
        <f>SUM(P200,P258,P293,P309,P320,P335)</f>
        <v>0</v>
      </c>
      <c r="Y339" s="629"/>
      <c r="Z339" s="594" t="str">
        <f>IF(ISERROR(X339/X344),"",X339/X344)</f>
        <v/>
      </c>
      <c r="AA339" s="594"/>
    </row>
    <row r="340" spans="1:27" ht="20.100000000000001" customHeight="1">
      <c r="A340" s="584"/>
      <c r="B340" s="543" t="s">
        <v>264</v>
      </c>
      <c r="C340" s="586">
        <v>1</v>
      </c>
      <c r="D340" s="587"/>
      <c r="E340" s="590">
        <f>C340*11</f>
        <v>11</v>
      </c>
      <c r="F340" s="590"/>
      <c r="G340" s="591">
        <v>1</v>
      </c>
      <c r="H340" s="591"/>
      <c r="I340" s="590">
        <f>G340*11</f>
        <v>11</v>
      </c>
      <c r="J340" s="590"/>
      <c r="K340" s="590">
        <f>E340-I340</f>
        <v>0</v>
      </c>
      <c r="L340" s="590"/>
      <c r="M340" s="592">
        <f>IF(ISERROR(K340/E340),"",K340/E340)</f>
        <v>0</v>
      </c>
      <c r="N340" s="592"/>
      <c r="O340" s="588"/>
      <c r="P340" s="591" t="s">
        <v>231</v>
      </c>
      <c r="Q340" s="591"/>
      <c r="R340" s="593">
        <f>SUM(O308:U308)</f>
        <v>0</v>
      </c>
      <c r="S340" s="593"/>
      <c r="T340" s="594" t="str">
        <f>IF(ISERROR(R340/R344),"",R340/R344)</f>
        <v/>
      </c>
      <c r="U340" s="594"/>
      <c r="V340" s="591" t="s">
        <v>265</v>
      </c>
      <c r="W340" s="591"/>
      <c r="X340" s="628">
        <f>SUM(P202,P259,P294,P310,P321,P336)</f>
        <v>0</v>
      </c>
      <c r="Y340" s="629"/>
      <c r="Z340" s="594" t="str">
        <f>IF(ISERROR(X340/X344),"",X340/X344)</f>
        <v/>
      </c>
      <c r="AA340" s="594"/>
    </row>
    <row r="341" spans="1:27" ht="20.100000000000001" customHeight="1">
      <c r="A341" s="585"/>
      <c r="B341" s="543" t="s">
        <v>266</v>
      </c>
      <c r="C341" s="596">
        <f>SUM(C337:D340)</f>
        <v>2</v>
      </c>
      <c r="D341" s="597"/>
      <c r="E341" s="590">
        <f>SUM(E337:F340)</f>
        <v>22</v>
      </c>
      <c r="F341" s="590"/>
      <c r="G341" s="591">
        <f>SUM(G337:H340)</f>
        <v>3</v>
      </c>
      <c r="H341" s="591"/>
      <c r="I341" s="590">
        <f>SUM(I337:J340)</f>
        <v>30</v>
      </c>
      <c r="J341" s="590"/>
      <c r="K341" s="590">
        <f>SUM(K337:L340)</f>
        <v>-8</v>
      </c>
      <c r="L341" s="590"/>
      <c r="M341" s="592">
        <f>IF(ISERROR(K341/E341),"",K341/E341)</f>
        <v>-0.36363636363636365</v>
      </c>
      <c r="N341" s="592"/>
      <c r="O341" s="588"/>
      <c r="P341" s="591" t="s">
        <v>234</v>
      </c>
      <c r="Q341" s="591"/>
      <c r="R341" s="593">
        <f>SUM(O319:U319)</f>
        <v>0</v>
      </c>
      <c r="S341" s="593"/>
      <c r="T341" s="594" t="str">
        <f>IF(ISERROR(R341/R344),"",R341/R344)</f>
        <v/>
      </c>
      <c r="U341" s="594"/>
      <c r="V341" s="591" t="s">
        <v>267</v>
      </c>
      <c r="W341" s="591"/>
      <c r="X341" s="628">
        <f>SUM(P203,P260,P295,P311,P322,P337)</f>
        <v>0</v>
      </c>
      <c r="Y341" s="629"/>
      <c r="Z341" s="594" t="str">
        <f>IF(ISERROR(X341/X344),"",X341/X344)</f>
        <v/>
      </c>
      <c r="AA341" s="594"/>
    </row>
    <row r="342" spans="1:27" ht="20.100000000000001" customHeight="1">
      <c r="A342" s="309" t="s">
        <v>477</v>
      </c>
      <c r="B342" s="543">
        <f>G335</f>
        <v>5551</v>
      </c>
      <c r="C342" s="598" t="s">
        <v>269</v>
      </c>
      <c r="D342" s="599"/>
      <c r="E342" s="591">
        <f>H335</f>
        <v>28348.68</v>
      </c>
      <c r="F342" s="591"/>
      <c r="G342" s="591" t="s">
        <v>270</v>
      </c>
      <c r="H342" s="591"/>
      <c r="I342" s="600">
        <f>L335</f>
        <v>21.009621035244116</v>
      </c>
      <c r="J342" s="600"/>
      <c r="K342" s="588" t="s">
        <v>271</v>
      </c>
      <c r="L342" s="588"/>
      <c r="M342" s="600">
        <f>J335</f>
        <v>17.374021909233178</v>
      </c>
      <c r="N342" s="600"/>
      <c r="O342" s="588"/>
      <c r="P342" s="591" t="s">
        <v>244</v>
      </c>
      <c r="Q342" s="591"/>
      <c r="R342" s="593">
        <f>SUM(O334:U334)</f>
        <v>0</v>
      </c>
      <c r="S342" s="593"/>
      <c r="T342" s="594" t="str">
        <f>IF(ISERROR(R342/R344),"",R342/R344)</f>
        <v/>
      </c>
      <c r="U342" s="594"/>
      <c r="V342" s="591" t="s">
        <v>272</v>
      </c>
      <c r="W342" s="591"/>
      <c r="X342" s="628">
        <f>SUM(P204,P261,P296,P312,P323,P338)</f>
        <v>0</v>
      </c>
      <c r="Y342" s="629"/>
      <c r="Z342" s="594" t="str">
        <f>IF(ISERROR(X342/X344),"",X342/X344)</f>
        <v/>
      </c>
      <c r="AA342" s="594"/>
    </row>
    <row r="343" spans="1:27" ht="20.100000000000001" customHeight="1">
      <c r="A343" s="310" t="s">
        <v>478</v>
      </c>
      <c r="B343" s="543">
        <f>I335+C341</f>
        <v>321.5</v>
      </c>
      <c r="C343" s="601" t="s">
        <v>251</v>
      </c>
      <c r="D343" s="602"/>
      <c r="E343" s="603">
        <f>K335+I341</f>
        <v>294.21228591834529</v>
      </c>
      <c r="F343" s="603"/>
      <c r="G343" s="591" t="s">
        <v>274</v>
      </c>
      <c r="H343" s="591"/>
      <c r="I343" s="600">
        <f>B343-E343</f>
        <v>27.287714081654713</v>
      </c>
      <c r="J343" s="600"/>
      <c r="K343" s="588" t="s">
        <v>275</v>
      </c>
      <c r="L343" s="588"/>
      <c r="M343" s="592">
        <f>IF(ISERROR(I343/E343),"",I343/E343)</f>
        <v>9.2748384033248893E-2</v>
      </c>
      <c r="N343" s="592"/>
      <c r="O343" s="588"/>
      <c r="P343" s="591" t="s">
        <v>245</v>
      </c>
      <c r="Q343" s="591"/>
      <c r="R343" s="593"/>
      <c r="S343" s="593"/>
      <c r="T343" s="594" t="str">
        <f>IF(ISERROR(R343/R344),"",R343/R344)</f>
        <v/>
      </c>
      <c r="U343" s="594"/>
      <c r="V343" s="591" t="s">
        <v>264</v>
      </c>
      <c r="W343" s="591"/>
      <c r="X343" s="628">
        <f>SUM(P205,P262,P297,P313,P324,P339)</f>
        <v>0</v>
      </c>
      <c r="Y343" s="629"/>
      <c r="Z343" s="594" t="str">
        <f>IF(ISERROR(X343/X344),"",X343/X344)</f>
        <v/>
      </c>
      <c r="AA343" s="594"/>
    </row>
    <row r="344" spans="1:27" ht="20.100000000000001" customHeight="1">
      <c r="A344" s="310" t="s">
        <v>479</v>
      </c>
      <c r="B344" s="543">
        <f>N335</f>
        <v>0</v>
      </c>
      <c r="C344" s="601" t="s">
        <v>277</v>
      </c>
      <c r="D344" s="602"/>
      <c r="E344" s="594">
        <f>IF(ISERROR(B344/B343),"",B344/B343)</f>
        <v>0</v>
      </c>
      <c r="F344" s="594"/>
      <c r="G344" s="591" t="s">
        <v>278</v>
      </c>
      <c r="H344" s="591"/>
      <c r="I344" s="588">
        <f>V335</f>
        <v>0</v>
      </c>
      <c r="J344" s="588"/>
      <c r="K344" s="588" t="s">
        <v>279</v>
      </c>
      <c r="L344" s="588"/>
      <c r="M344" s="592">
        <f t="array" ref="M344">IF(ISERROR(I344/B342),"",I344/B342)</f>
        <v>0</v>
      </c>
      <c r="N344" s="592"/>
      <c r="O344" s="588"/>
      <c r="P344" s="591" t="s">
        <v>266</v>
      </c>
      <c r="Q344" s="591"/>
      <c r="R344" s="593">
        <f>SUM(R337:S343)</f>
        <v>0</v>
      </c>
      <c r="S344" s="593"/>
      <c r="T344" s="594"/>
      <c r="U344" s="594"/>
      <c r="V344" s="591" t="s">
        <v>266</v>
      </c>
      <c r="W344" s="591"/>
      <c r="X344" s="595">
        <f>SUM(X337:Y343)</f>
        <v>0</v>
      </c>
      <c r="Y344" s="595"/>
      <c r="Z344" s="594"/>
      <c r="AA344" s="594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4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604" t="s">
        <v>480</v>
      </c>
      <c r="B346" s="607" t="s">
        <v>280</v>
      </c>
      <c r="C346" s="607" t="s">
        <v>281</v>
      </c>
      <c r="D346" s="607" t="s">
        <v>282</v>
      </c>
      <c r="E346" s="610" t="s">
        <v>283</v>
      </c>
      <c r="F346" s="623" t="s">
        <v>284</v>
      </c>
      <c r="G346" s="588" t="s">
        <v>285</v>
      </c>
      <c r="H346" s="588"/>
      <c r="I346" s="607" t="s">
        <v>286</v>
      </c>
      <c r="J346" s="613" t="s">
        <v>271</v>
      </c>
      <c r="K346" s="616" t="s">
        <v>287</v>
      </c>
      <c r="L346" s="607" t="s">
        <v>270</v>
      </c>
      <c r="M346" s="619" t="s">
        <v>288</v>
      </c>
      <c r="N346" s="621" t="s">
        <v>252</v>
      </c>
      <c r="O346" s="588" t="s">
        <v>289</v>
      </c>
      <c r="P346" s="588"/>
      <c r="Q346" s="588"/>
      <c r="R346" s="588"/>
      <c r="S346" s="588"/>
      <c r="T346" s="588"/>
      <c r="U346" s="588"/>
      <c r="V346" s="588" t="s">
        <v>290</v>
      </c>
      <c r="W346" s="621" t="s">
        <v>291</v>
      </c>
      <c r="X346" s="588" t="s">
        <v>292</v>
      </c>
      <c r="Y346" s="588"/>
      <c r="Z346" s="588"/>
      <c r="AA346" s="588"/>
    </row>
    <row r="347" spans="1:27" ht="21.95" customHeight="1">
      <c r="A347" s="605"/>
      <c r="B347" s="608"/>
      <c r="C347" s="608"/>
      <c r="D347" s="608"/>
      <c r="E347" s="611"/>
      <c r="F347" s="624"/>
      <c r="G347" s="588"/>
      <c r="H347" s="588"/>
      <c r="I347" s="608"/>
      <c r="J347" s="614"/>
      <c r="K347" s="617"/>
      <c r="L347" s="608"/>
      <c r="M347" s="620"/>
      <c r="N347" s="621"/>
      <c r="O347" s="588" t="s">
        <v>259</v>
      </c>
      <c r="P347" s="588" t="s">
        <v>261</v>
      </c>
      <c r="Q347" s="588" t="s">
        <v>263</v>
      </c>
      <c r="R347" s="622" t="s">
        <v>265</v>
      </c>
      <c r="S347" s="591" t="s">
        <v>267</v>
      </c>
      <c r="T347" s="588" t="s">
        <v>272</v>
      </c>
      <c r="U347" s="588" t="s">
        <v>264</v>
      </c>
      <c r="V347" s="588"/>
      <c r="W347" s="621"/>
      <c r="X347" s="588" t="s">
        <v>293</v>
      </c>
      <c r="Y347" s="588" t="s">
        <v>294</v>
      </c>
      <c r="Z347" s="588" t="s">
        <v>295</v>
      </c>
      <c r="AA347" s="588" t="s">
        <v>264</v>
      </c>
    </row>
    <row r="348" spans="1:27" ht="21.95" customHeight="1">
      <c r="A348" s="606"/>
      <c r="B348" s="609"/>
      <c r="C348" s="609"/>
      <c r="D348" s="609"/>
      <c r="E348" s="612"/>
      <c r="F348" s="625"/>
      <c r="G348" s="348" t="s">
        <v>552</v>
      </c>
      <c r="H348" s="547" t="s">
        <v>297</v>
      </c>
      <c r="I348" s="609"/>
      <c r="J348" s="615"/>
      <c r="K348" s="618"/>
      <c r="L348" s="609"/>
      <c r="M348" s="620"/>
      <c r="N348" s="621"/>
      <c r="O348" s="588"/>
      <c r="P348" s="588"/>
      <c r="Q348" s="588"/>
      <c r="R348" s="622"/>
      <c r="S348" s="591"/>
      <c r="T348" s="588"/>
      <c r="U348" s="588"/>
      <c r="V348" s="588"/>
      <c r="W348" s="621"/>
      <c r="X348" s="588"/>
      <c r="Y348" s="588"/>
      <c r="Z348" s="588"/>
      <c r="AA348" s="588"/>
    </row>
    <row r="349" spans="1:27" ht="20.100000000000001" hidden="1" customHeight="1">
      <c r="A349" s="299">
        <v>30100030</v>
      </c>
      <c r="B349" s="540" t="s">
        <v>178</v>
      </c>
      <c r="C349" s="126" t="s">
        <v>179</v>
      </c>
      <c r="D349" s="108">
        <v>5.03</v>
      </c>
      <c r="E349" s="108"/>
      <c r="F349" s="127"/>
      <c r="G349" s="128"/>
      <c r="H349" s="541">
        <f t="shared" ref="H349:H369" si="157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58" si="158">IF(ISERROR(I349-K349),"",I349-K349)</f>
        <v>0</v>
      </c>
      <c r="N349" s="130">
        <f t="shared" ref="N349:N354" si="159">SUM(O349:U349)</f>
        <v>0</v>
      </c>
      <c r="O349" s="549"/>
      <c r="P349" s="549"/>
      <c r="Q349" s="549"/>
      <c r="R349" s="549"/>
      <c r="S349" s="549"/>
      <c r="T349" s="549"/>
      <c r="U349" s="549"/>
      <c r="V349" s="132">
        <f t="shared" ref="V349:V354" si="160">SUM(X349:AA349)</f>
        <v>0</v>
      </c>
      <c r="W349" s="133" t="str">
        <f t="shared" ref="W349:W354" si="161">IF(ISERROR(V349/G349),"",V349/G349)</f>
        <v/>
      </c>
      <c r="X349" s="132"/>
      <c r="Y349" s="132"/>
      <c r="Z349" s="132"/>
      <c r="AA349" s="132"/>
    </row>
    <row r="350" spans="1:27" ht="20.100000000000001" hidden="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28"/>
      <c r="H350" s="541">
        <f t="shared" si="157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8"/>
        <v>0</v>
      </c>
      <c r="N350" s="130">
        <f t="shared" si="159"/>
        <v>0</v>
      </c>
      <c r="O350" s="549"/>
      <c r="P350" s="549"/>
      <c r="Q350" s="549"/>
      <c r="R350" s="549"/>
      <c r="S350" s="549"/>
      <c r="T350" s="549"/>
      <c r="U350" s="549"/>
      <c r="V350" s="132">
        <f t="shared" si="160"/>
        <v>0</v>
      </c>
      <c r="W350" s="133" t="str">
        <f t="shared" si="161"/>
        <v/>
      </c>
      <c r="X350" s="132"/>
      <c r="Y350" s="132"/>
      <c r="Z350" s="132"/>
      <c r="AA350" s="132"/>
    </row>
    <row r="351" spans="1:27" ht="20.100000000000001" hidden="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28"/>
      <c r="H351" s="541">
        <f t="shared" si="157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58"/>
        <v>0</v>
      </c>
      <c r="N351" s="130">
        <f t="shared" si="159"/>
        <v>0</v>
      </c>
      <c r="O351" s="549"/>
      <c r="P351" s="549"/>
      <c r="Q351" s="549"/>
      <c r="R351" s="549"/>
      <c r="S351" s="549"/>
      <c r="T351" s="549"/>
      <c r="U351" s="549"/>
      <c r="V351" s="132">
        <f t="shared" si="160"/>
        <v>0</v>
      </c>
      <c r="W351" s="133" t="str">
        <f t="shared" si="161"/>
        <v/>
      </c>
      <c r="X351" s="132"/>
      <c r="Y351" s="132"/>
      <c r="Z351" s="132"/>
      <c r="AA351" s="132"/>
    </row>
    <row r="352" spans="1:27" ht="20.100000000000001" hidden="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28"/>
      <c r="H352" s="541">
        <f t="shared" si="157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8"/>
        <v>0</v>
      </c>
      <c r="N352" s="130">
        <f t="shared" si="159"/>
        <v>0</v>
      </c>
      <c r="O352" s="549"/>
      <c r="P352" s="549"/>
      <c r="Q352" s="549"/>
      <c r="R352" s="549"/>
      <c r="S352" s="549"/>
      <c r="T352" s="549"/>
      <c r="U352" s="549"/>
      <c r="V352" s="132">
        <f t="shared" si="160"/>
        <v>0</v>
      </c>
      <c r="W352" s="133" t="str">
        <f t="shared" si="161"/>
        <v/>
      </c>
      <c r="X352" s="132"/>
      <c r="Y352" s="132"/>
      <c r="Z352" s="132"/>
      <c r="AA352" s="132"/>
    </row>
    <row r="353" spans="1:27" ht="20.100000000000001" hidden="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28"/>
      <c r="H353" s="541">
        <f t="shared" si="157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58"/>
        <v>0</v>
      </c>
      <c r="N353" s="130">
        <f t="shared" si="159"/>
        <v>0</v>
      </c>
      <c r="O353" s="549"/>
      <c r="P353" s="549"/>
      <c r="Q353" s="549"/>
      <c r="R353" s="549"/>
      <c r="S353" s="549"/>
      <c r="T353" s="549"/>
      <c r="U353" s="549"/>
      <c r="V353" s="132">
        <f t="shared" si="160"/>
        <v>0</v>
      </c>
      <c r="W353" s="133" t="str">
        <f t="shared" si="161"/>
        <v/>
      </c>
      <c r="X353" s="132"/>
      <c r="Y353" s="132"/>
      <c r="Z353" s="132"/>
      <c r="AA353" s="132"/>
    </row>
    <row r="354" spans="1:27" ht="20.100000000000001" hidden="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137"/>
      <c r="H354" s="541">
        <f t="shared" si="157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58"/>
        <v>0</v>
      </c>
      <c r="N354" s="130">
        <f t="shared" si="159"/>
        <v>0</v>
      </c>
      <c r="O354" s="549"/>
      <c r="P354" s="549"/>
      <c r="Q354" s="549"/>
      <c r="R354" s="549"/>
      <c r="S354" s="549"/>
      <c r="T354" s="549"/>
      <c r="U354" s="549"/>
      <c r="V354" s="132">
        <f t="shared" si="160"/>
        <v>0</v>
      </c>
      <c r="W354" s="133" t="str">
        <f t="shared" si="161"/>
        <v/>
      </c>
      <c r="X354" s="132"/>
      <c r="Y354" s="132"/>
      <c r="Z354" s="132"/>
      <c r="AA354" s="132"/>
    </row>
    <row r="355" spans="1:27" ht="20.100000000000001" hidden="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28"/>
      <c r="H355" s="541">
        <f t="shared" si="157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58"/>
        <v>0</v>
      </c>
      <c r="N355" s="130"/>
      <c r="O355" s="549"/>
      <c r="P355" s="549"/>
      <c r="Q355" s="549"/>
      <c r="R355" s="549"/>
      <c r="S355" s="549"/>
      <c r="T355" s="549"/>
      <c r="U355" s="549"/>
      <c r="V355" s="132"/>
      <c r="W355" s="133"/>
      <c r="X355" s="132"/>
      <c r="Y355" s="132"/>
      <c r="Z355" s="132"/>
      <c r="AA355" s="132"/>
    </row>
    <row r="356" spans="1:27" ht="20.100000000000001" hidden="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28"/>
      <c r="H356" s="541">
        <f t="shared" si="157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58"/>
        <v>0</v>
      </c>
      <c r="N356" s="130"/>
      <c r="O356" s="549"/>
      <c r="P356" s="549"/>
      <c r="Q356" s="549"/>
      <c r="R356" s="549"/>
      <c r="S356" s="549"/>
      <c r="T356" s="549"/>
      <c r="U356" s="549"/>
      <c r="V356" s="132"/>
      <c r="W356" s="133"/>
      <c r="X356" s="132"/>
      <c r="Y356" s="132"/>
      <c r="Z356" s="132"/>
      <c r="AA356" s="132"/>
    </row>
    <row r="357" spans="1:27" ht="20.100000000000001" hidden="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28"/>
      <c r="H357" s="541">
        <f t="shared" si="157"/>
        <v>0</v>
      </c>
      <c r="I357" s="541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58"/>
        <v>0</v>
      </c>
      <c r="N357" s="130">
        <f>SUM(O357:U357)</f>
        <v>0</v>
      </c>
      <c r="O357" s="549"/>
      <c r="P357" s="549"/>
      <c r="Q357" s="549"/>
      <c r="R357" s="549"/>
      <c r="S357" s="549"/>
      <c r="T357" s="549"/>
      <c r="U357" s="549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hidden="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28"/>
      <c r="H358" s="541">
        <f t="shared" si="157"/>
        <v>0</v>
      </c>
      <c r="I358" s="541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58"/>
        <v>0</v>
      </c>
      <c r="N358" s="130">
        <f>SUM(O358:U358)</f>
        <v>0</v>
      </c>
      <c r="O358" s="549"/>
      <c r="P358" s="549"/>
      <c r="Q358" s="549"/>
      <c r="R358" s="549"/>
      <c r="S358" s="549"/>
      <c r="T358" s="549"/>
      <c r="U358" s="549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hidden="1" customHeight="1">
      <c r="A359" s="302">
        <v>30100063</v>
      </c>
      <c r="B359" s="134" t="s">
        <v>191</v>
      </c>
      <c r="C359" s="126" t="s">
        <v>192</v>
      </c>
      <c r="D359" s="108">
        <v>5.03</v>
      </c>
      <c r="E359" s="108"/>
      <c r="F359" s="126"/>
      <c r="G359" s="128"/>
      <c r="H359" s="541">
        <f t="shared" si="157"/>
        <v>0</v>
      </c>
      <c r="I359" s="541"/>
      <c r="J359" s="130"/>
      <c r="K359" s="131"/>
      <c r="L359" s="129"/>
      <c r="M359" s="109"/>
      <c r="N359" s="130"/>
      <c r="O359" s="549"/>
      <c r="P359" s="549"/>
      <c r="Q359" s="549"/>
      <c r="R359" s="549"/>
      <c r="S359" s="549"/>
      <c r="T359" s="549"/>
      <c r="U359" s="549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30100061</v>
      </c>
      <c r="B360" s="134" t="s">
        <v>191</v>
      </c>
      <c r="C360" s="126" t="s">
        <v>193</v>
      </c>
      <c r="D360" s="108">
        <v>5.03</v>
      </c>
      <c r="E360" s="108"/>
      <c r="F360" s="126"/>
      <c r="G360" s="128"/>
      <c r="H360" s="541">
        <f t="shared" si="157"/>
        <v>0</v>
      </c>
      <c r="I360" s="541"/>
      <c r="J360" s="130"/>
      <c r="K360" s="131"/>
      <c r="L360" s="129"/>
      <c r="M360" s="109"/>
      <c r="N360" s="130"/>
      <c r="O360" s="549"/>
      <c r="P360" s="549"/>
      <c r="Q360" s="549"/>
      <c r="R360" s="549"/>
      <c r="S360" s="549"/>
      <c r="T360" s="549"/>
      <c r="U360" s="549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28"/>
      <c r="H361" s="541">
        <f t="shared" si="157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ref="M361:M369" si="162">IF(ISERROR(I361-K361),"",I361-K361)</f>
        <v>0</v>
      </c>
      <c r="N361" s="130">
        <f t="shared" ref="N361:N363" si="163">SUM(O361:U361)</f>
        <v>0</v>
      </c>
      <c r="O361" s="549"/>
      <c r="P361" s="549"/>
      <c r="Q361" s="549"/>
      <c r="R361" s="549"/>
      <c r="S361" s="549"/>
      <c r="T361" s="549"/>
      <c r="U361" s="549"/>
      <c r="V361" s="132">
        <f t="shared" ref="V361:V363" si="164">SUM(X361:AA361)</f>
        <v>0</v>
      </c>
      <c r="W361" s="133" t="str">
        <f t="shared" ref="W361:W363" si="165">IF(ISERROR(V361/G361),"",V361/G361)</f>
        <v/>
      </c>
      <c r="X361" s="132"/>
      <c r="Y361" s="132"/>
      <c r="Z361" s="132"/>
      <c r="AA361" s="132"/>
    </row>
    <row r="362" spans="1:27" ht="20.100000000000001" hidden="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28"/>
      <c r="H362" s="541">
        <f t="shared" si="157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2"/>
        <v>0</v>
      </c>
      <c r="N362" s="130">
        <f t="shared" si="163"/>
        <v>0</v>
      </c>
      <c r="O362" s="549"/>
      <c r="P362" s="549"/>
      <c r="Q362" s="549"/>
      <c r="R362" s="549"/>
      <c r="S362" s="549"/>
      <c r="T362" s="549"/>
      <c r="U362" s="549"/>
      <c r="V362" s="132">
        <f t="shared" si="164"/>
        <v>0</v>
      </c>
      <c r="W362" s="133" t="str">
        <f t="shared" si="165"/>
        <v/>
      </c>
      <c r="X362" s="132"/>
      <c r="Y362" s="132"/>
      <c r="Z362" s="132"/>
      <c r="AA362" s="132"/>
    </row>
    <row r="363" spans="1:27" ht="20.100000000000001" hidden="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28"/>
      <c r="H363" s="541">
        <f t="shared" si="157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2"/>
        <v>0</v>
      </c>
      <c r="N363" s="130">
        <f t="shared" si="163"/>
        <v>0</v>
      </c>
      <c r="O363" s="549"/>
      <c r="P363" s="549"/>
      <c r="Q363" s="549"/>
      <c r="R363" s="549"/>
      <c r="S363" s="549"/>
      <c r="T363" s="549"/>
      <c r="U363" s="549"/>
      <c r="V363" s="132">
        <f t="shared" si="164"/>
        <v>0</v>
      </c>
      <c r="W363" s="133" t="str">
        <f t="shared" si="165"/>
        <v/>
      </c>
      <c r="X363" s="132"/>
      <c r="Y363" s="132"/>
      <c r="Z363" s="132"/>
      <c r="AA363" s="132"/>
    </row>
    <row r="364" spans="1:27" ht="20.100000000000001" hidden="1" customHeight="1">
      <c r="A364" s="300">
        <v>30100003</v>
      </c>
      <c r="B364" s="141" t="s">
        <v>198</v>
      </c>
      <c r="C364" s="547" t="s">
        <v>190</v>
      </c>
      <c r="D364" s="108">
        <v>4.8</v>
      </c>
      <c r="E364" s="108"/>
      <c r="F364" s="127"/>
      <c r="G364" s="128"/>
      <c r="H364" s="541">
        <f t="shared" si="157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2"/>
        <v>0</v>
      </c>
      <c r="N364" s="130"/>
      <c r="O364" s="549"/>
      <c r="P364" s="549"/>
      <c r="Q364" s="549"/>
      <c r="R364" s="549"/>
      <c r="S364" s="549"/>
      <c r="T364" s="549"/>
      <c r="U364" s="549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30100004</v>
      </c>
      <c r="B365" s="141" t="s">
        <v>198</v>
      </c>
      <c r="C365" s="547" t="s">
        <v>187</v>
      </c>
      <c r="D365" s="108">
        <v>4.8</v>
      </c>
      <c r="E365" s="108"/>
      <c r="F365" s="127"/>
      <c r="G365" s="128"/>
      <c r="H365" s="541">
        <f t="shared" si="157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2"/>
        <v>0</v>
      </c>
      <c r="N365" s="130"/>
      <c r="O365" s="549"/>
      <c r="P365" s="549"/>
      <c r="Q365" s="549"/>
      <c r="R365" s="549"/>
      <c r="S365" s="549"/>
      <c r="T365" s="549"/>
      <c r="U365" s="549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30100006</v>
      </c>
      <c r="B366" s="141" t="s">
        <v>198</v>
      </c>
      <c r="C366" s="547" t="s">
        <v>179</v>
      </c>
      <c r="D366" s="108">
        <v>4.8</v>
      </c>
      <c r="E366" s="108"/>
      <c r="F366" s="127"/>
      <c r="G366" s="128"/>
      <c r="H366" s="541">
        <f t="shared" si="157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2"/>
        <v>0</v>
      </c>
      <c r="N366" s="130"/>
      <c r="O366" s="549"/>
      <c r="P366" s="549"/>
      <c r="Q366" s="549"/>
      <c r="R366" s="549"/>
      <c r="S366" s="549"/>
      <c r="T366" s="549"/>
      <c r="U366" s="549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0">
        <v>30100005</v>
      </c>
      <c r="B367" s="141" t="s">
        <v>198</v>
      </c>
      <c r="C367" s="547" t="s">
        <v>199</v>
      </c>
      <c r="D367" s="108">
        <v>4.8</v>
      </c>
      <c r="E367" s="108"/>
      <c r="F367" s="127"/>
      <c r="G367" s="128"/>
      <c r="H367" s="541">
        <f t="shared" si="157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2"/>
        <v>0</v>
      </c>
      <c r="N367" s="130"/>
      <c r="O367" s="549"/>
      <c r="P367" s="549"/>
      <c r="Q367" s="549"/>
      <c r="R367" s="549"/>
      <c r="S367" s="549"/>
      <c r="T367" s="549"/>
      <c r="U367" s="549"/>
      <c r="V367" s="132"/>
      <c r="W367" s="133"/>
      <c r="X367" s="132"/>
      <c r="Y367" s="132"/>
      <c r="Z367" s="132"/>
      <c r="AA367" s="132"/>
    </row>
    <row r="368" spans="1:27" ht="20.100000000000001" hidden="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28"/>
      <c r="H368" s="541">
        <f t="shared" si="157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2"/>
        <v>0</v>
      </c>
      <c r="N368" s="130">
        <f t="shared" ref="N368:N369" si="166">SUM(O368:U368)</f>
        <v>0</v>
      </c>
      <c r="O368" s="549"/>
      <c r="P368" s="549"/>
      <c r="Q368" s="549"/>
      <c r="R368" s="549"/>
      <c r="S368" s="549"/>
      <c r="T368" s="549"/>
      <c r="U368" s="549"/>
      <c r="V368" s="132">
        <f t="shared" ref="V368:V369" si="167">SUM(X368:AA368)</f>
        <v>0</v>
      </c>
      <c r="W368" s="133" t="str">
        <f t="shared" ref="W368:W369" si="168">IF(ISERROR(V368/G368),"",V368/G368)</f>
        <v/>
      </c>
      <c r="X368" s="132"/>
      <c r="Y368" s="132"/>
      <c r="Z368" s="132"/>
      <c r="AA368" s="132"/>
    </row>
    <row r="369" spans="1:27" ht="20.100000000000001" hidden="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28"/>
      <c r="H369" s="541">
        <f t="shared" si="157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2"/>
        <v>0</v>
      </c>
      <c r="N369" s="130">
        <f t="shared" si="166"/>
        <v>0</v>
      </c>
      <c r="O369" s="549"/>
      <c r="P369" s="549"/>
      <c r="Q369" s="549"/>
      <c r="R369" s="549"/>
      <c r="S369" s="549"/>
      <c r="T369" s="549"/>
      <c r="U369" s="549"/>
      <c r="V369" s="132">
        <f t="shared" si="167"/>
        <v>0</v>
      </c>
      <c r="W369" s="133" t="str">
        <f t="shared" si="168"/>
        <v/>
      </c>
      <c r="X369" s="132"/>
      <c r="Y369" s="132"/>
      <c r="Z369" s="132"/>
      <c r="AA369" s="132"/>
    </row>
    <row r="370" spans="1:27" ht="20.100000000000001" hidden="1" customHeight="1">
      <c r="A370" s="578" t="s">
        <v>201</v>
      </c>
      <c r="B370" s="579"/>
      <c r="C370" s="550" t="s">
        <v>202</v>
      </c>
      <c r="D370" s="143"/>
      <c r="E370" s="143"/>
      <c r="F370" s="144"/>
      <c r="G370" s="145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69">SUM(M349:M369)</f>
        <v>0</v>
      </c>
      <c r="N370" s="146">
        <f t="shared" si="169"/>
        <v>0</v>
      </c>
      <c r="O370" s="148">
        <f t="shared" si="169"/>
        <v>0</v>
      </c>
      <c r="P370" s="148">
        <f t="shared" si="169"/>
        <v>0</v>
      </c>
      <c r="Q370" s="148">
        <f t="shared" si="169"/>
        <v>0</v>
      </c>
      <c r="R370" s="148">
        <f t="shared" si="169"/>
        <v>0</v>
      </c>
      <c r="S370" s="148">
        <f t="shared" si="169"/>
        <v>0</v>
      </c>
      <c r="T370" s="148">
        <f t="shared" si="169"/>
        <v>0</v>
      </c>
      <c r="U370" s="148">
        <f t="shared" si="169"/>
        <v>0</v>
      </c>
      <c r="V370" s="149">
        <f t="shared" si="169"/>
        <v>0</v>
      </c>
      <c r="W370" s="133">
        <f t="shared" si="169"/>
        <v>0</v>
      </c>
      <c r="X370" s="149">
        <f t="shared" si="169"/>
        <v>0</v>
      </c>
      <c r="Y370" s="149">
        <f t="shared" si="169"/>
        <v>0</v>
      </c>
      <c r="Z370" s="149">
        <f t="shared" si="169"/>
        <v>0</v>
      </c>
      <c r="AA370" s="149">
        <f t="shared" si="169"/>
        <v>0</v>
      </c>
    </row>
    <row r="371" spans="1:27" ht="20.100000000000001" hidden="1" customHeight="1">
      <c r="A371" s="300">
        <v>30100012</v>
      </c>
      <c r="B371" s="540" t="s">
        <v>206</v>
      </c>
      <c r="C371" s="126" t="s">
        <v>199</v>
      </c>
      <c r="D371" s="108">
        <v>5.03</v>
      </c>
      <c r="E371" s="108"/>
      <c r="F371" s="127"/>
      <c r="G371" s="128"/>
      <c r="H371" s="541">
        <f t="shared" ref="H371:H427" si="170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" si="171">IF(ISERROR(I371-K371),"",I371-K371)</f>
        <v>0</v>
      </c>
      <c r="N371" s="130">
        <f t="shared" ref="N371" si="172">SUM(O371:U371)</f>
        <v>0</v>
      </c>
      <c r="O371" s="545"/>
      <c r="P371" s="545"/>
      <c r="Q371" s="545"/>
      <c r="R371" s="545"/>
      <c r="S371" s="545"/>
      <c r="T371" s="545"/>
      <c r="U371" s="545"/>
      <c r="V371" s="132">
        <f t="shared" ref="V371" si="173">SUM(X371:AA371)</f>
        <v>0</v>
      </c>
      <c r="W371" s="133" t="str">
        <f t="shared" ref="W371" si="174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30100011</v>
      </c>
      <c r="B372" s="540" t="s">
        <v>425</v>
      </c>
      <c r="C372" s="187" t="s">
        <v>427</v>
      </c>
      <c r="D372" s="108">
        <v>5.03</v>
      </c>
      <c r="E372" s="108"/>
      <c r="F372" s="127"/>
      <c r="G372" s="128"/>
      <c r="H372" s="541">
        <f t="shared" si="170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545"/>
      <c r="P372" s="545"/>
      <c r="Q372" s="545"/>
      <c r="R372" s="545"/>
      <c r="S372" s="545"/>
      <c r="T372" s="545"/>
      <c r="U372" s="545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0">
        <v>30100010</v>
      </c>
      <c r="B373" s="540" t="s">
        <v>206</v>
      </c>
      <c r="C373" s="126" t="s">
        <v>186</v>
      </c>
      <c r="D373" s="108">
        <v>5.03</v>
      </c>
      <c r="E373" s="108"/>
      <c r="F373" s="127"/>
      <c r="G373" s="128"/>
      <c r="H373" s="541">
        <f t="shared" si="170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ref="M373:M408" si="175">IF(ISERROR(I373-K373),"",I373-K373)</f>
        <v>0</v>
      </c>
      <c r="N373" s="130">
        <f t="shared" ref="N373:N375" si="176">SUM(O373:U373)</f>
        <v>0</v>
      </c>
      <c r="O373" s="545"/>
      <c r="P373" s="545"/>
      <c r="Q373" s="545"/>
      <c r="R373" s="545"/>
      <c r="S373" s="545"/>
      <c r="T373" s="545"/>
      <c r="U373" s="545"/>
      <c r="V373" s="132">
        <f t="shared" ref="V373:V375" si="177">SUM(X373:AA373)</f>
        <v>0</v>
      </c>
      <c r="W373" s="133" t="str">
        <f t="shared" ref="W373:W375" si="178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0">
        <v>30100014</v>
      </c>
      <c r="B374" s="540" t="s">
        <v>206</v>
      </c>
      <c r="C374" s="126" t="s">
        <v>203</v>
      </c>
      <c r="D374" s="108">
        <v>5.03</v>
      </c>
      <c r="E374" s="108"/>
      <c r="F374" s="127"/>
      <c r="G374" s="128"/>
      <c r="H374" s="541">
        <f t="shared" si="170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5"/>
        <v>0</v>
      </c>
      <c r="N374" s="130">
        <f t="shared" si="176"/>
        <v>0</v>
      </c>
      <c r="O374" s="545"/>
      <c r="P374" s="545"/>
      <c r="Q374" s="545"/>
      <c r="R374" s="545"/>
      <c r="S374" s="545"/>
      <c r="T374" s="545"/>
      <c r="U374" s="545"/>
      <c r="V374" s="132">
        <f t="shared" si="177"/>
        <v>0</v>
      </c>
      <c r="W374" s="133" t="str">
        <f t="shared" si="178"/>
        <v/>
      </c>
      <c r="X374" s="132"/>
      <c r="Y374" s="132"/>
      <c r="Z374" s="132"/>
      <c r="AA374" s="132"/>
    </row>
    <row r="375" spans="1:27" ht="20.100000000000001" hidden="1" customHeight="1">
      <c r="A375" s="300">
        <v>30100013</v>
      </c>
      <c r="B375" s="540" t="s">
        <v>206</v>
      </c>
      <c r="C375" s="126" t="s">
        <v>207</v>
      </c>
      <c r="D375" s="108">
        <v>5.03</v>
      </c>
      <c r="E375" s="108"/>
      <c r="F375" s="127"/>
      <c r="G375" s="128"/>
      <c r="H375" s="541">
        <f t="shared" si="170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5"/>
        <v>0</v>
      </c>
      <c r="N375" s="130">
        <f t="shared" si="176"/>
        <v>0</v>
      </c>
      <c r="O375" s="545"/>
      <c r="P375" s="545"/>
      <c r="Q375" s="545"/>
      <c r="R375" s="545"/>
      <c r="S375" s="545"/>
      <c r="T375" s="545"/>
      <c r="U375" s="545"/>
      <c r="V375" s="132">
        <f t="shared" si="177"/>
        <v>0</v>
      </c>
      <c r="W375" s="133" t="str">
        <f t="shared" si="178"/>
        <v/>
      </c>
      <c r="X375" s="132"/>
      <c r="Y375" s="132"/>
      <c r="Z375" s="132"/>
      <c r="AA375" s="132"/>
    </row>
    <row r="376" spans="1:27" ht="20.100000000000001" hidden="1" customHeight="1">
      <c r="A376" s="300">
        <v>30100016</v>
      </c>
      <c r="B376" s="540" t="s">
        <v>414</v>
      </c>
      <c r="C376" s="187" t="s">
        <v>415</v>
      </c>
      <c r="D376" s="108"/>
      <c r="E376" s="108"/>
      <c r="F376" s="127"/>
      <c r="G376" s="128"/>
      <c r="H376" s="541">
        <f t="shared" si="170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5"/>
        <v>0</v>
      </c>
      <c r="N376" s="130"/>
      <c r="O376" s="545"/>
      <c r="P376" s="545"/>
      <c r="Q376" s="545"/>
      <c r="R376" s="545"/>
      <c r="S376" s="545"/>
      <c r="T376" s="545"/>
      <c r="U376" s="545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30100017</v>
      </c>
      <c r="B377" s="540" t="s">
        <v>414</v>
      </c>
      <c r="C377" s="187" t="s">
        <v>416</v>
      </c>
      <c r="D377" s="108"/>
      <c r="E377" s="108"/>
      <c r="F377" s="127"/>
      <c r="G377" s="128"/>
      <c r="H377" s="541">
        <f t="shared" si="170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5"/>
        <v>0</v>
      </c>
      <c r="N377" s="130"/>
      <c r="O377" s="545"/>
      <c r="P377" s="545"/>
      <c r="Q377" s="545"/>
      <c r="R377" s="545"/>
      <c r="S377" s="545"/>
      <c r="T377" s="545"/>
      <c r="U377" s="545"/>
      <c r="V377" s="132"/>
      <c r="W377" s="133"/>
      <c r="X377" s="132"/>
      <c r="Y377" s="132"/>
      <c r="Z377" s="132"/>
      <c r="AA377" s="132"/>
    </row>
    <row r="378" spans="1:27" ht="20.100000000000001" hidden="1" customHeight="1">
      <c r="A378" s="300">
        <v>30100015</v>
      </c>
      <c r="B378" s="540" t="s">
        <v>414</v>
      </c>
      <c r="C378" s="187" t="s">
        <v>61</v>
      </c>
      <c r="D378" s="108"/>
      <c r="E378" s="108"/>
      <c r="F378" s="127"/>
      <c r="G378" s="128"/>
      <c r="H378" s="541">
        <f t="shared" si="170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5"/>
        <v>0</v>
      </c>
      <c r="N378" s="130"/>
      <c r="O378" s="545"/>
      <c r="P378" s="545"/>
      <c r="Q378" s="545"/>
      <c r="R378" s="545"/>
      <c r="S378" s="545"/>
      <c r="T378" s="545"/>
      <c r="U378" s="545"/>
      <c r="V378" s="132"/>
      <c r="W378" s="133"/>
      <c r="X378" s="132"/>
      <c r="Y378" s="132"/>
      <c r="Z378" s="132"/>
      <c r="AA378" s="132"/>
    </row>
    <row r="379" spans="1:27" ht="20.100000000000001" hidden="1" customHeight="1">
      <c r="A379" s="300">
        <v>30100027</v>
      </c>
      <c r="B379" s="540" t="s">
        <v>208</v>
      </c>
      <c r="C379" s="126" t="s">
        <v>179</v>
      </c>
      <c r="D379" s="108">
        <v>5.08</v>
      </c>
      <c r="E379" s="108"/>
      <c r="F379" s="127"/>
      <c r="G379" s="128"/>
      <c r="H379" s="541">
        <f t="shared" si="170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5"/>
        <v>0</v>
      </c>
      <c r="N379" s="130">
        <f t="shared" ref="N379:N394" si="179">SUM(O379:U379)</f>
        <v>0</v>
      </c>
      <c r="O379" s="545"/>
      <c r="P379" s="545"/>
      <c r="Q379" s="545"/>
      <c r="R379" s="545"/>
      <c r="S379" s="545"/>
      <c r="T379" s="545"/>
      <c r="U379" s="545"/>
      <c r="V379" s="132">
        <f t="shared" ref="V379:V390" si="180">SUM(X379:AA379)</f>
        <v>0</v>
      </c>
      <c r="W379" s="133" t="str">
        <f t="shared" ref="W379:W390" si="181">IF(ISERROR(V379/G379),"",V379/G379)</f>
        <v/>
      </c>
      <c r="X379" s="132"/>
      <c r="Y379" s="132"/>
      <c r="Z379" s="132"/>
      <c r="AA379" s="132"/>
    </row>
    <row r="380" spans="1:27" ht="20.100000000000001" hidden="1" customHeight="1">
      <c r="A380" s="300">
        <v>30100023</v>
      </c>
      <c r="B380" s="540" t="s">
        <v>208</v>
      </c>
      <c r="C380" s="126" t="s">
        <v>204</v>
      </c>
      <c r="D380" s="108">
        <v>5.08</v>
      </c>
      <c r="E380" s="108"/>
      <c r="F380" s="127"/>
      <c r="G380" s="128"/>
      <c r="H380" s="541">
        <f t="shared" si="170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5"/>
        <v>0</v>
      </c>
      <c r="N380" s="130">
        <f t="shared" si="179"/>
        <v>0</v>
      </c>
      <c r="O380" s="545"/>
      <c r="P380" s="545"/>
      <c r="Q380" s="545"/>
      <c r="R380" s="545"/>
      <c r="S380" s="545"/>
      <c r="T380" s="545"/>
      <c r="U380" s="545"/>
      <c r="V380" s="132">
        <f t="shared" si="180"/>
        <v>0</v>
      </c>
      <c r="W380" s="133" t="str">
        <f t="shared" si="181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30100024</v>
      </c>
      <c r="B381" s="540" t="s">
        <v>208</v>
      </c>
      <c r="C381" s="126" t="s">
        <v>205</v>
      </c>
      <c r="D381" s="108">
        <v>5.08</v>
      </c>
      <c r="E381" s="108"/>
      <c r="F381" s="127"/>
      <c r="G381" s="128"/>
      <c r="H381" s="541">
        <f t="shared" si="170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5"/>
        <v>0</v>
      </c>
      <c r="N381" s="130">
        <f t="shared" si="179"/>
        <v>0</v>
      </c>
      <c r="O381" s="545"/>
      <c r="P381" s="545"/>
      <c r="Q381" s="545"/>
      <c r="R381" s="545"/>
      <c r="S381" s="545"/>
      <c r="T381" s="545"/>
      <c r="U381" s="545"/>
      <c r="V381" s="132">
        <f t="shared" si="180"/>
        <v>0</v>
      </c>
      <c r="W381" s="133" t="str">
        <f t="shared" si="181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30100022</v>
      </c>
      <c r="B382" s="540" t="s">
        <v>208</v>
      </c>
      <c r="C382" s="126" t="s">
        <v>186</v>
      </c>
      <c r="D382" s="108">
        <v>5.08</v>
      </c>
      <c r="E382" s="108"/>
      <c r="F382" s="127"/>
      <c r="G382" s="128"/>
      <c r="H382" s="541">
        <f t="shared" si="170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5"/>
        <v>0</v>
      </c>
      <c r="N382" s="130">
        <f t="shared" si="179"/>
        <v>0</v>
      </c>
      <c r="O382" s="545"/>
      <c r="P382" s="545"/>
      <c r="Q382" s="545"/>
      <c r="R382" s="545"/>
      <c r="S382" s="545"/>
      <c r="T382" s="545"/>
      <c r="U382" s="545"/>
      <c r="V382" s="132">
        <f t="shared" si="180"/>
        <v>0</v>
      </c>
      <c r="W382" s="133" t="str">
        <f t="shared" si="181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30100029</v>
      </c>
      <c r="B383" s="540" t="s">
        <v>208</v>
      </c>
      <c r="C383" s="126" t="s">
        <v>203</v>
      </c>
      <c r="D383" s="108">
        <v>5.08</v>
      </c>
      <c r="E383" s="108"/>
      <c r="F383" s="127"/>
      <c r="G383" s="128"/>
      <c r="H383" s="541">
        <f t="shared" si="170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5"/>
        <v>0</v>
      </c>
      <c r="N383" s="130">
        <f t="shared" si="179"/>
        <v>0</v>
      </c>
      <c r="O383" s="545"/>
      <c r="P383" s="545"/>
      <c r="Q383" s="545"/>
      <c r="R383" s="545"/>
      <c r="S383" s="545"/>
      <c r="T383" s="545"/>
      <c r="U383" s="545"/>
      <c r="V383" s="132">
        <f t="shared" si="180"/>
        <v>0</v>
      </c>
      <c r="W383" s="133" t="str">
        <f t="shared" si="181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30100026</v>
      </c>
      <c r="B384" s="540" t="s">
        <v>208</v>
      </c>
      <c r="C384" s="126" t="s">
        <v>199</v>
      </c>
      <c r="D384" s="108">
        <v>5.08</v>
      </c>
      <c r="E384" s="108"/>
      <c r="F384" s="127"/>
      <c r="G384" s="128"/>
      <c r="H384" s="541">
        <f t="shared" si="170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5"/>
        <v>0</v>
      </c>
      <c r="N384" s="130">
        <f t="shared" si="179"/>
        <v>0</v>
      </c>
      <c r="O384" s="549"/>
      <c r="P384" s="549"/>
      <c r="Q384" s="549"/>
      <c r="R384" s="549"/>
      <c r="S384" s="549"/>
      <c r="T384" s="549"/>
      <c r="U384" s="549"/>
      <c r="V384" s="132">
        <f t="shared" si="180"/>
        <v>0</v>
      </c>
      <c r="W384" s="133" t="str">
        <f t="shared" si="181"/>
        <v/>
      </c>
      <c r="X384" s="132"/>
      <c r="Y384" s="132"/>
      <c r="Z384" s="132"/>
      <c r="AA384" s="132"/>
    </row>
    <row r="385" spans="1:27" ht="20.100000000000001" hidden="1" customHeight="1">
      <c r="A385" s="300">
        <v>30100025</v>
      </c>
      <c r="B385" s="540" t="s">
        <v>208</v>
      </c>
      <c r="C385" s="126" t="s">
        <v>187</v>
      </c>
      <c r="D385" s="108">
        <v>5.08</v>
      </c>
      <c r="E385" s="108"/>
      <c r="F385" s="127"/>
      <c r="G385" s="128"/>
      <c r="H385" s="541">
        <f t="shared" si="170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5"/>
        <v>0</v>
      </c>
      <c r="N385" s="130">
        <f t="shared" si="179"/>
        <v>0</v>
      </c>
      <c r="O385" s="545"/>
      <c r="P385" s="545"/>
      <c r="Q385" s="545"/>
      <c r="R385" s="545"/>
      <c r="S385" s="545"/>
      <c r="T385" s="545"/>
      <c r="U385" s="545"/>
      <c r="V385" s="132">
        <f t="shared" si="180"/>
        <v>0</v>
      </c>
      <c r="W385" s="133" t="str">
        <f t="shared" si="181"/>
        <v/>
      </c>
      <c r="X385" s="132"/>
      <c r="Y385" s="132"/>
      <c r="Z385" s="132"/>
      <c r="AA385" s="132"/>
    </row>
    <row r="386" spans="1:27" ht="20.100000000000001" hidden="1" customHeight="1">
      <c r="A386" s="300">
        <v>30100028</v>
      </c>
      <c r="B386" s="540" t="s">
        <v>208</v>
      </c>
      <c r="C386" s="126" t="s">
        <v>207</v>
      </c>
      <c r="D386" s="108">
        <v>5.08</v>
      </c>
      <c r="E386" s="108"/>
      <c r="F386" s="127"/>
      <c r="G386" s="128"/>
      <c r="H386" s="541">
        <f t="shared" si="170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5"/>
        <v>0</v>
      </c>
      <c r="N386" s="130">
        <f t="shared" si="179"/>
        <v>0</v>
      </c>
      <c r="O386" s="549"/>
      <c r="P386" s="549"/>
      <c r="Q386" s="549"/>
      <c r="R386" s="549"/>
      <c r="S386" s="549"/>
      <c r="T386" s="549"/>
      <c r="U386" s="549"/>
      <c r="V386" s="132">
        <f t="shared" si="180"/>
        <v>0</v>
      </c>
      <c r="W386" s="133" t="str">
        <f t="shared" si="181"/>
        <v/>
      </c>
      <c r="X386" s="132"/>
      <c r="Y386" s="132"/>
      <c r="Z386" s="132"/>
      <c r="AA386" s="132"/>
    </row>
    <row r="387" spans="1:27" ht="20.100000000000001" hidden="1" customHeight="1">
      <c r="A387" s="300">
        <v>30100032</v>
      </c>
      <c r="B387" s="540" t="s">
        <v>209</v>
      </c>
      <c r="C387" s="126" t="s">
        <v>194</v>
      </c>
      <c r="D387" s="108">
        <v>5.03</v>
      </c>
      <c r="E387" s="108"/>
      <c r="F387" s="127"/>
      <c r="G387" s="128"/>
      <c r="H387" s="541">
        <f t="shared" si="170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5"/>
        <v>0</v>
      </c>
      <c r="N387" s="130">
        <f t="shared" si="179"/>
        <v>0</v>
      </c>
      <c r="O387" s="545"/>
      <c r="P387" s="545"/>
      <c r="Q387" s="545"/>
      <c r="R387" s="545"/>
      <c r="S387" s="545"/>
      <c r="T387" s="545"/>
      <c r="U387" s="545"/>
      <c r="V387" s="132">
        <f t="shared" si="180"/>
        <v>0</v>
      </c>
      <c r="W387" s="133" t="str">
        <f t="shared" si="181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30100033</v>
      </c>
      <c r="B388" s="540" t="s">
        <v>209</v>
      </c>
      <c r="C388" s="126" t="s">
        <v>179</v>
      </c>
      <c r="D388" s="108">
        <v>5.03</v>
      </c>
      <c r="E388" s="108"/>
      <c r="F388" s="127"/>
      <c r="G388" s="128"/>
      <c r="H388" s="541">
        <f t="shared" si="170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5"/>
        <v>0</v>
      </c>
      <c r="N388" s="130">
        <f t="shared" si="179"/>
        <v>0</v>
      </c>
      <c r="O388" s="545"/>
      <c r="P388" s="545"/>
      <c r="Q388" s="545"/>
      <c r="R388" s="545"/>
      <c r="S388" s="545"/>
      <c r="T388" s="545"/>
      <c r="U388" s="545"/>
      <c r="V388" s="132">
        <f t="shared" si="180"/>
        <v>0</v>
      </c>
      <c r="W388" s="133" t="str">
        <f t="shared" si="181"/>
        <v/>
      </c>
      <c r="X388" s="132"/>
      <c r="Y388" s="132"/>
      <c r="Z388" s="132"/>
      <c r="AA388" s="132"/>
    </row>
    <row r="389" spans="1:27" ht="20.100000000000001" hidden="1" customHeight="1">
      <c r="A389" s="300">
        <v>30100062</v>
      </c>
      <c r="B389" s="540" t="s">
        <v>209</v>
      </c>
      <c r="C389" s="126" t="s">
        <v>195</v>
      </c>
      <c r="D389" s="108">
        <v>5.03</v>
      </c>
      <c r="E389" s="108"/>
      <c r="F389" s="127"/>
      <c r="G389" s="128"/>
      <c r="H389" s="541">
        <f t="shared" si="170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5"/>
        <v>0</v>
      </c>
      <c r="N389" s="130">
        <f t="shared" si="179"/>
        <v>0</v>
      </c>
      <c r="O389" s="545"/>
      <c r="P389" s="545"/>
      <c r="Q389" s="545"/>
      <c r="R389" s="545"/>
      <c r="S389" s="545"/>
      <c r="T389" s="545"/>
      <c r="U389" s="545"/>
      <c r="V389" s="132">
        <f t="shared" si="180"/>
        <v>0</v>
      </c>
      <c r="W389" s="133" t="str">
        <f t="shared" si="181"/>
        <v/>
      </c>
      <c r="X389" s="132"/>
      <c r="Y389" s="132"/>
      <c r="Z389" s="132"/>
      <c r="AA389" s="132"/>
    </row>
    <row r="390" spans="1:27" ht="20.100000000000001" hidden="1" customHeight="1">
      <c r="A390" s="300">
        <v>30100031</v>
      </c>
      <c r="B390" s="540" t="s">
        <v>209</v>
      </c>
      <c r="C390" s="126" t="s">
        <v>204</v>
      </c>
      <c r="D390" s="108">
        <v>5.03</v>
      </c>
      <c r="E390" s="108"/>
      <c r="F390" s="127"/>
      <c r="G390" s="128"/>
      <c r="H390" s="541">
        <f t="shared" si="170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5"/>
        <v>0</v>
      </c>
      <c r="N390" s="130">
        <f t="shared" si="179"/>
        <v>0</v>
      </c>
      <c r="O390" s="545"/>
      <c r="P390" s="545"/>
      <c r="Q390" s="545"/>
      <c r="R390" s="545"/>
      <c r="S390" s="545"/>
      <c r="T390" s="545"/>
      <c r="U390" s="545"/>
      <c r="V390" s="132">
        <f t="shared" si="180"/>
        <v>0</v>
      </c>
      <c r="W390" s="133" t="str">
        <f t="shared" si="181"/>
        <v/>
      </c>
      <c r="X390" s="132"/>
      <c r="Y390" s="132"/>
      <c r="Z390" s="132"/>
      <c r="AA390" s="132"/>
    </row>
    <row r="391" spans="1:27" ht="20.100000000000001" hidden="1" customHeight="1">
      <c r="A391" s="300">
        <v>30100019</v>
      </c>
      <c r="B391" s="540" t="s">
        <v>382</v>
      </c>
      <c r="C391" s="187" t="s">
        <v>383</v>
      </c>
      <c r="D391" s="108">
        <v>5.03</v>
      </c>
      <c r="E391" s="108"/>
      <c r="F391" s="127"/>
      <c r="G391" s="128"/>
      <c r="H391" s="541">
        <f t="shared" si="170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5"/>
        <v>0</v>
      </c>
      <c r="N391" s="130">
        <f t="shared" si="179"/>
        <v>0</v>
      </c>
      <c r="O391" s="545"/>
      <c r="P391" s="545"/>
      <c r="Q391" s="545"/>
      <c r="R391" s="545"/>
      <c r="S391" s="545"/>
      <c r="T391" s="545"/>
      <c r="U391" s="545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30100020</v>
      </c>
      <c r="B392" s="540" t="s">
        <v>382</v>
      </c>
      <c r="C392" s="187" t="s">
        <v>384</v>
      </c>
      <c r="D392" s="108">
        <v>5.03</v>
      </c>
      <c r="E392" s="108"/>
      <c r="F392" s="127"/>
      <c r="G392" s="128"/>
      <c r="H392" s="541">
        <f t="shared" si="170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5"/>
        <v>0</v>
      </c>
      <c r="N392" s="130">
        <f t="shared" si="179"/>
        <v>0</v>
      </c>
      <c r="O392" s="545"/>
      <c r="P392" s="545"/>
      <c r="Q392" s="545"/>
      <c r="R392" s="545"/>
      <c r="S392" s="545"/>
      <c r="T392" s="545"/>
      <c r="U392" s="545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0">
        <v>30100021</v>
      </c>
      <c r="B393" s="540" t="s">
        <v>382</v>
      </c>
      <c r="C393" s="187" t="s">
        <v>389</v>
      </c>
      <c r="D393" s="108">
        <v>5.03</v>
      </c>
      <c r="E393" s="108"/>
      <c r="F393" s="127"/>
      <c r="G393" s="128"/>
      <c r="H393" s="541">
        <f t="shared" si="170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5"/>
        <v>0</v>
      </c>
      <c r="N393" s="130">
        <f t="shared" si="179"/>
        <v>0</v>
      </c>
      <c r="O393" s="545"/>
      <c r="P393" s="545"/>
      <c r="Q393" s="545"/>
      <c r="R393" s="545"/>
      <c r="S393" s="545"/>
      <c r="T393" s="545"/>
      <c r="U393" s="545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0">
        <v>30100018</v>
      </c>
      <c r="B394" s="540" t="s">
        <v>382</v>
      </c>
      <c r="C394" s="187" t="s">
        <v>391</v>
      </c>
      <c r="D394" s="108">
        <v>5.03</v>
      </c>
      <c r="E394" s="108"/>
      <c r="F394" s="127"/>
      <c r="G394" s="128"/>
      <c r="H394" s="541">
        <f t="shared" si="170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5"/>
        <v>0</v>
      </c>
      <c r="N394" s="130">
        <f t="shared" si="179"/>
        <v>0</v>
      </c>
      <c r="O394" s="545"/>
      <c r="P394" s="545"/>
      <c r="Q394" s="545"/>
      <c r="R394" s="545"/>
      <c r="S394" s="545"/>
      <c r="T394" s="545"/>
      <c r="U394" s="545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30700007</v>
      </c>
      <c r="B395" s="540" t="s">
        <v>418</v>
      </c>
      <c r="C395" s="187" t="s">
        <v>364</v>
      </c>
      <c r="D395" s="108">
        <v>5.03</v>
      </c>
      <c r="E395" s="108"/>
      <c r="F395" s="127"/>
      <c r="G395" s="128"/>
      <c r="H395" s="541">
        <f t="shared" si="170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5"/>
        <v>0</v>
      </c>
      <c r="N395" s="130"/>
      <c r="O395" s="545"/>
      <c r="P395" s="545"/>
      <c r="Q395" s="545"/>
      <c r="R395" s="545"/>
      <c r="S395" s="545"/>
      <c r="T395" s="545"/>
      <c r="U395" s="545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30700006</v>
      </c>
      <c r="B396" s="540" t="s">
        <v>418</v>
      </c>
      <c r="C396" s="187" t="s">
        <v>365</v>
      </c>
      <c r="D396" s="108">
        <v>5.03</v>
      </c>
      <c r="E396" s="108"/>
      <c r="F396" s="127"/>
      <c r="G396" s="128"/>
      <c r="H396" s="541">
        <f t="shared" si="170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5"/>
        <v>0</v>
      </c>
      <c r="N396" s="130"/>
      <c r="O396" s="545"/>
      <c r="P396" s="545"/>
      <c r="Q396" s="545"/>
      <c r="R396" s="545"/>
      <c r="S396" s="545"/>
      <c r="T396" s="545"/>
      <c r="U396" s="545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3">
        <v>30700008</v>
      </c>
      <c r="B397" s="540" t="s">
        <v>418</v>
      </c>
      <c r="C397" s="187" t="s">
        <v>366</v>
      </c>
      <c r="D397" s="108">
        <v>5.03</v>
      </c>
      <c r="E397" s="108"/>
      <c r="F397" s="127"/>
      <c r="G397" s="128"/>
      <c r="H397" s="541">
        <f t="shared" si="170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5"/>
        <v>0</v>
      </c>
      <c r="N397" s="130"/>
      <c r="O397" s="545"/>
      <c r="P397" s="545"/>
      <c r="Q397" s="545"/>
      <c r="R397" s="545"/>
      <c r="S397" s="545"/>
      <c r="T397" s="545"/>
      <c r="U397" s="545"/>
      <c r="V397" s="132"/>
      <c r="W397" s="133"/>
      <c r="X397" s="132"/>
      <c r="Y397" s="132"/>
      <c r="Z397" s="132"/>
      <c r="AA397" s="132"/>
    </row>
    <row r="398" spans="1:27" ht="20.100000000000001" hidden="1" customHeight="1">
      <c r="A398" s="303">
        <v>30700009</v>
      </c>
      <c r="B398" s="540" t="s">
        <v>418</v>
      </c>
      <c r="C398" s="187" t="s">
        <v>367</v>
      </c>
      <c r="D398" s="108">
        <v>5.03</v>
      </c>
      <c r="E398" s="108"/>
      <c r="F398" s="127"/>
      <c r="G398" s="128"/>
      <c r="H398" s="541">
        <f t="shared" si="170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5"/>
        <v>0</v>
      </c>
      <c r="N398" s="130"/>
      <c r="O398" s="545"/>
      <c r="P398" s="545"/>
      <c r="Q398" s="545"/>
      <c r="R398" s="545"/>
      <c r="S398" s="545"/>
      <c r="T398" s="545"/>
      <c r="U398" s="545"/>
      <c r="V398" s="132"/>
      <c r="W398" s="133"/>
      <c r="X398" s="132"/>
      <c r="Y398" s="132"/>
      <c r="Z398" s="132"/>
      <c r="AA398" s="132"/>
    </row>
    <row r="399" spans="1:27" ht="20.100000000000001" hidden="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28"/>
      <c r="H399" s="541">
        <f t="shared" si="170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5"/>
        <v>0</v>
      </c>
      <c r="N399" s="130">
        <f t="shared" ref="N399:N408" si="182">SUM(O399:U399)</f>
        <v>0</v>
      </c>
      <c r="O399" s="549"/>
      <c r="P399" s="549"/>
      <c r="Q399" s="549"/>
      <c r="R399" s="549"/>
      <c r="S399" s="549"/>
      <c r="T399" s="549"/>
      <c r="U399" s="549"/>
      <c r="V399" s="132">
        <f t="shared" ref="V399:V408" si="183">SUM(X399:AA399)</f>
        <v>0</v>
      </c>
      <c r="W399" s="133" t="str">
        <f t="shared" ref="W399:W408" si="184">IF(ISERROR(V399/G399),"",V399/G399)</f>
        <v/>
      </c>
      <c r="X399" s="132"/>
      <c r="Y399" s="132"/>
      <c r="Z399" s="132"/>
      <c r="AA399" s="132"/>
    </row>
    <row r="400" spans="1:27" ht="20.100000000000001" hidden="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28"/>
      <c r="H400" s="541">
        <f t="shared" si="170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75"/>
        <v>0</v>
      </c>
      <c r="N400" s="130">
        <f t="shared" si="182"/>
        <v>0</v>
      </c>
      <c r="O400" s="549"/>
      <c r="P400" s="549"/>
      <c r="Q400" s="549"/>
      <c r="R400" s="549"/>
      <c r="S400" s="549"/>
      <c r="T400" s="549"/>
      <c r="U400" s="549"/>
      <c r="V400" s="132">
        <f t="shared" si="183"/>
        <v>0</v>
      </c>
      <c r="W400" s="133" t="str">
        <f t="shared" si="184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28"/>
      <c r="H401" s="541">
        <f t="shared" si="170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75"/>
        <v>0</v>
      </c>
      <c r="N401" s="130">
        <f t="shared" si="182"/>
        <v>0</v>
      </c>
      <c r="O401" s="549"/>
      <c r="P401" s="549"/>
      <c r="Q401" s="549"/>
      <c r="R401" s="549"/>
      <c r="S401" s="549"/>
      <c r="T401" s="549"/>
      <c r="U401" s="549"/>
      <c r="V401" s="132">
        <f t="shared" si="183"/>
        <v>0</v>
      </c>
      <c r="W401" s="133" t="str">
        <f t="shared" si="184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28"/>
      <c r="H402" s="541">
        <f t="shared" si="170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5"/>
        <v>0</v>
      </c>
      <c r="N402" s="130">
        <f t="shared" si="182"/>
        <v>0</v>
      </c>
      <c r="O402" s="549"/>
      <c r="P402" s="549"/>
      <c r="Q402" s="549"/>
      <c r="R402" s="549"/>
      <c r="S402" s="549"/>
      <c r="T402" s="549"/>
      <c r="U402" s="549"/>
      <c r="V402" s="132">
        <f t="shared" si="183"/>
        <v>0</v>
      </c>
      <c r="W402" s="133" t="str">
        <f t="shared" si="184"/>
        <v/>
      </c>
      <c r="X402" s="132"/>
      <c r="Y402" s="132"/>
      <c r="Z402" s="132"/>
      <c r="AA402" s="132"/>
    </row>
    <row r="403" spans="1:27" ht="20.100000000000001" hidden="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28"/>
      <c r="H403" s="541">
        <f t="shared" si="170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5"/>
        <v>0</v>
      </c>
      <c r="N403" s="130">
        <f t="shared" si="182"/>
        <v>0</v>
      </c>
      <c r="O403" s="549"/>
      <c r="P403" s="549"/>
      <c r="Q403" s="549"/>
      <c r="R403" s="549"/>
      <c r="S403" s="549"/>
      <c r="T403" s="549"/>
      <c r="U403" s="549"/>
      <c r="V403" s="132">
        <f t="shared" si="183"/>
        <v>0</v>
      </c>
      <c r="W403" s="133" t="str">
        <f t="shared" si="184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28"/>
      <c r="H404" s="541">
        <f t="shared" si="170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5"/>
        <v>0</v>
      </c>
      <c r="N404" s="130">
        <f t="shared" si="182"/>
        <v>0</v>
      </c>
      <c r="O404" s="549"/>
      <c r="P404" s="549"/>
      <c r="Q404" s="549"/>
      <c r="R404" s="549"/>
      <c r="S404" s="549"/>
      <c r="T404" s="549"/>
      <c r="U404" s="549"/>
      <c r="V404" s="132">
        <f t="shared" si="183"/>
        <v>0</v>
      </c>
      <c r="W404" s="133" t="str">
        <f t="shared" si="184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28"/>
      <c r="H405" s="541">
        <f t="shared" si="170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5"/>
        <v>0</v>
      </c>
      <c r="N405" s="130">
        <f t="shared" si="182"/>
        <v>0</v>
      </c>
      <c r="O405" s="549"/>
      <c r="P405" s="549"/>
      <c r="Q405" s="549"/>
      <c r="R405" s="549"/>
      <c r="S405" s="549"/>
      <c r="T405" s="549"/>
      <c r="U405" s="549"/>
      <c r="V405" s="132">
        <f t="shared" si="183"/>
        <v>0</v>
      </c>
      <c r="W405" s="133" t="str">
        <f t="shared" si="184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28"/>
      <c r="H406" s="541">
        <f t="shared" si="170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5"/>
        <v>0</v>
      </c>
      <c r="N406" s="130">
        <f t="shared" si="182"/>
        <v>0</v>
      </c>
      <c r="O406" s="549"/>
      <c r="P406" s="549"/>
      <c r="Q406" s="549"/>
      <c r="R406" s="549"/>
      <c r="S406" s="549"/>
      <c r="T406" s="549"/>
      <c r="U406" s="549"/>
      <c r="V406" s="132">
        <f t="shared" si="183"/>
        <v>0</v>
      </c>
      <c r="W406" s="133" t="str">
        <f t="shared" si="184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28"/>
      <c r="H407" s="541">
        <f t="shared" si="170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75"/>
        <v>0</v>
      </c>
      <c r="N407" s="130">
        <f t="shared" si="182"/>
        <v>0</v>
      </c>
      <c r="O407" s="549"/>
      <c r="P407" s="549"/>
      <c r="Q407" s="549"/>
      <c r="R407" s="549"/>
      <c r="S407" s="549"/>
      <c r="T407" s="549"/>
      <c r="U407" s="549"/>
      <c r="V407" s="132">
        <f t="shared" si="183"/>
        <v>0</v>
      </c>
      <c r="W407" s="133" t="str">
        <f t="shared" si="184"/>
        <v/>
      </c>
      <c r="X407" s="132"/>
      <c r="Y407" s="132"/>
      <c r="Z407" s="132"/>
      <c r="AA407" s="132"/>
    </row>
    <row r="408" spans="1:27" ht="20.100000000000001" hidden="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28"/>
      <c r="H408" s="541">
        <f t="shared" si="170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75"/>
        <v>0</v>
      </c>
      <c r="N408" s="130">
        <f t="shared" si="182"/>
        <v>0</v>
      </c>
      <c r="O408" s="549"/>
      <c r="P408" s="549"/>
      <c r="Q408" s="549"/>
      <c r="R408" s="549"/>
      <c r="S408" s="549"/>
      <c r="T408" s="549"/>
      <c r="U408" s="549"/>
      <c r="V408" s="132">
        <f t="shared" si="183"/>
        <v>0</v>
      </c>
      <c r="W408" s="133" t="str">
        <f t="shared" si="184"/>
        <v/>
      </c>
      <c r="X408" s="132"/>
      <c r="Y408" s="132"/>
      <c r="Z408" s="132"/>
      <c r="AA408" s="132"/>
    </row>
    <row r="409" spans="1:27" ht="20.100000000000001" hidden="1" customHeight="1">
      <c r="A409" s="300">
        <v>30100043</v>
      </c>
      <c r="B409" s="134" t="s">
        <v>429</v>
      </c>
      <c r="C409" s="187" t="s">
        <v>427</v>
      </c>
      <c r="D409" s="108">
        <v>50.3</v>
      </c>
      <c r="E409" s="108"/>
      <c r="F409" s="127"/>
      <c r="G409" s="128"/>
      <c r="H409" s="541">
        <f t="shared" si="170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549"/>
      <c r="P409" s="549"/>
      <c r="Q409" s="549"/>
      <c r="R409" s="549"/>
      <c r="S409" s="549"/>
      <c r="T409" s="549"/>
      <c r="U409" s="549"/>
      <c r="V409" s="132"/>
      <c r="W409" s="133"/>
      <c r="X409" s="132"/>
      <c r="Y409" s="132"/>
      <c r="Z409" s="132"/>
      <c r="AA409" s="132"/>
    </row>
    <row r="410" spans="1:27" ht="20.100000000000001" hidden="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28"/>
      <c r="H410" s="541">
        <f t="shared" si="170"/>
        <v>0</v>
      </c>
      <c r="I410" s="129"/>
      <c r="J410" s="130"/>
      <c r="K410" s="131"/>
      <c r="L410" s="129">
        <v>50</v>
      </c>
      <c r="M410" s="109"/>
      <c r="N410" s="130"/>
      <c r="O410" s="549"/>
      <c r="P410" s="549"/>
      <c r="Q410" s="549"/>
      <c r="R410" s="549"/>
      <c r="S410" s="549"/>
      <c r="T410" s="549"/>
      <c r="U410" s="549"/>
      <c r="V410" s="132"/>
      <c r="W410" s="133"/>
      <c r="X410" s="132"/>
      <c r="Y410" s="132"/>
      <c r="Z410" s="132"/>
      <c r="AA410" s="132"/>
    </row>
    <row r="411" spans="1:27" ht="20.100000000000001" hidden="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28"/>
      <c r="H411" s="541">
        <f t="shared" si="170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5">IF(ISERROR(I411-K411),"",I411-K411)</f>
        <v>0</v>
      </c>
      <c r="N411" s="130">
        <f t="shared" ref="N411:N412" si="186">SUM(O411:U411)</f>
        <v>0</v>
      </c>
      <c r="O411" s="549"/>
      <c r="P411" s="549"/>
      <c r="Q411" s="549"/>
      <c r="R411" s="549"/>
      <c r="S411" s="549"/>
      <c r="T411" s="549"/>
      <c r="U411" s="549"/>
      <c r="V411" s="132">
        <f t="shared" ref="V411:V412" si="187">SUM(X411:AA411)</f>
        <v>0</v>
      </c>
      <c r="W411" s="133" t="str">
        <f t="shared" ref="W411:W412" si="188">IF(ISERROR(V411/G411),"",V411/G411)</f>
        <v/>
      </c>
      <c r="X411" s="132"/>
      <c r="Y411" s="132"/>
      <c r="Z411" s="132"/>
      <c r="AA411" s="132"/>
    </row>
    <row r="412" spans="1:27" ht="20.100000000000001" hidden="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28"/>
      <c r="H412" s="541">
        <f t="shared" si="170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5"/>
        <v>0</v>
      </c>
      <c r="N412" s="130">
        <f t="shared" si="186"/>
        <v>0</v>
      </c>
      <c r="O412" s="549"/>
      <c r="P412" s="549"/>
      <c r="Q412" s="549"/>
      <c r="R412" s="549"/>
      <c r="S412" s="549"/>
      <c r="T412" s="549"/>
      <c r="U412" s="549"/>
      <c r="V412" s="132">
        <f t="shared" si="187"/>
        <v>0</v>
      </c>
      <c r="W412" s="133" t="str">
        <f t="shared" si="188"/>
        <v/>
      </c>
      <c r="X412" s="132"/>
      <c r="Y412" s="132"/>
      <c r="Z412" s="132"/>
      <c r="AA412" s="132"/>
    </row>
    <row r="413" spans="1:27" ht="20.100000000000001" hidden="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28"/>
      <c r="H413" s="541">
        <f t="shared" si="170"/>
        <v>0</v>
      </c>
      <c r="I413" s="129"/>
      <c r="J413" s="130"/>
      <c r="K413" s="131"/>
      <c r="L413" s="129"/>
      <c r="M413" s="109"/>
      <c r="N413" s="130"/>
      <c r="O413" s="549"/>
      <c r="P413" s="549"/>
      <c r="Q413" s="549"/>
      <c r="R413" s="549"/>
      <c r="S413" s="549"/>
      <c r="T413" s="549"/>
      <c r="U413" s="549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28"/>
      <c r="H414" s="541">
        <f t="shared" si="170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89">IF(ISERROR(I414-K414),"",I414-K414)</f>
        <v/>
      </c>
      <c r="N414" s="130">
        <f t="shared" ref="N414:N417" si="190">SUM(O414:U414)</f>
        <v>0</v>
      </c>
      <c r="O414" s="549"/>
      <c r="P414" s="549"/>
      <c r="Q414" s="549"/>
      <c r="R414" s="549"/>
      <c r="S414" s="549"/>
      <c r="T414" s="549"/>
      <c r="U414" s="549"/>
      <c r="V414" s="132">
        <f t="shared" ref="V414:V417" si="191">SUM(X414:AA414)</f>
        <v>0</v>
      </c>
      <c r="W414" s="133" t="str">
        <f t="shared" ref="W414:W417" si="192">IF(ISERROR(V414/G414),"",V414/G414)</f>
        <v/>
      </c>
      <c r="X414" s="132"/>
      <c r="Y414" s="132"/>
      <c r="Z414" s="132"/>
      <c r="AA414" s="132"/>
    </row>
    <row r="415" spans="1:27" ht="20.100000000000001" hidden="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28"/>
      <c r="H415" s="541">
        <f t="shared" si="170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89"/>
        <v/>
      </c>
      <c r="N415" s="130">
        <f t="shared" si="190"/>
        <v>0</v>
      </c>
      <c r="O415" s="549"/>
      <c r="P415" s="549"/>
      <c r="Q415" s="549"/>
      <c r="R415" s="549"/>
      <c r="S415" s="549"/>
      <c r="T415" s="549"/>
      <c r="U415" s="549"/>
      <c r="V415" s="132">
        <f t="shared" si="191"/>
        <v>0</v>
      </c>
      <c r="W415" s="133" t="str">
        <f t="shared" si="192"/>
        <v/>
      </c>
      <c r="X415" s="132"/>
      <c r="Y415" s="132"/>
      <c r="Z415" s="132"/>
      <c r="AA415" s="132"/>
    </row>
    <row r="416" spans="1:27" ht="20.100000000000001" hidden="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28"/>
      <c r="H416" s="541">
        <f t="shared" si="170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89"/>
        <v/>
      </c>
      <c r="N416" s="130">
        <f t="shared" si="190"/>
        <v>0</v>
      </c>
      <c r="O416" s="549"/>
      <c r="P416" s="549"/>
      <c r="Q416" s="549"/>
      <c r="R416" s="549"/>
      <c r="S416" s="549"/>
      <c r="T416" s="549"/>
      <c r="U416" s="549"/>
      <c r="V416" s="132">
        <f t="shared" si="191"/>
        <v>0</v>
      </c>
      <c r="W416" s="133" t="str">
        <f t="shared" si="192"/>
        <v/>
      </c>
      <c r="X416" s="132"/>
      <c r="Y416" s="132"/>
      <c r="Z416" s="132"/>
      <c r="AA416" s="132"/>
    </row>
    <row r="417" spans="1:27" ht="20.100000000000001" hidden="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28"/>
      <c r="H417" s="541">
        <f t="shared" si="170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89"/>
        <v/>
      </c>
      <c r="N417" s="130">
        <f t="shared" si="190"/>
        <v>0</v>
      </c>
      <c r="O417" s="549"/>
      <c r="P417" s="549"/>
      <c r="Q417" s="549"/>
      <c r="R417" s="549"/>
      <c r="S417" s="549"/>
      <c r="T417" s="549"/>
      <c r="U417" s="549"/>
      <c r="V417" s="132">
        <f t="shared" si="191"/>
        <v>0</v>
      </c>
      <c r="W417" s="133" t="str">
        <f t="shared" si="192"/>
        <v/>
      </c>
      <c r="X417" s="132"/>
      <c r="Y417" s="132"/>
      <c r="Z417" s="132"/>
      <c r="AA417" s="132"/>
    </row>
    <row r="418" spans="1:27" ht="20.100000000000001" hidden="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28"/>
      <c r="H418" s="541">
        <f t="shared" si="170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89"/>
        <v>0</v>
      </c>
      <c r="N418" s="130"/>
      <c r="O418" s="549"/>
      <c r="P418" s="549"/>
      <c r="Q418" s="549"/>
      <c r="R418" s="549"/>
      <c r="S418" s="549"/>
      <c r="T418" s="549"/>
      <c r="U418" s="549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28"/>
      <c r="H419" s="541">
        <f t="shared" si="170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89"/>
        <v>0</v>
      </c>
      <c r="N419" s="130"/>
      <c r="O419" s="549"/>
      <c r="P419" s="549"/>
      <c r="Q419" s="549"/>
      <c r="R419" s="549"/>
      <c r="S419" s="549"/>
      <c r="T419" s="549"/>
      <c r="U419" s="549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28"/>
      <c r="H420" s="541">
        <f t="shared" si="170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89"/>
        <v>0</v>
      </c>
      <c r="N420" s="130"/>
      <c r="O420" s="549"/>
      <c r="P420" s="549"/>
      <c r="Q420" s="549"/>
      <c r="R420" s="549"/>
      <c r="S420" s="549"/>
      <c r="T420" s="549"/>
      <c r="U420" s="549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28"/>
      <c r="H421" s="541">
        <f t="shared" si="170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89"/>
        <v>0</v>
      </c>
      <c r="N421" s="130"/>
      <c r="O421" s="549"/>
      <c r="P421" s="549"/>
      <c r="Q421" s="549"/>
      <c r="R421" s="549"/>
      <c r="S421" s="549"/>
      <c r="T421" s="549"/>
      <c r="U421" s="549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28"/>
      <c r="H422" s="541">
        <f t="shared" si="170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89"/>
        <v>0</v>
      </c>
      <c r="N422" s="130"/>
      <c r="O422" s="549"/>
      <c r="P422" s="549"/>
      <c r="Q422" s="549"/>
      <c r="R422" s="549"/>
      <c r="S422" s="549"/>
      <c r="T422" s="549"/>
      <c r="U422" s="549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28"/>
      <c r="H423" s="541">
        <f t="shared" si="170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89"/>
        <v>0</v>
      </c>
      <c r="N423" s="130"/>
      <c r="O423" s="549"/>
      <c r="P423" s="549"/>
      <c r="Q423" s="549"/>
      <c r="R423" s="549"/>
      <c r="S423" s="549"/>
      <c r="T423" s="549"/>
      <c r="U423" s="549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28"/>
      <c r="H424" s="541">
        <f t="shared" si="170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89"/>
        <v>0</v>
      </c>
      <c r="N424" s="130"/>
      <c r="O424" s="549"/>
      <c r="P424" s="549"/>
      <c r="Q424" s="549"/>
      <c r="R424" s="549"/>
      <c r="S424" s="549"/>
      <c r="T424" s="549"/>
      <c r="U424" s="549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28"/>
      <c r="H425" s="541">
        <f t="shared" si="170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89"/>
        <v>0</v>
      </c>
      <c r="N425" s="130"/>
      <c r="O425" s="549"/>
      <c r="P425" s="549"/>
      <c r="Q425" s="549"/>
      <c r="R425" s="549"/>
      <c r="S425" s="549"/>
      <c r="T425" s="549"/>
      <c r="U425" s="549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28"/>
      <c r="H426" s="541">
        <f t="shared" si="170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89"/>
        <v>0</v>
      </c>
      <c r="N426" s="130"/>
      <c r="O426" s="549"/>
      <c r="P426" s="549"/>
      <c r="Q426" s="549"/>
      <c r="R426" s="549"/>
      <c r="S426" s="549"/>
      <c r="T426" s="549"/>
      <c r="U426" s="549"/>
      <c r="V426" s="132"/>
      <c r="W426" s="133"/>
      <c r="X426" s="132"/>
      <c r="Y426" s="132"/>
      <c r="Z426" s="132"/>
      <c r="AA426" s="132"/>
    </row>
    <row r="427" spans="1:27" ht="20.100000000000001" hidden="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28"/>
      <c r="H427" s="541">
        <f t="shared" si="170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89"/>
        <v>0</v>
      </c>
      <c r="N427" s="130"/>
      <c r="O427" s="549"/>
      <c r="P427" s="549"/>
      <c r="Q427" s="549"/>
      <c r="R427" s="549"/>
      <c r="S427" s="549"/>
      <c r="T427" s="549"/>
      <c r="U427" s="549"/>
      <c r="V427" s="132"/>
      <c r="W427" s="133"/>
      <c r="X427" s="132"/>
      <c r="Y427" s="132"/>
      <c r="Z427" s="132"/>
      <c r="AA427" s="132"/>
    </row>
    <row r="428" spans="1:27" ht="20.100000000000001" hidden="1" customHeight="1">
      <c r="A428" s="649" t="s">
        <v>551</v>
      </c>
      <c r="B428" s="589"/>
      <c r="C428" s="550" t="s">
        <v>202</v>
      </c>
      <c r="D428" s="143"/>
      <c r="E428" s="143"/>
      <c r="F428" s="144"/>
      <c r="G428" s="145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3">SUM(M371:M427)</f>
        <v>0</v>
      </c>
      <c r="N428" s="146">
        <f t="shared" si="193"/>
        <v>0</v>
      </c>
      <c r="O428" s="148">
        <f t="shared" si="193"/>
        <v>0</v>
      </c>
      <c r="P428" s="148">
        <f t="shared" si="193"/>
        <v>0</v>
      </c>
      <c r="Q428" s="148">
        <f t="shared" si="193"/>
        <v>0</v>
      </c>
      <c r="R428" s="148">
        <f t="shared" si="193"/>
        <v>0</v>
      </c>
      <c r="S428" s="148">
        <f t="shared" si="193"/>
        <v>0</v>
      </c>
      <c r="T428" s="148">
        <f t="shared" si="193"/>
        <v>0</v>
      </c>
      <c r="U428" s="148">
        <f t="shared" si="193"/>
        <v>0</v>
      </c>
      <c r="V428" s="149">
        <f t="shared" si="193"/>
        <v>0</v>
      </c>
      <c r="W428" s="133" t="str">
        <f t="shared" ref="W428:W435" si="194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customHeight="1">
      <c r="A429" s="299">
        <v>30400012</v>
      </c>
      <c r="B429" s="540" t="s">
        <v>217</v>
      </c>
      <c r="C429" s="126" t="s">
        <v>179</v>
      </c>
      <c r="D429" s="108">
        <v>5.03</v>
      </c>
      <c r="E429" s="108"/>
      <c r="F429" s="127">
        <v>42743</v>
      </c>
      <c r="G429" s="128">
        <f>72+58</f>
        <v>130</v>
      </c>
      <c r="H429" s="541">
        <f t="shared" ref="H429:H462" si="195">D429*G429</f>
        <v>653.9</v>
      </c>
      <c r="I429" s="129">
        <f>6+7</f>
        <v>13</v>
      </c>
      <c r="J429" s="130">
        <f t="array" ref="J429">IF(ISERROR(G429/I429),"",G429/I429)</f>
        <v>10</v>
      </c>
      <c r="K429" s="131">
        <f t="array" ref="K429">IF(ISERROR(G429/L429),"",G429/L429)</f>
        <v>14.772727272727272</v>
      </c>
      <c r="L429" s="129">
        <v>8.8000000000000007</v>
      </c>
      <c r="M429" s="109">
        <f t="shared" ref="M429:M436" si="196">IF(ISERROR(I429-K429),"",I429-K429)</f>
        <v>-1.7727272727272716</v>
      </c>
      <c r="N429" s="130">
        <f t="shared" ref="N429:N436" si="197">SUM(O429:U429)</f>
        <v>0</v>
      </c>
      <c r="O429" s="549"/>
      <c r="P429" s="549"/>
      <c r="Q429" s="549"/>
      <c r="R429" s="549"/>
      <c r="S429" s="549"/>
      <c r="T429" s="549"/>
      <c r="U429" s="549"/>
      <c r="V429" s="132">
        <f t="shared" ref="V429:V435" si="198">SUM(X429:AA429)</f>
        <v>0</v>
      </c>
      <c r="W429" s="133">
        <f t="shared" si="194"/>
        <v>0</v>
      </c>
      <c r="X429" s="132"/>
      <c r="Y429" s="132"/>
      <c r="Z429" s="132"/>
      <c r="AA429" s="132"/>
    </row>
    <row r="430" spans="1:27" ht="20.100000000000001" hidden="1" customHeight="1">
      <c r="A430" s="299">
        <v>30400010</v>
      </c>
      <c r="B430" s="540" t="s">
        <v>217</v>
      </c>
      <c r="C430" s="126" t="s">
        <v>186</v>
      </c>
      <c r="D430" s="108">
        <v>5.03</v>
      </c>
      <c r="E430" s="108"/>
      <c r="F430" s="127"/>
      <c r="G430" s="128"/>
      <c r="H430" s="541">
        <f t="shared" si="195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8.8000000000000007</v>
      </c>
      <c r="M430" s="109">
        <f t="shared" si="196"/>
        <v>0</v>
      </c>
      <c r="N430" s="130">
        <f t="shared" si="197"/>
        <v>0</v>
      </c>
      <c r="O430" s="549"/>
      <c r="P430" s="549"/>
      <c r="Q430" s="549"/>
      <c r="R430" s="549"/>
      <c r="S430" s="549"/>
      <c r="T430" s="549"/>
      <c r="U430" s="549"/>
      <c r="V430" s="132">
        <f t="shared" si="198"/>
        <v>0</v>
      </c>
      <c r="W430" s="133" t="str">
        <f t="shared" si="194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30400011</v>
      </c>
      <c r="B431" s="540" t="s">
        <v>217</v>
      </c>
      <c r="C431" s="126" t="s">
        <v>204</v>
      </c>
      <c r="D431" s="108">
        <v>5.03</v>
      </c>
      <c r="E431" s="108"/>
      <c r="F431" s="127"/>
      <c r="G431" s="128"/>
      <c r="H431" s="541">
        <f t="shared" si="195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8.8000000000000007</v>
      </c>
      <c r="M431" s="109">
        <f t="shared" si="196"/>
        <v>0</v>
      </c>
      <c r="N431" s="130">
        <f t="shared" si="197"/>
        <v>0</v>
      </c>
      <c r="O431" s="549"/>
      <c r="P431" s="549"/>
      <c r="Q431" s="549"/>
      <c r="R431" s="549"/>
      <c r="S431" s="549"/>
      <c r="T431" s="549"/>
      <c r="U431" s="549"/>
      <c r="V431" s="132">
        <f t="shared" si="198"/>
        <v>0</v>
      </c>
      <c r="W431" s="133" t="str">
        <f t="shared" si="194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28"/>
      <c r="H432" s="541">
        <f t="shared" si="195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6"/>
        <v>0</v>
      </c>
      <c r="N432" s="130">
        <f t="shared" si="197"/>
        <v>0</v>
      </c>
      <c r="O432" s="549"/>
      <c r="P432" s="549"/>
      <c r="Q432" s="549"/>
      <c r="R432" s="549"/>
      <c r="S432" s="549"/>
      <c r="T432" s="549"/>
      <c r="U432" s="549"/>
      <c r="V432" s="132">
        <f t="shared" si="198"/>
        <v>0</v>
      </c>
      <c r="W432" s="133" t="str">
        <f t="shared" si="194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/>
      <c r="G433" s="128"/>
      <c r="H433" s="541">
        <f t="shared" si="195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6"/>
        <v>0</v>
      </c>
      <c r="N433" s="130">
        <f t="shared" si="197"/>
        <v>0</v>
      </c>
      <c r="O433" s="549"/>
      <c r="P433" s="549"/>
      <c r="Q433" s="549"/>
      <c r="R433" s="549"/>
      <c r="S433" s="549"/>
      <c r="T433" s="549"/>
      <c r="U433" s="549"/>
      <c r="V433" s="132">
        <f t="shared" si="198"/>
        <v>0</v>
      </c>
      <c r="W433" s="133" t="str">
        <f t="shared" si="194"/>
        <v/>
      </c>
      <c r="X433" s="132"/>
      <c r="Y433" s="132"/>
      <c r="Z433" s="132"/>
      <c r="AA433" s="132"/>
    </row>
    <row r="434" spans="1:27" ht="20.10000000000000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>
        <v>42745</v>
      </c>
      <c r="G434" s="128">
        <f>93+80</f>
        <v>173</v>
      </c>
      <c r="H434" s="541">
        <f t="shared" si="195"/>
        <v>870.19</v>
      </c>
      <c r="I434" s="129">
        <f>5*2+2*2</f>
        <v>14</v>
      </c>
      <c r="J434" s="130">
        <f t="array" ref="J434">IF(ISERROR(G434/I434),"",G434/I434)</f>
        <v>12.357142857142858</v>
      </c>
      <c r="K434" s="131">
        <f t="array" ref="K434">IF(ISERROR(G434/L434),"",G434/L434)</f>
        <v>18.602150537634408</v>
      </c>
      <c r="L434" s="129">
        <v>9.3000000000000007</v>
      </c>
      <c r="M434" s="109">
        <f t="shared" si="196"/>
        <v>-4.6021505376344081</v>
      </c>
      <c r="N434" s="130">
        <f t="shared" si="197"/>
        <v>0</v>
      </c>
      <c r="O434" s="549"/>
      <c r="P434" s="549"/>
      <c r="Q434" s="549"/>
      <c r="R434" s="549"/>
      <c r="S434" s="549"/>
      <c r="T434" s="549"/>
      <c r="U434" s="549"/>
      <c r="V434" s="132">
        <f t="shared" si="198"/>
        <v>0</v>
      </c>
      <c r="W434" s="133">
        <f t="shared" si="194"/>
        <v>0</v>
      </c>
      <c r="X434" s="132"/>
      <c r="Y434" s="132"/>
      <c r="Z434" s="132"/>
      <c r="AA434" s="132"/>
    </row>
    <row r="435" spans="1:27" ht="20.25" hidden="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/>
      <c r="G435" s="128"/>
      <c r="H435" s="541">
        <f t="shared" si="195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9.3000000000000007</v>
      </c>
      <c r="M435" s="109">
        <f t="shared" si="196"/>
        <v>0</v>
      </c>
      <c r="N435" s="130">
        <f t="shared" si="197"/>
        <v>0</v>
      </c>
      <c r="O435" s="549"/>
      <c r="P435" s="549"/>
      <c r="Q435" s="549"/>
      <c r="R435" s="549"/>
      <c r="S435" s="549"/>
      <c r="T435" s="549"/>
      <c r="U435" s="549"/>
      <c r="V435" s="132">
        <f t="shared" si="198"/>
        <v>0</v>
      </c>
      <c r="W435" s="133" t="str">
        <f t="shared" si="194"/>
        <v/>
      </c>
      <c r="X435" s="132"/>
      <c r="Y435" s="132"/>
      <c r="Z435" s="132"/>
      <c r="AA435" s="132"/>
    </row>
    <row r="436" spans="1:27" ht="20.25" hidden="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/>
      <c r="G436" s="128"/>
      <c r="H436" s="541">
        <f t="shared" si="195"/>
        <v>0</v>
      </c>
      <c r="I436" s="129"/>
      <c r="J436" s="130"/>
      <c r="K436" s="131">
        <f t="array" ref="K436">IF(ISERROR(G436/L436),"",G436/L436)</f>
        <v>0</v>
      </c>
      <c r="L436" s="129">
        <v>9.3000000000000007</v>
      </c>
      <c r="M436" s="109">
        <f t="shared" si="196"/>
        <v>0</v>
      </c>
      <c r="N436" s="130">
        <f t="shared" si="197"/>
        <v>0</v>
      </c>
      <c r="O436" s="549"/>
      <c r="P436" s="549"/>
      <c r="Q436" s="549"/>
      <c r="R436" s="549"/>
      <c r="S436" s="549"/>
      <c r="T436" s="549"/>
      <c r="U436" s="549"/>
      <c r="V436" s="132"/>
      <c r="W436" s="133"/>
      <c r="X436" s="132"/>
      <c r="Y436" s="132"/>
      <c r="Z436" s="132"/>
      <c r="AA436" s="132"/>
    </row>
    <row r="437" spans="1:27" ht="20.25" hidden="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28"/>
      <c r="H437" s="541">
        <f t="shared" si="195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549"/>
      <c r="P437" s="549"/>
      <c r="Q437" s="549"/>
      <c r="R437" s="549"/>
      <c r="S437" s="549"/>
      <c r="T437" s="549"/>
      <c r="U437" s="549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25" hidden="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28"/>
      <c r="H438" s="541">
        <f t="shared" si="195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549"/>
      <c r="P438" s="549"/>
      <c r="Q438" s="549"/>
      <c r="R438" s="549"/>
      <c r="S438" s="549"/>
      <c r="T438" s="549"/>
      <c r="U438" s="549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25" hidden="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28"/>
      <c r="H439" s="541">
        <f t="shared" si="195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549"/>
      <c r="P439" s="549"/>
      <c r="Q439" s="549"/>
      <c r="R439" s="549"/>
      <c r="S439" s="549"/>
      <c r="T439" s="549"/>
      <c r="U439" s="549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25" hidden="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28"/>
      <c r="H440" s="541">
        <f t="shared" si="195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549"/>
      <c r="P440" s="549"/>
      <c r="Q440" s="549"/>
      <c r="R440" s="549"/>
      <c r="S440" s="549"/>
      <c r="T440" s="549"/>
      <c r="U440" s="549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25" hidden="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28"/>
      <c r="H441" s="541">
        <f t="shared" si="195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2" si="199">IF(ISERROR(I441-K441),"",I441-K441)</f>
        <v>0</v>
      </c>
      <c r="N441" s="130">
        <f t="shared" ref="N441:N456" si="200">SUM(O441:U441)</f>
        <v>0</v>
      </c>
      <c r="O441" s="549"/>
      <c r="P441" s="549"/>
      <c r="Q441" s="549"/>
      <c r="R441" s="549"/>
      <c r="S441" s="549"/>
      <c r="T441" s="549"/>
      <c r="U441" s="549"/>
      <c r="V441" s="132">
        <f t="shared" ref="V441:V444" si="201">SUM(X441:AA441)</f>
        <v>0</v>
      </c>
      <c r="W441" s="133" t="str">
        <f t="shared" ref="W441:W448" si="202">IF(ISERROR(V441/G441),"",V441/G441)</f>
        <v/>
      </c>
      <c r="X441" s="132"/>
      <c r="Y441" s="132"/>
      <c r="Z441" s="132"/>
      <c r="AA441" s="132"/>
    </row>
    <row r="442" spans="1:27" ht="20.25" hidden="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28"/>
      <c r="H442" s="541">
        <f t="shared" si="195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199"/>
        <v/>
      </c>
      <c r="N442" s="130">
        <f t="shared" si="200"/>
        <v>0</v>
      </c>
      <c r="O442" s="549"/>
      <c r="P442" s="549"/>
      <c r="Q442" s="549"/>
      <c r="R442" s="549"/>
      <c r="S442" s="549"/>
      <c r="T442" s="549"/>
      <c r="U442" s="549"/>
      <c r="V442" s="132">
        <f t="shared" si="201"/>
        <v>0</v>
      </c>
      <c r="W442" s="133" t="str">
        <f t="shared" si="202"/>
        <v/>
      </c>
      <c r="X442" s="132"/>
      <c r="Y442" s="132"/>
      <c r="Z442" s="132"/>
      <c r="AA442" s="132"/>
    </row>
    <row r="443" spans="1:27" ht="20.25" hidden="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28"/>
      <c r="H443" s="541">
        <f t="shared" si="195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199"/>
        <v/>
      </c>
      <c r="N443" s="130">
        <f t="shared" si="200"/>
        <v>0</v>
      </c>
      <c r="O443" s="549"/>
      <c r="P443" s="549"/>
      <c r="Q443" s="549"/>
      <c r="R443" s="549"/>
      <c r="S443" s="549"/>
      <c r="T443" s="549"/>
      <c r="U443" s="549"/>
      <c r="V443" s="132">
        <f t="shared" si="201"/>
        <v>0</v>
      </c>
      <c r="W443" s="133" t="str">
        <f t="shared" si="202"/>
        <v/>
      </c>
      <c r="X443" s="132"/>
      <c r="Y443" s="132"/>
      <c r="Z443" s="132"/>
      <c r="AA443" s="132"/>
    </row>
    <row r="444" spans="1:27" ht="20.25" hidden="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28"/>
      <c r="H444" s="541">
        <f t="shared" si="195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199"/>
        <v/>
      </c>
      <c r="N444" s="130">
        <f t="shared" si="200"/>
        <v>0</v>
      </c>
      <c r="O444" s="549"/>
      <c r="P444" s="549"/>
      <c r="Q444" s="549"/>
      <c r="R444" s="549"/>
      <c r="S444" s="549"/>
      <c r="T444" s="549"/>
      <c r="U444" s="549"/>
      <c r="V444" s="132">
        <f t="shared" si="201"/>
        <v>0</v>
      </c>
      <c r="W444" s="133" t="str">
        <f t="shared" si="202"/>
        <v/>
      </c>
      <c r="X444" s="132"/>
      <c r="Y444" s="132"/>
      <c r="Z444" s="132"/>
      <c r="AA444" s="132"/>
    </row>
    <row r="445" spans="1:27" ht="20.25" hidden="1" customHeight="1">
      <c r="A445" s="304">
        <v>30600005</v>
      </c>
      <c r="B445" s="540" t="s">
        <v>222</v>
      </c>
      <c r="C445" s="126" t="s">
        <v>181</v>
      </c>
      <c r="D445" s="108">
        <v>9.36</v>
      </c>
      <c r="E445" s="108"/>
      <c r="F445" s="127"/>
      <c r="G445" s="128"/>
      <c r="H445" s="541">
        <f t="shared" si="195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199"/>
        <v>0</v>
      </c>
      <c r="N445" s="130">
        <f t="shared" si="200"/>
        <v>0</v>
      </c>
      <c r="O445" s="549"/>
      <c r="P445" s="549"/>
      <c r="Q445" s="549"/>
      <c r="R445" s="549"/>
      <c r="S445" s="549"/>
      <c r="T445" s="549"/>
      <c r="U445" s="549"/>
      <c r="V445" s="132">
        <f t="shared" ref="V445:V448" si="203">SUM(X445:AA445)</f>
        <v>0</v>
      </c>
      <c r="W445" s="133" t="str">
        <f t="shared" si="202"/>
        <v/>
      </c>
      <c r="X445" s="132"/>
      <c r="Y445" s="132"/>
      <c r="Z445" s="132"/>
      <c r="AA445" s="132"/>
    </row>
    <row r="446" spans="1:27" ht="20.25" hidden="1" customHeight="1">
      <c r="A446" s="304">
        <v>30600008</v>
      </c>
      <c r="B446" s="540" t="s">
        <v>222</v>
      </c>
      <c r="C446" s="126" t="s">
        <v>179</v>
      </c>
      <c r="D446" s="108">
        <v>9.36</v>
      </c>
      <c r="E446" s="108"/>
      <c r="F446" s="127"/>
      <c r="G446" s="128"/>
      <c r="H446" s="541">
        <f t="shared" si="195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199"/>
        <v>0</v>
      </c>
      <c r="N446" s="130">
        <f t="shared" si="200"/>
        <v>0</v>
      </c>
      <c r="O446" s="549"/>
      <c r="P446" s="549"/>
      <c r="Q446" s="549"/>
      <c r="R446" s="549"/>
      <c r="S446" s="549"/>
      <c r="T446" s="549"/>
      <c r="U446" s="549"/>
      <c r="V446" s="132">
        <f t="shared" si="203"/>
        <v>0</v>
      </c>
      <c r="W446" s="133" t="str">
        <f t="shared" si="202"/>
        <v/>
      </c>
      <c r="X446" s="132"/>
      <c r="Y446" s="132"/>
      <c r="Z446" s="132"/>
      <c r="AA446" s="132"/>
    </row>
    <row r="447" spans="1:27" ht="20.25" hidden="1" customHeight="1">
      <c r="A447" s="304">
        <v>30600007</v>
      </c>
      <c r="B447" s="540" t="s">
        <v>222</v>
      </c>
      <c r="C447" s="126" t="s">
        <v>221</v>
      </c>
      <c r="D447" s="108">
        <v>9.36</v>
      </c>
      <c r="E447" s="108"/>
      <c r="F447" s="127"/>
      <c r="G447" s="128"/>
      <c r="H447" s="541">
        <f t="shared" si="195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199"/>
        <v>0</v>
      </c>
      <c r="N447" s="130">
        <f t="shared" si="200"/>
        <v>0</v>
      </c>
      <c r="O447" s="549"/>
      <c r="P447" s="549"/>
      <c r="Q447" s="549"/>
      <c r="R447" s="549"/>
      <c r="S447" s="549"/>
      <c r="T447" s="549"/>
      <c r="U447" s="549"/>
      <c r="V447" s="132">
        <f t="shared" si="203"/>
        <v>0</v>
      </c>
      <c r="W447" s="133" t="str">
        <f t="shared" si="202"/>
        <v/>
      </c>
      <c r="X447" s="132"/>
      <c r="Y447" s="132"/>
      <c r="Z447" s="132"/>
      <c r="AA447" s="132"/>
    </row>
    <row r="448" spans="1:27" ht="20.25" hidden="1" customHeight="1">
      <c r="A448" s="304">
        <v>30600006</v>
      </c>
      <c r="B448" s="540" t="s">
        <v>222</v>
      </c>
      <c r="C448" s="126" t="s">
        <v>186</v>
      </c>
      <c r="D448" s="108">
        <v>9.36</v>
      </c>
      <c r="E448" s="108"/>
      <c r="F448" s="127"/>
      <c r="G448" s="128"/>
      <c r="H448" s="541">
        <f t="shared" si="195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199"/>
        <v>0</v>
      </c>
      <c r="N448" s="130">
        <f t="shared" si="200"/>
        <v>0</v>
      </c>
      <c r="O448" s="549"/>
      <c r="P448" s="549"/>
      <c r="Q448" s="549"/>
      <c r="R448" s="549"/>
      <c r="S448" s="549"/>
      <c r="T448" s="549"/>
      <c r="U448" s="549"/>
      <c r="V448" s="132">
        <f t="shared" si="203"/>
        <v>0</v>
      </c>
      <c r="W448" s="133" t="str">
        <f t="shared" si="202"/>
        <v/>
      </c>
      <c r="X448" s="132"/>
      <c r="Y448" s="132"/>
      <c r="Z448" s="132"/>
      <c r="AA448" s="132"/>
    </row>
    <row r="449" spans="1:27" ht="20.25" hidden="1" customHeight="1">
      <c r="A449" s="299">
        <v>30400026</v>
      </c>
      <c r="B449" s="540" t="s">
        <v>393</v>
      </c>
      <c r="C449" s="187" t="s">
        <v>395</v>
      </c>
      <c r="D449" s="108">
        <v>5</v>
      </c>
      <c r="E449" s="108"/>
      <c r="F449" s="127"/>
      <c r="G449" s="128"/>
      <c r="H449" s="541">
        <f t="shared" si="195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199"/>
        <v>0</v>
      </c>
      <c r="N449" s="130">
        <f t="shared" si="200"/>
        <v>0</v>
      </c>
      <c r="O449" s="549"/>
      <c r="P449" s="549"/>
      <c r="Q449" s="549"/>
      <c r="R449" s="549"/>
      <c r="S449" s="549"/>
      <c r="T449" s="549"/>
      <c r="U449" s="549"/>
      <c r="V449" s="132"/>
      <c r="W449" s="133"/>
      <c r="X449" s="132"/>
      <c r="Y449" s="132"/>
      <c r="Z449" s="132"/>
      <c r="AA449" s="132"/>
    </row>
    <row r="450" spans="1:27" ht="20.25" hidden="1" customHeight="1">
      <c r="A450" s="299">
        <v>30400028</v>
      </c>
      <c r="B450" s="540" t="s">
        <v>393</v>
      </c>
      <c r="C450" s="187" t="s">
        <v>402</v>
      </c>
      <c r="D450" s="108">
        <v>5</v>
      </c>
      <c r="E450" s="108"/>
      <c r="F450" s="127"/>
      <c r="G450" s="128"/>
      <c r="H450" s="541">
        <f t="shared" si="195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199"/>
        <v>0</v>
      </c>
      <c r="N450" s="130">
        <f t="shared" si="200"/>
        <v>0</v>
      </c>
      <c r="O450" s="549"/>
      <c r="P450" s="549"/>
      <c r="Q450" s="549"/>
      <c r="R450" s="549"/>
      <c r="S450" s="549"/>
      <c r="T450" s="549"/>
      <c r="U450" s="549"/>
      <c r="V450" s="132"/>
      <c r="W450" s="133"/>
      <c r="X450" s="132"/>
      <c r="Y450" s="132"/>
      <c r="Z450" s="132"/>
      <c r="AA450" s="132"/>
    </row>
    <row r="451" spans="1:27" ht="20.25" customHeight="1">
      <c r="A451" s="299">
        <v>30400027</v>
      </c>
      <c r="B451" s="540" t="s">
        <v>404</v>
      </c>
      <c r="C451" s="187" t="s">
        <v>405</v>
      </c>
      <c r="D451" s="108">
        <v>5</v>
      </c>
      <c r="E451" s="108"/>
      <c r="F451" s="127">
        <v>42746</v>
      </c>
      <c r="G451" s="128">
        <v>543</v>
      </c>
      <c r="H451" s="541">
        <f t="shared" si="195"/>
        <v>2715</v>
      </c>
      <c r="I451" s="129">
        <f>10*2</f>
        <v>20</v>
      </c>
      <c r="J451" s="130">
        <f t="array" ref="J451">IF(ISERROR(G451/I451),"",G451/I451)</f>
        <v>27.15</v>
      </c>
      <c r="K451" s="131">
        <f t="array" ref="K451">IF(ISERROR(G451/L451),"",G451/L451)</f>
        <v>108.6</v>
      </c>
      <c r="L451" s="129">
        <v>5</v>
      </c>
      <c r="M451" s="109">
        <f t="shared" si="199"/>
        <v>-88.6</v>
      </c>
      <c r="N451" s="130">
        <f t="shared" si="200"/>
        <v>0</v>
      </c>
      <c r="O451" s="549"/>
      <c r="P451" s="549"/>
      <c r="Q451" s="549"/>
      <c r="R451" s="549"/>
      <c r="S451" s="549"/>
      <c r="T451" s="549"/>
      <c r="U451" s="549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/>
      <c r="B452" s="540" t="s">
        <v>342</v>
      </c>
      <c r="C452" s="187" t="s">
        <v>372</v>
      </c>
      <c r="D452" s="108">
        <v>5</v>
      </c>
      <c r="E452" s="108"/>
      <c r="F452" s="127"/>
      <c r="G452" s="128"/>
      <c r="H452" s="541">
        <f t="shared" si="195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199"/>
        <v>0</v>
      </c>
      <c r="N452" s="130">
        <f t="shared" si="200"/>
        <v>0</v>
      </c>
      <c r="O452" s="549"/>
      <c r="P452" s="549"/>
      <c r="Q452" s="549"/>
      <c r="R452" s="549"/>
      <c r="S452" s="549"/>
      <c r="T452" s="549"/>
      <c r="U452" s="549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30600009</v>
      </c>
      <c r="B453" s="540" t="s">
        <v>343</v>
      </c>
      <c r="C453" s="126" t="s">
        <v>345</v>
      </c>
      <c r="D453" s="108">
        <v>5</v>
      </c>
      <c r="E453" s="108"/>
      <c r="F453" s="127"/>
      <c r="G453" s="128"/>
      <c r="H453" s="541">
        <f t="shared" si="195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199"/>
        <v>0</v>
      </c>
      <c r="N453" s="130">
        <f t="shared" si="200"/>
        <v>0</v>
      </c>
      <c r="O453" s="549"/>
      <c r="P453" s="549"/>
      <c r="Q453" s="549"/>
      <c r="R453" s="549"/>
      <c r="S453" s="549"/>
      <c r="T453" s="549"/>
      <c r="U453" s="549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299">
        <v>30600010</v>
      </c>
      <c r="B454" s="540" t="s">
        <v>343</v>
      </c>
      <c r="C454" s="126" t="s">
        <v>347</v>
      </c>
      <c r="D454" s="108">
        <v>5</v>
      </c>
      <c r="E454" s="108"/>
      <c r="F454" s="127"/>
      <c r="G454" s="128"/>
      <c r="H454" s="541">
        <f t="shared" si="195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199"/>
        <v>0</v>
      </c>
      <c r="N454" s="130">
        <f t="shared" si="200"/>
        <v>0</v>
      </c>
      <c r="O454" s="549"/>
      <c r="P454" s="549"/>
      <c r="Q454" s="549"/>
      <c r="R454" s="549"/>
      <c r="S454" s="549"/>
      <c r="T454" s="549"/>
      <c r="U454" s="549"/>
      <c r="V454" s="132"/>
      <c r="W454" s="133"/>
      <c r="X454" s="132"/>
      <c r="Y454" s="132"/>
      <c r="Z454" s="132"/>
      <c r="AA454" s="132"/>
    </row>
    <row r="455" spans="1:27" ht="20.100000000000001" hidden="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/>
      <c r="G455" s="128"/>
      <c r="H455" s="541">
        <f t="shared" si="195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15.5</v>
      </c>
      <c r="M455" s="109">
        <f t="shared" si="199"/>
        <v>0</v>
      </c>
      <c r="N455" s="130">
        <f t="shared" si="200"/>
        <v>0</v>
      </c>
      <c r="O455" s="549"/>
      <c r="P455" s="549"/>
      <c r="Q455" s="549"/>
      <c r="R455" s="549"/>
      <c r="S455" s="549"/>
      <c r="T455" s="549"/>
      <c r="U455" s="549"/>
      <c r="V455" s="132">
        <f t="shared" ref="V455:V456" si="204">SUM(X455:AA455)</f>
        <v>0</v>
      </c>
      <c r="W455" s="133" t="str">
        <f t="shared" ref="W455:W456" si="205">IF(ISERROR(V455/G455),"",V455/G455)</f>
        <v/>
      </c>
      <c r="X455" s="132"/>
      <c r="Y455" s="132"/>
      <c r="Z455" s="132"/>
      <c r="AA455" s="132"/>
    </row>
    <row r="456" spans="1:27" ht="20.100000000000001" hidden="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/>
      <c r="G456" s="128"/>
      <c r="H456" s="541">
        <f t="shared" si="195"/>
        <v>0</v>
      </c>
      <c r="I456" s="129"/>
      <c r="J456" s="130" t="str">
        <f t="array" ref="J456">IF(ISERROR(G456/I456),"",G456/I456)</f>
        <v/>
      </c>
      <c r="K456" s="131">
        <f t="array" ref="K456">IF(ISERROR(G456/L456),"",G456/L456)</f>
        <v>0</v>
      </c>
      <c r="L456" s="129">
        <v>15.5</v>
      </c>
      <c r="M456" s="109">
        <f t="shared" si="199"/>
        <v>0</v>
      </c>
      <c r="N456" s="130">
        <f t="shared" si="200"/>
        <v>0</v>
      </c>
      <c r="O456" s="549"/>
      <c r="P456" s="549"/>
      <c r="Q456" s="549"/>
      <c r="R456" s="549"/>
      <c r="S456" s="549"/>
      <c r="T456" s="549"/>
      <c r="U456" s="549"/>
      <c r="V456" s="132">
        <f t="shared" si="204"/>
        <v>0</v>
      </c>
      <c r="W456" s="133" t="str">
        <f t="shared" si="205"/>
        <v/>
      </c>
      <c r="X456" s="132"/>
      <c r="Y456" s="132"/>
      <c r="Z456" s="132"/>
      <c r="AA456" s="132"/>
    </row>
    <row r="457" spans="1:27" ht="20.100000000000001" hidden="1" customHeight="1">
      <c r="A457" s="299">
        <v>30400004</v>
      </c>
      <c r="B457" s="151" t="s">
        <v>419</v>
      </c>
      <c r="C457" s="187" t="s">
        <v>73</v>
      </c>
      <c r="D457" s="108"/>
      <c r="E457" s="108"/>
      <c r="F457" s="127"/>
      <c r="G457" s="128"/>
      <c r="H457" s="541">
        <f t="shared" si="195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199"/>
        <v>0</v>
      </c>
      <c r="N457" s="130"/>
      <c r="O457" s="549"/>
      <c r="P457" s="549"/>
      <c r="Q457" s="549"/>
      <c r="R457" s="549"/>
      <c r="S457" s="549"/>
      <c r="T457" s="549"/>
      <c r="U457" s="549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28"/>
      <c r="H458" s="541">
        <f t="shared" si="195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199"/>
        <v>0</v>
      </c>
      <c r="N458" s="130"/>
      <c r="O458" s="549"/>
      <c r="P458" s="549"/>
      <c r="Q458" s="549"/>
      <c r="R458" s="549"/>
      <c r="S458" s="549"/>
      <c r="T458" s="549"/>
      <c r="U458" s="549"/>
      <c r="V458" s="132"/>
      <c r="W458" s="133"/>
      <c r="X458" s="132"/>
      <c r="Y458" s="132"/>
      <c r="Z458" s="132"/>
      <c r="AA458" s="132"/>
    </row>
    <row r="459" spans="1:27" ht="20.100000000000001" hidden="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28"/>
      <c r="H459" s="541">
        <f t="shared" si="195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199"/>
        <v>0</v>
      </c>
      <c r="N459" s="130"/>
      <c r="O459" s="549"/>
      <c r="P459" s="549"/>
      <c r="Q459" s="549"/>
      <c r="R459" s="549"/>
      <c r="S459" s="549"/>
      <c r="T459" s="549"/>
      <c r="U459" s="549"/>
      <c r="V459" s="132"/>
      <c r="W459" s="133"/>
      <c r="X459" s="132"/>
      <c r="Y459" s="132"/>
      <c r="Z459" s="132"/>
      <c r="AA459" s="132"/>
    </row>
    <row r="460" spans="1:27" ht="20.100000000000001" hidden="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28"/>
      <c r="H460" s="541">
        <f t="shared" si="195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199"/>
        <v>0</v>
      </c>
      <c r="N460" s="130">
        <f t="shared" ref="N460:N462" si="206">SUM(O460:U460)</f>
        <v>0</v>
      </c>
      <c r="O460" s="549"/>
      <c r="P460" s="549"/>
      <c r="Q460" s="549"/>
      <c r="R460" s="549"/>
      <c r="S460" s="549"/>
      <c r="T460" s="549"/>
      <c r="U460" s="549"/>
      <c r="V460" s="132">
        <f t="shared" ref="V460:V462" si="207">SUM(X460:AA460)</f>
        <v>0</v>
      </c>
      <c r="W460" s="133" t="str">
        <f t="shared" ref="W460:W484" si="208">IF(ISERROR(V460/G460),"",V460/G460)</f>
        <v/>
      </c>
      <c r="X460" s="132"/>
      <c r="Y460" s="132"/>
      <c r="Z460" s="132"/>
      <c r="AA460" s="132"/>
    </row>
    <row r="461" spans="1:27" ht="20.100000000000001" hidden="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28"/>
      <c r="H461" s="541">
        <f t="shared" si="195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si="199"/>
        <v>0</v>
      </c>
      <c r="N461" s="130">
        <f t="shared" si="206"/>
        <v>0</v>
      </c>
      <c r="O461" s="549"/>
      <c r="P461" s="549"/>
      <c r="Q461" s="549"/>
      <c r="R461" s="549"/>
      <c r="S461" s="549"/>
      <c r="T461" s="549"/>
      <c r="U461" s="549"/>
      <c r="V461" s="132">
        <f t="shared" si="207"/>
        <v>0</v>
      </c>
      <c r="W461" s="133" t="str">
        <f t="shared" si="208"/>
        <v/>
      </c>
      <c r="X461" s="132"/>
      <c r="Y461" s="132"/>
      <c r="Z461" s="132"/>
      <c r="AA461" s="132"/>
    </row>
    <row r="462" spans="1:27" ht="20.100000000000001" hidden="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28"/>
      <c r="H462" s="541">
        <f t="shared" si="195"/>
        <v>0</v>
      </c>
      <c r="I462" s="129"/>
      <c r="J462" s="130" t="str">
        <f t="array" ref="J462">IF(ISERROR(G462/I462),"",G462/I462)</f>
        <v/>
      </c>
      <c r="K462" s="541">
        <f t="array" ref="K462">IF(ISERROR(G462/L462),"",G462/L462)</f>
        <v>0</v>
      </c>
      <c r="L462" s="129">
        <v>9</v>
      </c>
      <c r="M462" s="109">
        <f t="shared" si="199"/>
        <v>0</v>
      </c>
      <c r="N462" s="130">
        <f t="shared" si="206"/>
        <v>0</v>
      </c>
      <c r="O462" s="549"/>
      <c r="P462" s="549"/>
      <c r="Q462" s="549"/>
      <c r="R462" s="549"/>
      <c r="S462" s="549"/>
      <c r="T462" s="549"/>
      <c r="U462" s="549"/>
      <c r="V462" s="132">
        <f t="shared" si="207"/>
        <v>0</v>
      </c>
      <c r="W462" s="133" t="str">
        <f t="shared" si="208"/>
        <v/>
      </c>
      <c r="X462" s="132"/>
      <c r="Y462" s="132"/>
      <c r="Z462" s="132"/>
      <c r="AA462" s="132"/>
    </row>
    <row r="463" spans="1:27" ht="20.100000000000001" customHeight="1">
      <c r="A463" s="578" t="s">
        <v>224</v>
      </c>
      <c r="B463" s="579"/>
      <c r="C463" s="550" t="s">
        <v>202</v>
      </c>
      <c r="D463" s="143"/>
      <c r="E463" s="143"/>
      <c r="F463" s="144"/>
      <c r="G463" s="145">
        <f>SUM(G429:G462)</f>
        <v>846</v>
      </c>
      <c r="H463" s="146">
        <f>SUM(H429:H462)</f>
        <v>4239.09</v>
      </c>
      <c r="I463" s="146">
        <f>SUM(I429:I462)</f>
        <v>47</v>
      </c>
      <c r="J463" s="130">
        <f t="array" ref="J463">IF(ISERROR(G463/I463),"",G463/I463)</f>
        <v>18</v>
      </c>
      <c r="K463" s="146">
        <f>SUM(K429:K462)</f>
        <v>141.97487781036168</v>
      </c>
      <c r="L463" s="147"/>
      <c r="M463" s="150">
        <f t="shared" ref="M463:V463" si="209">SUM(M429:M462)</f>
        <v>-94.974877810361676</v>
      </c>
      <c r="N463" s="146">
        <f t="shared" si="209"/>
        <v>0</v>
      </c>
      <c r="O463" s="148">
        <f t="shared" si="209"/>
        <v>0</v>
      </c>
      <c r="P463" s="148">
        <f t="shared" si="209"/>
        <v>0</v>
      </c>
      <c r="Q463" s="148">
        <f t="shared" si="209"/>
        <v>0</v>
      </c>
      <c r="R463" s="148">
        <f t="shared" si="209"/>
        <v>0</v>
      </c>
      <c r="S463" s="148">
        <f t="shared" si="209"/>
        <v>0</v>
      </c>
      <c r="T463" s="148">
        <f t="shared" si="209"/>
        <v>0</v>
      </c>
      <c r="U463" s="148">
        <f t="shared" si="209"/>
        <v>0</v>
      </c>
      <c r="V463" s="149">
        <f t="shared" si="209"/>
        <v>0</v>
      </c>
      <c r="W463" s="133">
        <f t="shared" si="208"/>
        <v>0</v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hidden="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28"/>
      <c r="H464" s="541">
        <f t="shared" ref="H464:H478" si="210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8" si="211">IF(ISERROR(I464-K464),"",I464-K464)</f>
        <v>0</v>
      </c>
      <c r="N464" s="130">
        <f t="shared" ref="N464:N478" si="212">SUM(O464:U464)</f>
        <v>0</v>
      </c>
      <c r="O464" s="549"/>
      <c r="P464" s="549"/>
      <c r="Q464" s="549"/>
      <c r="R464" s="549"/>
      <c r="S464" s="549"/>
      <c r="T464" s="549"/>
      <c r="U464" s="549"/>
      <c r="V464" s="132">
        <f t="shared" ref="V464:V478" si="213">SUM(X464:AA464)</f>
        <v>0</v>
      </c>
      <c r="W464" s="133" t="str">
        <f t="shared" si="208"/>
        <v/>
      </c>
      <c r="X464" s="132"/>
      <c r="Y464" s="132"/>
      <c r="Z464" s="132"/>
      <c r="AA464" s="132"/>
    </row>
    <row r="465" spans="1:27" ht="20.100000000000001" hidden="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28"/>
      <c r="H465" s="541">
        <f t="shared" si="210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1"/>
        <v>0</v>
      </c>
      <c r="N465" s="130">
        <f t="shared" si="212"/>
        <v>0</v>
      </c>
      <c r="O465" s="549"/>
      <c r="P465" s="549"/>
      <c r="Q465" s="549"/>
      <c r="R465" s="549"/>
      <c r="S465" s="549"/>
      <c r="T465" s="549"/>
      <c r="U465" s="549"/>
      <c r="V465" s="132">
        <f t="shared" si="213"/>
        <v>0</v>
      </c>
      <c r="W465" s="133" t="str">
        <f t="shared" si="208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28"/>
      <c r="H466" s="541">
        <f t="shared" si="210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1"/>
        <v>0</v>
      </c>
      <c r="N466" s="130">
        <f t="shared" si="212"/>
        <v>0</v>
      </c>
      <c r="O466" s="549"/>
      <c r="P466" s="549"/>
      <c r="Q466" s="549"/>
      <c r="R466" s="549"/>
      <c r="S466" s="549"/>
      <c r="T466" s="549"/>
      <c r="U466" s="549"/>
      <c r="V466" s="132">
        <f t="shared" si="213"/>
        <v>0</v>
      </c>
      <c r="W466" s="133" t="str">
        <f t="shared" si="208"/>
        <v/>
      </c>
      <c r="X466" s="132"/>
      <c r="Y466" s="132"/>
      <c r="Z466" s="132"/>
      <c r="AA466" s="132"/>
    </row>
    <row r="467" spans="1:27" ht="20.100000000000001" hidden="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28"/>
      <c r="H467" s="541">
        <f t="shared" si="210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1"/>
        <v>0</v>
      </c>
      <c r="N467" s="130">
        <f t="shared" si="212"/>
        <v>0</v>
      </c>
      <c r="O467" s="549"/>
      <c r="P467" s="549"/>
      <c r="Q467" s="549"/>
      <c r="R467" s="549"/>
      <c r="S467" s="549"/>
      <c r="T467" s="549"/>
      <c r="U467" s="549"/>
      <c r="V467" s="132">
        <f t="shared" si="213"/>
        <v>0</v>
      </c>
      <c r="W467" s="133" t="str">
        <f t="shared" si="208"/>
        <v/>
      </c>
      <c r="X467" s="132"/>
      <c r="Y467" s="132"/>
      <c r="Z467" s="132"/>
      <c r="AA467" s="132"/>
    </row>
    <row r="468" spans="1:27" ht="20.100000000000001" hidden="1" customHeight="1">
      <c r="A468" s="299">
        <v>30100054</v>
      </c>
      <c r="B468" s="140" t="s">
        <v>227</v>
      </c>
      <c r="C468" s="546" t="s">
        <v>203</v>
      </c>
      <c r="D468" s="108">
        <v>5.03</v>
      </c>
      <c r="E468" s="108"/>
      <c r="F468" s="127"/>
      <c r="G468" s="128"/>
      <c r="H468" s="541">
        <f t="shared" si="210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1"/>
        <v>0</v>
      </c>
      <c r="N468" s="130">
        <f t="shared" si="212"/>
        <v>0</v>
      </c>
      <c r="O468" s="549"/>
      <c r="P468" s="549"/>
      <c r="Q468" s="549"/>
      <c r="R468" s="549"/>
      <c r="S468" s="549"/>
      <c r="T468" s="549"/>
      <c r="U468" s="549"/>
      <c r="V468" s="132">
        <f t="shared" si="213"/>
        <v>0</v>
      </c>
      <c r="W468" s="133" t="str">
        <f t="shared" si="208"/>
        <v/>
      </c>
      <c r="X468" s="132"/>
      <c r="Y468" s="132"/>
      <c r="Z468" s="132"/>
      <c r="AA468" s="132"/>
    </row>
    <row r="469" spans="1:27" ht="20.100000000000001" hidden="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28"/>
      <c r="H469" s="541">
        <f t="shared" si="210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1"/>
        <v>0</v>
      </c>
      <c r="N469" s="130">
        <f t="shared" si="212"/>
        <v>0</v>
      </c>
      <c r="O469" s="549"/>
      <c r="P469" s="549"/>
      <c r="Q469" s="549"/>
      <c r="R469" s="549"/>
      <c r="S469" s="549"/>
      <c r="T469" s="549"/>
      <c r="U469" s="549"/>
      <c r="V469" s="132">
        <f t="shared" si="213"/>
        <v>0</v>
      </c>
      <c r="W469" s="133" t="str">
        <f t="shared" si="208"/>
        <v/>
      </c>
      <c r="X469" s="132"/>
      <c r="Y469" s="132"/>
      <c r="Z469" s="132"/>
      <c r="AA469" s="132"/>
    </row>
    <row r="470" spans="1:27" ht="20.100000000000001" hidden="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28"/>
      <c r="H470" s="541">
        <f t="shared" si="210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1"/>
        <v>0</v>
      </c>
      <c r="N470" s="130">
        <f t="shared" si="212"/>
        <v>0</v>
      </c>
      <c r="O470" s="549"/>
      <c r="P470" s="549"/>
      <c r="Q470" s="549"/>
      <c r="R470" s="549"/>
      <c r="S470" s="549"/>
      <c r="T470" s="549"/>
      <c r="U470" s="549"/>
      <c r="V470" s="132">
        <f t="shared" si="213"/>
        <v>0</v>
      </c>
      <c r="W470" s="133" t="str">
        <f t="shared" si="208"/>
        <v/>
      </c>
      <c r="X470" s="132"/>
      <c r="Y470" s="132"/>
      <c r="Z470" s="132"/>
      <c r="AA470" s="132"/>
    </row>
    <row r="471" spans="1:27" ht="20.100000000000001" hidden="1" customHeight="1">
      <c r="A471" s="299"/>
      <c r="B471" s="140" t="s">
        <v>227</v>
      </c>
      <c r="C471" s="546" t="s">
        <v>228</v>
      </c>
      <c r="D471" s="108">
        <v>5.03</v>
      </c>
      <c r="E471" s="108"/>
      <c r="F471" s="127"/>
      <c r="G471" s="128"/>
      <c r="H471" s="541">
        <f t="shared" si="210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1"/>
        <v>0</v>
      </c>
      <c r="N471" s="130">
        <f t="shared" si="212"/>
        <v>0</v>
      </c>
      <c r="O471" s="549"/>
      <c r="P471" s="549"/>
      <c r="Q471" s="549"/>
      <c r="R471" s="549"/>
      <c r="S471" s="549"/>
      <c r="T471" s="549"/>
      <c r="U471" s="549"/>
      <c r="V471" s="132">
        <f t="shared" si="213"/>
        <v>0</v>
      </c>
      <c r="W471" s="133" t="str">
        <f t="shared" si="208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30101067</v>
      </c>
      <c r="B472" s="140" t="s">
        <v>229</v>
      </c>
      <c r="C472" s="546" t="s">
        <v>212</v>
      </c>
      <c r="D472" s="108">
        <v>5.03</v>
      </c>
      <c r="E472" s="108"/>
      <c r="F472" s="127"/>
      <c r="G472" s="128"/>
      <c r="H472" s="541">
        <f t="shared" si="210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1"/>
        <v/>
      </c>
      <c r="N472" s="130">
        <f t="shared" si="212"/>
        <v>0</v>
      </c>
      <c r="O472" s="549"/>
      <c r="P472" s="549"/>
      <c r="Q472" s="549"/>
      <c r="R472" s="549"/>
      <c r="S472" s="549"/>
      <c r="T472" s="549"/>
      <c r="U472" s="549"/>
      <c r="V472" s="132">
        <f t="shared" si="213"/>
        <v>0</v>
      </c>
      <c r="W472" s="133" t="str">
        <f t="shared" si="208"/>
        <v/>
      </c>
      <c r="X472" s="132"/>
      <c r="Y472" s="132"/>
      <c r="Z472" s="132"/>
      <c r="AA472" s="132"/>
    </row>
    <row r="473" spans="1:27" ht="20.100000000000001" hidden="1" customHeight="1">
      <c r="A473" s="299">
        <v>30101068</v>
      </c>
      <c r="B473" s="140" t="s">
        <v>229</v>
      </c>
      <c r="C473" s="546" t="s">
        <v>203</v>
      </c>
      <c r="D473" s="108">
        <v>5.03</v>
      </c>
      <c r="E473" s="108"/>
      <c r="F473" s="127"/>
      <c r="G473" s="128"/>
      <c r="H473" s="541">
        <f t="shared" si="210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1"/>
        <v/>
      </c>
      <c r="N473" s="130">
        <f t="shared" si="212"/>
        <v>0</v>
      </c>
      <c r="O473" s="549"/>
      <c r="P473" s="549"/>
      <c r="Q473" s="549"/>
      <c r="R473" s="549"/>
      <c r="S473" s="549"/>
      <c r="T473" s="549"/>
      <c r="U473" s="549"/>
      <c r="V473" s="132">
        <f t="shared" si="213"/>
        <v>0</v>
      </c>
      <c r="W473" s="133" t="str">
        <f t="shared" si="208"/>
        <v/>
      </c>
      <c r="X473" s="132"/>
      <c r="Y473" s="132"/>
      <c r="Z473" s="132"/>
      <c r="AA473" s="132"/>
    </row>
    <row r="474" spans="1:27" ht="20.100000000000001" hidden="1" customHeight="1">
      <c r="A474" s="299">
        <v>30101069</v>
      </c>
      <c r="B474" s="140" t="s">
        <v>229</v>
      </c>
      <c r="C474" s="546" t="s">
        <v>186</v>
      </c>
      <c r="D474" s="108">
        <v>5.03</v>
      </c>
      <c r="E474" s="108"/>
      <c r="F474" s="127"/>
      <c r="G474" s="128"/>
      <c r="H474" s="541">
        <f t="shared" si="210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1"/>
        <v/>
      </c>
      <c r="N474" s="130">
        <f t="shared" si="212"/>
        <v>0</v>
      </c>
      <c r="O474" s="549"/>
      <c r="P474" s="549"/>
      <c r="Q474" s="549"/>
      <c r="R474" s="549"/>
      <c r="S474" s="549"/>
      <c r="T474" s="549"/>
      <c r="U474" s="549"/>
      <c r="V474" s="132">
        <f t="shared" si="213"/>
        <v>0</v>
      </c>
      <c r="W474" s="133" t="str">
        <f t="shared" si="208"/>
        <v/>
      </c>
      <c r="X474" s="132"/>
      <c r="Y474" s="132"/>
      <c r="Z474" s="132"/>
      <c r="AA474" s="132"/>
    </row>
    <row r="475" spans="1:27" ht="20.100000000000001" hidden="1" customHeight="1">
      <c r="A475" s="299">
        <v>30101070</v>
      </c>
      <c r="B475" s="140" t="s">
        <v>229</v>
      </c>
      <c r="C475" s="546" t="s">
        <v>228</v>
      </c>
      <c r="D475" s="108">
        <v>5.03</v>
      </c>
      <c r="E475" s="108"/>
      <c r="F475" s="127"/>
      <c r="G475" s="128"/>
      <c r="H475" s="541">
        <f t="shared" si="210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1"/>
        <v/>
      </c>
      <c r="N475" s="130">
        <f t="shared" si="212"/>
        <v>0</v>
      </c>
      <c r="O475" s="549"/>
      <c r="P475" s="549"/>
      <c r="Q475" s="549"/>
      <c r="R475" s="549"/>
      <c r="S475" s="549"/>
      <c r="T475" s="549"/>
      <c r="U475" s="549"/>
      <c r="V475" s="132">
        <f t="shared" si="213"/>
        <v>0</v>
      </c>
      <c r="W475" s="133" t="str">
        <f t="shared" si="208"/>
        <v/>
      </c>
      <c r="X475" s="132"/>
      <c r="Y475" s="132"/>
      <c r="Z475" s="132"/>
      <c r="AA475" s="132"/>
    </row>
    <row r="476" spans="1:27" ht="20.100000000000001" hidden="1" customHeight="1">
      <c r="A476" s="299">
        <v>30101071</v>
      </c>
      <c r="B476" s="140" t="s">
        <v>229</v>
      </c>
      <c r="C476" s="546" t="s">
        <v>199</v>
      </c>
      <c r="D476" s="108">
        <v>5.03</v>
      </c>
      <c r="E476" s="108"/>
      <c r="F476" s="127"/>
      <c r="G476" s="128"/>
      <c r="H476" s="541">
        <f t="shared" si="210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1"/>
        <v/>
      </c>
      <c r="N476" s="130">
        <f t="shared" si="212"/>
        <v>0</v>
      </c>
      <c r="O476" s="549"/>
      <c r="P476" s="549"/>
      <c r="Q476" s="549"/>
      <c r="R476" s="549"/>
      <c r="S476" s="549"/>
      <c r="T476" s="549"/>
      <c r="U476" s="549"/>
      <c r="V476" s="132">
        <f t="shared" si="213"/>
        <v>0</v>
      </c>
      <c r="W476" s="133" t="str">
        <f t="shared" si="208"/>
        <v/>
      </c>
      <c r="X476" s="132"/>
      <c r="Y476" s="132"/>
      <c r="Z476" s="132"/>
      <c r="AA476" s="132"/>
    </row>
    <row r="477" spans="1:27" ht="20.100000000000001" hidden="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28"/>
      <c r="H477" s="541">
        <f t="shared" si="210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si="211"/>
        <v>0</v>
      </c>
      <c r="N477" s="130">
        <f t="shared" si="212"/>
        <v>0</v>
      </c>
      <c r="O477" s="549"/>
      <c r="P477" s="549"/>
      <c r="Q477" s="549"/>
      <c r="R477" s="549"/>
      <c r="S477" s="549"/>
      <c r="T477" s="549"/>
      <c r="U477" s="549"/>
      <c r="V477" s="132">
        <f t="shared" si="213"/>
        <v>0</v>
      </c>
      <c r="W477" s="133" t="str">
        <f t="shared" si="208"/>
        <v/>
      </c>
      <c r="X477" s="132"/>
      <c r="Y477" s="132"/>
      <c r="Z477" s="132"/>
      <c r="AA477" s="132"/>
    </row>
    <row r="478" spans="1:27" ht="20.100000000000001" hidden="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28"/>
      <c r="H478" s="541">
        <f t="shared" si="210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1"/>
        <v>0</v>
      </c>
      <c r="N478" s="130">
        <f t="shared" si="212"/>
        <v>0</v>
      </c>
      <c r="O478" s="549"/>
      <c r="P478" s="549"/>
      <c r="Q478" s="549"/>
      <c r="R478" s="549"/>
      <c r="S478" s="549"/>
      <c r="T478" s="549"/>
      <c r="U478" s="549"/>
      <c r="V478" s="132">
        <f t="shared" si="213"/>
        <v>0</v>
      </c>
      <c r="W478" s="133" t="str">
        <f t="shared" si="208"/>
        <v/>
      </c>
      <c r="X478" s="132"/>
      <c r="Y478" s="132"/>
      <c r="Z478" s="132"/>
      <c r="AA478" s="132"/>
    </row>
    <row r="479" spans="1:27" ht="20.100000000000001" hidden="1" customHeight="1">
      <c r="A479" s="578" t="s">
        <v>231</v>
      </c>
      <c r="B479" s="579"/>
      <c r="C479" s="550" t="s">
        <v>202</v>
      </c>
      <c r="D479" s="143"/>
      <c r="E479" s="143"/>
      <c r="F479" s="144"/>
      <c r="G479" s="145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08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hidden="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28"/>
      <c r="H480" s="541">
        <f t="shared" ref="H480:H489" si="214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4" si="215">IF(ISERROR(I480-K480),"",I480-K480)</f>
        <v>0</v>
      </c>
      <c r="N480" s="130">
        <f t="shared" ref="N480:N484" si="216">SUM(O480:U480)</f>
        <v>0</v>
      </c>
      <c r="O480" s="549"/>
      <c r="P480" s="549"/>
      <c r="Q480" s="549"/>
      <c r="R480" s="549"/>
      <c r="S480" s="549"/>
      <c r="T480" s="549"/>
      <c r="U480" s="549"/>
      <c r="V480" s="132">
        <f t="shared" ref="V480:V484" si="217">SUM(X480:AA480)</f>
        <v>0</v>
      </c>
      <c r="W480" s="133" t="str">
        <f t="shared" si="208"/>
        <v/>
      </c>
      <c r="X480" s="132"/>
      <c r="Y480" s="132"/>
      <c r="Z480" s="132"/>
      <c r="AA480" s="132"/>
    </row>
    <row r="481" spans="1:27" ht="20.100000000000001" hidden="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28"/>
      <c r="H481" s="541">
        <f t="shared" si="214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5"/>
        <v>0</v>
      </c>
      <c r="N481" s="130">
        <f t="shared" si="216"/>
        <v>0</v>
      </c>
      <c r="O481" s="549"/>
      <c r="P481" s="549"/>
      <c r="Q481" s="549"/>
      <c r="R481" s="549"/>
      <c r="S481" s="549"/>
      <c r="T481" s="549"/>
      <c r="U481" s="549"/>
      <c r="V481" s="132">
        <f t="shared" si="217"/>
        <v>0</v>
      </c>
      <c r="W481" s="133" t="str">
        <f t="shared" si="208"/>
        <v/>
      </c>
      <c r="X481" s="132"/>
      <c r="Y481" s="132"/>
      <c r="Z481" s="132"/>
      <c r="AA481" s="132"/>
    </row>
    <row r="482" spans="1:27" ht="20.100000000000001" hidden="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28"/>
      <c r="H482" s="541">
        <f t="shared" si="214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5"/>
        <v>0</v>
      </c>
      <c r="N482" s="130">
        <f t="shared" si="216"/>
        <v>0</v>
      </c>
      <c r="O482" s="549"/>
      <c r="P482" s="549"/>
      <c r="Q482" s="549"/>
      <c r="R482" s="549"/>
      <c r="S482" s="549"/>
      <c r="T482" s="549"/>
      <c r="U482" s="549"/>
      <c r="V482" s="132">
        <f t="shared" si="217"/>
        <v>0</v>
      </c>
      <c r="W482" s="133" t="str">
        <f t="shared" si="208"/>
        <v/>
      </c>
      <c r="X482" s="132"/>
      <c r="Y482" s="132"/>
      <c r="Z482" s="132"/>
      <c r="AA482" s="132"/>
    </row>
    <row r="483" spans="1:27" ht="20.100000000000001" hidden="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28"/>
      <c r="H483" s="541">
        <f t="shared" si="214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15"/>
        <v>0</v>
      </c>
      <c r="N483" s="130">
        <f t="shared" si="216"/>
        <v>0</v>
      </c>
      <c r="O483" s="549"/>
      <c r="P483" s="549"/>
      <c r="Q483" s="549"/>
      <c r="R483" s="549"/>
      <c r="S483" s="549"/>
      <c r="T483" s="549"/>
      <c r="U483" s="549"/>
      <c r="V483" s="132">
        <f t="shared" si="217"/>
        <v>0</v>
      </c>
      <c r="W483" s="133" t="str">
        <f t="shared" si="208"/>
        <v/>
      </c>
      <c r="X483" s="132"/>
      <c r="Y483" s="132"/>
      <c r="Z483" s="132"/>
      <c r="AA483" s="132"/>
    </row>
    <row r="484" spans="1:27" ht="20.100000000000001" hidden="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28"/>
      <c r="H484" s="541">
        <f t="shared" si="214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15"/>
        <v>0</v>
      </c>
      <c r="N484" s="130">
        <f t="shared" si="216"/>
        <v>0</v>
      </c>
      <c r="O484" s="549"/>
      <c r="P484" s="549"/>
      <c r="Q484" s="549"/>
      <c r="R484" s="549"/>
      <c r="S484" s="549"/>
      <c r="T484" s="549"/>
      <c r="U484" s="549"/>
      <c r="V484" s="132">
        <f t="shared" si="217"/>
        <v>0</v>
      </c>
      <c r="W484" s="133" t="str">
        <f t="shared" si="208"/>
        <v/>
      </c>
      <c r="X484" s="132"/>
      <c r="Y484" s="132"/>
      <c r="Z484" s="132"/>
      <c r="AA484" s="132"/>
    </row>
    <row r="485" spans="1:27" ht="20.100000000000001" hidden="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28"/>
      <c r="H485" s="541">
        <f t="shared" si="214"/>
        <v>0</v>
      </c>
      <c r="I485" s="129"/>
      <c r="J485" s="130"/>
      <c r="K485" s="131"/>
      <c r="L485" s="129">
        <v>13.5</v>
      </c>
      <c r="M485" s="109"/>
      <c r="N485" s="130"/>
      <c r="O485" s="549"/>
      <c r="P485" s="549"/>
      <c r="Q485" s="549"/>
      <c r="R485" s="549"/>
      <c r="S485" s="549"/>
      <c r="T485" s="549"/>
      <c r="U485" s="549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30400020</v>
      </c>
      <c r="B486" s="134" t="s">
        <v>439</v>
      </c>
      <c r="C486" s="187" t="s">
        <v>74</v>
      </c>
      <c r="D486" s="108">
        <v>5.04</v>
      </c>
      <c r="E486" s="108"/>
      <c r="F486" s="127"/>
      <c r="G486" s="128"/>
      <c r="H486" s="541">
        <f t="shared" si="214"/>
        <v>0</v>
      </c>
      <c r="I486" s="129"/>
      <c r="J486" s="130"/>
      <c r="K486" s="131"/>
      <c r="L486" s="129">
        <v>13.5</v>
      </c>
      <c r="M486" s="109"/>
      <c r="N486" s="130"/>
      <c r="O486" s="549"/>
      <c r="P486" s="549"/>
      <c r="Q486" s="549"/>
      <c r="R486" s="549"/>
      <c r="S486" s="549"/>
      <c r="T486" s="549"/>
      <c r="U486" s="549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0">
        <v>30400021</v>
      </c>
      <c r="B487" s="134" t="s">
        <v>439</v>
      </c>
      <c r="C487" s="187" t="s">
        <v>53</v>
      </c>
      <c r="D487" s="108">
        <v>5.04</v>
      </c>
      <c r="E487" s="108"/>
      <c r="F487" s="127"/>
      <c r="G487" s="128"/>
      <c r="H487" s="541">
        <f t="shared" si="214"/>
        <v>0</v>
      </c>
      <c r="I487" s="129"/>
      <c r="J487" s="130"/>
      <c r="K487" s="131"/>
      <c r="L487" s="129">
        <v>13.5</v>
      </c>
      <c r="M487" s="109"/>
      <c r="N487" s="130"/>
      <c r="O487" s="549"/>
      <c r="P487" s="549"/>
      <c r="Q487" s="549"/>
      <c r="R487" s="549"/>
      <c r="S487" s="549"/>
      <c r="T487" s="549"/>
      <c r="U487" s="549"/>
      <c r="V487" s="132"/>
      <c r="W487" s="133"/>
      <c r="X487" s="132"/>
      <c r="Y487" s="132"/>
      <c r="Z487" s="132"/>
      <c r="AA487" s="132"/>
    </row>
    <row r="488" spans="1:27" ht="20.100000000000001" hidden="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28"/>
      <c r="H488" s="541">
        <f t="shared" si="214"/>
        <v>0</v>
      </c>
      <c r="I488" s="129"/>
      <c r="J488" s="130"/>
      <c r="K488" s="131"/>
      <c r="L488" s="129">
        <v>13.5</v>
      </c>
      <c r="M488" s="109"/>
      <c r="N488" s="130"/>
      <c r="O488" s="549"/>
      <c r="P488" s="549"/>
      <c r="Q488" s="549"/>
      <c r="R488" s="549"/>
      <c r="S488" s="549"/>
      <c r="T488" s="549"/>
      <c r="U488" s="549"/>
      <c r="V488" s="132"/>
      <c r="W488" s="133"/>
      <c r="X488" s="132"/>
      <c r="Y488" s="132"/>
      <c r="Z488" s="132"/>
      <c r="AA488" s="132"/>
    </row>
    <row r="489" spans="1:27" ht="20.100000000000001" hidden="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28"/>
      <c r="H489" s="541">
        <f t="shared" si="214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ref="M489" si="218">IF(ISERROR(I489-K489),"",I489-K489)</f>
        <v>0</v>
      </c>
      <c r="N489" s="130">
        <f t="shared" ref="N489" si="219">SUM(O489:U489)</f>
        <v>0</v>
      </c>
      <c r="O489" s="549"/>
      <c r="P489" s="549"/>
      <c r="Q489" s="549"/>
      <c r="R489" s="549"/>
      <c r="S489" s="549"/>
      <c r="T489" s="549"/>
      <c r="U489" s="549"/>
      <c r="V489" s="132">
        <f t="shared" ref="V489" si="220">SUM(X489:AA489)</f>
        <v>0</v>
      </c>
      <c r="W489" s="133" t="str">
        <f t="shared" ref="W489:W494" si="221">IF(ISERROR(V489/G489),"",V489/G489)</f>
        <v/>
      </c>
      <c r="X489" s="132"/>
      <c r="Y489" s="132"/>
      <c r="Z489" s="132"/>
      <c r="AA489" s="132"/>
    </row>
    <row r="490" spans="1:27" ht="20.100000000000001" hidden="1" customHeight="1">
      <c r="A490" s="578" t="s">
        <v>234</v>
      </c>
      <c r="B490" s="579"/>
      <c r="C490" s="550" t="s">
        <v>202</v>
      </c>
      <c r="D490" s="143"/>
      <c r="E490" s="143"/>
      <c r="F490" s="144"/>
      <c r="G490" s="145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1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hidden="1" customHeight="1">
      <c r="A491" s="299">
        <v>30700013</v>
      </c>
      <c r="B491" s="141" t="s">
        <v>235</v>
      </c>
      <c r="C491" s="547"/>
      <c r="D491" s="108">
        <v>3.65</v>
      </c>
      <c r="E491" s="108"/>
      <c r="F491" s="153"/>
      <c r="G491" s="128"/>
      <c r="H491" s="541">
        <f t="shared" ref="H491:H505" si="222">D491*G491</f>
        <v>0</v>
      </c>
      <c r="I491" s="129"/>
      <c r="J491" s="130" t="str">
        <f t="array" ref="J491">IF(ISERROR(G491/I491),"",G491/I491)</f>
        <v/>
      </c>
      <c r="K491" s="541">
        <f t="array" ref="K491">IF(ISERROR(G491/L491),"",G491/L491)</f>
        <v>0</v>
      </c>
      <c r="L491" s="129">
        <v>5</v>
      </c>
      <c r="M491" s="109">
        <f t="shared" ref="M491:M494" si="223">IF(ISERROR(I491-K491),"",I491-K491)</f>
        <v>0</v>
      </c>
      <c r="N491" s="130">
        <f t="shared" ref="N491:N494" si="224">SUM(O491:U491)</f>
        <v>0</v>
      </c>
      <c r="O491" s="549"/>
      <c r="P491" s="549"/>
      <c r="Q491" s="549"/>
      <c r="R491" s="549"/>
      <c r="S491" s="549"/>
      <c r="T491" s="549"/>
      <c r="U491" s="549"/>
      <c r="V491" s="132">
        <f t="shared" ref="V491:V494" si="225">SUM(X491:AA491)</f>
        <v>0</v>
      </c>
      <c r="W491" s="133" t="str">
        <f t="shared" si="221"/>
        <v/>
      </c>
      <c r="X491" s="132"/>
      <c r="Y491" s="132"/>
      <c r="Z491" s="132"/>
      <c r="AA491" s="132"/>
    </row>
    <row r="492" spans="1:27" ht="20.100000000000001" hidden="1" customHeight="1">
      <c r="A492" s="299">
        <v>30700014</v>
      </c>
      <c r="B492" s="141" t="s">
        <v>236</v>
      </c>
      <c r="C492" s="547"/>
      <c r="D492" s="108">
        <v>6.58</v>
      </c>
      <c r="E492" s="108"/>
      <c r="F492" s="127"/>
      <c r="G492" s="128"/>
      <c r="H492" s="541">
        <f t="shared" si="222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3"/>
        <v>0</v>
      </c>
      <c r="N492" s="130">
        <f t="shared" si="224"/>
        <v>0</v>
      </c>
      <c r="O492" s="549"/>
      <c r="P492" s="549"/>
      <c r="Q492" s="549"/>
      <c r="R492" s="549"/>
      <c r="S492" s="549"/>
      <c r="T492" s="549"/>
      <c r="U492" s="549"/>
      <c r="V492" s="132">
        <f t="shared" si="225"/>
        <v>0</v>
      </c>
      <c r="W492" s="133" t="str">
        <f t="shared" si="221"/>
        <v/>
      </c>
      <c r="X492" s="132"/>
      <c r="Y492" s="132"/>
      <c r="Z492" s="132"/>
      <c r="AA492" s="132"/>
    </row>
    <row r="493" spans="1:27" ht="20.100000000000001" hidden="1" customHeight="1">
      <c r="A493" s="299">
        <v>30700016</v>
      </c>
      <c r="B493" s="141" t="s">
        <v>237</v>
      </c>
      <c r="C493" s="547"/>
      <c r="D493" s="108">
        <v>7.8</v>
      </c>
      <c r="E493" s="108"/>
      <c r="F493" s="127"/>
      <c r="G493" s="128"/>
      <c r="H493" s="541">
        <f t="shared" si="222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3"/>
        <v>0</v>
      </c>
      <c r="N493" s="130">
        <f t="shared" si="224"/>
        <v>0</v>
      </c>
      <c r="O493" s="549"/>
      <c r="P493" s="549"/>
      <c r="Q493" s="549"/>
      <c r="R493" s="549"/>
      <c r="S493" s="549"/>
      <c r="T493" s="549"/>
      <c r="U493" s="549"/>
      <c r="V493" s="132">
        <f t="shared" si="225"/>
        <v>0</v>
      </c>
      <c r="W493" s="133" t="str">
        <f t="shared" si="221"/>
        <v/>
      </c>
      <c r="X493" s="132"/>
      <c r="Y493" s="132"/>
      <c r="Z493" s="132"/>
      <c r="AA493" s="132"/>
    </row>
    <row r="494" spans="1:27" ht="20.100000000000001" hidden="1" customHeight="1">
      <c r="A494" s="299">
        <v>30700017</v>
      </c>
      <c r="B494" s="141" t="s">
        <v>238</v>
      </c>
      <c r="C494" s="547"/>
      <c r="D494" s="108">
        <v>4.4000000000000004</v>
      </c>
      <c r="E494" s="108"/>
      <c r="F494" s="127"/>
      <c r="G494" s="128"/>
      <c r="H494" s="541">
        <f t="shared" si="222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3"/>
        <v>0</v>
      </c>
      <c r="N494" s="130">
        <f t="shared" si="224"/>
        <v>0</v>
      </c>
      <c r="O494" s="549"/>
      <c r="P494" s="549"/>
      <c r="Q494" s="549"/>
      <c r="R494" s="549"/>
      <c r="S494" s="549"/>
      <c r="T494" s="549"/>
      <c r="U494" s="549"/>
      <c r="V494" s="132">
        <f t="shared" si="225"/>
        <v>0</v>
      </c>
      <c r="W494" s="133" t="str">
        <f t="shared" si="221"/>
        <v/>
      </c>
      <c r="X494" s="132"/>
      <c r="Y494" s="132"/>
      <c r="Z494" s="132"/>
      <c r="AA494" s="132"/>
    </row>
    <row r="495" spans="1:27" ht="20.100000000000001" hidden="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28"/>
      <c r="H495" s="541">
        <f t="shared" si="222"/>
        <v>0</v>
      </c>
      <c r="I495" s="129"/>
      <c r="J495" s="130"/>
      <c r="K495" s="131"/>
      <c r="L495" s="129"/>
      <c r="M495" s="109"/>
      <c r="N495" s="130"/>
      <c r="O495" s="549"/>
      <c r="P495" s="549"/>
      <c r="Q495" s="549"/>
      <c r="R495" s="549"/>
      <c r="S495" s="549"/>
      <c r="T495" s="549"/>
      <c r="U495" s="549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299">
        <v>30700001</v>
      </c>
      <c r="B496" s="127" t="s">
        <v>359</v>
      </c>
      <c r="C496" s="547"/>
      <c r="D496" s="108"/>
      <c r="E496" s="108"/>
      <c r="F496" s="127"/>
      <c r="G496" s="128"/>
      <c r="H496" s="541">
        <f t="shared" si="222"/>
        <v>0</v>
      </c>
      <c r="I496" s="129"/>
      <c r="J496" s="130"/>
      <c r="K496" s="131"/>
      <c r="L496" s="129">
        <v>6</v>
      </c>
      <c r="M496" s="109"/>
      <c r="N496" s="130"/>
      <c r="O496" s="549"/>
      <c r="P496" s="549"/>
      <c r="Q496" s="549"/>
      <c r="R496" s="549"/>
      <c r="S496" s="549"/>
      <c r="T496" s="549"/>
      <c r="U496" s="549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/>
      <c r="B497" s="547" t="s">
        <v>239</v>
      </c>
      <c r="C497" s="547" t="s">
        <v>179</v>
      </c>
      <c r="D497" s="108">
        <v>6.04</v>
      </c>
      <c r="E497" s="108"/>
      <c r="F497" s="127"/>
      <c r="G497" s="128"/>
      <c r="H497" s="541">
        <f t="shared" si="222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498" si="226">IF(ISERROR(I497-K497),"",I497-K497)</f>
        <v>0</v>
      </c>
      <c r="N497" s="130">
        <f t="shared" ref="N497:N498" si="227">SUM(O497:U497)</f>
        <v>0</v>
      </c>
      <c r="O497" s="549"/>
      <c r="P497" s="549"/>
      <c r="Q497" s="549"/>
      <c r="R497" s="549"/>
      <c r="S497" s="549"/>
      <c r="T497" s="549"/>
      <c r="U497" s="549"/>
      <c r="V497" s="132">
        <f t="shared" ref="V497:V498" si="228">SUM(X497:AA497)</f>
        <v>0</v>
      </c>
      <c r="W497" s="133" t="str">
        <f t="shared" ref="W497:W498" si="229">IF(ISERROR(V497/G497),"",V497/G497)</f>
        <v/>
      </c>
      <c r="X497" s="132"/>
      <c r="Y497" s="132"/>
      <c r="Z497" s="132"/>
      <c r="AA497" s="132"/>
    </row>
    <row r="498" spans="1:27" ht="20.100000000000001" hidden="1" customHeight="1">
      <c r="A498" s="305">
        <v>30700019</v>
      </c>
      <c r="B498" s="547" t="s">
        <v>239</v>
      </c>
      <c r="C498" s="547" t="s">
        <v>186</v>
      </c>
      <c r="D498" s="108">
        <v>6.04</v>
      </c>
      <c r="E498" s="108"/>
      <c r="F498" s="127"/>
      <c r="G498" s="128"/>
      <c r="H498" s="541">
        <f t="shared" si="222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6"/>
        <v>0</v>
      </c>
      <c r="N498" s="130">
        <f t="shared" si="227"/>
        <v>0</v>
      </c>
      <c r="O498" s="549"/>
      <c r="P498" s="549"/>
      <c r="Q498" s="549"/>
      <c r="R498" s="549"/>
      <c r="S498" s="549"/>
      <c r="T498" s="549"/>
      <c r="U498" s="549"/>
      <c r="V498" s="132">
        <f t="shared" si="228"/>
        <v>0</v>
      </c>
      <c r="W498" s="133" t="str">
        <f t="shared" si="229"/>
        <v/>
      </c>
      <c r="X498" s="132"/>
      <c r="Y498" s="132"/>
      <c r="Z498" s="132"/>
      <c r="AA498" s="132"/>
    </row>
    <row r="499" spans="1:27" ht="20.100000000000001" hidden="1" customHeight="1">
      <c r="A499" s="305">
        <v>30601015</v>
      </c>
      <c r="B499" s="547" t="s">
        <v>443</v>
      </c>
      <c r="C499" s="547" t="s">
        <v>179</v>
      </c>
      <c r="D499" s="108"/>
      <c r="E499" s="108"/>
      <c r="F499" s="127"/>
      <c r="G499" s="128"/>
      <c r="H499" s="541">
        <f t="shared" si="222"/>
        <v>0</v>
      </c>
      <c r="I499" s="129"/>
      <c r="J499" s="130"/>
      <c r="K499" s="131"/>
      <c r="L499" s="129"/>
      <c r="M499" s="109"/>
      <c r="N499" s="130"/>
      <c r="O499" s="549"/>
      <c r="P499" s="549"/>
      <c r="Q499" s="549"/>
      <c r="R499" s="549"/>
      <c r="S499" s="549"/>
      <c r="T499" s="549"/>
      <c r="U499" s="549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305">
        <v>30101016</v>
      </c>
      <c r="B500" s="547" t="s">
        <v>443</v>
      </c>
      <c r="C500" s="547" t="s">
        <v>186</v>
      </c>
      <c r="D500" s="108"/>
      <c r="E500" s="108"/>
      <c r="F500" s="127"/>
      <c r="G500" s="128"/>
      <c r="H500" s="541">
        <f t="shared" si="222"/>
        <v>0</v>
      </c>
      <c r="I500" s="129"/>
      <c r="J500" s="130"/>
      <c r="K500" s="131"/>
      <c r="L500" s="129"/>
      <c r="M500" s="109"/>
      <c r="N500" s="130"/>
      <c r="O500" s="549"/>
      <c r="P500" s="549"/>
      <c r="Q500" s="549"/>
      <c r="R500" s="549"/>
      <c r="S500" s="549"/>
      <c r="T500" s="549"/>
      <c r="U500" s="549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30700018</v>
      </c>
      <c r="B501" s="540" t="s">
        <v>240</v>
      </c>
      <c r="C501" s="126"/>
      <c r="D501" s="108">
        <v>7.3</v>
      </c>
      <c r="E501" s="108"/>
      <c r="F501" s="127"/>
      <c r="G501" s="128"/>
      <c r="H501" s="541">
        <f t="shared" si="222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ref="M501" si="230">IF(ISERROR(I501-K501),"",I501-K501)</f>
        <v>0</v>
      </c>
      <c r="N501" s="130">
        <f t="shared" ref="N501" si="231">SUM(O501:U501)</f>
        <v>0</v>
      </c>
      <c r="O501" s="549"/>
      <c r="P501" s="549"/>
      <c r="Q501" s="549"/>
      <c r="R501" s="549"/>
      <c r="S501" s="549"/>
      <c r="T501" s="549"/>
      <c r="U501" s="549"/>
      <c r="V501" s="132">
        <f t="shared" ref="V501" si="232">SUM(X501:AA501)</f>
        <v>0</v>
      </c>
      <c r="W501" s="133" t="str">
        <f t="shared" ref="W501" si="233">IF(ISERROR(V501/G501),"",V501/G501)</f>
        <v/>
      </c>
      <c r="X501" s="132"/>
      <c r="Y501" s="132"/>
      <c r="Z501" s="132"/>
      <c r="AA501" s="132"/>
    </row>
    <row r="502" spans="1:27" ht="20.100000000000001" hidden="1" customHeight="1">
      <c r="A502" s="299">
        <v>30700010</v>
      </c>
      <c r="B502" s="540" t="s">
        <v>241</v>
      </c>
      <c r="C502" s="126"/>
      <c r="D502" s="108">
        <f>78*120/1000</f>
        <v>9.36</v>
      </c>
      <c r="E502" s="108"/>
      <c r="F502" s="127"/>
      <c r="G502" s="128"/>
      <c r="H502" s="541">
        <f t="shared" si="222"/>
        <v>0</v>
      </c>
      <c r="I502" s="129"/>
      <c r="J502" s="130"/>
      <c r="K502" s="131"/>
      <c r="L502" s="129"/>
      <c r="M502" s="109"/>
      <c r="N502" s="130"/>
      <c r="O502" s="549"/>
      <c r="P502" s="549"/>
      <c r="Q502" s="549"/>
      <c r="R502" s="549"/>
      <c r="S502" s="549"/>
      <c r="T502" s="549"/>
      <c r="U502" s="549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299">
        <v>30700015</v>
      </c>
      <c r="B503" s="540" t="s">
        <v>242</v>
      </c>
      <c r="C503" s="126"/>
      <c r="D503" s="108">
        <v>4.5</v>
      </c>
      <c r="E503" s="108"/>
      <c r="F503" s="127"/>
      <c r="G503" s="128"/>
      <c r="H503" s="541">
        <f t="shared" si="222"/>
        <v>0</v>
      </c>
      <c r="I503" s="129"/>
      <c r="J503" s="130"/>
      <c r="K503" s="131"/>
      <c r="L503" s="129"/>
      <c r="M503" s="109"/>
      <c r="N503" s="130"/>
      <c r="O503" s="549"/>
      <c r="P503" s="549"/>
      <c r="Q503" s="549"/>
      <c r="R503" s="549"/>
      <c r="S503" s="549"/>
      <c r="T503" s="549"/>
      <c r="U503" s="549"/>
      <c r="V503" s="132"/>
      <c r="W503" s="133"/>
      <c r="X503" s="132"/>
      <c r="Y503" s="132"/>
      <c r="Z503" s="132"/>
      <c r="AA503" s="132"/>
    </row>
    <row r="504" spans="1:27" ht="20.100000000000001" hidden="1" customHeight="1">
      <c r="A504" s="299">
        <v>30700012</v>
      </c>
      <c r="B504" s="540" t="s">
        <v>243</v>
      </c>
      <c r="C504" s="126"/>
      <c r="D504" s="108">
        <v>4.5</v>
      </c>
      <c r="E504" s="108"/>
      <c r="F504" s="127"/>
      <c r="G504" s="128"/>
      <c r="H504" s="541">
        <f t="shared" si="222"/>
        <v>0</v>
      </c>
      <c r="I504" s="129"/>
      <c r="J504" s="130"/>
      <c r="K504" s="131"/>
      <c r="L504" s="129"/>
      <c r="M504" s="109"/>
      <c r="N504" s="130"/>
      <c r="O504" s="549"/>
      <c r="P504" s="549"/>
      <c r="Q504" s="549"/>
      <c r="R504" s="549"/>
      <c r="S504" s="549"/>
      <c r="T504" s="549"/>
      <c r="U504" s="549"/>
      <c r="V504" s="132"/>
      <c r="W504" s="133"/>
      <c r="X504" s="132"/>
      <c r="Y504" s="132"/>
      <c r="Z504" s="132"/>
      <c r="AA504" s="132"/>
    </row>
    <row r="505" spans="1:27" ht="20.100000000000001" hidden="1" customHeight="1">
      <c r="A505" s="299"/>
      <c r="B505" s="540"/>
      <c r="C505" s="126"/>
      <c r="D505" s="108"/>
      <c r="E505" s="108"/>
      <c r="F505" s="127"/>
      <c r="G505" s="128"/>
      <c r="H505" s="541">
        <f t="shared" si="222"/>
        <v>0</v>
      </c>
      <c r="I505" s="129"/>
      <c r="J505" s="130"/>
      <c r="K505" s="131"/>
      <c r="L505" s="129"/>
      <c r="M505" s="109"/>
      <c r="N505" s="130"/>
      <c r="O505" s="549"/>
      <c r="P505" s="549"/>
      <c r="Q505" s="549"/>
      <c r="R505" s="549"/>
      <c r="S505" s="549"/>
      <c r="T505" s="549"/>
      <c r="U505" s="549"/>
      <c r="V505" s="132"/>
      <c r="W505" s="133"/>
      <c r="X505" s="132"/>
      <c r="Y505" s="132"/>
      <c r="Z505" s="132"/>
      <c r="AA505" s="132"/>
    </row>
    <row r="506" spans="1:27" ht="20.100000000000001" hidden="1" customHeight="1">
      <c r="A506" s="578" t="s">
        <v>244</v>
      </c>
      <c r="B506" s="579"/>
      <c r="C506" s="550" t="s">
        <v>202</v>
      </c>
      <c r="D506" s="143"/>
      <c r="E506" s="143"/>
      <c r="F506" s="144"/>
      <c r="G506" s="145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4">SUM(M491:M501)</f>
        <v>0</v>
      </c>
      <c r="N506" s="146">
        <f t="shared" si="234"/>
        <v>0</v>
      </c>
      <c r="O506" s="148">
        <f t="shared" si="234"/>
        <v>0</v>
      </c>
      <c r="P506" s="148">
        <f t="shared" si="234"/>
        <v>0</v>
      </c>
      <c r="Q506" s="148">
        <f t="shared" si="234"/>
        <v>0</v>
      </c>
      <c r="R506" s="148">
        <f t="shared" si="234"/>
        <v>0</v>
      </c>
      <c r="S506" s="148">
        <f t="shared" si="234"/>
        <v>0</v>
      </c>
      <c r="T506" s="148">
        <f t="shared" si="234"/>
        <v>0</v>
      </c>
      <c r="U506" s="148">
        <f t="shared" si="234"/>
        <v>0</v>
      </c>
      <c r="V506" s="149">
        <f t="shared" si="234"/>
        <v>0</v>
      </c>
      <c r="W506" s="133">
        <f t="shared" si="234"/>
        <v>0</v>
      </c>
      <c r="X506" s="149">
        <f t="shared" si="234"/>
        <v>0</v>
      </c>
      <c r="Y506" s="149">
        <f t="shared" si="234"/>
        <v>0</v>
      </c>
      <c r="Z506" s="149">
        <f t="shared" si="234"/>
        <v>0</v>
      </c>
      <c r="AA506" s="149">
        <f t="shared" si="234"/>
        <v>0</v>
      </c>
    </row>
    <row r="507" spans="1:27" ht="20.100000000000001" customHeight="1">
      <c r="A507" s="580" t="s">
        <v>246</v>
      </c>
      <c r="B507" s="581"/>
      <c r="C507" s="581"/>
      <c r="D507" s="581"/>
      <c r="E507" s="581"/>
      <c r="F507" s="582"/>
      <c r="G507" s="154">
        <f>SUM(G370,G428,G463,G479,G490,G506)</f>
        <v>846</v>
      </c>
      <c r="H507" s="154">
        <f>SUM(H370,H428,H463,H479,H490,H506)</f>
        <v>4239.09</v>
      </c>
      <c r="I507" s="154">
        <f>SUM(I370,I428,I463,I479,I490,I506)</f>
        <v>47</v>
      </c>
      <c r="J507" s="155">
        <f t="array" ref="J507">IF(ISERROR(G507/I507),"",G507/I507)</f>
        <v>18</v>
      </c>
      <c r="K507" s="154">
        <f>SUM(K370,K428,K463,K479,K490,K506)</f>
        <v>141.97487781036168</v>
      </c>
      <c r="L507" s="155">
        <f>IF(ISERROR(G507/K507),"",G507/K507)</f>
        <v>5.9588006909927893</v>
      </c>
      <c r="M507" s="154">
        <f t="shared" ref="M507:V507" si="235">SUM(M370,M428,M463,M479,M490,M506)</f>
        <v>-94.974877810361676</v>
      </c>
      <c r="N507" s="154">
        <f t="shared" si="235"/>
        <v>0</v>
      </c>
      <c r="O507" s="154">
        <f t="shared" si="235"/>
        <v>0</v>
      </c>
      <c r="P507" s="154">
        <f t="shared" si="235"/>
        <v>0</v>
      </c>
      <c r="Q507" s="154">
        <f t="shared" si="235"/>
        <v>0</v>
      </c>
      <c r="R507" s="154">
        <f t="shared" si="235"/>
        <v>0</v>
      </c>
      <c r="S507" s="154">
        <f t="shared" si="235"/>
        <v>0</v>
      </c>
      <c r="T507" s="154">
        <f t="shared" si="235"/>
        <v>0</v>
      </c>
      <c r="U507" s="154">
        <f t="shared" si="235"/>
        <v>0</v>
      </c>
      <c r="V507" s="154">
        <f t="shared" si="235"/>
        <v>0</v>
      </c>
      <c r="W507" s="156">
        <f t="shared" ref="W507" si="236">IF(ISERROR(V507/G507),"",V507/G507)</f>
        <v>0</v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583" t="s">
        <v>476</v>
      </c>
      <c r="B508" s="543" t="s">
        <v>247</v>
      </c>
      <c r="C508" s="586" t="s">
        <v>248</v>
      </c>
      <c r="D508" s="587"/>
      <c r="E508" s="588" t="s">
        <v>249</v>
      </c>
      <c r="F508" s="588"/>
      <c r="G508" s="591" t="s">
        <v>250</v>
      </c>
      <c r="H508" s="591"/>
      <c r="I508" s="588" t="s">
        <v>251</v>
      </c>
      <c r="J508" s="588"/>
      <c r="K508" s="588" t="s">
        <v>252</v>
      </c>
      <c r="L508" s="588"/>
      <c r="M508" s="588" t="s">
        <v>253</v>
      </c>
      <c r="N508" s="588"/>
      <c r="O508" s="588" t="s">
        <v>254</v>
      </c>
      <c r="P508" s="591" t="s">
        <v>255</v>
      </c>
      <c r="Q508" s="591"/>
      <c r="R508" s="591" t="s">
        <v>252</v>
      </c>
      <c r="S508" s="591"/>
      <c r="T508" s="591" t="s">
        <v>256</v>
      </c>
      <c r="U508" s="591"/>
      <c r="V508" s="591" t="s">
        <v>257</v>
      </c>
      <c r="W508" s="591"/>
      <c r="X508" s="591" t="s">
        <v>252</v>
      </c>
      <c r="Y508" s="591"/>
      <c r="Z508" s="591" t="s">
        <v>256</v>
      </c>
      <c r="AA508" s="591"/>
    </row>
    <row r="509" spans="1:27" ht="20.100000000000001" customHeight="1">
      <c r="A509" s="584"/>
      <c r="B509" s="543" t="s">
        <v>258</v>
      </c>
      <c r="C509" s="586">
        <v>0</v>
      </c>
      <c r="D509" s="587"/>
      <c r="E509" s="590">
        <f>C509*11</f>
        <v>0</v>
      </c>
      <c r="F509" s="590"/>
      <c r="G509" s="591">
        <v>0</v>
      </c>
      <c r="H509" s="591"/>
      <c r="I509" s="590">
        <f>G509*11</f>
        <v>0</v>
      </c>
      <c r="J509" s="590"/>
      <c r="K509" s="590">
        <f>E509-I509</f>
        <v>0</v>
      </c>
      <c r="L509" s="590"/>
      <c r="M509" s="592" t="str">
        <f>IF(ISERROR(K509/E509),"",K509/E509)</f>
        <v/>
      </c>
      <c r="N509" s="592"/>
      <c r="O509" s="588"/>
      <c r="P509" s="591" t="s">
        <v>201</v>
      </c>
      <c r="Q509" s="591"/>
      <c r="R509" s="593">
        <f>SUM(O370:U370)</f>
        <v>0</v>
      </c>
      <c r="S509" s="593"/>
      <c r="T509" s="594" t="str">
        <f t="array" ref="T509">IF(ISERROR(R509/R516),"",R509/R516)</f>
        <v/>
      </c>
      <c r="U509" s="594"/>
      <c r="V509" s="591" t="s">
        <v>259</v>
      </c>
      <c r="W509" s="591"/>
      <c r="X509" s="595">
        <f>SUM(O370,O428,O463,O479,O490,O506)</f>
        <v>0</v>
      </c>
      <c r="Y509" s="595"/>
      <c r="Z509" s="594" t="str">
        <f t="array" ref="Z509">IF(ISERROR(X509/X516),"",X509/X516)</f>
        <v/>
      </c>
      <c r="AA509" s="594"/>
    </row>
    <row r="510" spans="1:27" ht="20.100000000000001" customHeight="1">
      <c r="A510" s="584"/>
      <c r="B510" s="543" t="s">
        <v>260</v>
      </c>
      <c r="C510" s="586">
        <v>0</v>
      </c>
      <c r="D510" s="587"/>
      <c r="E510" s="590">
        <f>C510*11</f>
        <v>0</v>
      </c>
      <c r="F510" s="590"/>
      <c r="G510" s="591">
        <v>0</v>
      </c>
      <c r="H510" s="591"/>
      <c r="I510" s="590">
        <f>G510*11</f>
        <v>0</v>
      </c>
      <c r="J510" s="590"/>
      <c r="K510" s="590">
        <f>E510-I510</f>
        <v>0</v>
      </c>
      <c r="L510" s="590"/>
      <c r="M510" s="592" t="str">
        <f>IF(ISERROR(K510/E510),"",K510/E510)</f>
        <v/>
      </c>
      <c r="N510" s="592"/>
      <c r="O510" s="588"/>
      <c r="P510" s="591" t="s">
        <v>216</v>
      </c>
      <c r="Q510" s="591"/>
      <c r="R510" s="593">
        <f>SUM(O428:U428)</f>
        <v>0</v>
      </c>
      <c r="S510" s="593"/>
      <c r="T510" s="594" t="str">
        <f>IF(ISERROR(R510/R516),"",R510/R516)</f>
        <v/>
      </c>
      <c r="U510" s="594"/>
      <c r="V510" s="591" t="s">
        <v>261</v>
      </c>
      <c r="W510" s="591"/>
      <c r="X510" s="595">
        <f>SUM(O371,O429,O464,O480,O491,O507)</f>
        <v>0</v>
      </c>
      <c r="Y510" s="595"/>
      <c r="Z510" s="594" t="str">
        <f>IF(ISERROR(X510/X516),"",X510/X516)</f>
        <v/>
      </c>
      <c r="AA510" s="594"/>
    </row>
    <row r="511" spans="1:27" ht="20.100000000000001" customHeight="1">
      <c r="A511" s="584"/>
      <c r="B511" s="543" t="s">
        <v>262</v>
      </c>
      <c r="C511" s="586">
        <v>0</v>
      </c>
      <c r="D511" s="587"/>
      <c r="E511" s="590">
        <f>C511*11</f>
        <v>0</v>
      </c>
      <c r="F511" s="590"/>
      <c r="G511" s="591">
        <v>0</v>
      </c>
      <c r="H511" s="591"/>
      <c r="I511" s="590">
        <f>G511*11</f>
        <v>0</v>
      </c>
      <c r="J511" s="590"/>
      <c r="K511" s="590">
        <f>E511-I511</f>
        <v>0</v>
      </c>
      <c r="L511" s="590"/>
      <c r="M511" s="592" t="str">
        <f>IF(ISERROR(K511/E511),"",K511/E511)</f>
        <v/>
      </c>
      <c r="N511" s="592"/>
      <c r="O511" s="588"/>
      <c r="P511" s="591" t="s">
        <v>224</v>
      </c>
      <c r="Q511" s="591"/>
      <c r="R511" s="593">
        <f>SUM(O463:U463)</f>
        <v>0</v>
      </c>
      <c r="S511" s="593"/>
      <c r="T511" s="594" t="str">
        <f>IF(ISERROR(R511/R516),"",R511/R516)</f>
        <v/>
      </c>
      <c r="U511" s="594"/>
      <c r="V511" s="591" t="s">
        <v>263</v>
      </c>
      <c r="W511" s="591"/>
      <c r="X511" s="595">
        <f>SUM(O373,O430,O465,O481,O492,O508)</f>
        <v>0</v>
      </c>
      <c r="Y511" s="595"/>
      <c r="Z511" s="594" t="str">
        <f>IF(ISERROR(X511/X516),"",X511/X516)</f>
        <v/>
      </c>
      <c r="AA511" s="594"/>
    </row>
    <row r="512" spans="1:27" ht="20.100000000000001" customHeight="1">
      <c r="A512" s="584"/>
      <c r="B512" s="543" t="s">
        <v>264</v>
      </c>
      <c r="C512" s="586">
        <v>1</v>
      </c>
      <c r="D512" s="587"/>
      <c r="E512" s="590">
        <f>C512*11</f>
        <v>11</v>
      </c>
      <c r="F512" s="590"/>
      <c r="G512" s="591">
        <v>1</v>
      </c>
      <c r="H512" s="591"/>
      <c r="I512" s="590">
        <f>G512*11</f>
        <v>11</v>
      </c>
      <c r="J512" s="590"/>
      <c r="K512" s="590">
        <f>E512-I512</f>
        <v>0</v>
      </c>
      <c r="L512" s="590"/>
      <c r="M512" s="592">
        <f>IF(ISERROR(K512/E512),"",K512/E512)</f>
        <v>0</v>
      </c>
      <c r="N512" s="592"/>
      <c r="O512" s="588"/>
      <c r="P512" s="591" t="s">
        <v>231</v>
      </c>
      <c r="Q512" s="591"/>
      <c r="R512" s="593">
        <f>SUM(O479:U479)</f>
        <v>0</v>
      </c>
      <c r="S512" s="593"/>
      <c r="T512" s="594" t="str">
        <f>IF(ISERROR(R512/R516),"",R512/R516)</f>
        <v/>
      </c>
      <c r="U512" s="594"/>
      <c r="V512" s="591" t="s">
        <v>265</v>
      </c>
      <c r="W512" s="591"/>
      <c r="X512" s="595">
        <f>SUM(O374,O431,O466,O482,O493,O509)</f>
        <v>0</v>
      </c>
      <c r="Y512" s="595"/>
      <c r="Z512" s="594" t="str">
        <f>IF(ISERROR(X512/X516),"",X512/X516)</f>
        <v/>
      </c>
      <c r="AA512" s="594"/>
    </row>
    <row r="513" spans="1:27" ht="20.100000000000001" customHeight="1">
      <c r="A513" s="585"/>
      <c r="B513" s="543" t="s">
        <v>266</v>
      </c>
      <c r="C513" s="596">
        <f>SUM(C509:D512)</f>
        <v>1</v>
      </c>
      <c r="D513" s="597"/>
      <c r="E513" s="590">
        <f>SUM(E509:F512)</f>
        <v>11</v>
      </c>
      <c r="F513" s="590"/>
      <c r="G513" s="591">
        <f>SUM(G509:H512)</f>
        <v>1</v>
      </c>
      <c r="H513" s="591"/>
      <c r="I513" s="590">
        <f>SUM(I509:J512)</f>
        <v>11</v>
      </c>
      <c r="J513" s="590"/>
      <c r="K513" s="590">
        <f>SUM(K509:L512)</f>
        <v>0</v>
      </c>
      <c r="L513" s="590"/>
      <c r="M513" s="592">
        <f>IF(ISERROR(K513/E513),"",K513/E513)</f>
        <v>0</v>
      </c>
      <c r="N513" s="592"/>
      <c r="O513" s="588"/>
      <c r="P513" s="591" t="s">
        <v>234</v>
      </c>
      <c r="Q513" s="591"/>
      <c r="R513" s="593">
        <f>SUM(O490:U490)</f>
        <v>0</v>
      </c>
      <c r="S513" s="593"/>
      <c r="T513" s="594" t="str">
        <f>IF(ISERROR(R513/R516),"",R513/R516)</f>
        <v/>
      </c>
      <c r="U513" s="594"/>
      <c r="V513" s="591" t="s">
        <v>267</v>
      </c>
      <c r="W513" s="591"/>
      <c r="X513" s="595">
        <f>SUM(O375,O432,O467,O483,O494,O510)</f>
        <v>0</v>
      </c>
      <c r="Y513" s="595"/>
      <c r="Z513" s="594" t="str">
        <f>IF(ISERROR(X513/X516),"",X513/X516)</f>
        <v/>
      </c>
      <c r="AA513" s="594"/>
    </row>
    <row r="514" spans="1:27" ht="20.100000000000001" customHeight="1">
      <c r="A514" s="307" t="s">
        <v>477</v>
      </c>
      <c r="B514" s="543">
        <f>G507</f>
        <v>846</v>
      </c>
      <c r="C514" s="598" t="s">
        <v>269</v>
      </c>
      <c r="D514" s="599"/>
      <c r="E514" s="591">
        <f>H507</f>
        <v>4239.09</v>
      </c>
      <c r="F514" s="591"/>
      <c r="G514" s="591" t="s">
        <v>270</v>
      </c>
      <c r="H514" s="591"/>
      <c r="I514" s="600">
        <f>L507</f>
        <v>5.9588006909927893</v>
      </c>
      <c r="J514" s="600"/>
      <c r="K514" s="588" t="s">
        <v>271</v>
      </c>
      <c r="L514" s="588"/>
      <c r="M514" s="600">
        <f>J507</f>
        <v>18</v>
      </c>
      <c r="N514" s="600"/>
      <c r="O514" s="588"/>
      <c r="P514" s="591" t="s">
        <v>244</v>
      </c>
      <c r="Q514" s="591"/>
      <c r="R514" s="593">
        <f>SUM(O506:U506)</f>
        <v>0</v>
      </c>
      <c r="S514" s="593"/>
      <c r="T514" s="594" t="str">
        <f>IF(ISERROR(R514/R516),"",R514/R516)</f>
        <v/>
      </c>
      <c r="U514" s="594"/>
      <c r="V514" s="591" t="s">
        <v>272</v>
      </c>
      <c r="W514" s="591"/>
      <c r="X514" s="595">
        <f>SUM(O376,O433,O468,O484,O495,O511)</f>
        <v>0</v>
      </c>
      <c r="Y514" s="595"/>
      <c r="Z514" s="594" t="str">
        <f>IF(ISERROR(X514/X516),"",X514/X516)</f>
        <v/>
      </c>
      <c r="AA514" s="594"/>
    </row>
    <row r="515" spans="1:27" ht="20.100000000000001" customHeight="1">
      <c r="A515" s="308" t="s">
        <v>478</v>
      </c>
      <c r="B515" s="543">
        <f>I507+C513</f>
        <v>48</v>
      </c>
      <c r="C515" s="601" t="s">
        <v>251</v>
      </c>
      <c r="D515" s="602"/>
      <c r="E515" s="603">
        <f>K507+I513</f>
        <v>152.97487781036168</v>
      </c>
      <c r="F515" s="603"/>
      <c r="G515" s="591" t="s">
        <v>274</v>
      </c>
      <c r="H515" s="591"/>
      <c r="I515" s="600">
        <f>B515-E515</f>
        <v>-104.97487781036168</v>
      </c>
      <c r="J515" s="600"/>
      <c r="K515" s="588" t="s">
        <v>275</v>
      </c>
      <c r="L515" s="588"/>
      <c r="M515" s="592">
        <f>IF(ISERROR(I515/E515),"",I515/E515)</f>
        <v>-0.68622298846020879</v>
      </c>
      <c r="N515" s="592"/>
      <c r="O515" s="588"/>
      <c r="P515" s="591" t="s">
        <v>245</v>
      </c>
      <c r="Q515" s="591"/>
      <c r="R515" s="593"/>
      <c r="S515" s="593"/>
      <c r="T515" s="594" t="str">
        <f>IF(ISERROR(R515/R516),"",R515/R516)</f>
        <v/>
      </c>
      <c r="U515" s="594"/>
      <c r="V515" s="591" t="s">
        <v>264</v>
      </c>
      <c r="W515" s="591"/>
      <c r="X515" s="595">
        <f>SUM(O377,O434,O469,O489,O496,O512)</f>
        <v>0</v>
      </c>
      <c r="Y515" s="595"/>
      <c r="Z515" s="594" t="str">
        <f>IF(ISERROR(X515/X516),"",X515/X516)</f>
        <v/>
      </c>
      <c r="AA515" s="594"/>
    </row>
    <row r="516" spans="1:27" ht="20.100000000000001" customHeight="1">
      <c r="A516" s="308" t="s">
        <v>479</v>
      </c>
      <c r="B516" s="543">
        <f>N507</f>
        <v>0</v>
      </c>
      <c r="C516" s="601" t="s">
        <v>277</v>
      </c>
      <c r="D516" s="602"/>
      <c r="E516" s="594">
        <f>IF(ISERROR(B516/B515),"",B516/B515)</f>
        <v>0</v>
      </c>
      <c r="F516" s="594"/>
      <c r="G516" s="591" t="s">
        <v>278</v>
      </c>
      <c r="H516" s="591"/>
      <c r="I516" s="588">
        <f>V507</f>
        <v>0</v>
      </c>
      <c r="J516" s="588"/>
      <c r="K516" s="588" t="s">
        <v>279</v>
      </c>
      <c r="L516" s="588"/>
      <c r="M516" s="592">
        <f t="array" ref="M516">IF(ISERROR(I516/B514),"",I516/B514)</f>
        <v>0</v>
      </c>
      <c r="N516" s="592"/>
      <c r="O516" s="588"/>
      <c r="P516" s="591" t="s">
        <v>266</v>
      </c>
      <c r="Q516" s="591"/>
      <c r="R516" s="593">
        <f>SUM(R509:S515)</f>
        <v>0</v>
      </c>
      <c r="S516" s="593"/>
      <c r="T516" s="594"/>
      <c r="U516" s="594"/>
      <c r="V516" s="591" t="s">
        <v>266</v>
      </c>
      <c r="W516" s="591"/>
      <c r="X516" s="595">
        <f>SUM(X509:Y515)</f>
        <v>0</v>
      </c>
      <c r="Y516" s="595"/>
      <c r="Z516" s="594"/>
      <c r="AA516" s="594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630" t="str">
        <f>IF(ISERROR(#REF!/#REF!),"",#REF!/#REF!)</f>
        <v/>
      </c>
      <c r="H517" s="630"/>
      <c r="I517" s="630"/>
      <c r="J517" s="125"/>
      <c r="K517" s="160"/>
      <c r="L517" s="122"/>
      <c r="M517" s="122"/>
      <c r="N517" s="630" t="str">
        <f>IF(ISERROR(G517/#REF!),"",G517/#REF!)</f>
        <v/>
      </c>
      <c r="O517" s="630"/>
      <c r="P517" s="630"/>
      <c r="Q517" s="630"/>
      <c r="R517" s="630"/>
      <c r="S517" s="544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6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633" t="s">
        <v>268</v>
      </c>
      <c r="B519" s="633"/>
      <c r="C519" s="586">
        <f>SUM(B171,B342,B514)</f>
        <v>12016</v>
      </c>
      <c r="D519" s="587"/>
      <c r="E519" s="633" t="s">
        <v>269</v>
      </c>
      <c r="F519" s="633"/>
      <c r="G519" s="603">
        <f>SUM(E171,E342,E514)</f>
        <v>61051.16</v>
      </c>
      <c r="H519" s="603"/>
      <c r="I519" s="591" t="s">
        <v>270</v>
      </c>
      <c r="J519" s="633"/>
      <c r="K519" s="586">
        <f>IF(ISERROR(C519/G520),"",C519/G520)</f>
        <v>14.763197708540256</v>
      </c>
      <c r="L519" s="587"/>
      <c r="M519" s="591" t="s">
        <v>271</v>
      </c>
      <c r="N519" s="591"/>
      <c r="O519" s="628">
        <f t="array" ref="O519">IF(ISERROR(C519/C520),"",C519/C520)</f>
        <v>16.747038327526134</v>
      </c>
      <c r="P519" s="629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591" t="s">
        <v>273</v>
      </c>
      <c r="B520" s="591"/>
      <c r="C520" s="586">
        <f>SUM(B172,B343,B515)</f>
        <v>717.5</v>
      </c>
      <c r="D520" s="587"/>
      <c r="E520" s="591" t="s">
        <v>251</v>
      </c>
      <c r="F520" s="591"/>
      <c r="G520" s="603">
        <f>SUM(E172,E343,E515)</f>
        <v>813.91580856828534</v>
      </c>
      <c r="H520" s="603"/>
      <c r="I520" s="601" t="s">
        <v>274</v>
      </c>
      <c r="J520" s="602"/>
      <c r="K520" s="598">
        <f>C520-G520</f>
        <v>-96.415808568285343</v>
      </c>
      <c r="L520" s="599"/>
      <c r="M520" s="598" t="s">
        <v>275</v>
      </c>
      <c r="N520" s="599"/>
      <c r="O520" s="631">
        <f>IF(ISERROR(K520/C520),"",K520/C520)</f>
        <v>-0.13437743354464857</v>
      </c>
      <c r="P520" s="632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601" t="s">
        <v>276</v>
      </c>
      <c r="B521" s="602"/>
      <c r="C521" s="586">
        <f>SUM(B173,B344,B516)</f>
        <v>0</v>
      </c>
      <c r="D521" s="587"/>
      <c r="E521" s="601" t="s">
        <v>277</v>
      </c>
      <c r="F521" s="602"/>
      <c r="G521" s="594">
        <f>IF(ISERROR(C521/C520),"",C521/C520)</f>
        <v>0</v>
      </c>
      <c r="H521" s="594"/>
      <c r="I521" s="591" t="s">
        <v>278</v>
      </c>
      <c r="J521" s="633"/>
      <c r="K521" s="603">
        <f>SUM(I173,I344,I516)</f>
        <v>0</v>
      </c>
      <c r="L521" s="603"/>
      <c r="M521" s="633" t="s">
        <v>279</v>
      </c>
      <c r="N521" s="633"/>
      <c r="O521" s="631">
        <f t="array" ref="O521">IF(ISERROR(K521/C519),"",K521/C519)</f>
        <v>0</v>
      </c>
      <c r="P521" s="632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347"/>
      <c r="H522" s="168"/>
      <c r="I522" s="544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601" t="s">
        <v>298</v>
      </c>
      <c r="B523" s="602"/>
      <c r="C523" s="601" t="s">
        <v>299</v>
      </c>
      <c r="D523" s="602"/>
      <c r="E523" s="601" t="s">
        <v>256</v>
      </c>
      <c r="F523" s="602"/>
      <c r="G523" s="634" t="s">
        <v>254</v>
      </c>
      <c r="H523" s="635"/>
      <c r="I523" s="601" t="s">
        <v>255</v>
      </c>
      <c r="J523" s="599"/>
      <c r="K523" s="601" t="s">
        <v>300</v>
      </c>
      <c r="L523" s="602"/>
      <c r="M523" s="601" t="s">
        <v>256</v>
      </c>
      <c r="N523" s="602"/>
      <c r="O523" s="591" t="s">
        <v>257</v>
      </c>
      <c r="P523" s="591"/>
      <c r="Q523" s="601" t="s">
        <v>300</v>
      </c>
      <c r="R523" s="602"/>
      <c r="S523" s="601" t="s">
        <v>256</v>
      </c>
      <c r="T523" s="602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640" t="s">
        <v>201</v>
      </c>
      <c r="B524" s="602"/>
      <c r="C524" s="601">
        <f>SUM(G28,G199,G370)</f>
        <v>3225</v>
      </c>
      <c r="D524" s="602"/>
      <c r="E524" s="641">
        <f>IF(ISERROR(C524/C530),"",C524/C530)</f>
        <v>0.26839214380825566</v>
      </c>
      <c r="F524" s="642"/>
      <c r="G524" s="636"/>
      <c r="H524" s="637"/>
      <c r="I524" s="643" t="s">
        <v>301</v>
      </c>
      <c r="J524" s="644"/>
      <c r="K524" s="598">
        <f t="shared" ref="K524:K529" si="237">SUM(R166,U337,U509)</f>
        <v>0</v>
      </c>
      <c r="L524" s="599"/>
      <c r="M524" s="641" t="str">
        <f t="array" ref="M524">IF(ISERROR(K524/K530),"",K524/K530)</f>
        <v/>
      </c>
      <c r="N524" s="642"/>
      <c r="O524" s="591" t="s">
        <v>259</v>
      </c>
      <c r="P524" s="591"/>
      <c r="Q524" s="628">
        <f t="shared" ref="Q524:Q529" si="238">SUM(X166,AA337,AA509)</f>
        <v>0</v>
      </c>
      <c r="R524" s="629"/>
      <c r="S524" s="641" t="str">
        <f t="array" ref="S524">IF(ISERROR(Q524/Q530),"",Q524/Q530)</f>
        <v/>
      </c>
      <c r="T524" s="642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640" t="s">
        <v>216</v>
      </c>
      <c r="B525" s="602"/>
      <c r="C525" s="601">
        <f>SUM(G86,G257,G428)</f>
        <v>5374</v>
      </c>
      <c r="D525" s="602"/>
      <c r="E525" s="641">
        <f>IF(ISERROR(C525/C530),"",C525/C530)</f>
        <v>0.447237017310253</v>
      </c>
      <c r="F525" s="642"/>
      <c r="G525" s="636"/>
      <c r="H525" s="637"/>
      <c r="I525" s="643" t="s">
        <v>302</v>
      </c>
      <c r="J525" s="644"/>
      <c r="K525" s="598">
        <f t="shared" si="237"/>
        <v>0</v>
      </c>
      <c r="L525" s="599"/>
      <c r="M525" s="641" t="str">
        <f>IF(ISERROR(K525/K530),"",K525/K530)</f>
        <v/>
      </c>
      <c r="N525" s="642"/>
      <c r="O525" s="591" t="s">
        <v>261</v>
      </c>
      <c r="P525" s="591"/>
      <c r="Q525" s="628">
        <f t="shared" si="238"/>
        <v>0</v>
      </c>
      <c r="R525" s="629"/>
      <c r="S525" s="641" t="str">
        <f>IF(ISERROR(Q525/Q530),"",Q525/Q530)</f>
        <v/>
      </c>
      <c r="T525" s="642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640" t="s">
        <v>224</v>
      </c>
      <c r="B526" s="602"/>
      <c r="C526" s="601">
        <f>SUM(G121,G292,G463)</f>
        <v>1904</v>
      </c>
      <c r="D526" s="602"/>
      <c r="E526" s="641">
        <f>IF(ISERROR(C526/C530),"",C526/C530)</f>
        <v>0.1584553928095872</v>
      </c>
      <c r="F526" s="642"/>
      <c r="G526" s="636"/>
      <c r="H526" s="637"/>
      <c r="I526" s="643" t="s">
        <v>303</v>
      </c>
      <c r="J526" s="644"/>
      <c r="K526" s="598">
        <f t="shared" si="237"/>
        <v>0</v>
      </c>
      <c r="L526" s="599"/>
      <c r="M526" s="641" t="str">
        <f>IF(ISERROR(K526/K530),"",K526/K530)</f>
        <v/>
      </c>
      <c r="N526" s="642"/>
      <c r="O526" s="591" t="s">
        <v>263</v>
      </c>
      <c r="P526" s="591"/>
      <c r="Q526" s="628">
        <f t="shared" si="238"/>
        <v>0</v>
      </c>
      <c r="R526" s="629"/>
      <c r="S526" s="641" t="str">
        <f>IF(ISERROR(Q526/Q530),"",Q526/Q530)</f>
        <v/>
      </c>
      <c r="T526" s="642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640" t="s">
        <v>231</v>
      </c>
      <c r="B527" s="602"/>
      <c r="C527" s="601">
        <f>SUM(G137,G308,G479)</f>
        <v>1205</v>
      </c>
      <c r="D527" s="602"/>
      <c r="E527" s="641">
        <f>IF(ISERROR(C527/C530),"",C527/C530)</f>
        <v>0.10028295605858854</v>
      </c>
      <c r="F527" s="642"/>
      <c r="G527" s="636"/>
      <c r="H527" s="637"/>
      <c r="I527" s="643" t="s">
        <v>304</v>
      </c>
      <c r="J527" s="644"/>
      <c r="K527" s="598">
        <f t="shared" si="237"/>
        <v>0</v>
      </c>
      <c r="L527" s="599"/>
      <c r="M527" s="641" t="str">
        <f>IF(ISERROR(K527/K530),"",K527/K530)</f>
        <v/>
      </c>
      <c r="N527" s="642"/>
      <c r="O527" s="591" t="s">
        <v>305</v>
      </c>
      <c r="P527" s="591"/>
      <c r="Q527" s="628">
        <f t="shared" si="238"/>
        <v>0</v>
      </c>
      <c r="R527" s="629"/>
      <c r="S527" s="641" t="str">
        <f>IF(ISERROR(Q527/Q530),"",Q527/Q530)</f>
        <v/>
      </c>
      <c r="T527" s="642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640" t="s">
        <v>234</v>
      </c>
      <c r="B528" s="602"/>
      <c r="C528" s="601">
        <f>SUM(G148,G319,G490)</f>
        <v>0</v>
      </c>
      <c r="D528" s="602"/>
      <c r="E528" s="641">
        <f>IF(ISERROR(C528/C530),"",C528/C530)</f>
        <v>0</v>
      </c>
      <c r="F528" s="642"/>
      <c r="G528" s="636"/>
      <c r="H528" s="637"/>
      <c r="I528" s="643" t="s">
        <v>306</v>
      </c>
      <c r="J528" s="644"/>
      <c r="K528" s="598">
        <f t="shared" si="237"/>
        <v>0</v>
      </c>
      <c r="L528" s="599"/>
      <c r="M528" s="641" t="str">
        <f>IF(ISERROR(K528/K530),"",K528/K530)</f>
        <v/>
      </c>
      <c r="N528" s="642"/>
      <c r="O528" s="591" t="s">
        <v>267</v>
      </c>
      <c r="P528" s="591"/>
      <c r="Q528" s="628">
        <f t="shared" si="238"/>
        <v>0</v>
      </c>
      <c r="R528" s="629"/>
      <c r="S528" s="641" t="str">
        <f>IF(ISERROR(Q528/Q530),"",Q528/Q530)</f>
        <v/>
      </c>
      <c r="T528" s="642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640" t="s">
        <v>244</v>
      </c>
      <c r="B529" s="602"/>
      <c r="C529" s="601">
        <f>SUM(G163,G334,G506)</f>
        <v>308</v>
      </c>
      <c r="D529" s="602"/>
      <c r="E529" s="641">
        <f>IF(ISERROR(C529/C530),"",C529/C530)</f>
        <v>2.5632490013315579E-2</v>
      </c>
      <c r="F529" s="642"/>
      <c r="G529" s="636"/>
      <c r="H529" s="637"/>
      <c r="I529" s="643" t="s">
        <v>307</v>
      </c>
      <c r="J529" s="644"/>
      <c r="K529" s="598">
        <f t="shared" si="237"/>
        <v>0</v>
      </c>
      <c r="L529" s="599"/>
      <c r="M529" s="641" t="str">
        <f>IF(ISERROR(K529/K530),"",K529/K530)</f>
        <v/>
      </c>
      <c r="N529" s="642"/>
      <c r="O529" s="591" t="s">
        <v>272</v>
      </c>
      <c r="P529" s="591"/>
      <c r="Q529" s="628">
        <f t="shared" si="238"/>
        <v>0</v>
      </c>
      <c r="R529" s="629"/>
      <c r="S529" s="641" t="str">
        <f>IF(ISERROR(Q529/Q530),"",Q529/Q530)</f>
        <v/>
      </c>
      <c r="T529" s="642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601" t="s">
        <v>266</v>
      </c>
      <c r="B530" s="602"/>
      <c r="C530" s="601">
        <f>SUM(C524:C529)</f>
        <v>12016</v>
      </c>
      <c r="D530" s="602"/>
      <c r="E530" s="641">
        <f>SUM(E524:F529)</f>
        <v>0.99999999999999989</v>
      </c>
      <c r="F530" s="642"/>
      <c r="G530" s="638"/>
      <c r="H530" s="639"/>
      <c r="I530" s="601" t="s">
        <v>266</v>
      </c>
      <c r="J530" s="599"/>
      <c r="K530" s="598">
        <f>SUM(R173,U344,U516)</f>
        <v>0</v>
      </c>
      <c r="L530" s="599"/>
      <c r="M530" s="641"/>
      <c r="N530" s="642"/>
      <c r="O530" s="591" t="s">
        <v>266</v>
      </c>
      <c r="P530" s="591"/>
      <c r="Q530" s="628">
        <f>SUM(Q524:R529)</f>
        <v>0</v>
      </c>
      <c r="R530" s="629"/>
      <c r="S530" s="641">
        <f>SUM(S524:T529)</f>
        <v>0</v>
      </c>
      <c r="T530" s="642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172"/>
      <c r="D531" s="172"/>
      <c r="E531" s="172"/>
      <c r="F531" s="172"/>
      <c r="G531" s="173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643" t="s">
        <v>308</v>
      </c>
      <c r="B532" s="597"/>
      <c r="C532" s="547" t="s">
        <v>309</v>
      </c>
      <c r="D532" s="547" t="s">
        <v>310</v>
      </c>
      <c r="E532" s="547" t="s">
        <v>311</v>
      </c>
      <c r="F532" s="547" t="s">
        <v>312</v>
      </c>
      <c r="G532" s="348" t="s">
        <v>313</v>
      </c>
      <c r="H532" s="129" t="s">
        <v>314</v>
      </c>
      <c r="I532" s="129" t="s">
        <v>315</v>
      </c>
      <c r="J532" s="129" t="s">
        <v>316</v>
      </c>
      <c r="K532" s="549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541" t="s">
        <v>322</v>
      </c>
      <c r="Q532" s="129" t="s">
        <v>323</v>
      </c>
      <c r="R532" s="109" t="s">
        <v>324</v>
      </c>
      <c r="S532" s="547" t="s">
        <v>325</v>
      </c>
      <c r="T532" s="547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645" t="s">
        <v>327</v>
      </c>
      <c r="B533" s="646"/>
      <c r="C533" s="106">
        <f>D533+E533+F533-G533-O533-P533</f>
        <v>46</v>
      </c>
      <c r="D533" s="106">
        <f>+'12'!C533</f>
        <v>46</v>
      </c>
      <c r="E533" s="106"/>
      <c r="F533" s="106"/>
      <c r="G533" s="107"/>
      <c r="H533" s="106"/>
      <c r="I533" s="106"/>
      <c r="J533" s="106">
        <f>C533-H533-I533</f>
        <v>46</v>
      </c>
      <c r="K533" s="106"/>
      <c r="L533" s="106"/>
      <c r="M533" s="106"/>
      <c r="N533" s="106"/>
      <c r="O533" s="106"/>
      <c r="P533" s="108"/>
      <c r="Q533" s="106">
        <f>J533-K533-L533</f>
        <v>46</v>
      </c>
      <c r="R533" s="109">
        <f>Q533*11-M533-N533</f>
        <v>506</v>
      </c>
      <c r="S533" s="548">
        <f t="array" ref="S533">IF(ISERROR(Q533/J533),"",Q533/J533)</f>
        <v>1</v>
      </c>
      <c r="T533" s="548">
        <f t="array" ref="T533">IF(ISERROR((O533:P533)/C533),"",SUM(O533:P533)/C533)</f>
        <v>0</v>
      </c>
      <c r="X533" s="116"/>
      <c r="Y533" s="116"/>
      <c r="Z533" s="159"/>
      <c r="AA533" s="159"/>
    </row>
    <row r="534" spans="1:27" ht="20.100000000000001" customHeight="1">
      <c r="A534" s="645" t="s">
        <v>328</v>
      </c>
      <c r="B534" s="646"/>
      <c r="C534" s="106">
        <f>D534+E534+F534-G534-O534-P534</f>
        <v>38</v>
      </c>
      <c r="D534" s="106">
        <f>+'12'!C534</f>
        <v>40</v>
      </c>
      <c r="E534" s="110"/>
      <c r="F534" s="110"/>
      <c r="G534" s="107"/>
      <c r="H534" s="106"/>
      <c r="I534" s="106">
        <v>1</v>
      </c>
      <c r="J534" s="106">
        <f>C534-H534-I534</f>
        <v>37</v>
      </c>
      <c r="K534" s="106"/>
      <c r="L534" s="106"/>
      <c r="M534" s="106"/>
      <c r="N534" s="106"/>
      <c r="O534" s="110">
        <v>2</v>
      </c>
      <c r="P534" s="111"/>
      <c r="Q534" s="106">
        <f>J534-K534-L534</f>
        <v>37</v>
      </c>
      <c r="R534" s="109">
        <f>Q534*11-M534-N534</f>
        <v>407</v>
      </c>
      <c r="S534" s="548">
        <f t="array" ref="S534">IF(ISERROR(Q534/J534),"",Q534/J534)</f>
        <v>1</v>
      </c>
      <c r="T534" s="548">
        <f t="array" ref="T534">IF(ISERROR((O534:P534)/C534),"",SUM(O534:P534)/C534)</f>
        <v>5.2631578947368418E-2</v>
      </c>
      <c r="X534" s="116"/>
      <c r="Y534" s="116"/>
      <c r="Z534" s="159"/>
      <c r="AA534" s="159"/>
    </row>
    <row r="535" spans="1:27" ht="20.100000000000001" customHeight="1">
      <c r="A535" s="645" t="s">
        <v>329</v>
      </c>
      <c r="B535" s="646"/>
      <c r="C535" s="106">
        <f>D535+E535+F535-G535-O535-P535</f>
        <v>10</v>
      </c>
      <c r="D535" s="106">
        <f>+'12'!C535</f>
        <v>10</v>
      </c>
      <c r="E535" s="110"/>
      <c r="F535" s="110"/>
      <c r="G535" s="107"/>
      <c r="H535" s="106"/>
      <c r="I535" s="106"/>
      <c r="J535" s="106">
        <f>C535-H535-I535</f>
        <v>10</v>
      </c>
      <c r="K535" s="106"/>
      <c r="L535" s="106"/>
      <c r="M535" s="106"/>
      <c r="N535" s="106"/>
      <c r="O535" s="110"/>
      <c r="P535" s="111"/>
      <c r="Q535" s="106">
        <f>J535-K535-L535</f>
        <v>10</v>
      </c>
      <c r="R535" s="109">
        <f>Q535*11-M535-N535</f>
        <v>110</v>
      </c>
      <c r="S535" s="548">
        <f t="array" ref="S535">IF(ISERROR(Q535/J535),"",Q535/J535)</f>
        <v>1</v>
      </c>
      <c r="T535" s="548">
        <f t="array" ref="T535">IF(ISERROR((O535:P535)/C535),"",SUM(O535:P535)/C535)</f>
        <v>0</v>
      </c>
      <c r="V535" s="179"/>
      <c r="X535" s="116"/>
      <c r="Y535" s="116"/>
      <c r="Z535" s="159"/>
      <c r="AA535" s="159"/>
    </row>
    <row r="536" spans="1:27" ht="20.100000000000001" customHeight="1">
      <c r="A536" s="647" t="s">
        <v>330</v>
      </c>
      <c r="B536" s="648"/>
      <c r="C536" s="112">
        <f>SUM(C533:C535)</f>
        <v>94</v>
      </c>
      <c r="D536" s="112">
        <f t="shared" ref="D536:N536" si="239">SUM(D533:D535)</f>
        <v>96</v>
      </c>
      <c r="E536" s="112">
        <f t="shared" si="239"/>
        <v>0</v>
      </c>
      <c r="F536" s="112">
        <f t="shared" si="239"/>
        <v>0</v>
      </c>
      <c r="G536" s="113">
        <f t="shared" si="239"/>
        <v>0</v>
      </c>
      <c r="H536" s="112">
        <f t="shared" si="239"/>
        <v>0</v>
      </c>
      <c r="I536" s="112">
        <f t="shared" si="239"/>
        <v>1</v>
      </c>
      <c r="J536" s="112">
        <f t="shared" si="239"/>
        <v>93</v>
      </c>
      <c r="K536" s="112">
        <f t="shared" si="239"/>
        <v>0</v>
      </c>
      <c r="L536" s="112">
        <f t="shared" si="239"/>
        <v>0</v>
      </c>
      <c r="M536" s="112">
        <f t="shared" si="239"/>
        <v>0</v>
      </c>
      <c r="N536" s="112">
        <f t="shared" si="239"/>
        <v>0</v>
      </c>
      <c r="O536" s="112">
        <f>SUM(O533:O535)</f>
        <v>2</v>
      </c>
      <c r="P536" s="112">
        <f>SUM(P533:P535)</f>
        <v>0</v>
      </c>
      <c r="Q536" s="112">
        <f>SUM(Q533:Q535)</f>
        <v>93</v>
      </c>
      <c r="R536" s="114">
        <f>SUM(R533:R535)</f>
        <v>1023</v>
      </c>
      <c r="S536" s="115">
        <f t="array" ref="S536">IF(ISERROR(Q536/J536),"",Q536/J536)</f>
        <v>1</v>
      </c>
      <c r="T536" s="115">
        <f t="array" ref="T536">IF(ISERROR((O536:P536)/C536),"",SUM(O536:P536)/C536)</f>
        <v>2.1276595744680851E-2</v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7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7"/>
      <c r="H538" s="116"/>
      <c r="I538" s="118" t="s">
        <v>332</v>
      </c>
      <c r="J538" s="198" t="s">
        <v>447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54" spans="2:2">
      <c r="B554" s="121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Z167:AA167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Z165:AA165"/>
    <mergeCell ref="C166:D166"/>
    <mergeCell ref="E166:F166"/>
    <mergeCell ref="G166:H166"/>
    <mergeCell ref="I166:J166"/>
    <mergeCell ref="K166:L166"/>
    <mergeCell ref="G165:H165"/>
    <mergeCell ref="I165:J165"/>
    <mergeCell ref="K165:L165"/>
    <mergeCell ref="M165:N165"/>
    <mergeCell ref="O165:O173"/>
    <mergeCell ref="P165:Q165"/>
    <mergeCell ref="M166:N166"/>
    <mergeCell ref="P166:Q166"/>
    <mergeCell ref="M167:N167"/>
    <mergeCell ref="P167:Q167"/>
    <mergeCell ref="R166:S166"/>
    <mergeCell ref="T166:U166"/>
    <mergeCell ref="V166:W166"/>
    <mergeCell ref="X166:Y166"/>
    <mergeCell ref="Z166:AA166"/>
    <mergeCell ref="C167:D167"/>
    <mergeCell ref="E167:F167"/>
    <mergeCell ref="G167:H167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A28:B28"/>
    <mergeCell ref="A86:B86"/>
    <mergeCell ref="V4:V6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103" activePane="bottomRight" state="frozen"/>
      <selection activeCell="E487" sqref="E487"/>
      <selection pane="topRight" activeCell="E487" sqref="E487"/>
      <selection pane="bottomLeft" activeCell="E487" sqref="E487"/>
      <selection pane="bottomRight" activeCell="I51" sqref="I51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55" t="s">
        <v>413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55"/>
      <c r="M1" s="555"/>
      <c r="N1" s="555"/>
      <c r="O1" s="555"/>
      <c r="P1" s="555"/>
      <c r="Q1" s="555"/>
      <c r="R1" s="555"/>
      <c r="S1" s="555"/>
      <c r="T1" s="555"/>
      <c r="U1" s="555"/>
      <c r="V1" s="555"/>
      <c r="W1" s="555"/>
      <c r="X1" s="555"/>
      <c r="Y1" s="555"/>
      <c r="Z1" s="555"/>
      <c r="AA1" s="555"/>
    </row>
    <row r="2" spans="1:27" ht="18.75">
      <c r="A2" s="556"/>
      <c r="B2" s="556"/>
      <c r="C2" s="556"/>
      <c r="D2" s="556"/>
      <c r="E2" s="556"/>
      <c r="F2" s="556"/>
      <c r="G2" s="556"/>
      <c r="H2" s="556"/>
      <c r="I2" s="556"/>
      <c r="J2" s="556"/>
      <c r="K2" s="556"/>
      <c r="L2" s="556"/>
      <c r="M2" s="556"/>
      <c r="N2" s="556"/>
      <c r="O2" s="556"/>
      <c r="P2" s="556"/>
      <c r="Q2" s="556"/>
      <c r="R2" s="556"/>
      <c r="S2" s="556"/>
      <c r="T2" s="556"/>
      <c r="U2" s="556"/>
      <c r="V2" s="556"/>
      <c r="W2" s="556"/>
      <c r="X2" s="556"/>
      <c r="Y2" s="556"/>
      <c r="Z2" s="556"/>
      <c r="AA2" s="556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57" t="s">
        <v>12</v>
      </c>
      <c r="B4" s="557" t="s">
        <v>25</v>
      </c>
      <c r="C4" s="557" t="s">
        <v>26</v>
      </c>
      <c r="D4" s="557" t="s">
        <v>27</v>
      </c>
      <c r="E4" s="560" t="s">
        <v>28</v>
      </c>
      <c r="F4" s="563" t="s">
        <v>29</v>
      </c>
      <c r="G4" s="566" t="s">
        <v>30</v>
      </c>
      <c r="H4" s="566"/>
      <c r="I4" s="557" t="s">
        <v>31</v>
      </c>
      <c r="J4" s="569" t="s">
        <v>32</v>
      </c>
      <c r="K4" s="572" t="s">
        <v>33</v>
      </c>
      <c r="L4" s="557" t="s">
        <v>34</v>
      </c>
      <c r="M4" s="575" t="s">
        <v>35</v>
      </c>
      <c r="N4" s="577" t="s">
        <v>36</v>
      </c>
      <c r="O4" s="566" t="s">
        <v>37</v>
      </c>
      <c r="P4" s="566"/>
      <c r="Q4" s="566"/>
      <c r="R4" s="566"/>
      <c r="S4" s="566"/>
      <c r="T4" s="566"/>
      <c r="U4" s="566"/>
      <c r="V4" s="566" t="s">
        <v>38</v>
      </c>
      <c r="W4" s="577" t="s">
        <v>39</v>
      </c>
      <c r="X4" s="566" t="s">
        <v>40</v>
      </c>
      <c r="Y4" s="566"/>
      <c r="Z4" s="566"/>
      <c r="AA4" s="566"/>
    </row>
    <row r="5" spans="1:27" s="104" customFormat="1" ht="15" customHeight="1">
      <c r="A5" s="558"/>
      <c r="B5" s="558"/>
      <c r="C5" s="558"/>
      <c r="D5" s="558"/>
      <c r="E5" s="561"/>
      <c r="F5" s="564"/>
      <c r="G5" s="566"/>
      <c r="H5" s="566"/>
      <c r="I5" s="558"/>
      <c r="J5" s="570"/>
      <c r="K5" s="573"/>
      <c r="L5" s="558"/>
      <c r="M5" s="576"/>
      <c r="N5" s="577"/>
      <c r="O5" s="566" t="s">
        <v>41</v>
      </c>
      <c r="P5" s="566" t="s">
        <v>42</v>
      </c>
      <c r="Q5" s="566" t="s">
        <v>43</v>
      </c>
      <c r="R5" s="567" t="s">
        <v>44</v>
      </c>
      <c r="S5" s="568" t="s">
        <v>45</v>
      </c>
      <c r="T5" s="566" t="s">
        <v>46</v>
      </c>
      <c r="U5" s="566" t="s">
        <v>47</v>
      </c>
      <c r="V5" s="566"/>
      <c r="W5" s="577"/>
      <c r="X5" s="566" t="s">
        <v>13</v>
      </c>
      <c r="Y5" s="566" t="s">
        <v>48</v>
      </c>
      <c r="Z5" s="566" t="s">
        <v>49</v>
      </c>
      <c r="AA5" s="566" t="s">
        <v>47</v>
      </c>
    </row>
    <row r="6" spans="1:27" s="104" customFormat="1" ht="27.75" customHeight="1">
      <c r="A6" s="559"/>
      <c r="B6" s="559"/>
      <c r="C6" s="559"/>
      <c r="D6" s="559"/>
      <c r="E6" s="562"/>
      <c r="F6" s="565"/>
      <c r="G6" s="105" t="s">
        <v>50</v>
      </c>
      <c r="H6" s="216" t="s">
        <v>51</v>
      </c>
      <c r="I6" s="559"/>
      <c r="J6" s="571"/>
      <c r="K6" s="574"/>
      <c r="L6" s="559"/>
      <c r="M6" s="576"/>
      <c r="N6" s="577"/>
      <c r="O6" s="566"/>
      <c r="P6" s="566"/>
      <c r="Q6" s="566"/>
      <c r="R6" s="567"/>
      <c r="S6" s="568"/>
      <c r="T6" s="566"/>
      <c r="U6" s="566"/>
      <c r="V6" s="566"/>
      <c r="W6" s="577"/>
      <c r="X6" s="566"/>
      <c r="Y6" s="566"/>
      <c r="Z6" s="566"/>
      <c r="AA6" s="566"/>
    </row>
    <row r="7" spans="1:27" ht="20.100000000000001" customHeight="1">
      <c r="A7" s="299">
        <v>30100030</v>
      </c>
      <c r="B7" s="291" t="s">
        <v>460</v>
      </c>
      <c r="C7" s="126" t="s">
        <v>179</v>
      </c>
      <c r="D7" s="108">
        <v>5.03</v>
      </c>
      <c r="E7" s="108"/>
      <c r="F7" s="127"/>
      <c r="G7" s="128"/>
      <c r="H7" s="226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219"/>
      <c r="P7" s="219"/>
      <c r="Q7" s="219"/>
      <c r="R7" s="219"/>
      <c r="S7" s="219"/>
      <c r="T7" s="219"/>
      <c r="U7" s="219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customHeight="1">
      <c r="A8" s="300"/>
      <c r="B8" s="134" t="s">
        <v>461</v>
      </c>
      <c r="C8" s="126" t="s">
        <v>179</v>
      </c>
      <c r="D8" s="108">
        <v>5.03</v>
      </c>
      <c r="E8" s="108"/>
      <c r="F8" s="127"/>
      <c r="G8" s="128"/>
      <c r="H8" s="226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135"/>
      <c r="P8" s="219"/>
      <c r="Q8" s="219"/>
      <c r="R8" s="219"/>
      <c r="S8" s="219"/>
      <c r="T8" s="219"/>
      <c r="U8" s="219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customHeight="1">
      <c r="A9" s="301"/>
      <c r="B9" s="134" t="s">
        <v>461</v>
      </c>
      <c r="C9" s="126" t="s">
        <v>181</v>
      </c>
      <c r="D9" s="108">
        <v>5.03</v>
      </c>
      <c r="E9" s="108"/>
      <c r="F9" s="127"/>
      <c r="G9" s="128"/>
      <c r="H9" s="226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219"/>
      <c r="P9" s="219"/>
      <c r="Q9" s="219"/>
      <c r="R9" s="219"/>
      <c r="S9" s="219"/>
      <c r="T9" s="219"/>
      <c r="U9" s="219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customHeight="1">
      <c r="A10" s="299">
        <v>30100048</v>
      </c>
      <c r="B10" s="134" t="s">
        <v>462</v>
      </c>
      <c r="C10" s="126" t="s">
        <v>179</v>
      </c>
      <c r="D10" s="108">
        <v>5.03</v>
      </c>
      <c r="E10" s="108"/>
      <c r="F10" s="127"/>
      <c r="G10" s="128"/>
      <c r="H10" s="226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219"/>
      <c r="P10" s="219"/>
      <c r="Q10" s="219"/>
      <c r="R10" s="219"/>
      <c r="S10" s="219"/>
      <c r="T10" s="219"/>
      <c r="U10" s="219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customHeight="1">
      <c r="A11" s="299">
        <v>30100047</v>
      </c>
      <c r="B11" s="134" t="s">
        <v>462</v>
      </c>
      <c r="C11" s="126" t="s">
        <v>183</v>
      </c>
      <c r="D11" s="108">
        <v>5.03</v>
      </c>
      <c r="E11" s="108"/>
      <c r="F11" s="127"/>
      <c r="G11" s="128"/>
      <c r="H11" s="226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219"/>
      <c r="P11" s="219"/>
      <c r="Q11" s="219"/>
      <c r="R11" s="219"/>
      <c r="S11" s="219"/>
      <c r="T11" s="219"/>
      <c r="U11" s="219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customHeight="1">
      <c r="A12" s="299">
        <v>30100052</v>
      </c>
      <c r="B12" s="134" t="s">
        <v>463</v>
      </c>
      <c r="C12" s="126" t="s">
        <v>179</v>
      </c>
      <c r="D12" s="108">
        <v>5.04</v>
      </c>
      <c r="E12" s="108"/>
      <c r="F12" s="136"/>
      <c r="G12" s="137"/>
      <c r="H12" s="226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219"/>
      <c r="P12" s="219"/>
      <c r="Q12" s="219"/>
      <c r="R12" s="219"/>
      <c r="S12" s="219"/>
      <c r="T12" s="219"/>
      <c r="U12" s="219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customHeight="1">
      <c r="A13" s="332">
        <v>30100059</v>
      </c>
      <c r="B13" s="134" t="s">
        <v>464</v>
      </c>
      <c r="C13" s="126" t="s">
        <v>186</v>
      </c>
      <c r="D13" s="108">
        <v>5.03</v>
      </c>
      <c r="E13" s="108"/>
      <c r="F13" s="127"/>
      <c r="G13" s="128"/>
      <c r="H13" s="226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219"/>
      <c r="P13" s="219"/>
      <c r="Q13" s="219"/>
      <c r="R13" s="219"/>
      <c r="S13" s="219"/>
      <c r="T13" s="219"/>
      <c r="U13" s="219"/>
      <c r="V13" s="132"/>
      <c r="W13" s="133"/>
      <c r="X13" s="132"/>
      <c r="Y13" s="132"/>
      <c r="Z13" s="132"/>
      <c r="AA13" s="132"/>
    </row>
    <row r="14" spans="1:27" ht="20.100000000000001" customHeight="1">
      <c r="A14" s="302">
        <v>30100060</v>
      </c>
      <c r="B14" s="134" t="s">
        <v>464</v>
      </c>
      <c r="C14" s="126" t="s">
        <v>187</v>
      </c>
      <c r="D14" s="108">
        <v>5.03</v>
      </c>
      <c r="E14" s="108"/>
      <c r="F14" s="127"/>
      <c r="G14" s="128"/>
      <c r="H14" s="226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219"/>
      <c r="P14" s="219"/>
      <c r="Q14" s="219"/>
      <c r="R14" s="219"/>
      <c r="S14" s="219"/>
      <c r="T14" s="219"/>
      <c r="U14" s="219"/>
      <c r="V14" s="132"/>
      <c r="W14" s="133"/>
      <c r="X14" s="132"/>
      <c r="Y14" s="132"/>
      <c r="Z14" s="132"/>
      <c r="AA14" s="132"/>
    </row>
    <row r="15" spans="1:27" ht="20.100000000000001" customHeight="1">
      <c r="A15" s="300">
        <v>30200006</v>
      </c>
      <c r="B15" s="134" t="s">
        <v>465</v>
      </c>
      <c r="C15" s="126" t="s">
        <v>189</v>
      </c>
      <c r="D15" s="108">
        <v>5.04</v>
      </c>
      <c r="E15" s="108"/>
      <c r="F15" s="139"/>
      <c r="G15" s="128"/>
      <c r="H15" s="226">
        <f t="shared" si="0"/>
        <v>0</v>
      </c>
      <c r="I15" s="226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219"/>
      <c r="P15" s="219"/>
      <c r="Q15" s="219"/>
      <c r="R15" s="219"/>
      <c r="S15" s="219"/>
      <c r="T15" s="219"/>
      <c r="U15" s="219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customHeight="1">
      <c r="A16" s="300">
        <v>30200005</v>
      </c>
      <c r="B16" s="134" t="s">
        <v>465</v>
      </c>
      <c r="C16" s="126" t="s">
        <v>190</v>
      </c>
      <c r="D16" s="108">
        <v>5.04</v>
      </c>
      <c r="E16" s="108"/>
      <c r="F16" s="126"/>
      <c r="G16" s="128"/>
      <c r="H16" s="226">
        <f t="shared" si="0"/>
        <v>0</v>
      </c>
      <c r="I16" s="226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219"/>
      <c r="P16" s="219"/>
      <c r="Q16" s="219"/>
      <c r="R16" s="219"/>
      <c r="S16" s="219"/>
      <c r="T16" s="219"/>
      <c r="U16" s="219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customHeight="1">
      <c r="A17" s="302">
        <v>30100063</v>
      </c>
      <c r="B17" s="134" t="s">
        <v>484</v>
      </c>
      <c r="C17" s="126" t="s">
        <v>192</v>
      </c>
      <c r="D17" s="108">
        <v>5.03</v>
      </c>
      <c r="E17" s="108"/>
      <c r="F17" s="127"/>
      <c r="G17" s="128"/>
      <c r="H17" s="226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219"/>
      <c r="P17" s="219"/>
      <c r="Q17" s="219"/>
      <c r="R17" s="219"/>
      <c r="S17" s="219"/>
      <c r="T17" s="219"/>
      <c r="U17" s="219"/>
      <c r="V17" s="132"/>
      <c r="W17" s="133"/>
      <c r="X17" s="132"/>
      <c r="Y17" s="132"/>
      <c r="Z17" s="132"/>
      <c r="AA17" s="132"/>
    </row>
    <row r="18" spans="1:27" ht="20.100000000000001" customHeight="1">
      <c r="A18" s="302">
        <v>30100061</v>
      </c>
      <c r="B18" s="134" t="s">
        <v>466</v>
      </c>
      <c r="C18" s="126" t="s">
        <v>193</v>
      </c>
      <c r="D18" s="108">
        <v>5.03</v>
      </c>
      <c r="E18" s="108"/>
      <c r="F18" s="127"/>
      <c r="G18" s="128"/>
      <c r="H18" s="226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219"/>
      <c r="P18" s="219"/>
      <c r="Q18" s="219"/>
      <c r="R18" s="219"/>
      <c r="S18" s="219"/>
      <c r="T18" s="219"/>
      <c r="U18" s="219"/>
      <c r="V18" s="132"/>
      <c r="W18" s="133"/>
      <c r="X18" s="132"/>
      <c r="Y18" s="132"/>
      <c r="Z18" s="132"/>
      <c r="AA18" s="132"/>
    </row>
    <row r="19" spans="1:27" s="351" customFormat="1" ht="20.100000000000001" customHeight="1">
      <c r="A19" s="300">
        <v>30200001</v>
      </c>
      <c r="B19" s="134" t="s">
        <v>467</v>
      </c>
      <c r="C19" s="126" t="s">
        <v>189</v>
      </c>
      <c r="D19" s="108">
        <v>5.0599999999999996</v>
      </c>
      <c r="E19" s="108"/>
      <c r="F19" s="127"/>
      <c r="G19" s="128"/>
      <c r="H19" s="354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352"/>
      <c r="P19" s="352"/>
      <c r="Q19" s="352"/>
      <c r="R19" s="352"/>
      <c r="S19" s="352"/>
      <c r="T19" s="352"/>
      <c r="U19" s="352"/>
      <c r="V19" s="132">
        <f t="shared" ref="V19:V21" si="5">SUM(X19:AA19)</f>
        <v>0</v>
      </c>
      <c r="W19" s="353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customHeight="1">
      <c r="A20" s="300">
        <v>30200002</v>
      </c>
      <c r="B20" s="134" t="s">
        <v>468</v>
      </c>
      <c r="C20" s="126" t="s">
        <v>189</v>
      </c>
      <c r="D20" s="108">
        <v>5.09</v>
      </c>
      <c r="E20" s="108"/>
      <c r="F20" s="127"/>
      <c r="G20" s="128"/>
      <c r="H20" s="226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219"/>
      <c r="P20" s="219"/>
      <c r="Q20" s="219"/>
      <c r="R20" s="219"/>
      <c r="S20" s="219"/>
      <c r="T20" s="219"/>
      <c r="U20" s="219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customHeight="1">
      <c r="A21" s="300">
        <v>30200003</v>
      </c>
      <c r="B21" s="134" t="s">
        <v>468</v>
      </c>
      <c r="C21" s="126" t="s">
        <v>190</v>
      </c>
      <c r="D21" s="108">
        <v>5.09</v>
      </c>
      <c r="E21" s="108"/>
      <c r="F21" s="127"/>
      <c r="G21" s="128"/>
      <c r="H21" s="226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219"/>
      <c r="P21" s="219"/>
      <c r="Q21" s="219"/>
      <c r="R21" s="219"/>
      <c r="S21" s="219"/>
      <c r="T21" s="219"/>
      <c r="U21" s="219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customHeight="1">
      <c r="A22" s="300">
        <v>30100003</v>
      </c>
      <c r="B22" s="141" t="s">
        <v>469</v>
      </c>
      <c r="C22" s="217" t="s">
        <v>190</v>
      </c>
      <c r="D22" s="108">
        <v>4.8</v>
      </c>
      <c r="E22" s="108"/>
      <c r="F22" s="127"/>
      <c r="G22" s="128"/>
      <c r="H22" s="226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219"/>
      <c r="P22" s="219"/>
      <c r="Q22" s="219"/>
      <c r="R22" s="219"/>
      <c r="S22" s="219"/>
      <c r="T22" s="219"/>
      <c r="U22" s="219"/>
      <c r="V22" s="132"/>
      <c r="W22" s="133"/>
      <c r="X22" s="132"/>
      <c r="Y22" s="132"/>
      <c r="Z22" s="132"/>
      <c r="AA22" s="132"/>
    </row>
    <row r="23" spans="1:27" ht="20.100000000000001" customHeight="1">
      <c r="A23" s="300">
        <v>30100004</v>
      </c>
      <c r="B23" s="141" t="s">
        <v>198</v>
      </c>
      <c r="C23" s="217" t="s">
        <v>187</v>
      </c>
      <c r="D23" s="108">
        <v>4.8</v>
      </c>
      <c r="E23" s="108"/>
      <c r="F23" s="127"/>
      <c r="G23" s="128"/>
      <c r="H23" s="226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219"/>
      <c r="P23" s="219"/>
      <c r="Q23" s="219"/>
      <c r="R23" s="219"/>
      <c r="S23" s="219"/>
      <c r="T23" s="219"/>
      <c r="U23" s="219"/>
      <c r="V23" s="132"/>
      <c r="W23" s="133"/>
      <c r="X23" s="132"/>
      <c r="Y23" s="132"/>
      <c r="Z23" s="132"/>
      <c r="AA23" s="132"/>
    </row>
    <row r="24" spans="1:27" ht="20.100000000000001" customHeight="1">
      <c r="A24" s="300">
        <v>30100006</v>
      </c>
      <c r="B24" s="141" t="s">
        <v>198</v>
      </c>
      <c r="C24" s="217" t="s">
        <v>179</v>
      </c>
      <c r="D24" s="108">
        <v>4.8</v>
      </c>
      <c r="E24" s="108"/>
      <c r="F24" s="127"/>
      <c r="G24" s="128"/>
      <c r="H24" s="226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219"/>
      <c r="P24" s="219"/>
      <c r="Q24" s="219"/>
      <c r="R24" s="219"/>
      <c r="S24" s="219"/>
      <c r="T24" s="219"/>
      <c r="U24" s="219"/>
      <c r="V24" s="132"/>
      <c r="W24" s="133"/>
      <c r="X24" s="132"/>
      <c r="Y24" s="132"/>
      <c r="Z24" s="132"/>
      <c r="AA24" s="132"/>
    </row>
    <row r="25" spans="1:27" ht="20.100000000000001" customHeight="1">
      <c r="A25" s="300">
        <v>30100005</v>
      </c>
      <c r="B25" s="141" t="s">
        <v>198</v>
      </c>
      <c r="C25" s="217" t="s">
        <v>199</v>
      </c>
      <c r="D25" s="108">
        <v>4.8</v>
      </c>
      <c r="E25" s="108"/>
      <c r="F25" s="127"/>
      <c r="G25" s="128"/>
      <c r="H25" s="226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219"/>
      <c r="P25" s="219"/>
      <c r="Q25" s="219"/>
      <c r="R25" s="219"/>
      <c r="S25" s="219"/>
      <c r="T25" s="219"/>
      <c r="U25" s="219"/>
      <c r="V25" s="132"/>
      <c r="W25" s="133"/>
      <c r="X25" s="132"/>
      <c r="Y25" s="132"/>
      <c r="Z25" s="132"/>
      <c r="AA25" s="132"/>
    </row>
    <row r="26" spans="1:27" ht="20.10000000000000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226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219"/>
      <c r="P26" s="219"/>
      <c r="Q26" s="219"/>
      <c r="R26" s="219"/>
      <c r="S26" s="219"/>
      <c r="T26" s="219"/>
      <c r="U26" s="219"/>
      <c r="V26" s="132">
        <f t="shared" ref="V26:V27" si="8">SUM(X26:AA26)</f>
        <v>0</v>
      </c>
      <c r="W26" s="133" t="str">
        <f t="shared" ref="W26:W27" si="9">IF(ISERROR(V26/G26),"",V26/G26)</f>
        <v/>
      </c>
      <c r="X26" s="132"/>
      <c r="Y26" s="132"/>
      <c r="Z26" s="132"/>
      <c r="AA26" s="132"/>
    </row>
    <row r="27" spans="1:27" ht="20.10000000000000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226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219"/>
      <c r="P27" s="219"/>
      <c r="Q27" s="219"/>
      <c r="R27" s="219"/>
      <c r="S27" s="219"/>
      <c r="T27" s="219"/>
      <c r="U27" s="219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578" t="s">
        <v>201</v>
      </c>
      <c r="B28" s="579"/>
      <c r="C28" s="224" t="s">
        <v>202</v>
      </c>
      <c r="D28" s="143"/>
      <c r="E28" s="143"/>
      <c r="F28" s="144"/>
      <c r="G28" s="145">
        <f>SUM(G7:G27)</f>
        <v>0</v>
      </c>
      <c r="H28" s="146">
        <f>SUM(H7:H27)</f>
        <v>0</v>
      </c>
      <c r="I28" s="146">
        <f>SUM(I7:I27)</f>
        <v>0</v>
      </c>
      <c r="J28" s="130" t="str">
        <f t="array" ref="J28">IF(ISERROR(G28/I28),"",G28/I28)</f>
        <v/>
      </c>
      <c r="K28" s="146">
        <f>SUM(K7:K27)</f>
        <v>0</v>
      </c>
      <c r="L28" s="147"/>
      <c r="M28" s="146">
        <f t="shared" ref="M28:V28" si="10">SUM(M7:M27)</f>
        <v>0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 t="str">
        <f t="shared" ref="W28:W33" si="11">IF(ISERROR(V28/G28),"",V28/G28)</f>
        <v/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customHeight="1">
      <c r="A29" s="300">
        <v>30100012</v>
      </c>
      <c r="B29" s="291" t="s">
        <v>206</v>
      </c>
      <c r="C29" s="126" t="s">
        <v>199</v>
      </c>
      <c r="D29" s="108">
        <v>5.03</v>
      </c>
      <c r="E29" s="108"/>
      <c r="F29" s="127"/>
      <c r="G29" s="128"/>
      <c r="H29" s="226">
        <f t="shared" ref="H29:H36" si="12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:M33" si="13">IF(ISERROR(I29-K29),"",I29-K29)</f>
        <v>0</v>
      </c>
      <c r="N29" s="130">
        <f t="shared" ref="N29:N33" si="14">SUM(O29:U29)</f>
        <v>0</v>
      </c>
      <c r="O29" s="221"/>
      <c r="P29" s="221"/>
      <c r="Q29" s="221"/>
      <c r="R29" s="221"/>
      <c r="S29" s="221"/>
      <c r="T29" s="221"/>
      <c r="U29" s="221"/>
      <c r="V29" s="132">
        <f t="shared" ref="V29:V33" si="15">SUM(X29:AA29)</f>
        <v>0</v>
      </c>
      <c r="W29" s="133" t="str">
        <f t="shared" si="11"/>
        <v/>
      </c>
      <c r="X29" s="132"/>
      <c r="Y29" s="132"/>
      <c r="Z29" s="132"/>
      <c r="AA29" s="132"/>
    </row>
    <row r="30" spans="1:27" ht="20.100000000000001" customHeight="1">
      <c r="A30" s="300">
        <v>30100011</v>
      </c>
      <c r="B30" s="291" t="s">
        <v>425</v>
      </c>
      <c r="C30" s="187" t="s">
        <v>432</v>
      </c>
      <c r="D30" s="108">
        <v>5.03</v>
      </c>
      <c r="E30" s="108"/>
      <c r="F30" s="127"/>
      <c r="G30" s="128"/>
      <c r="H30" s="239">
        <f t="shared" si="12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238"/>
      <c r="P30" s="238"/>
      <c r="Q30" s="238"/>
      <c r="R30" s="238"/>
      <c r="S30" s="238"/>
      <c r="T30" s="238"/>
      <c r="U30" s="238"/>
      <c r="V30" s="132"/>
      <c r="W30" s="133"/>
      <c r="X30" s="132"/>
      <c r="Y30" s="132"/>
      <c r="Z30" s="132"/>
      <c r="AA30" s="132"/>
    </row>
    <row r="31" spans="1:27" ht="20.100000000000001" customHeight="1">
      <c r="A31" s="300">
        <v>30100010</v>
      </c>
      <c r="B31" s="291" t="s">
        <v>206</v>
      </c>
      <c r="C31" s="126" t="s">
        <v>186</v>
      </c>
      <c r="D31" s="108">
        <v>5.03</v>
      </c>
      <c r="E31" s="108"/>
      <c r="F31" s="127"/>
      <c r="G31" s="128"/>
      <c r="H31" s="239">
        <f t="shared" si="12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si="13"/>
        <v>0</v>
      </c>
      <c r="N31" s="130">
        <f t="shared" si="14"/>
        <v>0</v>
      </c>
      <c r="O31" s="221"/>
      <c r="P31" s="221"/>
      <c r="Q31" s="221"/>
      <c r="R31" s="221"/>
      <c r="S31" s="221"/>
      <c r="T31" s="221"/>
      <c r="U31" s="221"/>
      <c r="V31" s="132">
        <f t="shared" si="15"/>
        <v>0</v>
      </c>
      <c r="W31" s="133" t="str">
        <f t="shared" si="11"/>
        <v/>
      </c>
      <c r="X31" s="132"/>
      <c r="Y31" s="132"/>
      <c r="Z31" s="132"/>
      <c r="AA31" s="132"/>
    </row>
    <row r="32" spans="1:27" ht="20.100000000000001" customHeight="1">
      <c r="A32" s="300">
        <v>30100014</v>
      </c>
      <c r="B32" s="291" t="s">
        <v>206</v>
      </c>
      <c r="C32" s="126" t="s">
        <v>203</v>
      </c>
      <c r="D32" s="108">
        <v>5.03</v>
      </c>
      <c r="E32" s="108"/>
      <c r="F32" s="127"/>
      <c r="G32" s="128"/>
      <c r="H32" s="226">
        <f t="shared" si="12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3"/>
        <v>0</v>
      </c>
      <c r="N32" s="130">
        <f t="shared" si="14"/>
        <v>0</v>
      </c>
      <c r="O32" s="221"/>
      <c r="P32" s="221"/>
      <c r="Q32" s="221"/>
      <c r="R32" s="221"/>
      <c r="S32" s="221"/>
      <c r="T32" s="221"/>
      <c r="U32" s="221"/>
      <c r="V32" s="132">
        <f t="shared" si="15"/>
        <v>0</v>
      </c>
      <c r="W32" s="133" t="str">
        <f t="shared" si="11"/>
        <v/>
      </c>
      <c r="X32" s="132"/>
      <c r="Y32" s="132"/>
      <c r="Z32" s="132"/>
      <c r="AA32" s="132"/>
    </row>
    <row r="33" spans="1:27" ht="20.100000000000001" customHeight="1">
      <c r="A33" s="300">
        <v>30100013</v>
      </c>
      <c r="B33" s="291" t="s">
        <v>206</v>
      </c>
      <c r="C33" s="126" t="s">
        <v>207</v>
      </c>
      <c r="D33" s="108">
        <v>5.03</v>
      </c>
      <c r="E33" s="108"/>
      <c r="F33" s="127"/>
      <c r="G33" s="128"/>
      <c r="H33" s="226">
        <f t="shared" si="12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3"/>
        <v>0</v>
      </c>
      <c r="N33" s="130">
        <f t="shared" si="14"/>
        <v>0</v>
      </c>
      <c r="O33" s="221"/>
      <c r="P33" s="221"/>
      <c r="Q33" s="221"/>
      <c r="R33" s="221"/>
      <c r="S33" s="221"/>
      <c r="T33" s="221"/>
      <c r="U33" s="221"/>
      <c r="V33" s="132">
        <f t="shared" si="15"/>
        <v>0</v>
      </c>
      <c r="W33" s="133" t="str">
        <f t="shared" si="11"/>
        <v/>
      </c>
      <c r="X33" s="132"/>
      <c r="Y33" s="132"/>
      <c r="Z33" s="132"/>
      <c r="AA33" s="132"/>
    </row>
    <row r="34" spans="1:27" ht="20.100000000000001" customHeight="1">
      <c r="A34" s="300">
        <v>30100016</v>
      </c>
      <c r="B34" s="291" t="s">
        <v>414</v>
      </c>
      <c r="C34" s="187" t="s">
        <v>415</v>
      </c>
      <c r="D34" s="108">
        <v>5.03</v>
      </c>
      <c r="E34" s="108"/>
      <c r="F34" s="127"/>
      <c r="G34" s="128"/>
      <c r="H34" s="226">
        <f t="shared" si="12"/>
        <v>0</v>
      </c>
      <c r="I34" s="129"/>
      <c r="J34" s="130"/>
      <c r="K34" s="131"/>
      <c r="L34" s="129">
        <v>52</v>
      </c>
      <c r="M34" s="109"/>
      <c r="N34" s="130"/>
      <c r="O34" s="221"/>
      <c r="P34" s="221"/>
      <c r="Q34" s="221"/>
      <c r="R34" s="221"/>
      <c r="S34" s="221"/>
      <c r="T34" s="221"/>
      <c r="U34" s="221"/>
      <c r="V34" s="132"/>
      <c r="W34" s="133"/>
      <c r="X34" s="132"/>
      <c r="Y34" s="132"/>
      <c r="Z34" s="132"/>
      <c r="AA34" s="132"/>
    </row>
    <row r="35" spans="1:27" ht="20.100000000000001" customHeight="1">
      <c r="A35" s="300">
        <v>30100017</v>
      </c>
      <c r="B35" s="291" t="s">
        <v>414</v>
      </c>
      <c r="C35" s="187" t="s">
        <v>416</v>
      </c>
      <c r="D35" s="108">
        <v>5.03</v>
      </c>
      <c r="E35" s="108"/>
      <c r="F35" s="127"/>
      <c r="G35" s="128"/>
      <c r="H35" s="226">
        <f t="shared" si="12"/>
        <v>0</v>
      </c>
      <c r="I35" s="129"/>
      <c r="J35" s="130"/>
      <c r="K35" s="131"/>
      <c r="L35" s="129">
        <v>52</v>
      </c>
      <c r="M35" s="109"/>
      <c r="N35" s="130"/>
      <c r="O35" s="221"/>
      <c r="P35" s="221"/>
      <c r="Q35" s="221"/>
      <c r="R35" s="221"/>
      <c r="S35" s="221"/>
      <c r="T35" s="221"/>
      <c r="U35" s="221"/>
      <c r="V35" s="132"/>
      <c r="W35" s="133"/>
      <c r="X35" s="132"/>
      <c r="Y35" s="132"/>
      <c r="Z35" s="132"/>
      <c r="AA35" s="132"/>
    </row>
    <row r="36" spans="1:27" ht="20.100000000000001" customHeight="1">
      <c r="A36" s="300">
        <v>30100015</v>
      </c>
      <c r="B36" s="291" t="s">
        <v>414</v>
      </c>
      <c r="C36" s="187" t="s">
        <v>61</v>
      </c>
      <c r="D36" s="108">
        <v>5.03</v>
      </c>
      <c r="E36" s="108"/>
      <c r="F36" s="127"/>
      <c r="G36" s="128"/>
      <c r="H36" s="226">
        <f t="shared" si="12"/>
        <v>0</v>
      </c>
      <c r="I36" s="129"/>
      <c r="J36" s="130"/>
      <c r="K36" s="131"/>
      <c r="L36" s="129">
        <v>52</v>
      </c>
      <c r="M36" s="109"/>
      <c r="N36" s="130"/>
      <c r="O36" s="221"/>
      <c r="P36" s="221"/>
      <c r="Q36" s="221"/>
      <c r="R36" s="221"/>
      <c r="S36" s="221"/>
      <c r="T36" s="221"/>
      <c r="U36" s="221"/>
      <c r="V36" s="132"/>
      <c r="W36" s="133"/>
      <c r="X36" s="132"/>
      <c r="Y36" s="132"/>
      <c r="Z36" s="132"/>
      <c r="AA36" s="132"/>
    </row>
    <row r="37" spans="1:27" ht="20.100000000000001" customHeight="1">
      <c r="A37" s="300">
        <v>30100027</v>
      </c>
      <c r="B37" s="291" t="s">
        <v>208</v>
      </c>
      <c r="C37" s="126" t="s">
        <v>179</v>
      </c>
      <c r="D37" s="108">
        <v>5.08</v>
      </c>
      <c r="E37" s="108"/>
      <c r="F37" s="127"/>
      <c r="G37" s="128"/>
      <c r="H37" s="226">
        <f t="shared" ref="H37:H85" si="16">D37*G37</f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57" si="17">IF(ISERROR(I37-K37),"",I37-K37)</f>
        <v>0</v>
      </c>
      <c r="N37" s="130">
        <f t="shared" ref="N37:N52" si="18">SUM(O37:U37)</f>
        <v>0</v>
      </c>
      <c r="O37" s="221"/>
      <c r="P37" s="221"/>
      <c r="Q37" s="221"/>
      <c r="R37" s="221"/>
      <c r="S37" s="221"/>
      <c r="T37" s="221"/>
      <c r="U37" s="221"/>
      <c r="V37" s="132">
        <f t="shared" ref="V37:V48" si="19">SUM(X37:AA37)</f>
        <v>0</v>
      </c>
      <c r="W37" s="133" t="str">
        <f t="shared" ref="W37:W48" si="20">IF(ISERROR(V37/G37),"",V37/G37)</f>
        <v/>
      </c>
      <c r="X37" s="132"/>
      <c r="Y37" s="132"/>
      <c r="Z37" s="132"/>
      <c r="AA37" s="132"/>
    </row>
    <row r="38" spans="1:27" ht="20.100000000000001" customHeight="1">
      <c r="A38" s="300">
        <v>30100023</v>
      </c>
      <c r="B38" s="291" t="s">
        <v>208</v>
      </c>
      <c r="C38" s="126" t="s">
        <v>204</v>
      </c>
      <c r="D38" s="108">
        <v>5.08</v>
      </c>
      <c r="E38" s="108"/>
      <c r="F38" s="127"/>
      <c r="G38" s="128"/>
      <c r="H38" s="226">
        <f t="shared" si="16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7"/>
        <v>0</v>
      </c>
      <c r="N38" s="130">
        <f t="shared" si="18"/>
        <v>0</v>
      </c>
      <c r="O38" s="221"/>
      <c r="P38" s="221"/>
      <c r="Q38" s="221"/>
      <c r="R38" s="221"/>
      <c r="S38" s="221"/>
      <c r="T38" s="221"/>
      <c r="U38" s="221"/>
      <c r="V38" s="132">
        <f t="shared" si="19"/>
        <v>0</v>
      </c>
      <c r="W38" s="133" t="str">
        <f t="shared" si="20"/>
        <v/>
      </c>
      <c r="X38" s="132"/>
      <c r="Y38" s="132"/>
      <c r="Z38" s="132"/>
      <c r="AA38" s="132"/>
    </row>
    <row r="39" spans="1:27" ht="20.100000000000001" customHeight="1">
      <c r="A39" s="300">
        <v>30100024</v>
      </c>
      <c r="B39" s="291" t="s">
        <v>208</v>
      </c>
      <c r="C39" s="126" t="s">
        <v>205</v>
      </c>
      <c r="D39" s="108">
        <v>5.08</v>
      </c>
      <c r="E39" s="108"/>
      <c r="F39" s="127"/>
      <c r="G39" s="128"/>
      <c r="H39" s="226">
        <f t="shared" si="16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7"/>
        <v>0</v>
      </c>
      <c r="N39" s="130">
        <f t="shared" si="18"/>
        <v>0</v>
      </c>
      <c r="O39" s="221"/>
      <c r="P39" s="221"/>
      <c r="Q39" s="221"/>
      <c r="R39" s="221"/>
      <c r="S39" s="221"/>
      <c r="T39" s="221"/>
      <c r="U39" s="221"/>
      <c r="V39" s="132">
        <f t="shared" si="19"/>
        <v>0</v>
      </c>
      <c r="W39" s="133" t="str">
        <f t="shared" si="20"/>
        <v/>
      </c>
      <c r="X39" s="132"/>
      <c r="Y39" s="132"/>
      <c r="Z39" s="132"/>
      <c r="AA39" s="132"/>
    </row>
    <row r="40" spans="1:27" ht="20.100000000000001" customHeight="1">
      <c r="A40" s="300">
        <v>30100022</v>
      </c>
      <c r="B40" s="291" t="s">
        <v>208</v>
      </c>
      <c r="C40" s="126" t="s">
        <v>186</v>
      </c>
      <c r="D40" s="108">
        <v>5.08</v>
      </c>
      <c r="E40" s="108"/>
      <c r="F40" s="127"/>
      <c r="G40" s="128"/>
      <c r="H40" s="226">
        <f t="shared" si="16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7"/>
        <v>0</v>
      </c>
      <c r="N40" s="130">
        <f t="shared" si="18"/>
        <v>0</v>
      </c>
      <c r="O40" s="221"/>
      <c r="P40" s="221"/>
      <c r="Q40" s="221"/>
      <c r="R40" s="221"/>
      <c r="S40" s="221"/>
      <c r="T40" s="221"/>
      <c r="U40" s="221"/>
      <c r="V40" s="132">
        <f t="shared" si="19"/>
        <v>0</v>
      </c>
      <c r="W40" s="133" t="str">
        <f t="shared" si="20"/>
        <v/>
      </c>
      <c r="X40" s="132"/>
      <c r="Y40" s="132"/>
      <c r="Z40" s="132"/>
      <c r="AA40" s="132"/>
    </row>
    <row r="41" spans="1:27" ht="20.100000000000001" customHeight="1">
      <c r="A41" s="300">
        <v>30100029</v>
      </c>
      <c r="B41" s="291" t="s">
        <v>208</v>
      </c>
      <c r="C41" s="126" t="s">
        <v>203</v>
      </c>
      <c r="D41" s="108">
        <v>5.08</v>
      </c>
      <c r="E41" s="108"/>
      <c r="F41" s="127"/>
      <c r="G41" s="128"/>
      <c r="H41" s="226">
        <f t="shared" si="16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7"/>
        <v>0</v>
      </c>
      <c r="N41" s="130">
        <f t="shared" si="18"/>
        <v>0</v>
      </c>
      <c r="O41" s="221"/>
      <c r="P41" s="221"/>
      <c r="Q41" s="221"/>
      <c r="R41" s="221"/>
      <c r="S41" s="221"/>
      <c r="T41" s="221"/>
      <c r="U41" s="221"/>
      <c r="V41" s="132">
        <f t="shared" si="19"/>
        <v>0</v>
      </c>
      <c r="W41" s="133" t="str">
        <f t="shared" si="20"/>
        <v/>
      </c>
      <c r="X41" s="132"/>
      <c r="Y41" s="132"/>
      <c r="Z41" s="132"/>
      <c r="AA41" s="132"/>
    </row>
    <row r="42" spans="1:27" ht="20.100000000000001" customHeight="1">
      <c r="A42" s="300">
        <v>30100026</v>
      </c>
      <c r="B42" s="291" t="s">
        <v>208</v>
      </c>
      <c r="C42" s="126" t="s">
        <v>199</v>
      </c>
      <c r="D42" s="108">
        <v>5.08</v>
      </c>
      <c r="E42" s="108"/>
      <c r="F42" s="127"/>
      <c r="G42" s="128"/>
      <c r="H42" s="226">
        <f t="shared" si="16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7"/>
        <v>0</v>
      </c>
      <c r="N42" s="130">
        <f t="shared" si="18"/>
        <v>0</v>
      </c>
      <c r="O42" s="219"/>
      <c r="P42" s="219"/>
      <c r="Q42" s="219"/>
      <c r="R42" s="219"/>
      <c r="S42" s="219"/>
      <c r="T42" s="219"/>
      <c r="U42" s="219"/>
      <c r="V42" s="132">
        <f t="shared" si="19"/>
        <v>0</v>
      </c>
      <c r="W42" s="133" t="str">
        <f t="shared" si="20"/>
        <v/>
      </c>
      <c r="X42" s="132"/>
      <c r="Y42" s="132"/>
      <c r="Z42" s="132"/>
      <c r="AA42" s="132"/>
    </row>
    <row r="43" spans="1:27" ht="20.100000000000001" customHeight="1">
      <c r="A43" s="300">
        <v>30100025</v>
      </c>
      <c r="B43" s="291" t="s">
        <v>208</v>
      </c>
      <c r="C43" s="126" t="s">
        <v>187</v>
      </c>
      <c r="D43" s="108">
        <v>5.08</v>
      </c>
      <c r="E43" s="108"/>
      <c r="F43" s="127"/>
      <c r="G43" s="128"/>
      <c r="H43" s="226">
        <f t="shared" si="16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7"/>
        <v>0</v>
      </c>
      <c r="N43" s="130">
        <f t="shared" si="18"/>
        <v>0</v>
      </c>
      <c r="O43" s="221"/>
      <c r="P43" s="221"/>
      <c r="Q43" s="221"/>
      <c r="R43" s="221"/>
      <c r="S43" s="221"/>
      <c r="T43" s="221"/>
      <c r="U43" s="221"/>
      <c r="V43" s="132">
        <f t="shared" si="19"/>
        <v>0</v>
      </c>
      <c r="W43" s="133" t="str">
        <f t="shared" si="20"/>
        <v/>
      </c>
      <c r="X43" s="132"/>
      <c r="Y43" s="132"/>
      <c r="Z43" s="132"/>
      <c r="AA43" s="132"/>
    </row>
    <row r="44" spans="1:27" ht="20.100000000000001" customHeight="1">
      <c r="A44" s="300">
        <v>30100028</v>
      </c>
      <c r="B44" s="291" t="s">
        <v>208</v>
      </c>
      <c r="C44" s="126" t="s">
        <v>207</v>
      </c>
      <c r="D44" s="108">
        <v>5.08</v>
      </c>
      <c r="E44" s="108"/>
      <c r="F44" s="127"/>
      <c r="G44" s="128"/>
      <c r="H44" s="226">
        <f t="shared" si="16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7"/>
        <v>0</v>
      </c>
      <c r="N44" s="130">
        <f t="shared" si="18"/>
        <v>0</v>
      </c>
      <c r="O44" s="219"/>
      <c r="P44" s="219"/>
      <c r="Q44" s="219"/>
      <c r="R44" s="219"/>
      <c r="S44" s="219"/>
      <c r="T44" s="219"/>
      <c r="U44" s="219"/>
      <c r="V44" s="132">
        <f t="shared" si="19"/>
        <v>0</v>
      </c>
      <c r="W44" s="133" t="str">
        <f t="shared" si="20"/>
        <v/>
      </c>
      <c r="X44" s="132"/>
      <c r="Y44" s="132"/>
      <c r="Z44" s="132"/>
      <c r="AA44" s="132"/>
    </row>
    <row r="45" spans="1:27" ht="20.100000000000001" customHeight="1">
      <c r="A45" s="300">
        <v>30100032</v>
      </c>
      <c r="B45" s="291" t="s">
        <v>209</v>
      </c>
      <c r="C45" s="126" t="s">
        <v>194</v>
      </c>
      <c r="D45" s="108">
        <v>5.03</v>
      </c>
      <c r="E45" s="108"/>
      <c r="F45" s="127"/>
      <c r="G45" s="128"/>
      <c r="H45" s="226">
        <f t="shared" si="16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7"/>
        <v>0</v>
      </c>
      <c r="N45" s="130">
        <f t="shared" si="18"/>
        <v>0</v>
      </c>
      <c r="O45" s="221"/>
      <c r="P45" s="221"/>
      <c r="Q45" s="221"/>
      <c r="R45" s="221"/>
      <c r="S45" s="221"/>
      <c r="T45" s="221"/>
      <c r="U45" s="221"/>
      <c r="V45" s="132">
        <f t="shared" si="19"/>
        <v>0</v>
      </c>
      <c r="W45" s="133" t="str">
        <f t="shared" si="20"/>
        <v/>
      </c>
      <c r="X45" s="132"/>
      <c r="Y45" s="132"/>
      <c r="Z45" s="132"/>
      <c r="AA45" s="132"/>
    </row>
    <row r="46" spans="1:27" ht="20.100000000000001" customHeight="1">
      <c r="A46" s="300">
        <v>30100033</v>
      </c>
      <c r="B46" s="291" t="s">
        <v>209</v>
      </c>
      <c r="C46" s="126" t="s">
        <v>179</v>
      </c>
      <c r="D46" s="108">
        <v>5.03</v>
      </c>
      <c r="E46" s="108"/>
      <c r="F46" s="127"/>
      <c r="G46" s="128"/>
      <c r="H46" s="226">
        <f t="shared" si="16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7"/>
        <v>0</v>
      </c>
      <c r="N46" s="130">
        <f t="shared" si="18"/>
        <v>0</v>
      </c>
      <c r="O46" s="221"/>
      <c r="P46" s="221"/>
      <c r="Q46" s="221"/>
      <c r="R46" s="221"/>
      <c r="S46" s="221"/>
      <c r="T46" s="221"/>
      <c r="U46" s="221"/>
      <c r="V46" s="132">
        <f t="shared" si="19"/>
        <v>0</v>
      </c>
      <c r="W46" s="133" t="str">
        <f t="shared" si="20"/>
        <v/>
      </c>
      <c r="X46" s="132"/>
      <c r="Y46" s="132"/>
      <c r="Z46" s="132"/>
      <c r="AA46" s="132"/>
    </row>
    <row r="47" spans="1:27" ht="20.100000000000001" customHeight="1">
      <c r="A47" s="300">
        <v>30100062</v>
      </c>
      <c r="B47" s="291" t="s">
        <v>209</v>
      </c>
      <c r="C47" s="126" t="s">
        <v>195</v>
      </c>
      <c r="D47" s="108">
        <v>5.03</v>
      </c>
      <c r="E47" s="108"/>
      <c r="F47" s="127"/>
      <c r="G47" s="128"/>
      <c r="H47" s="226">
        <f t="shared" si="16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7"/>
        <v>0</v>
      </c>
      <c r="N47" s="130">
        <f t="shared" si="18"/>
        <v>0</v>
      </c>
      <c r="O47" s="221"/>
      <c r="P47" s="221"/>
      <c r="Q47" s="221"/>
      <c r="R47" s="221"/>
      <c r="S47" s="221"/>
      <c r="T47" s="221"/>
      <c r="U47" s="221"/>
      <c r="V47" s="132">
        <f t="shared" si="19"/>
        <v>0</v>
      </c>
      <c r="W47" s="133" t="str">
        <f t="shared" si="20"/>
        <v/>
      </c>
      <c r="X47" s="132"/>
      <c r="Y47" s="132"/>
      <c r="Z47" s="132"/>
      <c r="AA47" s="132"/>
    </row>
    <row r="48" spans="1:27" ht="20.100000000000001" customHeight="1">
      <c r="A48" s="300">
        <v>30100031</v>
      </c>
      <c r="B48" s="291" t="s">
        <v>209</v>
      </c>
      <c r="C48" s="126" t="s">
        <v>204</v>
      </c>
      <c r="D48" s="108">
        <v>5.03</v>
      </c>
      <c r="E48" s="108"/>
      <c r="F48" s="127"/>
      <c r="G48" s="128"/>
      <c r="H48" s="226">
        <f t="shared" si="16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7"/>
        <v>0</v>
      </c>
      <c r="N48" s="130">
        <f t="shared" si="18"/>
        <v>0</v>
      </c>
      <c r="O48" s="221"/>
      <c r="P48" s="221"/>
      <c r="Q48" s="221"/>
      <c r="R48" s="221"/>
      <c r="S48" s="221"/>
      <c r="T48" s="221"/>
      <c r="U48" s="221"/>
      <c r="V48" s="132">
        <f t="shared" si="19"/>
        <v>0</v>
      </c>
      <c r="W48" s="133" t="str">
        <f t="shared" si="20"/>
        <v/>
      </c>
      <c r="X48" s="132"/>
      <c r="Y48" s="132"/>
      <c r="Z48" s="132"/>
      <c r="AA48" s="132"/>
    </row>
    <row r="49" spans="1:27" ht="20.100000000000001" customHeight="1">
      <c r="A49" s="300">
        <v>30100019</v>
      </c>
      <c r="B49" s="291" t="s">
        <v>382</v>
      </c>
      <c r="C49" s="187" t="s">
        <v>383</v>
      </c>
      <c r="D49" s="108">
        <v>5.03</v>
      </c>
      <c r="E49" s="108"/>
      <c r="F49" s="127"/>
      <c r="G49" s="128"/>
      <c r="H49" s="226">
        <f t="shared" si="16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7"/>
        <v>0</v>
      </c>
      <c r="N49" s="130">
        <f t="shared" si="18"/>
        <v>0</v>
      </c>
      <c r="O49" s="221"/>
      <c r="P49" s="221"/>
      <c r="Q49" s="221"/>
      <c r="R49" s="221"/>
      <c r="S49" s="221"/>
      <c r="T49" s="221"/>
      <c r="U49" s="221"/>
      <c r="V49" s="132"/>
      <c r="W49" s="133"/>
      <c r="X49" s="132"/>
      <c r="Y49" s="132"/>
      <c r="Z49" s="132"/>
      <c r="AA49" s="132"/>
    </row>
    <row r="50" spans="1:27" ht="20.100000000000001" customHeight="1">
      <c r="A50" s="300">
        <v>30100020</v>
      </c>
      <c r="B50" s="291" t="s">
        <v>382</v>
      </c>
      <c r="C50" s="187" t="s">
        <v>384</v>
      </c>
      <c r="D50" s="108">
        <v>5.03</v>
      </c>
      <c r="E50" s="108"/>
      <c r="F50" s="127"/>
      <c r="G50" s="128"/>
      <c r="H50" s="226">
        <f t="shared" si="16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7"/>
        <v>0</v>
      </c>
      <c r="N50" s="130">
        <f t="shared" si="18"/>
        <v>0</v>
      </c>
      <c r="O50" s="221"/>
      <c r="P50" s="221"/>
      <c r="Q50" s="221"/>
      <c r="R50" s="221"/>
      <c r="S50" s="221"/>
      <c r="T50" s="221"/>
      <c r="U50" s="221"/>
      <c r="V50" s="132"/>
      <c r="W50" s="133"/>
      <c r="X50" s="132"/>
      <c r="Y50" s="132"/>
      <c r="Z50" s="132"/>
      <c r="AA50" s="132"/>
    </row>
    <row r="51" spans="1:27" ht="20.100000000000001" customHeight="1">
      <c r="A51" s="300">
        <v>30100021</v>
      </c>
      <c r="B51" s="291" t="s">
        <v>382</v>
      </c>
      <c r="C51" s="187" t="s">
        <v>389</v>
      </c>
      <c r="D51" s="108">
        <v>5.03</v>
      </c>
      <c r="E51" s="108"/>
      <c r="F51" s="127"/>
      <c r="G51" s="128"/>
      <c r="H51" s="226">
        <f t="shared" si="16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7"/>
        <v>0</v>
      </c>
      <c r="N51" s="130">
        <f t="shared" si="18"/>
        <v>0</v>
      </c>
      <c r="O51" s="221"/>
      <c r="P51" s="221"/>
      <c r="Q51" s="221"/>
      <c r="R51" s="221"/>
      <c r="S51" s="221"/>
      <c r="T51" s="221"/>
      <c r="U51" s="221"/>
      <c r="V51" s="132"/>
      <c r="W51" s="133"/>
      <c r="X51" s="132"/>
      <c r="Y51" s="132"/>
      <c r="Z51" s="132"/>
      <c r="AA51" s="132"/>
    </row>
    <row r="52" spans="1:27" ht="20.100000000000001" customHeight="1">
      <c r="A52" s="300">
        <v>30100018</v>
      </c>
      <c r="B52" s="291" t="s">
        <v>382</v>
      </c>
      <c r="C52" s="187" t="s">
        <v>391</v>
      </c>
      <c r="D52" s="108">
        <v>5.03</v>
      </c>
      <c r="E52" s="108"/>
      <c r="F52" s="127"/>
      <c r="G52" s="128"/>
      <c r="H52" s="226">
        <f t="shared" si="16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7"/>
        <v>0</v>
      </c>
      <c r="N52" s="130">
        <f t="shared" si="18"/>
        <v>0</v>
      </c>
      <c r="O52" s="221"/>
      <c r="P52" s="221"/>
      <c r="Q52" s="221"/>
      <c r="R52" s="221"/>
      <c r="S52" s="221"/>
      <c r="T52" s="221"/>
      <c r="U52" s="221"/>
      <c r="V52" s="132"/>
      <c r="W52" s="133"/>
      <c r="X52" s="132"/>
      <c r="Y52" s="132"/>
      <c r="Z52" s="132"/>
      <c r="AA52" s="132"/>
    </row>
    <row r="53" spans="1:27" ht="20.100000000000001" customHeight="1">
      <c r="A53" s="303">
        <v>30700007</v>
      </c>
      <c r="B53" s="291" t="s">
        <v>418</v>
      </c>
      <c r="C53" s="187" t="s">
        <v>364</v>
      </c>
      <c r="D53" s="108">
        <v>5.03</v>
      </c>
      <c r="E53" s="108"/>
      <c r="F53" s="127"/>
      <c r="G53" s="128"/>
      <c r="H53" s="226">
        <f t="shared" si="16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7"/>
        <v>0</v>
      </c>
      <c r="N53" s="130"/>
      <c r="O53" s="221"/>
      <c r="P53" s="221"/>
      <c r="Q53" s="221"/>
      <c r="R53" s="221"/>
      <c r="S53" s="221"/>
      <c r="T53" s="221"/>
      <c r="U53" s="221"/>
      <c r="V53" s="132"/>
      <c r="W53" s="133"/>
      <c r="X53" s="132"/>
      <c r="Y53" s="132"/>
      <c r="Z53" s="132"/>
      <c r="AA53" s="132"/>
    </row>
    <row r="54" spans="1:27" ht="20.100000000000001" customHeight="1">
      <c r="A54" s="303">
        <v>30700006</v>
      </c>
      <c r="B54" s="291" t="s">
        <v>418</v>
      </c>
      <c r="C54" s="187" t="s">
        <v>365</v>
      </c>
      <c r="D54" s="108">
        <v>5.03</v>
      </c>
      <c r="E54" s="108"/>
      <c r="F54" s="127"/>
      <c r="G54" s="128"/>
      <c r="H54" s="226">
        <f t="shared" si="16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7"/>
        <v>0</v>
      </c>
      <c r="N54" s="130"/>
      <c r="O54" s="221"/>
      <c r="P54" s="221"/>
      <c r="Q54" s="221"/>
      <c r="R54" s="221"/>
      <c r="S54" s="221"/>
      <c r="T54" s="221"/>
      <c r="U54" s="221"/>
      <c r="V54" s="132"/>
      <c r="W54" s="133"/>
      <c r="X54" s="132"/>
      <c r="Y54" s="132"/>
      <c r="Z54" s="132"/>
      <c r="AA54" s="132"/>
    </row>
    <row r="55" spans="1:27" ht="20.100000000000001" customHeight="1">
      <c r="A55" s="303">
        <v>30700008</v>
      </c>
      <c r="B55" s="291" t="s">
        <v>418</v>
      </c>
      <c r="C55" s="187" t="s">
        <v>366</v>
      </c>
      <c r="D55" s="108">
        <v>5.03</v>
      </c>
      <c r="E55" s="108"/>
      <c r="F55" s="127"/>
      <c r="G55" s="128"/>
      <c r="H55" s="226">
        <f t="shared" si="16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7"/>
        <v>0</v>
      </c>
      <c r="N55" s="130"/>
      <c r="O55" s="221"/>
      <c r="P55" s="221"/>
      <c r="Q55" s="221"/>
      <c r="R55" s="221"/>
      <c r="S55" s="221"/>
      <c r="T55" s="221"/>
      <c r="U55" s="221"/>
      <c r="V55" s="132"/>
      <c r="W55" s="133"/>
      <c r="X55" s="132"/>
      <c r="Y55" s="132"/>
      <c r="Z55" s="132"/>
      <c r="AA55" s="132"/>
    </row>
    <row r="56" spans="1:27" ht="20.100000000000001" customHeight="1">
      <c r="A56" s="303">
        <v>30700009</v>
      </c>
      <c r="B56" s="291" t="s">
        <v>418</v>
      </c>
      <c r="C56" s="187" t="s">
        <v>367</v>
      </c>
      <c r="D56" s="108">
        <v>5.03</v>
      </c>
      <c r="E56" s="108"/>
      <c r="F56" s="127"/>
      <c r="G56" s="128"/>
      <c r="H56" s="226">
        <f t="shared" si="16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7"/>
        <v>0</v>
      </c>
      <c r="N56" s="130"/>
      <c r="O56" s="221"/>
      <c r="P56" s="221"/>
      <c r="Q56" s="221"/>
      <c r="R56" s="221"/>
      <c r="S56" s="221"/>
      <c r="T56" s="221"/>
      <c r="U56" s="221"/>
      <c r="V56" s="132"/>
      <c r="W56" s="133"/>
      <c r="X56" s="132"/>
      <c r="Y56" s="132"/>
      <c r="Z56" s="132"/>
      <c r="AA56" s="132"/>
    </row>
    <row r="57" spans="1:27" ht="20.10000000000000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226">
        <f t="shared" si="16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7"/>
        <v>0</v>
      </c>
      <c r="N57" s="130">
        <f t="shared" ref="N57:N66" si="21">SUM(O57:U57)</f>
        <v>0</v>
      </c>
      <c r="O57" s="219"/>
      <c r="P57" s="219"/>
      <c r="Q57" s="219"/>
      <c r="R57" s="219"/>
      <c r="S57" s="219"/>
      <c r="T57" s="219"/>
      <c r="U57" s="219"/>
      <c r="V57" s="132">
        <f t="shared" ref="V57:V66" si="22">SUM(X57:AA57)</f>
        <v>0</v>
      </c>
      <c r="W57" s="133" t="str">
        <f t="shared" ref="W57:W66" si="23">IF(ISERROR(V57/G57),"",V57/G57)</f>
        <v/>
      </c>
      <c r="X57" s="132"/>
      <c r="Y57" s="132"/>
      <c r="Z57" s="132"/>
      <c r="AA57" s="132"/>
    </row>
    <row r="58" spans="1:27" ht="20.10000000000000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226">
        <f t="shared" si="16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ref="M58:M66" si="24">IF(ISERROR(I58-K58),"",I58-K58)</f>
        <v>0</v>
      </c>
      <c r="N58" s="130">
        <f t="shared" si="21"/>
        <v>0</v>
      </c>
      <c r="O58" s="219"/>
      <c r="P58" s="219"/>
      <c r="Q58" s="219"/>
      <c r="R58" s="219"/>
      <c r="S58" s="219"/>
      <c r="T58" s="219"/>
      <c r="U58" s="219"/>
      <c r="V58" s="132">
        <f t="shared" si="22"/>
        <v>0</v>
      </c>
      <c r="W58" s="133" t="str">
        <f t="shared" si="23"/>
        <v/>
      </c>
      <c r="X58" s="132"/>
      <c r="Y58" s="132"/>
      <c r="Z58" s="132"/>
      <c r="AA58" s="132"/>
    </row>
    <row r="59" spans="1:27" ht="20.10000000000000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226">
        <f t="shared" si="16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24"/>
        <v>0</v>
      </c>
      <c r="N59" s="130">
        <f t="shared" si="21"/>
        <v>0</v>
      </c>
      <c r="O59" s="219"/>
      <c r="P59" s="219"/>
      <c r="Q59" s="219"/>
      <c r="R59" s="219"/>
      <c r="S59" s="219"/>
      <c r="T59" s="219"/>
      <c r="U59" s="219"/>
      <c r="V59" s="132">
        <f t="shared" si="22"/>
        <v>0</v>
      </c>
      <c r="W59" s="133" t="str">
        <f t="shared" si="23"/>
        <v/>
      </c>
      <c r="X59" s="132"/>
      <c r="Y59" s="132"/>
      <c r="Z59" s="132"/>
      <c r="AA59" s="132"/>
    </row>
    <row r="60" spans="1:27" ht="20.10000000000000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226">
        <f t="shared" si="16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24"/>
        <v>0</v>
      </c>
      <c r="N60" s="130">
        <f t="shared" si="21"/>
        <v>0</v>
      </c>
      <c r="O60" s="219"/>
      <c r="P60" s="219"/>
      <c r="Q60" s="219"/>
      <c r="R60" s="219"/>
      <c r="S60" s="219"/>
      <c r="T60" s="219"/>
      <c r="U60" s="219"/>
      <c r="V60" s="132">
        <f t="shared" si="22"/>
        <v>0</v>
      </c>
      <c r="W60" s="133" t="str">
        <f t="shared" si="23"/>
        <v/>
      </c>
      <c r="X60" s="132"/>
      <c r="Y60" s="132"/>
      <c r="Z60" s="132"/>
      <c r="AA60" s="132"/>
    </row>
    <row r="61" spans="1:27" ht="20.10000000000000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226">
        <f t="shared" si="16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24"/>
        <v>0</v>
      </c>
      <c r="N61" s="130">
        <f t="shared" si="21"/>
        <v>0</v>
      </c>
      <c r="O61" s="219"/>
      <c r="P61" s="219"/>
      <c r="Q61" s="219"/>
      <c r="R61" s="219"/>
      <c r="S61" s="219"/>
      <c r="T61" s="219"/>
      <c r="U61" s="219"/>
      <c r="V61" s="132">
        <f t="shared" si="22"/>
        <v>0</v>
      </c>
      <c r="W61" s="133" t="str">
        <f t="shared" si="23"/>
        <v/>
      </c>
      <c r="X61" s="132"/>
      <c r="Y61" s="132"/>
      <c r="Z61" s="132"/>
      <c r="AA61" s="132"/>
    </row>
    <row r="62" spans="1:27" ht="20.10000000000000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226">
        <f t="shared" si="16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24"/>
        <v>0</v>
      </c>
      <c r="N62" s="130">
        <f t="shared" si="21"/>
        <v>0</v>
      </c>
      <c r="O62" s="219"/>
      <c r="P62" s="219"/>
      <c r="Q62" s="219"/>
      <c r="R62" s="219"/>
      <c r="S62" s="219"/>
      <c r="T62" s="219"/>
      <c r="U62" s="219"/>
      <c r="V62" s="132">
        <f t="shared" si="22"/>
        <v>0</v>
      </c>
      <c r="W62" s="133" t="str">
        <f t="shared" si="23"/>
        <v/>
      </c>
      <c r="X62" s="132"/>
      <c r="Y62" s="132"/>
      <c r="Z62" s="132"/>
      <c r="AA62" s="132"/>
    </row>
    <row r="63" spans="1:27" ht="20.10000000000000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226">
        <f t="shared" si="16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24"/>
        <v>0</v>
      </c>
      <c r="N63" s="130">
        <f t="shared" si="21"/>
        <v>0</v>
      </c>
      <c r="O63" s="219"/>
      <c r="P63" s="219"/>
      <c r="Q63" s="219"/>
      <c r="R63" s="219"/>
      <c r="S63" s="219"/>
      <c r="T63" s="219"/>
      <c r="U63" s="219"/>
      <c r="V63" s="132">
        <f t="shared" si="22"/>
        <v>0</v>
      </c>
      <c r="W63" s="133" t="str">
        <f t="shared" si="23"/>
        <v/>
      </c>
      <c r="X63" s="132"/>
      <c r="Y63" s="132"/>
      <c r="Z63" s="132"/>
      <c r="AA63" s="132"/>
    </row>
    <row r="64" spans="1:27" ht="20.10000000000000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226">
        <f t="shared" si="16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24"/>
        <v>0</v>
      </c>
      <c r="N64" s="130">
        <f t="shared" si="21"/>
        <v>0</v>
      </c>
      <c r="O64" s="219"/>
      <c r="P64" s="219"/>
      <c r="Q64" s="219"/>
      <c r="R64" s="219"/>
      <c r="S64" s="219"/>
      <c r="T64" s="219"/>
      <c r="U64" s="219"/>
      <c r="V64" s="132">
        <f t="shared" si="22"/>
        <v>0</v>
      </c>
      <c r="W64" s="133" t="str">
        <f t="shared" si="23"/>
        <v/>
      </c>
      <c r="X64" s="132"/>
      <c r="Y64" s="132"/>
      <c r="Z64" s="132"/>
      <c r="AA64" s="132"/>
    </row>
    <row r="65" spans="1:27" ht="20.10000000000000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226">
        <f t="shared" si="16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24"/>
        <v>0</v>
      </c>
      <c r="N65" s="130">
        <f t="shared" si="21"/>
        <v>0</v>
      </c>
      <c r="O65" s="219"/>
      <c r="P65" s="219"/>
      <c r="Q65" s="219"/>
      <c r="R65" s="219"/>
      <c r="S65" s="219"/>
      <c r="T65" s="219"/>
      <c r="U65" s="219"/>
      <c r="V65" s="132">
        <f t="shared" si="22"/>
        <v>0</v>
      </c>
      <c r="W65" s="133" t="str">
        <f t="shared" si="23"/>
        <v/>
      </c>
      <c r="X65" s="132"/>
      <c r="Y65" s="132"/>
      <c r="Z65" s="132"/>
      <c r="AA65" s="132"/>
    </row>
    <row r="66" spans="1:27" ht="20.10000000000000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226">
        <f t="shared" si="16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24"/>
        <v>0</v>
      </c>
      <c r="N66" s="130">
        <f t="shared" si="21"/>
        <v>0</v>
      </c>
      <c r="O66" s="219"/>
      <c r="P66" s="219"/>
      <c r="Q66" s="219"/>
      <c r="R66" s="219"/>
      <c r="S66" s="219"/>
      <c r="T66" s="219"/>
      <c r="U66" s="219"/>
      <c r="V66" s="132">
        <f t="shared" si="22"/>
        <v>0</v>
      </c>
      <c r="W66" s="133" t="str">
        <f t="shared" si="23"/>
        <v/>
      </c>
      <c r="X66" s="132"/>
      <c r="Y66" s="132"/>
      <c r="Z66" s="132"/>
      <c r="AA66" s="132"/>
    </row>
    <row r="67" spans="1:27" ht="20.100000000000001" customHeight="1">
      <c r="A67" s="300">
        <v>30100043</v>
      </c>
      <c r="B67" s="134" t="s">
        <v>429</v>
      </c>
      <c r="C67" s="297" t="s">
        <v>452</v>
      </c>
      <c r="D67" s="108">
        <v>5.03</v>
      </c>
      <c r="E67" s="108"/>
      <c r="F67" s="127"/>
      <c r="G67" s="128"/>
      <c r="H67" s="239">
        <f t="shared" si="16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237"/>
      <c r="P67" s="237"/>
      <c r="Q67" s="237"/>
      <c r="R67" s="237"/>
      <c r="S67" s="237"/>
      <c r="T67" s="237"/>
      <c r="U67" s="237"/>
      <c r="V67" s="132"/>
      <c r="W67" s="133"/>
      <c r="X67" s="132"/>
      <c r="Y67" s="132"/>
      <c r="Z67" s="132"/>
      <c r="AA67" s="132"/>
    </row>
    <row r="68" spans="1:27" ht="20.10000000000000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239">
        <f t="shared" si="16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219"/>
      <c r="P68" s="219"/>
      <c r="Q68" s="219"/>
      <c r="R68" s="219"/>
      <c r="S68" s="219"/>
      <c r="T68" s="219"/>
      <c r="U68" s="219"/>
      <c r="V68" s="132"/>
      <c r="W68" s="133"/>
      <c r="X68" s="132"/>
      <c r="Y68" s="132"/>
      <c r="Z68" s="132"/>
      <c r="AA68" s="132"/>
    </row>
    <row r="69" spans="1:27" ht="20.10000000000000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228">
        <f t="shared" si="16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5">IF(ISERROR(I69-K69),"",I69-K69)</f>
        <v>0</v>
      </c>
      <c r="N69" s="130">
        <f t="shared" ref="N69:N70" si="26">SUM(O69:U69)</f>
        <v>0</v>
      </c>
      <c r="O69" s="219"/>
      <c r="P69" s="219"/>
      <c r="Q69" s="219"/>
      <c r="R69" s="219"/>
      <c r="S69" s="219"/>
      <c r="T69" s="219"/>
      <c r="U69" s="219"/>
      <c r="V69" s="132">
        <f t="shared" ref="V69:V70" si="27">SUM(X69:AA69)</f>
        <v>0</v>
      </c>
      <c r="W69" s="133" t="str">
        <f t="shared" ref="W69:W70" si="28">IF(ISERROR(V69/G69),"",V69/G69)</f>
        <v/>
      </c>
      <c r="X69" s="132"/>
      <c r="Y69" s="132"/>
      <c r="Z69" s="132"/>
      <c r="AA69" s="132"/>
    </row>
    <row r="70" spans="1:27" ht="20.10000000000000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228">
        <f t="shared" si="16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5"/>
        <v>0</v>
      </c>
      <c r="N70" s="130">
        <f t="shared" si="26"/>
        <v>0</v>
      </c>
      <c r="O70" s="219"/>
      <c r="P70" s="219"/>
      <c r="Q70" s="219"/>
      <c r="R70" s="219"/>
      <c r="S70" s="219"/>
      <c r="T70" s="219"/>
      <c r="U70" s="219"/>
      <c r="V70" s="132">
        <f t="shared" si="27"/>
        <v>0</v>
      </c>
      <c r="W70" s="133" t="str">
        <f t="shared" si="28"/>
        <v/>
      </c>
      <c r="X70" s="132"/>
      <c r="Y70" s="132"/>
      <c r="Z70" s="132"/>
      <c r="AA70" s="132"/>
    </row>
    <row r="71" spans="1:27" ht="20.100000000000001" customHeight="1">
      <c r="A71" s="300"/>
      <c r="B71" s="134" t="s">
        <v>487</v>
      </c>
      <c r="C71" s="187" t="s">
        <v>361</v>
      </c>
      <c r="D71" s="108">
        <v>5.03</v>
      </c>
      <c r="E71" s="108"/>
      <c r="F71" s="127"/>
      <c r="G71" s="128"/>
      <c r="H71" s="228">
        <f t="shared" si="16"/>
        <v>0</v>
      </c>
      <c r="I71" s="129"/>
      <c r="J71" s="130"/>
      <c r="K71" s="131"/>
      <c r="L71" s="129"/>
      <c r="M71" s="109"/>
      <c r="N71" s="130"/>
      <c r="O71" s="219"/>
      <c r="P71" s="219"/>
      <c r="Q71" s="219"/>
      <c r="R71" s="219"/>
      <c r="S71" s="219"/>
      <c r="T71" s="219"/>
      <c r="U71" s="219"/>
      <c r="V71" s="132"/>
      <c r="W71" s="133"/>
      <c r="X71" s="132"/>
      <c r="Y71" s="132"/>
      <c r="Z71" s="132"/>
      <c r="AA71" s="132"/>
    </row>
    <row r="72" spans="1:27" ht="20.10000000000000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228">
        <f t="shared" si="16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29">IF(ISERROR(I72-K72),"",I72-K72)</f>
        <v/>
      </c>
      <c r="N72" s="130">
        <f t="shared" ref="N72:N75" si="30">SUM(O72:U72)</f>
        <v>0</v>
      </c>
      <c r="O72" s="219"/>
      <c r="P72" s="219"/>
      <c r="Q72" s="219"/>
      <c r="R72" s="219"/>
      <c r="S72" s="219"/>
      <c r="T72" s="219"/>
      <c r="U72" s="219"/>
      <c r="V72" s="132">
        <f t="shared" ref="V72:V75" si="31">SUM(X72:AA72)</f>
        <v>0</v>
      </c>
      <c r="W72" s="133" t="str">
        <f t="shared" ref="W72:W75" si="32">IF(ISERROR(V72/G72),"",V72/G72)</f>
        <v/>
      </c>
      <c r="X72" s="132"/>
      <c r="Y72" s="132"/>
      <c r="Z72" s="132"/>
      <c r="AA72" s="132"/>
    </row>
    <row r="73" spans="1:27" ht="20.10000000000000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228">
        <f t="shared" si="16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29"/>
        <v/>
      </c>
      <c r="N73" s="130">
        <f t="shared" si="30"/>
        <v>0</v>
      </c>
      <c r="O73" s="219"/>
      <c r="P73" s="219"/>
      <c r="Q73" s="219"/>
      <c r="R73" s="219"/>
      <c r="S73" s="219"/>
      <c r="T73" s="219"/>
      <c r="U73" s="219"/>
      <c r="V73" s="132">
        <f t="shared" si="31"/>
        <v>0</v>
      </c>
      <c r="W73" s="133" t="str">
        <f t="shared" si="32"/>
        <v/>
      </c>
      <c r="X73" s="132"/>
      <c r="Y73" s="132"/>
      <c r="Z73" s="132"/>
      <c r="AA73" s="132"/>
    </row>
    <row r="74" spans="1:27" ht="20.10000000000000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228">
        <f t="shared" si="16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29"/>
        <v/>
      </c>
      <c r="N74" s="130">
        <f t="shared" si="30"/>
        <v>0</v>
      </c>
      <c r="O74" s="219"/>
      <c r="P74" s="219"/>
      <c r="Q74" s="219"/>
      <c r="R74" s="219"/>
      <c r="S74" s="219"/>
      <c r="T74" s="219"/>
      <c r="U74" s="219"/>
      <c r="V74" s="132">
        <f t="shared" si="31"/>
        <v>0</v>
      </c>
      <c r="W74" s="133" t="str">
        <f t="shared" si="32"/>
        <v/>
      </c>
      <c r="X74" s="132"/>
      <c r="Y74" s="132"/>
      <c r="Z74" s="132"/>
      <c r="AA74" s="132"/>
    </row>
    <row r="75" spans="1:27" ht="20.100000000000001" customHeight="1">
      <c r="A75" s="300">
        <v>30100058</v>
      </c>
      <c r="B75" s="140" t="s">
        <v>488</v>
      </c>
      <c r="C75" s="126" t="s">
        <v>187</v>
      </c>
      <c r="D75" s="108">
        <v>5.0599999999999996</v>
      </c>
      <c r="E75" s="108"/>
      <c r="F75" s="127"/>
      <c r="G75" s="128"/>
      <c r="H75" s="228">
        <f t="shared" si="16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29"/>
        <v/>
      </c>
      <c r="N75" s="130">
        <f t="shared" si="30"/>
        <v>0</v>
      </c>
      <c r="O75" s="219"/>
      <c r="P75" s="219"/>
      <c r="Q75" s="219"/>
      <c r="R75" s="219"/>
      <c r="S75" s="219"/>
      <c r="T75" s="219"/>
      <c r="U75" s="219"/>
      <c r="V75" s="132">
        <f t="shared" si="31"/>
        <v>0</v>
      </c>
      <c r="W75" s="133" t="str">
        <f t="shared" si="32"/>
        <v/>
      </c>
      <c r="X75" s="132"/>
      <c r="Y75" s="132"/>
      <c r="Z75" s="132"/>
      <c r="AA75" s="132"/>
    </row>
    <row r="76" spans="1:27" ht="20.10000000000000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228">
        <f t="shared" si="16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29"/>
        <v>0</v>
      </c>
      <c r="N76" s="130"/>
      <c r="O76" s="219"/>
      <c r="P76" s="219"/>
      <c r="Q76" s="219"/>
      <c r="R76" s="219"/>
      <c r="S76" s="219"/>
      <c r="T76" s="219"/>
      <c r="U76" s="219"/>
      <c r="V76" s="132"/>
      <c r="W76" s="133"/>
      <c r="X76" s="132"/>
      <c r="Y76" s="132"/>
      <c r="Z76" s="132"/>
      <c r="AA76" s="132"/>
    </row>
    <row r="77" spans="1:27" ht="20.10000000000000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228">
        <f t="shared" si="16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29"/>
        <v>0</v>
      </c>
      <c r="N77" s="130"/>
      <c r="O77" s="219"/>
      <c r="P77" s="219"/>
      <c r="Q77" s="219"/>
      <c r="R77" s="219"/>
      <c r="S77" s="219"/>
      <c r="T77" s="219"/>
      <c r="U77" s="219"/>
      <c r="V77" s="132"/>
      <c r="W77" s="133"/>
      <c r="X77" s="132"/>
      <c r="Y77" s="132"/>
      <c r="Z77" s="132"/>
      <c r="AA77" s="132"/>
    </row>
    <row r="78" spans="1:27" ht="20.10000000000000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228">
        <f t="shared" si="16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29"/>
        <v>0</v>
      </c>
      <c r="N78" s="130"/>
      <c r="O78" s="219"/>
      <c r="P78" s="219"/>
      <c r="Q78" s="219"/>
      <c r="R78" s="219"/>
      <c r="S78" s="219"/>
      <c r="T78" s="219"/>
      <c r="U78" s="219"/>
      <c r="V78" s="132"/>
      <c r="W78" s="133"/>
      <c r="X78" s="132"/>
      <c r="Y78" s="132"/>
      <c r="Z78" s="132"/>
      <c r="AA78" s="132"/>
    </row>
    <row r="79" spans="1:27" ht="20.10000000000000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228">
        <f t="shared" si="16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29"/>
        <v>0</v>
      </c>
      <c r="N79" s="130"/>
      <c r="O79" s="219"/>
      <c r="P79" s="219"/>
      <c r="Q79" s="219"/>
      <c r="R79" s="219"/>
      <c r="S79" s="219"/>
      <c r="T79" s="219"/>
      <c r="U79" s="219"/>
      <c r="V79" s="132"/>
      <c r="W79" s="133"/>
      <c r="X79" s="132"/>
      <c r="Y79" s="132"/>
      <c r="Z79" s="132"/>
      <c r="AA79" s="132"/>
    </row>
    <row r="80" spans="1:27" ht="20.10000000000000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228">
        <f t="shared" si="16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219"/>
      <c r="P80" s="219"/>
      <c r="Q80" s="219"/>
      <c r="R80" s="219"/>
      <c r="S80" s="219"/>
      <c r="T80" s="219"/>
      <c r="U80" s="219"/>
      <c r="V80" s="132"/>
      <c r="W80" s="133"/>
      <c r="X80" s="132"/>
      <c r="Y80" s="132"/>
      <c r="Z80" s="132"/>
      <c r="AA80" s="132"/>
    </row>
    <row r="81" spans="1:27" ht="20.10000000000000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228">
        <f t="shared" si="16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219"/>
      <c r="P81" s="219"/>
      <c r="Q81" s="219"/>
      <c r="R81" s="219"/>
      <c r="S81" s="219"/>
      <c r="T81" s="219"/>
      <c r="U81" s="219"/>
      <c r="V81" s="132"/>
      <c r="W81" s="133"/>
      <c r="X81" s="132"/>
      <c r="Y81" s="132"/>
      <c r="Z81" s="132"/>
      <c r="AA81" s="132"/>
    </row>
    <row r="82" spans="1:27" ht="20.10000000000000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228">
        <f t="shared" si="16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219"/>
      <c r="P82" s="219"/>
      <c r="Q82" s="219"/>
      <c r="R82" s="219"/>
      <c r="S82" s="219"/>
      <c r="T82" s="219"/>
      <c r="U82" s="219"/>
      <c r="V82" s="132"/>
      <c r="W82" s="133"/>
      <c r="X82" s="132"/>
      <c r="Y82" s="132"/>
      <c r="Z82" s="132"/>
      <c r="AA82" s="132"/>
    </row>
    <row r="83" spans="1:27" ht="20.10000000000000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228">
        <f t="shared" si="16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219"/>
      <c r="P83" s="219"/>
      <c r="Q83" s="219"/>
      <c r="R83" s="219"/>
      <c r="S83" s="219"/>
      <c r="T83" s="219"/>
      <c r="U83" s="219"/>
      <c r="V83" s="132"/>
      <c r="W83" s="133"/>
      <c r="X83" s="132"/>
      <c r="Y83" s="132"/>
      <c r="Z83" s="132"/>
      <c r="AA83" s="132"/>
    </row>
    <row r="84" spans="1:27" ht="20.10000000000000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228">
        <f t="shared" si="16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219"/>
      <c r="P84" s="219"/>
      <c r="Q84" s="219"/>
      <c r="R84" s="219"/>
      <c r="S84" s="219"/>
      <c r="T84" s="219"/>
      <c r="U84" s="219"/>
      <c r="V84" s="132"/>
      <c r="W84" s="133"/>
      <c r="X84" s="132"/>
      <c r="Y84" s="132"/>
      <c r="Z84" s="132"/>
      <c r="AA84" s="132"/>
    </row>
    <row r="85" spans="1:27" ht="20.10000000000000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228">
        <f t="shared" si="16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219"/>
      <c r="P85" s="219"/>
      <c r="Q85" s="219"/>
      <c r="R85" s="219"/>
      <c r="S85" s="219"/>
      <c r="T85" s="219"/>
      <c r="U85" s="219"/>
      <c r="V85" s="132"/>
      <c r="W85" s="133"/>
      <c r="X85" s="132"/>
      <c r="Y85" s="132"/>
      <c r="Z85" s="132"/>
      <c r="AA85" s="132"/>
    </row>
    <row r="86" spans="1:27" ht="20.100000000000001" customHeight="1">
      <c r="A86" s="589" t="s">
        <v>216</v>
      </c>
      <c r="B86" s="589"/>
      <c r="C86" s="224" t="s">
        <v>202</v>
      </c>
      <c r="D86" s="143"/>
      <c r="E86" s="143"/>
      <c r="F86" s="144"/>
      <c r="G86" s="145">
        <f>SUM(G29:G85)</f>
        <v>0</v>
      </c>
      <c r="H86" s="146">
        <f>SUM(H29:H85)</f>
        <v>0</v>
      </c>
      <c r="I86" s="146">
        <f>SUM(I29:I85)</f>
        <v>0</v>
      </c>
      <c r="J86" s="130" t="str">
        <f t="array" ref="J86">IF(ISERROR(G86/I86),"",G86/I86)</f>
        <v/>
      </c>
      <c r="K86" s="146">
        <f>SUM(K29:K85)</f>
        <v>0</v>
      </c>
      <c r="L86" s="147"/>
      <c r="M86" s="150">
        <f t="shared" ref="M86:V86" si="33">SUM(M29:M85)</f>
        <v>0</v>
      </c>
      <c r="N86" s="146">
        <f t="shared" si="33"/>
        <v>0</v>
      </c>
      <c r="O86" s="148">
        <f t="shared" si="33"/>
        <v>0</v>
      </c>
      <c r="P86" s="148">
        <f t="shared" si="33"/>
        <v>0</v>
      </c>
      <c r="Q86" s="148">
        <f t="shared" si="33"/>
        <v>0</v>
      </c>
      <c r="R86" s="148">
        <f t="shared" si="33"/>
        <v>0</v>
      </c>
      <c r="S86" s="148">
        <f t="shared" si="33"/>
        <v>0</v>
      </c>
      <c r="T86" s="148">
        <f t="shared" si="33"/>
        <v>0</v>
      </c>
      <c r="U86" s="148">
        <f t="shared" si="33"/>
        <v>0</v>
      </c>
      <c r="V86" s="149">
        <f t="shared" si="33"/>
        <v>0</v>
      </c>
      <c r="W86" s="133" t="str">
        <f t="shared" ref="W86:W93" si="34">IF(ISERROR(V86/G86),"",V86/G86)</f>
        <v/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customHeight="1">
      <c r="A87" s="299">
        <v>30400012</v>
      </c>
      <c r="B87" s="291" t="s">
        <v>217</v>
      </c>
      <c r="C87" s="126" t="s">
        <v>179</v>
      </c>
      <c r="D87" s="108">
        <v>5.03</v>
      </c>
      <c r="E87" s="108"/>
      <c r="F87" s="127"/>
      <c r="G87" s="128"/>
      <c r="H87" s="226">
        <f t="shared" ref="H87:H120" si="35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6">IF(ISERROR(I87-K87),"",I87-K87)</f>
        <v>0</v>
      </c>
      <c r="N87" s="130">
        <f t="shared" ref="N87:N93" si="37">SUM(O87:U87)</f>
        <v>0</v>
      </c>
      <c r="O87" s="219"/>
      <c r="P87" s="219"/>
      <c r="Q87" s="219"/>
      <c r="R87" s="219"/>
      <c r="S87" s="219"/>
      <c r="T87" s="219"/>
      <c r="U87" s="219"/>
      <c r="V87" s="132">
        <f t="shared" ref="V87:V93" si="38">SUM(X87:AA87)</f>
        <v>0</v>
      </c>
      <c r="W87" s="133" t="str">
        <f t="shared" si="34"/>
        <v/>
      </c>
      <c r="X87" s="132"/>
      <c r="Y87" s="132"/>
      <c r="Z87" s="132"/>
      <c r="AA87" s="132"/>
    </row>
    <row r="88" spans="1:27" ht="20.100000000000001" customHeight="1">
      <c r="A88" s="299">
        <v>30400010</v>
      </c>
      <c r="B88" s="291" t="s">
        <v>217</v>
      </c>
      <c r="C88" s="126" t="s">
        <v>186</v>
      </c>
      <c r="D88" s="108">
        <v>5.03</v>
      </c>
      <c r="E88" s="108"/>
      <c r="F88" s="127"/>
      <c r="G88" s="128"/>
      <c r="H88" s="226">
        <f t="shared" si="35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6"/>
        <v>0</v>
      </c>
      <c r="N88" s="130">
        <f t="shared" si="37"/>
        <v>0</v>
      </c>
      <c r="O88" s="219"/>
      <c r="P88" s="219"/>
      <c r="Q88" s="219"/>
      <c r="R88" s="219"/>
      <c r="S88" s="219"/>
      <c r="T88" s="219"/>
      <c r="U88" s="219"/>
      <c r="V88" s="132">
        <f t="shared" si="38"/>
        <v>0</v>
      </c>
      <c r="W88" s="133" t="str">
        <f t="shared" si="34"/>
        <v/>
      </c>
      <c r="X88" s="132"/>
      <c r="Y88" s="132"/>
      <c r="Z88" s="132"/>
      <c r="AA88" s="132"/>
    </row>
    <row r="89" spans="1:27" ht="20.100000000000001" customHeight="1">
      <c r="A89" s="299">
        <v>30400011</v>
      </c>
      <c r="B89" s="291" t="s">
        <v>217</v>
      </c>
      <c r="C89" s="126" t="s">
        <v>204</v>
      </c>
      <c r="D89" s="108">
        <v>5.03</v>
      </c>
      <c r="E89" s="108"/>
      <c r="F89" s="127"/>
      <c r="G89" s="128"/>
      <c r="H89" s="226">
        <f t="shared" si="35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6"/>
        <v>0</v>
      </c>
      <c r="N89" s="130">
        <f t="shared" si="37"/>
        <v>0</v>
      </c>
      <c r="O89" s="219"/>
      <c r="P89" s="219"/>
      <c r="Q89" s="219"/>
      <c r="R89" s="219"/>
      <c r="S89" s="219"/>
      <c r="T89" s="219"/>
      <c r="U89" s="219"/>
      <c r="V89" s="132">
        <f t="shared" si="38"/>
        <v>0</v>
      </c>
      <c r="W89" s="133" t="str">
        <f t="shared" si="34"/>
        <v/>
      </c>
      <c r="X89" s="132"/>
      <c r="Y89" s="132"/>
      <c r="Z89" s="132"/>
      <c r="AA89" s="132"/>
    </row>
    <row r="90" spans="1:27" ht="20.10000000000000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226">
        <f t="shared" si="35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6"/>
        <v>0</v>
      </c>
      <c r="N90" s="130">
        <f t="shared" si="37"/>
        <v>0</v>
      </c>
      <c r="O90" s="219"/>
      <c r="P90" s="219"/>
      <c r="Q90" s="219"/>
      <c r="R90" s="219"/>
      <c r="S90" s="219"/>
      <c r="T90" s="219"/>
      <c r="U90" s="219"/>
      <c r="V90" s="132">
        <f t="shared" si="38"/>
        <v>0</v>
      </c>
      <c r="W90" s="133" t="str">
        <f t="shared" si="34"/>
        <v/>
      </c>
      <c r="X90" s="132"/>
      <c r="Y90" s="132"/>
      <c r="Z90" s="132"/>
      <c r="AA90" s="132"/>
    </row>
    <row r="91" spans="1:27" ht="20.10000000000000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226">
        <f t="shared" si="35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6"/>
        <v>0</v>
      </c>
      <c r="N91" s="130">
        <f t="shared" si="37"/>
        <v>0</v>
      </c>
      <c r="O91" s="219"/>
      <c r="P91" s="219"/>
      <c r="Q91" s="219"/>
      <c r="R91" s="219"/>
      <c r="S91" s="219"/>
      <c r="T91" s="219"/>
      <c r="U91" s="219"/>
      <c r="V91" s="132">
        <f t="shared" si="38"/>
        <v>0</v>
      </c>
      <c r="W91" s="133" t="str">
        <f t="shared" si="34"/>
        <v/>
      </c>
      <c r="X91" s="132"/>
      <c r="Y91" s="132"/>
      <c r="Z91" s="132"/>
      <c r="AA91" s="132"/>
    </row>
    <row r="92" spans="1:27" ht="20.10000000000000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226">
        <f t="shared" si="35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6"/>
        <v>0</v>
      </c>
      <c r="N92" s="130">
        <f t="shared" si="37"/>
        <v>0</v>
      </c>
      <c r="O92" s="219"/>
      <c r="P92" s="219"/>
      <c r="Q92" s="219"/>
      <c r="R92" s="219"/>
      <c r="S92" s="219"/>
      <c r="T92" s="219"/>
      <c r="U92" s="219"/>
      <c r="V92" s="132">
        <f t="shared" si="38"/>
        <v>0</v>
      </c>
      <c r="W92" s="133" t="str">
        <f t="shared" si="34"/>
        <v/>
      </c>
      <c r="X92" s="132"/>
      <c r="Y92" s="132"/>
      <c r="Z92" s="132"/>
      <c r="AA92" s="132"/>
    </row>
    <row r="93" spans="1:27" ht="20.10000000000000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226">
        <f t="shared" si="35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6"/>
        <v>0</v>
      </c>
      <c r="N93" s="130">
        <f t="shared" si="37"/>
        <v>0</v>
      </c>
      <c r="O93" s="219"/>
      <c r="P93" s="219"/>
      <c r="Q93" s="219"/>
      <c r="R93" s="219"/>
      <c r="S93" s="219"/>
      <c r="T93" s="219"/>
      <c r="U93" s="219"/>
      <c r="V93" s="132">
        <f t="shared" si="38"/>
        <v>0</v>
      </c>
      <c r="W93" s="133" t="str">
        <f t="shared" si="34"/>
        <v/>
      </c>
      <c r="X93" s="132"/>
      <c r="Y93" s="132"/>
      <c r="Z93" s="132"/>
      <c r="AA93" s="132"/>
    </row>
    <row r="94" spans="1:27" ht="20.10000000000000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226">
        <f t="shared" si="35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6"/>
        <v>0</v>
      </c>
      <c r="N94" s="130"/>
      <c r="O94" s="219"/>
      <c r="P94" s="219"/>
      <c r="Q94" s="219"/>
      <c r="R94" s="219"/>
      <c r="S94" s="219"/>
      <c r="T94" s="219"/>
      <c r="U94" s="219"/>
      <c r="V94" s="132"/>
      <c r="W94" s="133"/>
      <c r="X94" s="132"/>
      <c r="Y94" s="132"/>
      <c r="Z94" s="132"/>
      <c r="AA94" s="132"/>
    </row>
    <row r="95" spans="1:27" ht="20.10000000000000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52"/>
      <c r="H95" s="226">
        <f t="shared" si="35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6"/>
        <v>0</v>
      </c>
      <c r="N95" s="130">
        <f t="shared" ref="N95:N114" si="39">SUM(O95:U95)</f>
        <v>0</v>
      </c>
      <c r="O95" s="219"/>
      <c r="P95" s="219"/>
      <c r="Q95" s="219"/>
      <c r="R95" s="219"/>
      <c r="S95" s="219"/>
      <c r="T95" s="219"/>
      <c r="U95" s="219"/>
      <c r="V95" s="132">
        <f t="shared" ref="V95:V102" si="40">SUM(X95:AA95)</f>
        <v>0</v>
      </c>
      <c r="W95" s="133" t="str">
        <f t="shared" ref="W95:W106" si="41">IF(ISERROR(V95/G95),"",V95/G95)</f>
        <v/>
      </c>
      <c r="X95" s="132"/>
      <c r="Y95" s="132"/>
      <c r="Z95" s="132"/>
      <c r="AA95" s="132"/>
    </row>
    <row r="96" spans="1:27" ht="20.10000000000000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226">
        <f t="shared" si="35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6"/>
        <v>0</v>
      </c>
      <c r="N96" s="130">
        <f t="shared" si="39"/>
        <v>0</v>
      </c>
      <c r="O96" s="219"/>
      <c r="P96" s="219"/>
      <c r="Q96" s="219"/>
      <c r="R96" s="219"/>
      <c r="S96" s="219"/>
      <c r="T96" s="219"/>
      <c r="U96" s="219"/>
      <c r="V96" s="132">
        <f t="shared" si="40"/>
        <v>0</v>
      </c>
      <c r="W96" s="133" t="str">
        <f t="shared" si="41"/>
        <v/>
      </c>
      <c r="X96" s="132"/>
      <c r="Y96" s="132"/>
      <c r="Z96" s="132"/>
      <c r="AA96" s="132"/>
    </row>
    <row r="97" spans="1:27" ht="20.10000000000000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226">
        <f t="shared" si="35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6"/>
        <v>0</v>
      </c>
      <c r="N97" s="130">
        <f t="shared" si="39"/>
        <v>0</v>
      </c>
      <c r="O97" s="219"/>
      <c r="P97" s="219"/>
      <c r="Q97" s="219"/>
      <c r="R97" s="219"/>
      <c r="S97" s="219"/>
      <c r="T97" s="219"/>
      <c r="U97" s="219"/>
      <c r="V97" s="132">
        <f t="shared" si="40"/>
        <v>0</v>
      </c>
      <c r="W97" s="133" t="str">
        <f t="shared" si="41"/>
        <v/>
      </c>
      <c r="X97" s="132"/>
      <c r="Y97" s="132"/>
      <c r="Z97" s="132"/>
      <c r="AA97" s="132"/>
    </row>
    <row r="98" spans="1:27" ht="20.10000000000000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226">
        <f t="shared" si="35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6"/>
        <v>0</v>
      </c>
      <c r="N98" s="130">
        <f t="shared" si="39"/>
        <v>0</v>
      </c>
      <c r="O98" s="219"/>
      <c r="P98" s="219"/>
      <c r="Q98" s="219"/>
      <c r="R98" s="219"/>
      <c r="S98" s="219"/>
      <c r="T98" s="219"/>
      <c r="U98" s="219"/>
      <c r="V98" s="132">
        <f t="shared" si="40"/>
        <v>0</v>
      </c>
      <c r="W98" s="133" t="str">
        <f t="shared" si="41"/>
        <v/>
      </c>
      <c r="X98" s="132"/>
      <c r="Y98" s="132"/>
      <c r="Z98" s="132"/>
      <c r="AA98" s="132"/>
    </row>
    <row r="99" spans="1:27" ht="20.100000000000001" customHeight="1">
      <c r="A99" s="304">
        <v>30400030</v>
      </c>
      <c r="B99" s="151" t="s">
        <v>490</v>
      </c>
      <c r="C99" s="126" t="s">
        <v>179</v>
      </c>
      <c r="D99" s="108">
        <v>5.03</v>
      </c>
      <c r="E99" s="108"/>
      <c r="F99" s="127"/>
      <c r="G99" s="128"/>
      <c r="H99" s="226">
        <f t="shared" si="35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6"/>
        <v>0</v>
      </c>
      <c r="N99" s="130">
        <f t="shared" si="39"/>
        <v>0</v>
      </c>
      <c r="O99" s="219"/>
      <c r="P99" s="219"/>
      <c r="Q99" s="219"/>
      <c r="R99" s="219"/>
      <c r="S99" s="219"/>
      <c r="T99" s="219"/>
      <c r="U99" s="219"/>
      <c r="V99" s="132">
        <f t="shared" si="40"/>
        <v>0</v>
      </c>
      <c r="W99" s="133" t="str">
        <f t="shared" si="41"/>
        <v/>
      </c>
      <c r="X99" s="132"/>
      <c r="Y99" s="132"/>
      <c r="Z99" s="132"/>
      <c r="AA99" s="132"/>
    </row>
    <row r="100" spans="1:27" ht="20.10000000000000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226">
        <f t="shared" si="35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6"/>
        <v/>
      </c>
      <c r="N100" s="130">
        <f t="shared" si="39"/>
        <v>0</v>
      </c>
      <c r="O100" s="219"/>
      <c r="P100" s="219"/>
      <c r="Q100" s="219"/>
      <c r="R100" s="219"/>
      <c r="S100" s="219"/>
      <c r="T100" s="219"/>
      <c r="U100" s="219"/>
      <c r="V100" s="132">
        <f t="shared" si="40"/>
        <v>0</v>
      </c>
      <c r="W100" s="133" t="str">
        <f t="shared" si="41"/>
        <v/>
      </c>
      <c r="X100" s="132"/>
      <c r="Y100" s="132"/>
      <c r="Z100" s="132"/>
      <c r="AA100" s="132"/>
    </row>
    <row r="101" spans="1:27" ht="20.10000000000000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226">
        <f t="shared" si="35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6"/>
        <v/>
      </c>
      <c r="N101" s="130">
        <f t="shared" si="39"/>
        <v>0</v>
      </c>
      <c r="O101" s="219"/>
      <c r="P101" s="219"/>
      <c r="Q101" s="219"/>
      <c r="R101" s="219"/>
      <c r="S101" s="219"/>
      <c r="T101" s="219"/>
      <c r="U101" s="219"/>
      <c r="V101" s="132">
        <f t="shared" si="40"/>
        <v>0</v>
      </c>
      <c r="W101" s="133" t="str">
        <f t="shared" si="41"/>
        <v/>
      </c>
      <c r="X101" s="132"/>
      <c r="Y101" s="132"/>
      <c r="Z101" s="132"/>
      <c r="AA101" s="132"/>
    </row>
    <row r="102" spans="1:27" ht="20.10000000000000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226">
        <f t="shared" si="35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6"/>
        <v/>
      </c>
      <c r="N102" s="130">
        <f t="shared" si="39"/>
        <v>0</v>
      </c>
      <c r="O102" s="219"/>
      <c r="P102" s="219"/>
      <c r="Q102" s="219"/>
      <c r="R102" s="219"/>
      <c r="S102" s="219"/>
      <c r="T102" s="219"/>
      <c r="U102" s="219"/>
      <c r="V102" s="132">
        <f t="shared" si="40"/>
        <v>0</v>
      </c>
      <c r="W102" s="133" t="str">
        <f t="shared" si="41"/>
        <v/>
      </c>
      <c r="X102" s="132"/>
      <c r="Y102" s="132"/>
      <c r="Z102" s="132"/>
      <c r="AA102" s="132"/>
    </row>
    <row r="103" spans="1:27" ht="20.100000000000001" customHeight="1">
      <c r="A103" s="304">
        <v>30600005</v>
      </c>
      <c r="B103" s="291" t="s">
        <v>222</v>
      </c>
      <c r="C103" s="126" t="s">
        <v>181</v>
      </c>
      <c r="D103" s="108">
        <v>10.199999999999999</v>
      </c>
      <c r="E103" s="108"/>
      <c r="F103" s="127"/>
      <c r="G103" s="128"/>
      <c r="H103" s="226">
        <f t="shared" si="35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6"/>
        <v>0</v>
      </c>
      <c r="N103" s="130">
        <f t="shared" si="39"/>
        <v>0</v>
      </c>
      <c r="O103" s="219"/>
      <c r="P103" s="219"/>
      <c r="Q103" s="219"/>
      <c r="R103" s="219"/>
      <c r="S103" s="219"/>
      <c r="T103" s="219"/>
      <c r="U103" s="219"/>
      <c r="V103" s="132">
        <f t="shared" ref="V103:V106" si="42">SUM(X103:AA103)</f>
        <v>0</v>
      </c>
      <c r="W103" s="133" t="str">
        <f t="shared" si="41"/>
        <v/>
      </c>
      <c r="X103" s="132"/>
      <c r="Y103" s="132"/>
      <c r="Z103" s="132"/>
      <c r="AA103" s="132"/>
    </row>
    <row r="104" spans="1:27" ht="20.100000000000001" customHeight="1">
      <c r="A104" s="304">
        <v>30600008</v>
      </c>
      <c r="B104" s="291" t="s">
        <v>222</v>
      </c>
      <c r="C104" s="126" t="s">
        <v>179</v>
      </c>
      <c r="D104" s="108">
        <v>10.199999999999999</v>
      </c>
      <c r="E104" s="108"/>
      <c r="F104" s="127"/>
      <c r="G104" s="128"/>
      <c r="H104" s="226">
        <f t="shared" si="35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6"/>
        <v>0</v>
      </c>
      <c r="N104" s="130">
        <f t="shared" si="39"/>
        <v>0</v>
      </c>
      <c r="O104" s="219"/>
      <c r="P104" s="219"/>
      <c r="Q104" s="219"/>
      <c r="R104" s="219"/>
      <c r="S104" s="219"/>
      <c r="T104" s="219"/>
      <c r="U104" s="219"/>
      <c r="V104" s="132">
        <f t="shared" si="42"/>
        <v>0</v>
      </c>
      <c r="W104" s="133" t="str">
        <f t="shared" si="41"/>
        <v/>
      </c>
      <c r="X104" s="132"/>
      <c r="Y104" s="132"/>
      <c r="Z104" s="132"/>
      <c r="AA104" s="132"/>
    </row>
    <row r="105" spans="1:27" ht="20.100000000000001" customHeight="1">
      <c r="A105" s="304">
        <v>30600007</v>
      </c>
      <c r="B105" s="291" t="s">
        <v>222</v>
      </c>
      <c r="C105" s="126" t="s">
        <v>221</v>
      </c>
      <c r="D105" s="108">
        <v>10.199999999999999</v>
      </c>
      <c r="E105" s="108"/>
      <c r="F105" s="127"/>
      <c r="G105" s="128"/>
      <c r="H105" s="226">
        <f t="shared" si="35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6"/>
        <v>0</v>
      </c>
      <c r="N105" s="130">
        <f t="shared" si="39"/>
        <v>0</v>
      </c>
      <c r="O105" s="219"/>
      <c r="P105" s="219"/>
      <c r="Q105" s="219"/>
      <c r="R105" s="219"/>
      <c r="S105" s="219"/>
      <c r="T105" s="219"/>
      <c r="U105" s="219"/>
      <c r="V105" s="132">
        <f t="shared" si="42"/>
        <v>0</v>
      </c>
      <c r="W105" s="133" t="str">
        <f t="shared" si="41"/>
        <v/>
      </c>
      <c r="X105" s="132"/>
      <c r="Y105" s="132"/>
      <c r="Z105" s="132"/>
      <c r="AA105" s="132"/>
    </row>
    <row r="106" spans="1:27" ht="20.100000000000001" customHeight="1">
      <c r="A106" s="304">
        <v>30600006</v>
      </c>
      <c r="B106" s="291" t="s">
        <v>222</v>
      </c>
      <c r="C106" s="126" t="s">
        <v>186</v>
      </c>
      <c r="D106" s="108">
        <v>10.199999999999999</v>
      </c>
      <c r="E106" s="108"/>
      <c r="F106" s="127"/>
      <c r="G106" s="128"/>
      <c r="H106" s="226">
        <f t="shared" si="35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6"/>
        <v>0</v>
      </c>
      <c r="N106" s="130">
        <f t="shared" si="39"/>
        <v>0</v>
      </c>
      <c r="O106" s="219"/>
      <c r="P106" s="219"/>
      <c r="Q106" s="219"/>
      <c r="R106" s="219"/>
      <c r="S106" s="219"/>
      <c r="T106" s="219"/>
      <c r="U106" s="219"/>
      <c r="V106" s="132">
        <f t="shared" si="42"/>
        <v>0</v>
      </c>
      <c r="W106" s="133" t="str">
        <f t="shared" si="41"/>
        <v/>
      </c>
      <c r="X106" s="132"/>
      <c r="Y106" s="132"/>
      <c r="Z106" s="132"/>
      <c r="AA106" s="132"/>
    </row>
    <row r="107" spans="1:27" ht="20.100000000000001" customHeight="1">
      <c r="A107" s="299">
        <v>30400026</v>
      </c>
      <c r="B107" s="291" t="s">
        <v>393</v>
      </c>
      <c r="C107" s="187" t="s">
        <v>395</v>
      </c>
      <c r="D107" s="108">
        <v>5</v>
      </c>
      <c r="E107" s="108"/>
      <c r="F107" s="127"/>
      <c r="G107" s="128"/>
      <c r="H107" s="226">
        <f t="shared" si="35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6"/>
        <v>0</v>
      </c>
      <c r="N107" s="130">
        <f t="shared" si="39"/>
        <v>0</v>
      </c>
      <c r="O107" s="219"/>
      <c r="P107" s="219"/>
      <c r="Q107" s="219"/>
      <c r="R107" s="219"/>
      <c r="S107" s="219"/>
      <c r="T107" s="219"/>
      <c r="U107" s="219"/>
      <c r="V107" s="132"/>
      <c r="W107" s="133"/>
      <c r="X107" s="132"/>
      <c r="Y107" s="132"/>
      <c r="Z107" s="132"/>
      <c r="AA107" s="132"/>
    </row>
    <row r="108" spans="1:27" ht="20.100000000000001" customHeight="1">
      <c r="A108" s="299">
        <v>30400028</v>
      </c>
      <c r="B108" s="291" t="s">
        <v>393</v>
      </c>
      <c r="C108" s="187" t="s">
        <v>402</v>
      </c>
      <c r="D108" s="108">
        <v>5</v>
      </c>
      <c r="E108" s="108"/>
      <c r="F108" s="127"/>
      <c r="G108" s="128"/>
      <c r="H108" s="226">
        <f t="shared" si="35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6"/>
        <v>0</v>
      </c>
      <c r="N108" s="130">
        <f t="shared" si="39"/>
        <v>0</v>
      </c>
      <c r="O108" s="219"/>
      <c r="P108" s="219"/>
      <c r="Q108" s="219"/>
      <c r="R108" s="219"/>
      <c r="S108" s="219"/>
      <c r="T108" s="219"/>
      <c r="U108" s="219"/>
      <c r="V108" s="132"/>
      <c r="W108" s="133"/>
      <c r="X108" s="132"/>
      <c r="Y108" s="132"/>
      <c r="Z108" s="132"/>
      <c r="AA108" s="132"/>
    </row>
    <row r="109" spans="1:27" ht="20.100000000000001" customHeight="1">
      <c r="A109" s="299">
        <v>30400027</v>
      </c>
      <c r="B109" s="291" t="s">
        <v>404</v>
      </c>
      <c r="C109" s="187" t="s">
        <v>405</v>
      </c>
      <c r="D109" s="108">
        <v>5</v>
      </c>
      <c r="E109" s="108"/>
      <c r="F109" s="127"/>
      <c r="G109" s="128"/>
      <c r="H109" s="226">
        <f t="shared" si="35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6"/>
        <v>0</v>
      </c>
      <c r="N109" s="130">
        <f t="shared" si="39"/>
        <v>0</v>
      </c>
      <c r="O109" s="219"/>
      <c r="P109" s="219"/>
      <c r="Q109" s="219"/>
      <c r="R109" s="219"/>
      <c r="S109" s="219"/>
      <c r="T109" s="219"/>
      <c r="U109" s="219"/>
      <c r="V109" s="132"/>
      <c r="W109" s="133"/>
      <c r="X109" s="132"/>
      <c r="Y109" s="132"/>
      <c r="Z109" s="132"/>
      <c r="AA109" s="132"/>
    </row>
    <row r="110" spans="1:27" ht="20.100000000000001" customHeight="1">
      <c r="A110" s="299"/>
      <c r="B110" s="291" t="s">
        <v>492</v>
      </c>
      <c r="C110" s="187" t="s">
        <v>372</v>
      </c>
      <c r="D110" s="108">
        <v>5</v>
      </c>
      <c r="E110" s="108"/>
      <c r="F110" s="127"/>
      <c r="G110" s="128"/>
      <c r="H110" s="226">
        <f t="shared" si="35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6"/>
        <v>0</v>
      </c>
      <c r="N110" s="130">
        <f t="shared" si="39"/>
        <v>0</v>
      </c>
      <c r="O110" s="219"/>
      <c r="P110" s="219"/>
      <c r="Q110" s="219"/>
      <c r="R110" s="219"/>
      <c r="S110" s="219"/>
      <c r="T110" s="219"/>
      <c r="U110" s="219"/>
      <c r="V110" s="132"/>
      <c r="W110" s="133"/>
      <c r="X110" s="132"/>
      <c r="Y110" s="132"/>
      <c r="Z110" s="132"/>
      <c r="AA110" s="132"/>
    </row>
    <row r="111" spans="1:27" ht="20.100000000000001" customHeight="1">
      <c r="A111" s="299">
        <v>30600009</v>
      </c>
      <c r="B111" s="291" t="s">
        <v>343</v>
      </c>
      <c r="C111" s="126" t="s">
        <v>345</v>
      </c>
      <c r="D111" s="108">
        <v>5</v>
      </c>
      <c r="E111" s="108"/>
      <c r="F111" s="127"/>
      <c r="G111" s="128"/>
      <c r="H111" s="226">
        <f t="shared" si="35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6"/>
        <v>0</v>
      </c>
      <c r="N111" s="130">
        <f t="shared" si="39"/>
        <v>0</v>
      </c>
      <c r="O111" s="219"/>
      <c r="P111" s="219"/>
      <c r="Q111" s="219"/>
      <c r="R111" s="219"/>
      <c r="S111" s="219"/>
      <c r="T111" s="219"/>
      <c r="U111" s="219"/>
      <c r="V111" s="132"/>
      <c r="W111" s="133"/>
      <c r="X111" s="132"/>
      <c r="Y111" s="132"/>
      <c r="Z111" s="132"/>
      <c r="AA111" s="132"/>
    </row>
    <row r="112" spans="1:27" ht="20.100000000000001" customHeight="1">
      <c r="A112" s="299">
        <v>30600010</v>
      </c>
      <c r="B112" s="291" t="s">
        <v>343</v>
      </c>
      <c r="C112" s="126" t="s">
        <v>347</v>
      </c>
      <c r="D112" s="108">
        <v>5</v>
      </c>
      <c r="E112" s="108"/>
      <c r="F112" s="127"/>
      <c r="G112" s="128"/>
      <c r="H112" s="226">
        <f t="shared" si="35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6"/>
        <v>0</v>
      </c>
      <c r="N112" s="130">
        <f t="shared" si="39"/>
        <v>0</v>
      </c>
      <c r="O112" s="219"/>
      <c r="P112" s="219"/>
      <c r="Q112" s="219"/>
      <c r="R112" s="219"/>
      <c r="S112" s="219"/>
      <c r="T112" s="219"/>
      <c r="U112" s="219"/>
      <c r="V112" s="132"/>
      <c r="W112" s="133"/>
      <c r="X112" s="132"/>
      <c r="Y112" s="132"/>
      <c r="Z112" s="132"/>
      <c r="AA112" s="132"/>
    </row>
    <row r="113" spans="1:27" ht="20.10000000000000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226">
        <f t="shared" si="35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6"/>
        <v>0</v>
      </c>
      <c r="N113" s="130">
        <f t="shared" si="39"/>
        <v>0</v>
      </c>
      <c r="O113" s="219"/>
      <c r="P113" s="219"/>
      <c r="Q113" s="219"/>
      <c r="R113" s="219"/>
      <c r="S113" s="219"/>
      <c r="T113" s="219"/>
      <c r="U113" s="219"/>
      <c r="V113" s="132">
        <f t="shared" ref="V113:V114" si="43">SUM(X113:AA113)</f>
        <v>0</v>
      </c>
      <c r="W113" s="133" t="str">
        <f t="shared" ref="W113:W114" si="44">IF(ISERROR(V113/G113),"",V113/G113)</f>
        <v/>
      </c>
      <c r="X113" s="132"/>
      <c r="Y113" s="132"/>
      <c r="Z113" s="132"/>
      <c r="AA113" s="132"/>
    </row>
    <row r="114" spans="1:27" ht="20.10000000000000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226">
        <f t="shared" si="35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6"/>
        <v>0</v>
      </c>
      <c r="N114" s="130">
        <f t="shared" si="39"/>
        <v>0</v>
      </c>
      <c r="O114" s="219"/>
      <c r="P114" s="219"/>
      <c r="Q114" s="219"/>
      <c r="R114" s="219"/>
      <c r="S114" s="219"/>
      <c r="T114" s="219"/>
      <c r="U114" s="219"/>
      <c r="V114" s="132">
        <f t="shared" si="43"/>
        <v>0</v>
      </c>
      <c r="W114" s="133" t="str">
        <f t="shared" si="44"/>
        <v/>
      </c>
      <c r="X114" s="132"/>
      <c r="Y114" s="132"/>
      <c r="Z114" s="132"/>
      <c r="AA114" s="132"/>
    </row>
    <row r="115" spans="1:27" ht="20.100000000000001" customHeight="1">
      <c r="A115" s="299">
        <v>30400004</v>
      </c>
      <c r="B115" s="151" t="s">
        <v>419</v>
      </c>
      <c r="C115" s="187" t="s">
        <v>420</v>
      </c>
      <c r="D115" s="108">
        <v>5</v>
      </c>
      <c r="E115" s="108"/>
      <c r="F115" s="127"/>
      <c r="G115" s="128"/>
      <c r="H115" s="226">
        <f t="shared" si="35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219"/>
      <c r="P115" s="219"/>
      <c r="Q115" s="219"/>
      <c r="R115" s="219"/>
      <c r="S115" s="219"/>
      <c r="T115" s="219"/>
      <c r="U115" s="219"/>
      <c r="V115" s="132"/>
      <c r="W115" s="133"/>
      <c r="X115" s="132"/>
      <c r="Y115" s="132"/>
      <c r="Z115" s="132"/>
      <c r="AA115" s="132"/>
    </row>
    <row r="116" spans="1:27" ht="20.10000000000000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226">
        <f t="shared" si="35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219"/>
      <c r="P116" s="219"/>
      <c r="Q116" s="219"/>
      <c r="R116" s="219"/>
      <c r="S116" s="219"/>
      <c r="T116" s="219"/>
      <c r="U116" s="219"/>
      <c r="V116" s="132"/>
      <c r="W116" s="133"/>
      <c r="X116" s="132"/>
      <c r="Y116" s="132"/>
      <c r="Z116" s="132"/>
      <c r="AA116" s="132"/>
    </row>
    <row r="117" spans="1:27" ht="20.10000000000000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226">
        <f t="shared" si="35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219"/>
      <c r="P117" s="219"/>
      <c r="Q117" s="219"/>
      <c r="R117" s="219"/>
      <c r="S117" s="219"/>
      <c r="T117" s="219"/>
      <c r="U117" s="219"/>
      <c r="V117" s="132"/>
      <c r="W117" s="133"/>
      <c r="X117" s="132"/>
      <c r="Y117" s="132"/>
      <c r="Z117" s="132"/>
      <c r="AA117" s="132"/>
    </row>
    <row r="118" spans="1:27" ht="20.10000000000000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226">
        <f t="shared" si="35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5">IF(ISERROR(I118-K118),"",I118-K118)</f>
        <v>0</v>
      </c>
      <c r="N118" s="130">
        <f t="shared" ref="N118:N120" si="46">SUM(O118:U118)</f>
        <v>0</v>
      </c>
      <c r="O118" s="219"/>
      <c r="P118" s="219"/>
      <c r="Q118" s="219"/>
      <c r="R118" s="219"/>
      <c r="S118" s="219"/>
      <c r="T118" s="219"/>
      <c r="U118" s="219"/>
      <c r="V118" s="132">
        <f t="shared" ref="V118:V120" si="47">SUM(X118:AA118)</f>
        <v>0</v>
      </c>
      <c r="W118" s="133" t="str">
        <f t="shared" ref="W118:W134" si="48">IF(ISERROR(V118/G118),"",V118/G118)</f>
        <v/>
      </c>
      <c r="X118" s="132"/>
      <c r="Y118" s="132"/>
      <c r="Z118" s="132"/>
      <c r="AA118" s="132"/>
    </row>
    <row r="119" spans="1:27" ht="20.10000000000000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226">
        <f t="shared" si="35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5"/>
        <v>0</v>
      </c>
      <c r="N119" s="130">
        <f t="shared" si="46"/>
        <v>0</v>
      </c>
      <c r="O119" s="219"/>
      <c r="P119" s="219"/>
      <c r="Q119" s="219"/>
      <c r="R119" s="219"/>
      <c r="S119" s="219"/>
      <c r="T119" s="219"/>
      <c r="U119" s="219"/>
      <c r="V119" s="132">
        <f t="shared" si="47"/>
        <v>0</v>
      </c>
      <c r="W119" s="133" t="str">
        <f t="shared" si="48"/>
        <v/>
      </c>
      <c r="X119" s="132"/>
      <c r="Y119" s="132"/>
      <c r="Z119" s="132"/>
      <c r="AA119" s="132"/>
    </row>
    <row r="120" spans="1:27" ht="20.10000000000000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226">
        <f t="shared" si="35"/>
        <v>0</v>
      </c>
      <c r="I120" s="129"/>
      <c r="J120" s="130" t="str">
        <f t="array" ref="J120">IF(ISERROR(G120/I120),"",G120/I120)</f>
        <v/>
      </c>
      <c r="K120" s="226">
        <f t="array" ref="K120">IF(ISERROR(G120/L120),"",G120/L120)</f>
        <v>0</v>
      </c>
      <c r="L120" s="129">
        <v>9</v>
      </c>
      <c r="M120" s="109">
        <f t="shared" si="45"/>
        <v>0</v>
      </c>
      <c r="N120" s="130">
        <f t="shared" si="46"/>
        <v>0</v>
      </c>
      <c r="O120" s="219"/>
      <c r="P120" s="219"/>
      <c r="Q120" s="219"/>
      <c r="R120" s="219"/>
      <c r="S120" s="219"/>
      <c r="T120" s="219"/>
      <c r="U120" s="219"/>
      <c r="V120" s="132">
        <f t="shared" si="47"/>
        <v>0</v>
      </c>
      <c r="W120" s="133" t="str">
        <f t="shared" si="48"/>
        <v/>
      </c>
      <c r="X120" s="132"/>
      <c r="Y120" s="132"/>
      <c r="Z120" s="132"/>
      <c r="AA120" s="132"/>
    </row>
    <row r="121" spans="1:27" ht="20.100000000000001" customHeight="1">
      <c r="A121" s="578" t="s">
        <v>224</v>
      </c>
      <c r="B121" s="579"/>
      <c r="C121" s="224" t="s">
        <v>202</v>
      </c>
      <c r="D121" s="143"/>
      <c r="E121" s="143"/>
      <c r="F121" s="144"/>
      <c r="G121" s="145">
        <f>SUM(G87:G120)</f>
        <v>0</v>
      </c>
      <c r="H121" s="146">
        <f>SUM(H87:H120)</f>
        <v>0</v>
      </c>
      <c r="I121" s="146">
        <f>SUM(I87:I120)</f>
        <v>0</v>
      </c>
      <c r="J121" s="130" t="str">
        <f t="array" ref="J121">IF(ISERROR(G121/I121),"",G121/I121)</f>
        <v/>
      </c>
      <c r="K121" s="146">
        <f>SUM(K87:K120)</f>
        <v>0</v>
      </c>
      <c r="L121" s="147"/>
      <c r="M121" s="150">
        <f t="shared" ref="M121:V121" si="49">SUM(M87:M120)</f>
        <v>0</v>
      </c>
      <c r="N121" s="146">
        <f t="shared" si="49"/>
        <v>0</v>
      </c>
      <c r="O121" s="148">
        <f t="shared" si="49"/>
        <v>0</v>
      </c>
      <c r="P121" s="148">
        <f t="shared" si="49"/>
        <v>0</v>
      </c>
      <c r="Q121" s="148">
        <f t="shared" si="49"/>
        <v>0</v>
      </c>
      <c r="R121" s="148">
        <f t="shared" si="49"/>
        <v>0</v>
      </c>
      <c r="S121" s="148">
        <f t="shared" si="49"/>
        <v>0</v>
      </c>
      <c r="T121" s="148">
        <f t="shared" si="49"/>
        <v>0</v>
      </c>
      <c r="U121" s="148">
        <f t="shared" si="49"/>
        <v>0</v>
      </c>
      <c r="V121" s="149">
        <f t="shared" si="49"/>
        <v>0</v>
      </c>
      <c r="W121" s="133" t="str">
        <f t="shared" si="48"/>
        <v/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226">
        <f t="shared" ref="H122:H134" si="50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4" si="51">IF(ISERROR(I122-K122),"",I122-K122)</f>
        <v>0</v>
      </c>
      <c r="N122" s="130">
        <f t="shared" ref="N122:N134" si="52">SUM(O122:U122)</f>
        <v>0</v>
      </c>
      <c r="O122" s="219"/>
      <c r="P122" s="219"/>
      <c r="Q122" s="219"/>
      <c r="R122" s="219"/>
      <c r="S122" s="219"/>
      <c r="T122" s="219"/>
      <c r="U122" s="219"/>
      <c r="V122" s="132">
        <f t="shared" ref="V122:V134" si="53">SUM(X122:AA122)</f>
        <v>0</v>
      </c>
      <c r="W122" s="133" t="str">
        <f t="shared" si="48"/>
        <v/>
      </c>
      <c r="X122" s="132"/>
      <c r="Y122" s="132"/>
      <c r="Z122" s="132"/>
      <c r="AA122" s="132"/>
    </row>
    <row r="123" spans="1:27" ht="20.10000000000000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226">
        <f t="shared" si="50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1"/>
        <v>0</v>
      </c>
      <c r="N123" s="130">
        <f t="shared" si="52"/>
        <v>0</v>
      </c>
      <c r="O123" s="219"/>
      <c r="P123" s="219"/>
      <c r="Q123" s="219"/>
      <c r="R123" s="219"/>
      <c r="S123" s="219"/>
      <c r="T123" s="219"/>
      <c r="U123" s="219"/>
      <c r="V123" s="132">
        <f t="shared" si="53"/>
        <v>0</v>
      </c>
      <c r="W123" s="133" t="str">
        <f t="shared" si="48"/>
        <v/>
      </c>
      <c r="X123" s="132"/>
      <c r="Y123" s="132"/>
      <c r="Z123" s="132"/>
      <c r="AA123" s="132"/>
    </row>
    <row r="124" spans="1:27" ht="20.10000000000000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226">
        <f t="shared" si="50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1"/>
        <v>0</v>
      </c>
      <c r="N124" s="130">
        <f t="shared" si="52"/>
        <v>0</v>
      </c>
      <c r="O124" s="219"/>
      <c r="P124" s="219"/>
      <c r="Q124" s="219"/>
      <c r="R124" s="219"/>
      <c r="S124" s="219"/>
      <c r="T124" s="219"/>
      <c r="U124" s="219"/>
      <c r="V124" s="132">
        <f t="shared" si="53"/>
        <v>0</v>
      </c>
      <c r="W124" s="133" t="str">
        <f t="shared" si="48"/>
        <v/>
      </c>
      <c r="X124" s="132"/>
      <c r="Y124" s="132"/>
      <c r="Z124" s="132"/>
      <c r="AA124" s="132"/>
    </row>
    <row r="125" spans="1:27" ht="20.100000000000001" customHeight="1">
      <c r="A125" s="299"/>
      <c r="B125" s="140" t="s">
        <v>494</v>
      </c>
      <c r="C125" s="126" t="s">
        <v>212</v>
      </c>
      <c r="D125" s="108">
        <v>5.03</v>
      </c>
      <c r="E125" s="108"/>
      <c r="F125" s="127"/>
      <c r="G125" s="128"/>
      <c r="H125" s="226">
        <f t="shared" si="50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1"/>
        <v>0</v>
      </c>
      <c r="N125" s="130">
        <f t="shared" si="52"/>
        <v>0</v>
      </c>
      <c r="O125" s="219"/>
      <c r="P125" s="219"/>
      <c r="Q125" s="219"/>
      <c r="R125" s="219"/>
      <c r="S125" s="219"/>
      <c r="T125" s="219"/>
      <c r="U125" s="219"/>
      <c r="V125" s="132">
        <f t="shared" si="53"/>
        <v>0</v>
      </c>
      <c r="W125" s="133" t="str">
        <f t="shared" si="48"/>
        <v/>
      </c>
      <c r="X125" s="132"/>
      <c r="Y125" s="132"/>
      <c r="Z125" s="132"/>
      <c r="AA125" s="132"/>
    </row>
    <row r="126" spans="1:27" ht="20.100000000000001" customHeight="1">
      <c r="A126" s="299">
        <v>30100054</v>
      </c>
      <c r="B126" s="140" t="s">
        <v>227</v>
      </c>
      <c r="C126" s="223" t="s">
        <v>203</v>
      </c>
      <c r="D126" s="108">
        <v>5.03</v>
      </c>
      <c r="E126" s="108"/>
      <c r="F126" s="127"/>
      <c r="G126" s="128"/>
      <c r="H126" s="226">
        <f t="shared" si="50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1"/>
        <v>0</v>
      </c>
      <c r="N126" s="130">
        <f t="shared" si="52"/>
        <v>0</v>
      </c>
      <c r="O126" s="219"/>
      <c r="P126" s="219"/>
      <c r="Q126" s="219"/>
      <c r="R126" s="219"/>
      <c r="S126" s="219"/>
      <c r="T126" s="219"/>
      <c r="U126" s="219"/>
      <c r="V126" s="132">
        <f t="shared" si="53"/>
        <v>0</v>
      </c>
      <c r="W126" s="133" t="str">
        <f t="shared" si="48"/>
        <v/>
      </c>
      <c r="X126" s="132"/>
      <c r="Y126" s="132"/>
      <c r="Z126" s="132"/>
      <c r="AA126" s="132"/>
    </row>
    <row r="127" spans="1:27" ht="20.10000000000000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226">
        <f t="shared" si="50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1"/>
        <v>0</v>
      </c>
      <c r="N127" s="130">
        <f t="shared" si="52"/>
        <v>0</v>
      </c>
      <c r="O127" s="219"/>
      <c r="P127" s="219"/>
      <c r="Q127" s="219"/>
      <c r="R127" s="219"/>
      <c r="S127" s="219"/>
      <c r="T127" s="219"/>
      <c r="U127" s="219"/>
      <c r="V127" s="132">
        <f t="shared" si="53"/>
        <v>0</v>
      </c>
      <c r="W127" s="133" t="str">
        <f t="shared" si="48"/>
        <v/>
      </c>
      <c r="X127" s="132"/>
      <c r="Y127" s="132"/>
      <c r="Z127" s="132"/>
      <c r="AA127" s="132"/>
    </row>
    <row r="128" spans="1:27" ht="20.10000000000000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226">
        <f t="shared" si="50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1"/>
        <v>0</v>
      </c>
      <c r="N128" s="130">
        <f t="shared" si="52"/>
        <v>0</v>
      </c>
      <c r="O128" s="219"/>
      <c r="P128" s="219"/>
      <c r="Q128" s="219"/>
      <c r="R128" s="219"/>
      <c r="S128" s="219"/>
      <c r="T128" s="219"/>
      <c r="U128" s="219"/>
      <c r="V128" s="132">
        <f t="shared" si="53"/>
        <v>0</v>
      </c>
      <c r="W128" s="133" t="str">
        <f t="shared" si="48"/>
        <v/>
      </c>
      <c r="X128" s="132"/>
      <c r="Y128" s="132"/>
      <c r="Z128" s="132"/>
      <c r="AA128" s="132"/>
    </row>
    <row r="129" spans="1:27" ht="20.100000000000001" customHeight="1">
      <c r="A129" s="299"/>
      <c r="B129" s="140" t="s">
        <v>227</v>
      </c>
      <c r="C129" s="223" t="s">
        <v>228</v>
      </c>
      <c r="D129" s="108">
        <v>5.03</v>
      </c>
      <c r="E129" s="108"/>
      <c r="F129" s="127"/>
      <c r="G129" s="128"/>
      <c r="H129" s="226">
        <f t="shared" si="50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1"/>
        <v>0</v>
      </c>
      <c r="N129" s="130">
        <f t="shared" si="52"/>
        <v>0</v>
      </c>
      <c r="O129" s="219"/>
      <c r="P129" s="219"/>
      <c r="Q129" s="219"/>
      <c r="R129" s="219"/>
      <c r="S129" s="219"/>
      <c r="T129" s="219"/>
      <c r="U129" s="219"/>
      <c r="V129" s="132">
        <f t="shared" si="53"/>
        <v>0</v>
      </c>
      <c r="W129" s="133" t="str">
        <f t="shared" si="48"/>
        <v/>
      </c>
      <c r="X129" s="132"/>
      <c r="Y129" s="132"/>
      <c r="Z129" s="132"/>
      <c r="AA129" s="132"/>
    </row>
    <row r="130" spans="1:27" ht="20.100000000000001" customHeight="1">
      <c r="A130" s="299">
        <v>30101067</v>
      </c>
      <c r="B130" s="140" t="s">
        <v>496</v>
      </c>
      <c r="C130" s="223" t="s">
        <v>212</v>
      </c>
      <c r="D130" s="108">
        <v>5.03</v>
      </c>
      <c r="E130" s="108"/>
      <c r="F130" s="127"/>
      <c r="G130" s="128"/>
      <c r="H130" s="226">
        <f t="shared" si="50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1"/>
        <v/>
      </c>
      <c r="N130" s="130">
        <f t="shared" si="52"/>
        <v>0</v>
      </c>
      <c r="O130" s="219"/>
      <c r="P130" s="219"/>
      <c r="Q130" s="219"/>
      <c r="R130" s="219"/>
      <c r="S130" s="219"/>
      <c r="T130" s="219"/>
      <c r="U130" s="219"/>
      <c r="V130" s="132">
        <f t="shared" si="53"/>
        <v>0</v>
      </c>
      <c r="W130" s="133" t="str">
        <f t="shared" si="48"/>
        <v/>
      </c>
      <c r="X130" s="132"/>
      <c r="Y130" s="132"/>
      <c r="Z130" s="132"/>
      <c r="AA130" s="132"/>
    </row>
    <row r="131" spans="1:27" ht="20.100000000000001" customHeight="1">
      <c r="A131" s="299">
        <v>30101068</v>
      </c>
      <c r="B131" s="140" t="s">
        <v>229</v>
      </c>
      <c r="C131" s="223" t="s">
        <v>203</v>
      </c>
      <c r="D131" s="108">
        <v>5.03</v>
      </c>
      <c r="E131" s="108"/>
      <c r="F131" s="127"/>
      <c r="G131" s="128"/>
      <c r="H131" s="226">
        <f t="shared" si="50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1"/>
        <v/>
      </c>
      <c r="N131" s="130">
        <f t="shared" si="52"/>
        <v>0</v>
      </c>
      <c r="O131" s="219"/>
      <c r="P131" s="219"/>
      <c r="Q131" s="219"/>
      <c r="R131" s="219"/>
      <c r="S131" s="219"/>
      <c r="T131" s="219"/>
      <c r="U131" s="219"/>
      <c r="V131" s="132">
        <f t="shared" si="53"/>
        <v>0</v>
      </c>
      <c r="W131" s="133" t="str">
        <f t="shared" si="48"/>
        <v/>
      </c>
      <c r="X131" s="132"/>
      <c r="Y131" s="132"/>
      <c r="Z131" s="132"/>
      <c r="AA131" s="132"/>
    </row>
    <row r="132" spans="1:27" ht="20.100000000000001" customHeight="1">
      <c r="A132" s="299">
        <v>30101069</v>
      </c>
      <c r="B132" s="140" t="s">
        <v>229</v>
      </c>
      <c r="C132" s="223" t="s">
        <v>186</v>
      </c>
      <c r="D132" s="108">
        <v>5.03</v>
      </c>
      <c r="E132" s="108"/>
      <c r="F132" s="127"/>
      <c r="G132" s="128"/>
      <c r="H132" s="226">
        <f t="shared" si="50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1"/>
        <v/>
      </c>
      <c r="N132" s="130">
        <f t="shared" si="52"/>
        <v>0</v>
      </c>
      <c r="O132" s="219"/>
      <c r="P132" s="219"/>
      <c r="Q132" s="219"/>
      <c r="R132" s="219"/>
      <c r="S132" s="219"/>
      <c r="T132" s="219"/>
      <c r="U132" s="219"/>
      <c r="V132" s="132">
        <f t="shared" si="53"/>
        <v>0</v>
      </c>
      <c r="W132" s="133" t="str">
        <f t="shared" si="48"/>
        <v/>
      </c>
      <c r="X132" s="132"/>
      <c r="Y132" s="132"/>
      <c r="Z132" s="132"/>
      <c r="AA132" s="132"/>
    </row>
    <row r="133" spans="1:27" ht="20.100000000000001" customHeight="1">
      <c r="A133" s="299">
        <v>30101070</v>
      </c>
      <c r="B133" s="140" t="s">
        <v>229</v>
      </c>
      <c r="C133" s="223" t="s">
        <v>228</v>
      </c>
      <c r="D133" s="108">
        <v>5.03</v>
      </c>
      <c r="E133" s="108"/>
      <c r="F133" s="127"/>
      <c r="G133" s="128"/>
      <c r="H133" s="226">
        <f t="shared" si="50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1"/>
        <v/>
      </c>
      <c r="N133" s="130">
        <f t="shared" si="52"/>
        <v>0</v>
      </c>
      <c r="O133" s="219"/>
      <c r="P133" s="219"/>
      <c r="Q133" s="219"/>
      <c r="R133" s="219"/>
      <c r="S133" s="219"/>
      <c r="T133" s="219"/>
      <c r="U133" s="219"/>
      <c r="V133" s="132">
        <f t="shared" si="53"/>
        <v>0</v>
      </c>
      <c r="W133" s="133" t="str">
        <f t="shared" si="48"/>
        <v/>
      </c>
      <c r="X133" s="132"/>
      <c r="Y133" s="132"/>
      <c r="Z133" s="132"/>
      <c r="AA133" s="132"/>
    </row>
    <row r="134" spans="1:27" ht="20.100000000000001" customHeight="1">
      <c r="A134" s="299">
        <v>30101071</v>
      </c>
      <c r="B134" s="140" t="s">
        <v>229</v>
      </c>
      <c r="C134" s="223" t="s">
        <v>199</v>
      </c>
      <c r="D134" s="108">
        <v>5.03</v>
      </c>
      <c r="E134" s="108"/>
      <c r="F134" s="127"/>
      <c r="G134" s="128"/>
      <c r="H134" s="226">
        <f t="shared" si="50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1"/>
        <v/>
      </c>
      <c r="N134" s="130">
        <f t="shared" si="52"/>
        <v>0</v>
      </c>
      <c r="O134" s="219"/>
      <c r="P134" s="219"/>
      <c r="Q134" s="219"/>
      <c r="R134" s="219"/>
      <c r="S134" s="219"/>
      <c r="T134" s="219"/>
      <c r="U134" s="219"/>
      <c r="V134" s="132">
        <f t="shared" si="53"/>
        <v>0</v>
      </c>
      <c r="W134" s="133" t="str">
        <f t="shared" si="48"/>
        <v/>
      </c>
      <c r="X134" s="132"/>
      <c r="Y134" s="132"/>
      <c r="Z134" s="132"/>
      <c r="AA134" s="132"/>
    </row>
    <row r="135" spans="1:27" ht="20.10000000000000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226">
        <f t="shared" ref="H135:H136" si="54">D135*G135</f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ref="M135:M136" si="55">IF(ISERROR(I135-K135),"",I135-K135)</f>
        <v>0</v>
      </c>
      <c r="N135" s="130">
        <f t="shared" ref="N135:N136" si="56">SUM(O135:U135)</f>
        <v>0</v>
      </c>
      <c r="O135" s="219"/>
      <c r="P135" s="219"/>
      <c r="Q135" s="219"/>
      <c r="R135" s="219"/>
      <c r="S135" s="219"/>
      <c r="T135" s="219"/>
      <c r="U135" s="219"/>
      <c r="V135" s="132">
        <f t="shared" ref="V135:V136" si="57">SUM(X135:AA135)</f>
        <v>0</v>
      </c>
      <c r="W135" s="133" t="str">
        <f t="shared" ref="W135:W152" si="58">IF(ISERROR(V135/G135),"",V135/G135)</f>
        <v/>
      </c>
      <c r="X135" s="132"/>
      <c r="Y135" s="132"/>
      <c r="Z135" s="132"/>
      <c r="AA135" s="132"/>
    </row>
    <row r="136" spans="1:27" ht="20.10000000000000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226">
        <f t="shared" si="54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5"/>
        <v>0</v>
      </c>
      <c r="N136" s="130">
        <f t="shared" si="56"/>
        <v>0</v>
      </c>
      <c r="O136" s="219"/>
      <c r="P136" s="219"/>
      <c r="Q136" s="219"/>
      <c r="R136" s="219"/>
      <c r="S136" s="219"/>
      <c r="T136" s="219"/>
      <c r="U136" s="219"/>
      <c r="V136" s="132">
        <f t="shared" si="57"/>
        <v>0</v>
      </c>
      <c r="W136" s="133" t="str">
        <f t="shared" si="58"/>
        <v/>
      </c>
      <c r="X136" s="132"/>
      <c r="Y136" s="132"/>
      <c r="Z136" s="132"/>
      <c r="AA136" s="132"/>
    </row>
    <row r="137" spans="1:27" ht="20.100000000000001" customHeight="1">
      <c r="A137" s="578" t="s">
        <v>231</v>
      </c>
      <c r="B137" s="579"/>
      <c r="C137" s="224" t="s">
        <v>202</v>
      </c>
      <c r="D137" s="143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58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226">
        <f t="shared" ref="H138:H147" si="59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7" si="60">IF(ISERROR(I138-K138),"",I138-K138)</f>
        <v>0</v>
      </c>
      <c r="N138" s="130">
        <f t="shared" ref="N138:N147" si="61">SUM(O138:U138)</f>
        <v>0</v>
      </c>
      <c r="O138" s="219"/>
      <c r="P138" s="219"/>
      <c r="Q138" s="219"/>
      <c r="R138" s="219"/>
      <c r="S138" s="219"/>
      <c r="T138" s="219"/>
      <c r="U138" s="219"/>
      <c r="V138" s="132">
        <f t="shared" ref="V138:V147" si="62">SUM(X138:AA138)</f>
        <v>0</v>
      </c>
      <c r="W138" s="133" t="str">
        <f t="shared" si="58"/>
        <v/>
      </c>
      <c r="X138" s="132"/>
      <c r="Y138" s="132"/>
      <c r="Z138" s="132"/>
      <c r="AA138" s="132"/>
    </row>
    <row r="139" spans="1:27" ht="20.10000000000000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226">
        <f t="shared" si="59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60"/>
        <v>0</v>
      </c>
      <c r="N139" s="130">
        <f t="shared" si="61"/>
        <v>0</v>
      </c>
      <c r="O139" s="219"/>
      <c r="P139" s="219"/>
      <c r="Q139" s="219"/>
      <c r="R139" s="219"/>
      <c r="S139" s="219"/>
      <c r="T139" s="219"/>
      <c r="U139" s="219"/>
      <c r="V139" s="132">
        <f t="shared" si="62"/>
        <v>0</v>
      </c>
      <c r="W139" s="133" t="str">
        <f t="shared" si="58"/>
        <v/>
      </c>
      <c r="X139" s="132"/>
      <c r="Y139" s="132"/>
      <c r="Z139" s="132"/>
      <c r="AA139" s="132"/>
    </row>
    <row r="140" spans="1:27" ht="20.10000000000000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226">
        <f t="shared" si="59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60"/>
        <v>0</v>
      </c>
      <c r="N140" s="130">
        <f t="shared" si="61"/>
        <v>0</v>
      </c>
      <c r="O140" s="219"/>
      <c r="P140" s="219"/>
      <c r="Q140" s="219"/>
      <c r="R140" s="219"/>
      <c r="S140" s="219"/>
      <c r="T140" s="219"/>
      <c r="U140" s="219"/>
      <c r="V140" s="132">
        <f t="shared" si="62"/>
        <v>0</v>
      </c>
      <c r="W140" s="133" t="str">
        <f t="shared" si="58"/>
        <v/>
      </c>
      <c r="X140" s="132"/>
      <c r="Y140" s="132"/>
      <c r="Z140" s="132"/>
      <c r="AA140" s="132"/>
    </row>
    <row r="141" spans="1:27" ht="20.100000000000001" customHeight="1">
      <c r="A141" s="300"/>
      <c r="B141" s="134" t="s">
        <v>497</v>
      </c>
      <c r="C141" s="126" t="s">
        <v>195</v>
      </c>
      <c r="D141" s="108">
        <v>5.04</v>
      </c>
      <c r="E141" s="108"/>
      <c r="F141" s="127"/>
      <c r="G141" s="128"/>
      <c r="H141" s="226">
        <f t="shared" si="59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60"/>
        <v>0</v>
      </c>
      <c r="N141" s="130">
        <f t="shared" si="61"/>
        <v>0</v>
      </c>
      <c r="O141" s="219"/>
      <c r="P141" s="219"/>
      <c r="Q141" s="219"/>
      <c r="R141" s="219"/>
      <c r="S141" s="219"/>
      <c r="T141" s="219"/>
      <c r="U141" s="219"/>
      <c r="V141" s="132">
        <f t="shared" si="62"/>
        <v>0</v>
      </c>
      <c r="W141" s="133" t="str">
        <f t="shared" si="58"/>
        <v/>
      </c>
      <c r="X141" s="132"/>
      <c r="Y141" s="132"/>
      <c r="Z141" s="132"/>
      <c r="AA141" s="132"/>
    </row>
    <row r="142" spans="1:27" ht="20.10000000000000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226">
        <f t="shared" si="59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60"/>
        <v>0</v>
      </c>
      <c r="N142" s="130">
        <f t="shared" si="61"/>
        <v>0</v>
      </c>
      <c r="O142" s="219"/>
      <c r="P142" s="219"/>
      <c r="Q142" s="219"/>
      <c r="R142" s="219"/>
      <c r="S142" s="219"/>
      <c r="T142" s="219"/>
      <c r="U142" s="219"/>
      <c r="V142" s="132">
        <f t="shared" si="62"/>
        <v>0</v>
      </c>
      <c r="W142" s="133" t="str">
        <f t="shared" si="58"/>
        <v/>
      </c>
      <c r="X142" s="132"/>
      <c r="Y142" s="132"/>
      <c r="Z142" s="132"/>
      <c r="AA142" s="132"/>
    </row>
    <row r="143" spans="1:27" ht="20.10000000000000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292">
        <f t="shared" si="59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261"/>
      <c r="P143" s="261"/>
      <c r="Q143" s="261"/>
      <c r="R143" s="261"/>
      <c r="S143" s="261"/>
      <c r="T143" s="261"/>
      <c r="U143" s="261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516</v>
      </c>
      <c r="D144" s="108">
        <v>5.04</v>
      </c>
      <c r="E144" s="108"/>
      <c r="F144" s="127"/>
      <c r="G144" s="128"/>
      <c r="H144" s="373">
        <f t="shared" si="59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372"/>
      <c r="P144" s="372"/>
      <c r="Q144" s="372"/>
      <c r="R144" s="372"/>
      <c r="S144" s="372"/>
      <c r="T144" s="372"/>
      <c r="U144" s="372"/>
      <c r="V144" s="132"/>
      <c r="W144" s="133"/>
      <c r="X144" s="132"/>
      <c r="Y144" s="132"/>
      <c r="Z144" s="132"/>
      <c r="AA144" s="132"/>
    </row>
    <row r="145" spans="1:27" ht="20.100000000000001" customHeight="1">
      <c r="A145" s="300">
        <v>30400021</v>
      </c>
      <c r="B145" s="134" t="s">
        <v>439</v>
      </c>
      <c r="C145" s="187" t="s">
        <v>517</v>
      </c>
      <c r="D145" s="108">
        <v>5.04</v>
      </c>
      <c r="E145" s="108"/>
      <c r="F145" s="127"/>
      <c r="G145" s="128"/>
      <c r="H145" s="377">
        <f t="shared" si="59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376"/>
      <c r="P145" s="376"/>
      <c r="Q145" s="376"/>
      <c r="R145" s="376"/>
      <c r="S145" s="376"/>
      <c r="T145" s="376"/>
      <c r="U145" s="376"/>
      <c r="V145" s="132"/>
      <c r="W145" s="133"/>
      <c r="X145" s="132"/>
      <c r="Y145" s="132"/>
      <c r="Z145" s="132"/>
      <c r="AA145" s="132"/>
    </row>
    <row r="146" spans="1:27" ht="20.10000000000000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/>
      <c r="G146" s="128"/>
      <c r="H146" s="438">
        <f t="shared" si="59"/>
        <v>0</v>
      </c>
      <c r="I146" s="129"/>
      <c r="J146" s="130"/>
      <c r="K146" s="131">
        <f t="array" ref="K146">IF(ISERROR(G146/L146),"",G146/L146)</f>
        <v>0</v>
      </c>
      <c r="L146" s="129">
        <v>13.5</v>
      </c>
      <c r="M146" s="109"/>
      <c r="N146" s="130"/>
      <c r="O146" s="446"/>
      <c r="P146" s="446"/>
      <c r="Q146" s="446"/>
      <c r="R146" s="446"/>
      <c r="S146" s="446"/>
      <c r="T146" s="446"/>
      <c r="U146" s="446"/>
      <c r="V146" s="132"/>
      <c r="W146" s="133"/>
      <c r="X146" s="132"/>
      <c r="Y146" s="132"/>
      <c r="Z146" s="132"/>
      <c r="AA146" s="132"/>
    </row>
    <row r="147" spans="1:27" ht="20.10000000000000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28"/>
      <c r="H147" s="226">
        <f t="shared" si="59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si="60"/>
        <v>0</v>
      </c>
      <c r="N147" s="130">
        <f t="shared" si="61"/>
        <v>0</v>
      </c>
      <c r="O147" s="219"/>
      <c r="P147" s="219"/>
      <c r="Q147" s="219"/>
      <c r="R147" s="219"/>
      <c r="S147" s="219"/>
      <c r="T147" s="219"/>
      <c r="U147" s="219"/>
      <c r="V147" s="132">
        <f t="shared" si="62"/>
        <v>0</v>
      </c>
      <c r="W147" s="133" t="str">
        <f t="shared" si="58"/>
        <v/>
      </c>
      <c r="X147" s="132"/>
      <c r="Y147" s="132"/>
      <c r="Z147" s="132"/>
      <c r="AA147" s="132"/>
    </row>
    <row r="148" spans="1:27" ht="20.100000000000001" customHeight="1">
      <c r="A148" s="578" t="s">
        <v>234</v>
      </c>
      <c r="B148" s="579"/>
      <c r="C148" s="224" t="s">
        <v>202</v>
      </c>
      <c r="D148" s="143"/>
      <c r="E148" s="143"/>
      <c r="F148" s="144"/>
      <c r="G148" s="145">
        <f>SUM(G138:G147)</f>
        <v>0</v>
      </c>
      <c r="H148" s="146">
        <f>SUM(H138:H147)</f>
        <v>0</v>
      </c>
      <c r="I148" s="146">
        <f>SUM(I138:I147)</f>
        <v>0</v>
      </c>
      <c r="J148" s="130" t="str">
        <f t="array" ref="J148">IF(ISERROR(G148/I148),"",G148/I148)</f>
        <v/>
      </c>
      <c r="K148" s="146">
        <f>SUM(K138:K147)</f>
        <v>0</v>
      </c>
      <c r="L148" s="147"/>
      <c r="M148" s="150">
        <f>SUM(M138:M147)</f>
        <v>0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 t="str">
        <f t="shared" si="58"/>
        <v/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customHeight="1">
      <c r="A149" s="299">
        <v>30700013</v>
      </c>
      <c r="B149" s="298" t="s">
        <v>103</v>
      </c>
      <c r="C149" s="217"/>
      <c r="D149" s="108">
        <v>3.65</v>
      </c>
      <c r="E149" s="108"/>
      <c r="F149" s="153"/>
      <c r="G149" s="128"/>
      <c r="H149" s="226">
        <f t="shared" ref="H149:H162" si="63">D149*G149</f>
        <v>0</v>
      </c>
      <c r="I149" s="129"/>
      <c r="J149" s="130" t="str">
        <f t="array" ref="J149">IF(ISERROR(G149/I149),"",G149/I149)</f>
        <v/>
      </c>
      <c r="K149" s="226">
        <f t="array" ref="K149">IF(ISERROR(G149/L149),"",G149/L149)</f>
        <v>0</v>
      </c>
      <c r="L149" s="129">
        <v>5</v>
      </c>
      <c r="M149" s="109">
        <f t="shared" ref="M149:M152" si="64">IF(ISERROR(I149-K149),"",I149-K149)</f>
        <v>0</v>
      </c>
      <c r="N149" s="130">
        <f t="shared" ref="N149:N152" si="65">SUM(O149:U149)</f>
        <v>0</v>
      </c>
      <c r="O149" s="219"/>
      <c r="P149" s="219"/>
      <c r="Q149" s="219"/>
      <c r="R149" s="219"/>
      <c r="S149" s="219"/>
      <c r="T149" s="219"/>
      <c r="U149" s="219"/>
      <c r="V149" s="132">
        <f t="shared" ref="V149:V152" si="66">SUM(X149:AA149)</f>
        <v>0</v>
      </c>
      <c r="W149" s="133" t="str">
        <f t="shared" si="58"/>
        <v/>
      </c>
      <c r="X149" s="132"/>
      <c r="Y149" s="132"/>
      <c r="Z149" s="132"/>
      <c r="AA149" s="132"/>
    </row>
    <row r="150" spans="1:27" ht="20.100000000000001" customHeight="1">
      <c r="A150" s="299">
        <v>30700014</v>
      </c>
      <c r="B150" s="141" t="s">
        <v>236</v>
      </c>
      <c r="C150" s="217"/>
      <c r="D150" s="108">
        <v>6.58</v>
      </c>
      <c r="E150" s="108"/>
      <c r="F150" s="127"/>
      <c r="G150" s="128"/>
      <c r="H150" s="226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5</v>
      </c>
      <c r="M150" s="109">
        <f t="shared" si="64"/>
        <v>0</v>
      </c>
      <c r="N150" s="130">
        <f t="shared" si="65"/>
        <v>0</v>
      </c>
      <c r="O150" s="219"/>
      <c r="P150" s="219"/>
      <c r="Q150" s="219"/>
      <c r="R150" s="219"/>
      <c r="S150" s="219"/>
      <c r="T150" s="219"/>
      <c r="U150" s="219"/>
      <c r="V150" s="132">
        <f t="shared" si="66"/>
        <v>0</v>
      </c>
      <c r="W150" s="133" t="str">
        <f t="shared" si="58"/>
        <v/>
      </c>
      <c r="X150" s="132"/>
      <c r="Y150" s="132"/>
      <c r="Z150" s="132"/>
      <c r="AA150" s="132"/>
    </row>
    <row r="151" spans="1:27" ht="20.100000000000001" customHeight="1">
      <c r="A151" s="299">
        <v>30700016</v>
      </c>
      <c r="B151" s="141" t="s">
        <v>237</v>
      </c>
      <c r="C151" s="217"/>
      <c r="D151" s="108">
        <v>7.8</v>
      </c>
      <c r="E151" s="108"/>
      <c r="F151" s="127"/>
      <c r="G151" s="128"/>
      <c r="H151" s="226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4.5999999999999996</v>
      </c>
      <c r="M151" s="109">
        <f t="shared" si="64"/>
        <v>0</v>
      </c>
      <c r="N151" s="130">
        <f t="shared" si="65"/>
        <v>0</v>
      </c>
      <c r="O151" s="219"/>
      <c r="P151" s="219"/>
      <c r="Q151" s="219"/>
      <c r="R151" s="219"/>
      <c r="S151" s="219"/>
      <c r="T151" s="219"/>
      <c r="U151" s="219"/>
      <c r="V151" s="132">
        <f t="shared" si="66"/>
        <v>0</v>
      </c>
      <c r="W151" s="133" t="str">
        <f t="shared" si="58"/>
        <v/>
      </c>
      <c r="X151" s="132"/>
      <c r="Y151" s="132"/>
      <c r="Z151" s="132"/>
      <c r="AA151" s="132"/>
    </row>
    <row r="152" spans="1:27" ht="20.100000000000001" customHeight="1">
      <c r="A152" s="299">
        <v>30700017</v>
      </c>
      <c r="B152" s="141" t="s">
        <v>238</v>
      </c>
      <c r="C152" s="217"/>
      <c r="D152" s="108">
        <v>4.4000000000000004</v>
      </c>
      <c r="E152" s="108"/>
      <c r="F152" s="127"/>
      <c r="G152" s="128"/>
      <c r="H152" s="292">
        <f t="shared" si="63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5.8</v>
      </c>
      <c r="M152" s="109">
        <f t="shared" si="64"/>
        <v>0</v>
      </c>
      <c r="N152" s="130">
        <f t="shared" si="65"/>
        <v>0</v>
      </c>
      <c r="O152" s="219"/>
      <c r="P152" s="219"/>
      <c r="Q152" s="219"/>
      <c r="R152" s="219"/>
      <c r="S152" s="219"/>
      <c r="T152" s="219"/>
      <c r="U152" s="219"/>
      <c r="V152" s="132">
        <f t="shared" si="66"/>
        <v>0</v>
      </c>
      <c r="W152" s="133" t="str">
        <f t="shared" si="58"/>
        <v/>
      </c>
      <c r="X152" s="132"/>
      <c r="Y152" s="132"/>
      <c r="Z152" s="132"/>
      <c r="AA152" s="132"/>
    </row>
    <row r="153" spans="1:27" ht="20.10000000000000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28"/>
      <c r="H153" s="292">
        <f t="shared" si="63"/>
        <v>0</v>
      </c>
      <c r="I153" s="129"/>
      <c r="J153" s="130"/>
      <c r="K153" s="131"/>
      <c r="L153" s="129">
        <v>6</v>
      </c>
      <c r="M153" s="109"/>
      <c r="N153" s="130"/>
      <c r="O153" s="219"/>
      <c r="P153" s="219"/>
      <c r="Q153" s="219"/>
      <c r="R153" s="219"/>
      <c r="S153" s="219"/>
      <c r="T153" s="219"/>
      <c r="U153" s="219"/>
      <c r="V153" s="132"/>
      <c r="W153" s="133"/>
      <c r="X153" s="132"/>
      <c r="Y153" s="132"/>
      <c r="Z153" s="132"/>
      <c r="AA153" s="132"/>
    </row>
    <row r="154" spans="1:27" ht="20.100000000000001" customHeight="1">
      <c r="A154" s="305"/>
      <c r="B154" s="217" t="s">
        <v>499</v>
      </c>
      <c r="C154" s="217" t="s">
        <v>179</v>
      </c>
      <c r="D154" s="108">
        <v>6.04</v>
      </c>
      <c r="E154" s="108"/>
      <c r="F154" s="127"/>
      <c r="G154" s="128"/>
      <c r="H154" s="292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5" si="67">IF(ISERROR(I154-K154),"",I154-K154)</f>
        <v>0</v>
      </c>
      <c r="N154" s="130">
        <f t="shared" ref="N154:N155" si="68">SUM(O154:U154)</f>
        <v>0</v>
      </c>
      <c r="O154" s="219"/>
      <c r="P154" s="219"/>
      <c r="Q154" s="219"/>
      <c r="R154" s="219"/>
      <c r="S154" s="219"/>
      <c r="T154" s="219"/>
      <c r="U154" s="219"/>
      <c r="V154" s="132">
        <f t="shared" ref="V154:V155" si="69">SUM(X154:AA154)</f>
        <v>0</v>
      </c>
      <c r="W154" s="133" t="str">
        <f t="shared" ref="W154:W155" si="70">IF(ISERROR(V154/G154),"",V154/G154)</f>
        <v/>
      </c>
      <c r="X154" s="132"/>
      <c r="Y154" s="132"/>
      <c r="Z154" s="132"/>
      <c r="AA154" s="132"/>
    </row>
    <row r="155" spans="1:27" ht="20.100000000000001" customHeight="1">
      <c r="A155" s="305">
        <v>30700019</v>
      </c>
      <c r="B155" s="217" t="s">
        <v>239</v>
      </c>
      <c r="C155" s="217" t="s">
        <v>186</v>
      </c>
      <c r="D155" s="108">
        <v>6.04</v>
      </c>
      <c r="E155" s="108"/>
      <c r="F155" s="127"/>
      <c r="G155" s="128"/>
      <c r="H155" s="292">
        <f t="shared" si="63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7"/>
        <v>0</v>
      </c>
      <c r="N155" s="130">
        <f t="shared" si="68"/>
        <v>0</v>
      </c>
      <c r="O155" s="219"/>
      <c r="P155" s="219"/>
      <c r="Q155" s="219"/>
      <c r="R155" s="219"/>
      <c r="S155" s="219"/>
      <c r="T155" s="219"/>
      <c r="U155" s="219"/>
      <c r="V155" s="132">
        <f t="shared" si="69"/>
        <v>0</v>
      </c>
      <c r="W155" s="133" t="str">
        <f t="shared" si="70"/>
        <v/>
      </c>
      <c r="X155" s="132"/>
      <c r="Y155" s="132"/>
      <c r="Z155" s="132"/>
      <c r="AA155" s="132"/>
    </row>
    <row r="156" spans="1:27" ht="20.100000000000001" customHeight="1">
      <c r="A156" s="305">
        <v>30601015</v>
      </c>
      <c r="B156" s="277" t="s">
        <v>444</v>
      </c>
      <c r="C156" s="277" t="s">
        <v>179</v>
      </c>
      <c r="D156" s="108">
        <v>6</v>
      </c>
      <c r="E156" s="108"/>
      <c r="F156" s="127"/>
      <c r="G156" s="128"/>
      <c r="H156" s="292">
        <f t="shared" si="63"/>
        <v>0</v>
      </c>
      <c r="I156" s="129"/>
      <c r="J156" s="130"/>
      <c r="K156" s="131"/>
      <c r="L156" s="129"/>
      <c r="M156" s="109"/>
      <c r="N156" s="130"/>
      <c r="O156" s="278"/>
      <c r="P156" s="278"/>
      <c r="Q156" s="278"/>
      <c r="R156" s="278"/>
      <c r="S156" s="278"/>
      <c r="T156" s="278"/>
      <c r="U156" s="278"/>
      <c r="V156" s="132"/>
      <c r="W156" s="133"/>
      <c r="X156" s="132"/>
      <c r="Y156" s="132"/>
      <c r="Z156" s="132"/>
      <c r="AA156" s="132"/>
    </row>
    <row r="157" spans="1:27" ht="20.100000000000001" customHeight="1">
      <c r="A157" s="305">
        <v>30101016</v>
      </c>
      <c r="B157" s="284" t="s">
        <v>443</v>
      </c>
      <c r="C157" s="284" t="s">
        <v>446</v>
      </c>
      <c r="D157" s="108">
        <v>6</v>
      </c>
      <c r="E157" s="108"/>
      <c r="F157" s="127"/>
      <c r="G157" s="128"/>
      <c r="H157" s="292">
        <f t="shared" si="63"/>
        <v>0</v>
      </c>
      <c r="I157" s="129"/>
      <c r="J157" s="130"/>
      <c r="K157" s="131"/>
      <c r="L157" s="129">
        <v>6</v>
      </c>
      <c r="M157" s="109"/>
      <c r="N157" s="130"/>
      <c r="O157" s="285"/>
      <c r="P157" s="285"/>
      <c r="Q157" s="285"/>
      <c r="R157" s="285"/>
      <c r="S157" s="285"/>
      <c r="T157" s="285"/>
      <c r="U157" s="285"/>
      <c r="V157" s="132"/>
      <c r="W157" s="133"/>
      <c r="X157" s="132"/>
      <c r="Y157" s="132"/>
      <c r="Z157" s="132"/>
      <c r="AA157" s="132"/>
    </row>
    <row r="158" spans="1:27" ht="20.100000000000001" customHeight="1">
      <c r="A158" s="299">
        <v>30700018</v>
      </c>
      <c r="B158" s="218" t="s">
        <v>240</v>
      </c>
      <c r="C158" s="126"/>
      <c r="D158" s="108">
        <v>7.3</v>
      </c>
      <c r="E158" s="108"/>
      <c r="F158" s="127"/>
      <c r="G158" s="128"/>
      <c r="H158" s="292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1">IF(ISERROR(I158-K158),"",I158-K158)</f>
        <v/>
      </c>
      <c r="N158" s="130">
        <f t="shared" ref="N158:N159" si="72">SUM(O158:U158)</f>
        <v>0</v>
      </c>
      <c r="O158" s="219"/>
      <c r="P158" s="219"/>
      <c r="Q158" s="219"/>
      <c r="R158" s="219"/>
      <c r="S158" s="219"/>
      <c r="T158" s="219"/>
      <c r="U158" s="219"/>
      <c r="V158" s="132">
        <f t="shared" ref="V158:V159" si="73">SUM(X158:AA158)</f>
        <v>0</v>
      </c>
      <c r="W158" s="133" t="str">
        <f t="shared" ref="W158:W159" si="74">IF(ISERROR(V158/G158),"",V158/G158)</f>
        <v/>
      </c>
      <c r="X158" s="132"/>
      <c r="Y158" s="132"/>
      <c r="Z158" s="132"/>
      <c r="AA158" s="132"/>
    </row>
    <row r="159" spans="1:27" ht="20.100000000000001" customHeight="1">
      <c r="A159" s="299">
        <v>30700010</v>
      </c>
      <c r="B159" s="218" t="s">
        <v>241</v>
      </c>
      <c r="C159" s="126"/>
      <c r="D159" s="108">
        <f>78*120/1000</f>
        <v>9.36</v>
      </c>
      <c r="E159" s="108"/>
      <c r="F159" s="127"/>
      <c r="G159" s="128"/>
      <c r="H159" s="292">
        <f t="shared" si="63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2"/>
        <v>0</v>
      </c>
      <c r="O159" s="219"/>
      <c r="P159" s="219"/>
      <c r="Q159" s="219"/>
      <c r="R159" s="219"/>
      <c r="S159" s="219"/>
      <c r="T159" s="219"/>
      <c r="U159" s="219"/>
      <c r="V159" s="132">
        <f t="shared" si="73"/>
        <v>0</v>
      </c>
      <c r="W159" s="133" t="str">
        <f t="shared" si="74"/>
        <v/>
      </c>
      <c r="X159" s="132"/>
      <c r="Y159" s="132"/>
      <c r="Z159" s="132"/>
      <c r="AA159" s="132"/>
    </row>
    <row r="160" spans="1:27" ht="20.100000000000001" customHeight="1">
      <c r="A160" s="299">
        <v>30700015</v>
      </c>
      <c r="B160" s="218" t="s">
        <v>242</v>
      </c>
      <c r="C160" s="126"/>
      <c r="D160" s="108">
        <v>4.5</v>
      </c>
      <c r="E160" s="108"/>
      <c r="F160" s="127"/>
      <c r="G160" s="128"/>
      <c r="H160" s="292">
        <f t="shared" si="63"/>
        <v>0</v>
      </c>
      <c r="I160" s="129"/>
      <c r="J160" s="130"/>
      <c r="K160" s="131"/>
      <c r="L160" s="129"/>
      <c r="M160" s="109"/>
      <c r="N160" s="130"/>
      <c r="O160" s="219"/>
      <c r="P160" s="219"/>
      <c r="Q160" s="219"/>
      <c r="R160" s="219"/>
      <c r="S160" s="219"/>
      <c r="T160" s="219"/>
      <c r="U160" s="219"/>
      <c r="V160" s="132"/>
      <c r="W160" s="133"/>
      <c r="X160" s="132"/>
      <c r="Y160" s="132"/>
      <c r="Z160" s="132"/>
      <c r="AA160" s="132"/>
    </row>
    <row r="161" spans="1:27" ht="20.100000000000001" customHeight="1">
      <c r="A161" s="299">
        <v>30700012</v>
      </c>
      <c r="B161" s="218" t="s">
        <v>243</v>
      </c>
      <c r="C161" s="126"/>
      <c r="D161" s="108">
        <v>4.5</v>
      </c>
      <c r="E161" s="108"/>
      <c r="F161" s="127"/>
      <c r="G161" s="128"/>
      <c r="H161" s="292">
        <f t="shared" si="63"/>
        <v>0</v>
      </c>
      <c r="I161" s="129"/>
      <c r="J161" s="130"/>
      <c r="K161" s="131"/>
      <c r="L161" s="129"/>
      <c r="M161" s="109"/>
      <c r="N161" s="130"/>
      <c r="O161" s="219"/>
      <c r="P161" s="219"/>
      <c r="Q161" s="219"/>
      <c r="R161" s="219"/>
      <c r="S161" s="219"/>
      <c r="T161" s="219"/>
      <c r="U161" s="219"/>
      <c r="V161" s="132"/>
      <c r="W161" s="133"/>
      <c r="X161" s="132"/>
      <c r="Y161" s="132"/>
      <c r="Z161" s="132"/>
      <c r="AA161" s="132"/>
    </row>
    <row r="162" spans="1:27" ht="20.100000000000001" customHeight="1">
      <c r="A162" s="306">
        <v>30101063</v>
      </c>
      <c r="B162" s="254" t="s">
        <v>437</v>
      </c>
      <c r="C162" s="126"/>
      <c r="D162" s="108">
        <v>5.03</v>
      </c>
      <c r="E162" s="108"/>
      <c r="F162" s="127"/>
      <c r="G162" s="128"/>
      <c r="H162" s="292">
        <f t="shared" si="63"/>
        <v>0</v>
      </c>
      <c r="I162" s="129"/>
      <c r="J162" s="130"/>
      <c r="K162" s="131"/>
      <c r="L162" s="129"/>
      <c r="M162" s="109"/>
      <c r="N162" s="130"/>
      <c r="O162" s="253"/>
      <c r="P162" s="253"/>
      <c r="Q162" s="253"/>
      <c r="R162" s="253"/>
      <c r="S162" s="253"/>
      <c r="T162" s="253"/>
      <c r="U162" s="253"/>
      <c r="V162" s="132"/>
      <c r="W162" s="133"/>
      <c r="X162" s="132"/>
      <c r="Y162" s="132"/>
      <c r="Z162" s="132"/>
      <c r="AA162" s="132"/>
    </row>
    <row r="163" spans="1:27" ht="20.100000000000001" customHeight="1">
      <c r="A163" s="578" t="s">
        <v>244</v>
      </c>
      <c r="B163" s="579"/>
      <c r="C163" s="224" t="s">
        <v>202</v>
      </c>
      <c r="D163" s="143"/>
      <c r="E163" s="143"/>
      <c r="F163" s="144"/>
      <c r="G163" s="145">
        <f>SUM(G149:G161)</f>
        <v>0</v>
      </c>
      <c r="H163" s="146">
        <f>SUM(H149:H159)</f>
        <v>0</v>
      </c>
      <c r="I163" s="146">
        <f>SUM(I149:I161)</f>
        <v>0</v>
      </c>
      <c r="J163" s="130" t="str">
        <f t="array" ref="J163">IF(ISERROR(G163/I163),"",G163/I163)</f>
        <v/>
      </c>
      <c r="K163" s="146">
        <f>SUM(K149:K159)</f>
        <v>0</v>
      </c>
      <c r="L163" s="147"/>
      <c r="M163" s="150">
        <f t="shared" ref="M163:V163" si="75">SUM(M149:M159)</f>
        <v>0</v>
      </c>
      <c r="N163" s="146">
        <f t="shared" si="75"/>
        <v>0</v>
      </c>
      <c r="O163" s="148">
        <f t="shared" si="75"/>
        <v>0</v>
      </c>
      <c r="P163" s="148">
        <f t="shared" si="75"/>
        <v>0</v>
      </c>
      <c r="Q163" s="148">
        <f t="shared" si="75"/>
        <v>0</v>
      </c>
      <c r="R163" s="148">
        <f t="shared" si="75"/>
        <v>0</v>
      </c>
      <c r="S163" s="148">
        <f t="shared" si="75"/>
        <v>0</v>
      </c>
      <c r="T163" s="148">
        <f t="shared" si="75"/>
        <v>0</v>
      </c>
      <c r="U163" s="148">
        <f t="shared" si="75"/>
        <v>0</v>
      </c>
      <c r="V163" s="149">
        <f t="shared" si="75"/>
        <v>0</v>
      </c>
      <c r="W163" s="133" t="str">
        <f>IF(ISERROR(V163/G163),"",V163/G163)</f>
        <v/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580" t="s">
        <v>246</v>
      </c>
      <c r="B164" s="581"/>
      <c r="C164" s="581"/>
      <c r="D164" s="581"/>
      <c r="E164" s="581"/>
      <c r="F164" s="582"/>
      <c r="G164" s="154">
        <f>SUM(G28,G86,G121,G137,G148,G163)</f>
        <v>0</v>
      </c>
      <c r="H164" s="154">
        <f>SUM(H28,H86,H121,H137,H148,H163)</f>
        <v>0</v>
      </c>
      <c r="I164" s="154">
        <f>SUM(I28,I86,I121,I137,I148,I163)</f>
        <v>0</v>
      </c>
      <c r="J164" s="155" t="str">
        <f t="array" ref="J164">IF(ISERROR(G164/I164),"",G164/I164)</f>
        <v/>
      </c>
      <c r="K164" s="154">
        <f>SUM(K28,K86,K121,K137,K148,K163)</f>
        <v>0</v>
      </c>
      <c r="L164" s="155" t="str">
        <f>IF(ISERROR(G164/K164),"",G164/K164)</f>
        <v/>
      </c>
      <c r="M164" s="154">
        <f t="shared" ref="M164:AA164" si="76">SUM(M28,M86,M121,M137,M148,M163)</f>
        <v>0</v>
      </c>
      <c r="N164" s="154">
        <f t="shared" si="76"/>
        <v>0</v>
      </c>
      <c r="O164" s="154">
        <f t="shared" si="76"/>
        <v>0</v>
      </c>
      <c r="P164" s="154">
        <f t="shared" si="76"/>
        <v>0</v>
      </c>
      <c r="Q164" s="154">
        <f t="shared" si="76"/>
        <v>0</v>
      </c>
      <c r="R164" s="154">
        <f t="shared" si="76"/>
        <v>0</v>
      </c>
      <c r="S164" s="154">
        <f t="shared" si="76"/>
        <v>0</v>
      </c>
      <c r="T164" s="154">
        <f t="shared" si="76"/>
        <v>0</v>
      </c>
      <c r="U164" s="154">
        <f t="shared" si="76"/>
        <v>0</v>
      </c>
      <c r="V164" s="154">
        <f t="shared" si="76"/>
        <v>0</v>
      </c>
      <c r="W164" s="154">
        <f t="shared" si="76"/>
        <v>0</v>
      </c>
      <c r="X164" s="154">
        <f t="shared" si="76"/>
        <v>0</v>
      </c>
      <c r="Y164" s="154">
        <f t="shared" si="76"/>
        <v>0</v>
      </c>
      <c r="Z164" s="154">
        <f t="shared" si="76"/>
        <v>0</v>
      </c>
      <c r="AA164" s="154">
        <f t="shared" si="76"/>
        <v>0</v>
      </c>
    </row>
    <row r="165" spans="1:27" ht="20.100000000000001" customHeight="1">
      <c r="A165" s="583" t="s">
        <v>476</v>
      </c>
      <c r="B165" s="222" t="s">
        <v>247</v>
      </c>
      <c r="C165" s="586" t="s">
        <v>248</v>
      </c>
      <c r="D165" s="587"/>
      <c r="E165" s="588" t="s">
        <v>249</v>
      </c>
      <c r="F165" s="588"/>
      <c r="G165" s="591" t="s">
        <v>250</v>
      </c>
      <c r="H165" s="591"/>
      <c r="I165" s="588" t="s">
        <v>251</v>
      </c>
      <c r="J165" s="588"/>
      <c r="K165" s="588" t="s">
        <v>252</v>
      </c>
      <c r="L165" s="588"/>
      <c r="M165" s="588" t="s">
        <v>253</v>
      </c>
      <c r="N165" s="588"/>
      <c r="O165" s="588" t="s">
        <v>254</v>
      </c>
      <c r="P165" s="591" t="s">
        <v>255</v>
      </c>
      <c r="Q165" s="591"/>
      <c r="R165" s="591" t="s">
        <v>252</v>
      </c>
      <c r="S165" s="591"/>
      <c r="T165" s="591" t="s">
        <v>256</v>
      </c>
      <c r="U165" s="591"/>
      <c r="V165" s="591" t="s">
        <v>257</v>
      </c>
      <c r="W165" s="591"/>
      <c r="X165" s="591" t="s">
        <v>252</v>
      </c>
      <c r="Y165" s="591"/>
      <c r="Z165" s="591" t="s">
        <v>256</v>
      </c>
      <c r="AA165" s="591"/>
    </row>
    <row r="166" spans="1:27" ht="20.100000000000001" customHeight="1">
      <c r="A166" s="584"/>
      <c r="B166" s="222" t="s">
        <v>258</v>
      </c>
      <c r="C166" s="586">
        <v>1</v>
      </c>
      <c r="D166" s="587"/>
      <c r="E166" s="590">
        <f>C166*11</f>
        <v>11</v>
      </c>
      <c r="F166" s="590"/>
      <c r="G166" s="591">
        <v>1</v>
      </c>
      <c r="H166" s="591"/>
      <c r="I166" s="590">
        <f>G166*11</f>
        <v>11</v>
      </c>
      <c r="J166" s="590"/>
      <c r="K166" s="590">
        <f>E166-I166</f>
        <v>0</v>
      </c>
      <c r="L166" s="590"/>
      <c r="M166" s="592">
        <f>IF(ISERROR(K166/E166),"",K166/E166)</f>
        <v>0</v>
      </c>
      <c r="N166" s="592"/>
      <c r="O166" s="588"/>
      <c r="P166" s="591" t="s">
        <v>201</v>
      </c>
      <c r="Q166" s="591"/>
      <c r="R166" s="593">
        <f>SUM(O28:U28)</f>
        <v>0</v>
      </c>
      <c r="S166" s="593"/>
      <c r="T166" s="594" t="str">
        <f t="array" ref="T166">IF(ISERROR(R166/R173),"",R166/R173)</f>
        <v/>
      </c>
      <c r="U166" s="594"/>
      <c r="V166" s="591" t="s">
        <v>259</v>
      </c>
      <c r="W166" s="591"/>
      <c r="X166" s="595">
        <f>SUM(P27,P85,P120,P136,P147,P161)</f>
        <v>0</v>
      </c>
      <c r="Y166" s="595"/>
      <c r="Z166" s="594" t="str">
        <f t="array" ref="Z166">IF(ISERROR(X166/X173),"",X166/X173)</f>
        <v/>
      </c>
      <c r="AA166" s="594"/>
    </row>
    <row r="167" spans="1:27" ht="20.100000000000001" customHeight="1">
      <c r="A167" s="584"/>
      <c r="B167" s="222" t="s">
        <v>260</v>
      </c>
      <c r="C167" s="586">
        <v>1</v>
      </c>
      <c r="D167" s="587"/>
      <c r="E167" s="590">
        <f>C167*11</f>
        <v>11</v>
      </c>
      <c r="F167" s="590"/>
      <c r="G167" s="591">
        <v>1</v>
      </c>
      <c r="H167" s="591"/>
      <c r="I167" s="590">
        <f>G167*11</f>
        <v>11</v>
      </c>
      <c r="J167" s="590"/>
      <c r="K167" s="590">
        <f>E167-I167</f>
        <v>0</v>
      </c>
      <c r="L167" s="590"/>
      <c r="M167" s="592">
        <f>IF(ISERROR(K167/E167),"",K167/E167)</f>
        <v>0</v>
      </c>
      <c r="N167" s="592"/>
      <c r="O167" s="588"/>
      <c r="P167" s="591" t="s">
        <v>216</v>
      </c>
      <c r="Q167" s="591"/>
      <c r="R167" s="593">
        <f>SUM(O86:U86)</f>
        <v>0</v>
      </c>
      <c r="S167" s="593"/>
      <c r="T167" s="594" t="str">
        <f>IF(ISERROR(R167/R173),"",R167/R173)</f>
        <v/>
      </c>
      <c r="U167" s="594"/>
      <c r="V167" s="591" t="s">
        <v>261</v>
      </c>
      <c r="W167" s="591"/>
      <c r="X167" s="595">
        <f>SUM(P28,P86,P121,P137,P148,P163)</f>
        <v>0</v>
      </c>
      <c r="Y167" s="595"/>
      <c r="Z167" s="594" t="str">
        <f>IF(ISERROR(X167/X173),"",X167/X173)</f>
        <v/>
      </c>
      <c r="AA167" s="594"/>
    </row>
    <row r="168" spans="1:27" ht="20.100000000000001" customHeight="1">
      <c r="A168" s="584"/>
      <c r="B168" s="222" t="s">
        <v>262</v>
      </c>
      <c r="C168" s="586">
        <v>1</v>
      </c>
      <c r="D168" s="587"/>
      <c r="E168" s="590">
        <f>C168*8</f>
        <v>8</v>
      </c>
      <c r="F168" s="590"/>
      <c r="G168" s="591">
        <v>1</v>
      </c>
      <c r="H168" s="591"/>
      <c r="I168" s="590">
        <f>G168*8</f>
        <v>8</v>
      </c>
      <c r="J168" s="590"/>
      <c r="K168" s="590">
        <f>E168-I168</f>
        <v>0</v>
      </c>
      <c r="L168" s="590"/>
      <c r="M168" s="592">
        <f>IF(ISERROR(K168/E168),"",K168/E168)</f>
        <v>0</v>
      </c>
      <c r="N168" s="592"/>
      <c r="O168" s="588"/>
      <c r="P168" s="591" t="s">
        <v>224</v>
      </c>
      <c r="Q168" s="591"/>
      <c r="R168" s="593">
        <f>SUM(O121:U121)</f>
        <v>0</v>
      </c>
      <c r="S168" s="593"/>
      <c r="T168" s="594" t="str">
        <f>IF(ISERROR(R168/R173),"",R168/R173)</f>
        <v/>
      </c>
      <c r="U168" s="594"/>
      <c r="V168" s="591" t="s">
        <v>263</v>
      </c>
      <c r="W168" s="591"/>
      <c r="X168" s="595">
        <f>SUM(P29,P87,P122,P138,P149,P164)</f>
        <v>0</v>
      </c>
      <c r="Y168" s="595"/>
      <c r="Z168" s="594" t="str">
        <f>IF(ISERROR(X168/X173),"",X168/X173)</f>
        <v/>
      </c>
      <c r="AA168" s="594"/>
    </row>
    <row r="169" spans="1:27" ht="20.100000000000001" customHeight="1">
      <c r="A169" s="584"/>
      <c r="B169" s="222" t="s">
        <v>264</v>
      </c>
      <c r="C169" s="586">
        <v>1</v>
      </c>
      <c r="D169" s="587"/>
      <c r="E169" s="590">
        <f>C169*11</f>
        <v>11</v>
      </c>
      <c r="F169" s="590"/>
      <c r="G169" s="591">
        <v>1</v>
      </c>
      <c r="H169" s="591"/>
      <c r="I169" s="590">
        <f>G169*11</f>
        <v>11</v>
      </c>
      <c r="J169" s="590"/>
      <c r="K169" s="590">
        <f>E169-I169</f>
        <v>0</v>
      </c>
      <c r="L169" s="590"/>
      <c r="M169" s="592">
        <f>IF(ISERROR(K169/E169),"",K169/E169)</f>
        <v>0</v>
      </c>
      <c r="N169" s="592"/>
      <c r="O169" s="588"/>
      <c r="P169" s="591" t="s">
        <v>231</v>
      </c>
      <c r="Q169" s="591"/>
      <c r="R169" s="593">
        <f>SUM(O137:U137)</f>
        <v>0</v>
      </c>
      <c r="S169" s="593"/>
      <c r="T169" s="594" t="str">
        <f>IF(ISERROR(R169/R173),"",R169/R173)</f>
        <v/>
      </c>
      <c r="U169" s="594"/>
      <c r="V169" s="591" t="s">
        <v>265</v>
      </c>
      <c r="W169" s="591"/>
      <c r="X169" s="595">
        <f>SUM(P31,P88,P123,P139,P150,P165)</f>
        <v>0</v>
      </c>
      <c r="Y169" s="595"/>
      <c r="Z169" s="594" t="str">
        <f>IF(ISERROR(X169/X173),"",X169/X173)</f>
        <v/>
      </c>
      <c r="AA169" s="594"/>
    </row>
    <row r="170" spans="1:27" ht="20.100000000000001" customHeight="1">
      <c r="A170" s="585"/>
      <c r="B170" s="222" t="s">
        <v>266</v>
      </c>
      <c r="C170" s="596">
        <f>SUM(C166:D169)</f>
        <v>4</v>
      </c>
      <c r="D170" s="597"/>
      <c r="E170" s="590">
        <f>SUM(E166:F169)</f>
        <v>41</v>
      </c>
      <c r="F170" s="590"/>
      <c r="G170" s="591">
        <f>SUM(G166:H169)</f>
        <v>4</v>
      </c>
      <c r="H170" s="591"/>
      <c r="I170" s="590">
        <f>SUM(I166:J169)</f>
        <v>41</v>
      </c>
      <c r="J170" s="590"/>
      <c r="K170" s="590">
        <f>SUM(K166:L169)</f>
        <v>0</v>
      </c>
      <c r="L170" s="590"/>
      <c r="M170" s="592">
        <f>IF(ISERROR(K170/E170),"",K170/E170)</f>
        <v>0</v>
      </c>
      <c r="N170" s="592"/>
      <c r="O170" s="588"/>
      <c r="P170" s="591" t="s">
        <v>234</v>
      </c>
      <c r="Q170" s="591"/>
      <c r="R170" s="593">
        <f>SUM(O148:U148)</f>
        <v>0</v>
      </c>
      <c r="S170" s="593"/>
      <c r="T170" s="594" t="str">
        <f>IF(ISERROR(R170/R173),"",R170/R173)</f>
        <v/>
      </c>
      <c r="U170" s="594"/>
      <c r="V170" s="591" t="s">
        <v>267</v>
      </c>
      <c r="W170" s="591"/>
      <c r="X170" s="595">
        <f>SUM(P32,P89,P124,P140,P151,P166)</f>
        <v>0</v>
      </c>
      <c r="Y170" s="595"/>
      <c r="Z170" s="594" t="str">
        <f>IF(ISERROR(X170/X173),"",X170/X173)</f>
        <v/>
      </c>
      <c r="AA170" s="594"/>
    </row>
    <row r="171" spans="1:27" ht="20.100000000000001" customHeight="1">
      <c r="A171" s="307" t="s">
        <v>477</v>
      </c>
      <c r="B171" s="222">
        <f>G164</f>
        <v>0</v>
      </c>
      <c r="C171" s="598" t="s">
        <v>269</v>
      </c>
      <c r="D171" s="599"/>
      <c r="E171" s="591">
        <f>H164</f>
        <v>0</v>
      </c>
      <c r="F171" s="591"/>
      <c r="G171" s="591" t="s">
        <v>270</v>
      </c>
      <c r="H171" s="591"/>
      <c r="I171" s="600" t="str">
        <f>L164</f>
        <v/>
      </c>
      <c r="J171" s="600"/>
      <c r="K171" s="588" t="s">
        <v>271</v>
      </c>
      <c r="L171" s="588"/>
      <c r="M171" s="600" t="str">
        <f>J164</f>
        <v/>
      </c>
      <c r="N171" s="600"/>
      <c r="O171" s="588"/>
      <c r="P171" s="591" t="s">
        <v>244</v>
      </c>
      <c r="Q171" s="591"/>
      <c r="R171" s="593">
        <f>SUM(O163:U163)</f>
        <v>0</v>
      </c>
      <c r="S171" s="593"/>
      <c r="T171" s="594" t="str">
        <f>IF(ISERROR(R171/R173),"",R171/R173)</f>
        <v/>
      </c>
      <c r="U171" s="594"/>
      <c r="V171" s="591" t="s">
        <v>272</v>
      </c>
      <c r="W171" s="591"/>
      <c r="X171" s="595">
        <f>SUM(P33,P90,P125,P141,P152,P167)</f>
        <v>0</v>
      </c>
      <c r="Y171" s="595"/>
      <c r="Z171" s="594" t="str">
        <f>IF(ISERROR(X171/X173),"",X171/X173)</f>
        <v/>
      </c>
      <c r="AA171" s="594"/>
    </row>
    <row r="172" spans="1:27" ht="20.100000000000001" customHeight="1">
      <c r="A172" s="308" t="s">
        <v>478</v>
      </c>
      <c r="B172" s="222">
        <f>I164+C170</f>
        <v>4</v>
      </c>
      <c r="C172" s="601" t="s">
        <v>251</v>
      </c>
      <c r="D172" s="602"/>
      <c r="E172" s="603">
        <f>K164+I170</f>
        <v>41</v>
      </c>
      <c r="F172" s="603"/>
      <c r="G172" s="591" t="s">
        <v>274</v>
      </c>
      <c r="H172" s="591"/>
      <c r="I172" s="600">
        <f>B172-E172</f>
        <v>-37</v>
      </c>
      <c r="J172" s="600"/>
      <c r="K172" s="588" t="s">
        <v>275</v>
      </c>
      <c r="L172" s="588"/>
      <c r="M172" s="592">
        <f>IF(ISERROR(I172/E172),"",I172/E172)</f>
        <v>-0.90243902439024393</v>
      </c>
      <c r="N172" s="592"/>
      <c r="O172" s="588"/>
      <c r="P172" s="591" t="s">
        <v>245</v>
      </c>
      <c r="Q172" s="591"/>
      <c r="R172" s="593"/>
      <c r="S172" s="593"/>
      <c r="T172" s="594" t="str">
        <f>IF(ISERROR(R172/R173),"",R172/R173)</f>
        <v/>
      </c>
      <c r="U172" s="594"/>
      <c r="V172" s="591" t="s">
        <v>264</v>
      </c>
      <c r="W172" s="591"/>
      <c r="X172" s="595"/>
      <c r="Y172" s="595"/>
      <c r="Z172" s="594" t="str">
        <f>IF(ISERROR(X172/X173),"",X172/X173)</f>
        <v/>
      </c>
      <c r="AA172" s="594"/>
    </row>
    <row r="173" spans="1:27" ht="20.100000000000001" customHeight="1">
      <c r="A173" s="308" t="s">
        <v>479</v>
      </c>
      <c r="B173" s="222">
        <f>N164</f>
        <v>0</v>
      </c>
      <c r="C173" s="601" t="s">
        <v>277</v>
      </c>
      <c r="D173" s="602"/>
      <c r="E173" s="594">
        <f>IF(ISERROR(B173/B172),"",B173/B172)</f>
        <v>0</v>
      </c>
      <c r="F173" s="594"/>
      <c r="G173" s="591" t="s">
        <v>278</v>
      </c>
      <c r="H173" s="591"/>
      <c r="I173" s="588">
        <f>V164</f>
        <v>0</v>
      </c>
      <c r="J173" s="588"/>
      <c r="K173" s="588" t="s">
        <v>279</v>
      </c>
      <c r="L173" s="588"/>
      <c r="M173" s="592" t="str">
        <f t="array" ref="M173">IF(ISERROR(I173/B171),"",I173/B171)</f>
        <v/>
      </c>
      <c r="N173" s="592"/>
      <c r="O173" s="588"/>
      <c r="P173" s="591" t="s">
        <v>266</v>
      </c>
      <c r="Q173" s="591"/>
      <c r="R173" s="593">
        <f>SUM(R166:S172)</f>
        <v>0</v>
      </c>
      <c r="S173" s="593"/>
      <c r="T173" s="594"/>
      <c r="U173" s="594"/>
      <c r="V173" s="591" t="s">
        <v>266</v>
      </c>
      <c r="W173" s="591"/>
      <c r="X173" s="595">
        <f>SUM(X166:Y172)</f>
        <v>0</v>
      </c>
      <c r="Y173" s="595"/>
      <c r="Z173" s="594"/>
      <c r="AA173" s="594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4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604" t="s">
        <v>480</v>
      </c>
      <c r="B175" s="607" t="s">
        <v>280</v>
      </c>
      <c r="C175" s="607" t="s">
        <v>281</v>
      </c>
      <c r="D175" s="607" t="s">
        <v>282</v>
      </c>
      <c r="E175" s="610" t="s">
        <v>283</v>
      </c>
      <c r="F175" s="623" t="s">
        <v>284</v>
      </c>
      <c r="G175" s="588" t="s">
        <v>285</v>
      </c>
      <c r="H175" s="588"/>
      <c r="I175" s="607" t="s">
        <v>286</v>
      </c>
      <c r="J175" s="613" t="s">
        <v>271</v>
      </c>
      <c r="K175" s="616" t="s">
        <v>287</v>
      </c>
      <c r="L175" s="607" t="s">
        <v>270</v>
      </c>
      <c r="M175" s="619" t="s">
        <v>288</v>
      </c>
      <c r="N175" s="621" t="s">
        <v>252</v>
      </c>
      <c r="O175" s="588" t="s">
        <v>289</v>
      </c>
      <c r="P175" s="588"/>
      <c r="Q175" s="588"/>
      <c r="R175" s="588"/>
      <c r="S175" s="588"/>
      <c r="T175" s="588"/>
      <c r="U175" s="588"/>
      <c r="V175" s="588" t="s">
        <v>290</v>
      </c>
      <c r="W175" s="621" t="s">
        <v>291</v>
      </c>
      <c r="X175" s="588" t="s">
        <v>292</v>
      </c>
      <c r="Y175" s="588"/>
      <c r="Z175" s="588"/>
      <c r="AA175" s="588"/>
    </row>
    <row r="176" spans="1:27" ht="21.95" customHeight="1">
      <c r="A176" s="605"/>
      <c r="B176" s="608"/>
      <c r="C176" s="608"/>
      <c r="D176" s="608"/>
      <c r="E176" s="611"/>
      <c r="F176" s="624"/>
      <c r="G176" s="588"/>
      <c r="H176" s="588"/>
      <c r="I176" s="608"/>
      <c r="J176" s="614"/>
      <c r="K176" s="617"/>
      <c r="L176" s="608"/>
      <c r="M176" s="620"/>
      <c r="N176" s="621"/>
      <c r="O176" s="588" t="s">
        <v>259</v>
      </c>
      <c r="P176" s="588" t="s">
        <v>261</v>
      </c>
      <c r="Q176" s="588" t="s">
        <v>263</v>
      </c>
      <c r="R176" s="622" t="s">
        <v>265</v>
      </c>
      <c r="S176" s="591" t="s">
        <v>267</v>
      </c>
      <c r="T176" s="588" t="s">
        <v>272</v>
      </c>
      <c r="U176" s="588" t="s">
        <v>264</v>
      </c>
      <c r="V176" s="588"/>
      <c r="W176" s="621"/>
      <c r="X176" s="588" t="s">
        <v>293</v>
      </c>
      <c r="Y176" s="588" t="s">
        <v>294</v>
      </c>
      <c r="Z176" s="588" t="s">
        <v>295</v>
      </c>
      <c r="AA176" s="588" t="s">
        <v>264</v>
      </c>
    </row>
    <row r="177" spans="1:27" ht="21.95" customHeight="1">
      <c r="A177" s="606"/>
      <c r="B177" s="609"/>
      <c r="C177" s="609"/>
      <c r="D177" s="609"/>
      <c r="E177" s="612"/>
      <c r="F177" s="625"/>
      <c r="G177" s="157" t="s">
        <v>296</v>
      </c>
      <c r="H177" s="217" t="s">
        <v>297</v>
      </c>
      <c r="I177" s="609"/>
      <c r="J177" s="615"/>
      <c r="K177" s="618"/>
      <c r="L177" s="609"/>
      <c r="M177" s="620"/>
      <c r="N177" s="621"/>
      <c r="O177" s="588"/>
      <c r="P177" s="588"/>
      <c r="Q177" s="588"/>
      <c r="R177" s="622"/>
      <c r="S177" s="591"/>
      <c r="T177" s="588"/>
      <c r="U177" s="588"/>
      <c r="V177" s="588"/>
      <c r="W177" s="621"/>
      <c r="X177" s="588"/>
      <c r="Y177" s="588"/>
      <c r="Z177" s="588"/>
      <c r="AA177" s="588"/>
    </row>
    <row r="178" spans="1:27" ht="20.100000000000001" customHeight="1">
      <c r="A178" s="299">
        <v>30100030</v>
      </c>
      <c r="B178" s="218" t="s">
        <v>178</v>
      </c>
      <c r="C178" s="126" t="s">
        <v>179</v>
      </c>
      <c r="D178" s="108">
        <v>5.03</v>
      </c>
      <c r="E178" s="108"/>
      <c r="F178" s="127"/>
      <c r="G178" s="152"/>
      <c r="H178" s="226">
        <f t="shared" ref="H178:H187" si="77">D178*G178</f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16</v>
      </c>
      <c r="M178" s="109">
        <f t="shared" ref="M178:M187" si="78">IF(ISERROR(I178-K178),"",I178-K178)</f>
        <v>0</v>
      </c>
      <c r="N178" s="130">
        <f>SUM(O178:U178)</f>
        <v>0</v>
      </c>
      <c r="O178" s="219"/>
      <c r="P178" s="219"/>
      <c r="Q178" s="219"/>
      <c r="R178" s="219"/>
      <c r="S178" s="219"/>
      <c r="T178" s="219"/>
      <c r="U178" s="219"/>
      <c r="V178" s="132">
        <f t="shared" ref="V178:V183" si="79">SUM(X178:AA178)</f>
        <v>0</v>
      </c>
      <c r="W178" s="133" t="str">
        <f t="shared" ref="W178:W183" si="80">IF(ISERROR(V178/G178),"",V178/G178)</f>
        <v/>
      </c>
      <c r="X178" s="132"/>
      <c r="Y178" s="132"/>
      <c r="Z178" s="132"/>
      <c r="AA178" s="132"/>
    </row>
    <row r="179" spans="1:27" ht="20.10000000000000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28"/>
      <c r="H179" s="226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ref="N179:N187" si="81">SUM(O179:U179)</f>
        <v>0</v>
      </c>
      <c r="O179" s="219"/>
      <c r="P179" s="219"/>
      <c r="Q179" s="219"/>
      <c r="R179" s="219"/>
      <c r="S179" s="219"/>
      <c r="T179" s="219"/>
      <c r="U179" s="219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28"/>
      <c r="H180" s="226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219"/>
      <c r="P180" s="219"/>
      <c r="Q180" s="219"/>
      <c r="R180" s="219"/>
      <c r="S180" s="219"/>
      <c r="T180" s="219"/>
      <c r="U180" s="219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/>
      <c r="G181" s="128"/>
      <c r="H181" s="226">
        <f t="shared" si="77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19</v>
      </c>
      <c r="M181" s="109">
        <f t="shared" si="78"/>
        <v>0</v>
      </c>
      <c r="N181" s="130">
        <f t="shared" si="81"/>
        <v>0</v>
      </c>
      <c r="O181" s="219"/>
      <c r="P181" s="219"/>
      <c r="Q181" s="219"/>
      <c r="R181" s="219"/>
      <c r="S181" s="219"/>
      <c r="T181" s="219"/>
      <c r="U181" s="219"/>
      <c r="V181" s="132">
        <f t="shared" si="79"/>
        <v>0</v>
      </c>
      <c r="W181" s="133" t="str">
        <f t="shared" si="80"/>
        <v/>
      </c>
      <c r="X181" s="132"/>
      <c r="Y181" s="132"/>
      <c r="Z181" s="132"/>
      <c r="AA181" s="132"/>
    </row>
    <row r="182" spans="1:27" ht="20.10000000000000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/>
      <c r="G182" s="128"/>
      <c r="H182" s="226">
        <f t="shared" si="77"/>
        <v>0</v>
      </c>
      <c r="I182" s="129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20</v>
      </c>
      <c r="M182" s="109">
        <f t="shared" si="78"/>
        <v>0</v>
      </c>
      <c r="N182" s="130">
        <f t="shared" si="81"/>
        <v>0</v>
      </c>
      <c r="O182" s="219"/>
      <c r="P182" s="219"/>
      <c r="Q182" s="219"/>
      <c r="R182" s="219"/>
      <c r="S182" s="219"/>
      <c r="T182" s="219"/>
      <c r="U182" s="219"/>
      <c r="V182" s="132">
        <f t="shared" si="79"/>
        <v>0</v>
      </c>
      <c r="W182" s="133" t="str">
        <f t="shared" si="80"/>
        <v/>
      </c>
      <c r="X182" s="132"/>
      <c r="Y182" s="132"/>
      <c r="Z182" s="132"/>
      <c r="AA182" s="132"/>
    </row>
    <row r="183" spans="1:27" ht="20.10000000000000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58"/>
      <c r="G183" s="137"/>
      <c r="H183" s="226">
        <f t="shared" si="77"/>
        <v>0</v>
      </c>
      <c r="I183" s="138"/>
      <c r="J183" s="130" t="str">
        <f t="array" ref="J183">IF(ISERROR(G183/I183),"",G183/I183)</f>
        <v/>
      </c>
      <c r="K183" s="131">
        <f t="array" ref="K183">IF(ISERROR(G183/L183),"",G183/L183)</f>
        <v>0</v>
      </c>
      <c r="L183" s="129">
        <v>19</v>
      </c>
      <c r="M183" s="109">
        <f t="shared" si="78"/>
        <v>0</v>
      </c>
      <c r="N183" s="130">
        <f t="shared" si="81"/>
        <v>0</v>
      </c>
      <c r="O183" s="219"/>
      <c r="P183" s="219"/>
      <c r="Q183" s="219"/>
      <c r="R183" s="219"/>
      <c r="S183" s="219"/>
      <c r="T183" s="219"/>
      <c r="U183" s="219"/>
      <c r="V183" s="132">
        <f t="shared" si="79"/>
        <v>0</v>
      </c>
      <c r="W183" s="133" t="str">
        <f t="shared" si="80"/>
        <v/>
      </c>
      <c r="X183" s="132"/>
      <c r="Y183" s="132"/>
      <c r="Z183" s="132"/>
      <c r="AA183" s="132"/>
    </row>
    <row r="184" spans="1:27" ht="20.10000000000000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/>
      <c r="G184" s="128"/>
      <c r="H184" s="226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219"/>
      <c r="P184" s="219"/>
      <c r="Q184" s="219"/>
      <c r="R184" s="219"/>
      <c r="S184" s="219"/>
      <c r="T184" s="219"/>
      <c r="U184" s="219"/>
      <c r="V184" s="132"/>
      <c r="W184" s="133"/>
      <c r="X184" s="132"/>
      <c r="Y184" s="132"/>
      <c r="Z184" s="132"/>
      <c r="AA184" s="132"/>
    </row>
    <row r="185" spans="1:27" ht="20.10000000000000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28"/>
      <c r="H185" s="226">
        <f t="shared" si="77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78"/>
        <v>0</v>
      </c>
      <c r="N185" s="130">
        <f t="shared" si="81"/>
        <v>0</v>
      </c>
      <c r="O185" s="219"/>
      <c r="P185" s="219"/>
      <c r="Q185" s="219"/>
      <c r="R185" s="219"/>
      <c r="S185" s="219"/>
      <c r="T185" s="219"/>
      <c r="U185" s="219"/>
      <c r="V185" s="132"/>
      <c r="W185" s="133"/>
      <c r="X185" s="132"/>
      <c r="Y185" s="132"/>
      <c r="Z185" s="132"/>
      <c r="AA185" s="132"/>
    </row>
    <row r="186" spans="1:27" ht="20.10000000000000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/>
      <c r="G186" s="128"/>
      <c r="H186" s="226">
        <f t="shared" si="77"/>
        <v>0</v>
      </c>
      <c r="I186" s="226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219"/>
      <c r="P186" s="219"/>
      <c r="Q186" s="219"/>
      <c r="R186" s="219"/>
      <c r="S186" s="219"/>
      <c r="T186" s="219"/>
      <c r="U186" s="219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/>
      <c r="G187" s="128"/>
      <c r="H187" s="226">
        <f t="shared" si="77"/>
        <v>0</v>
      </c>
      <c r="I187" s="226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 t="shared" si="78"/>
        <v>0</v>
      </c>
      <c r="N187" s="130">
        <f t="shared" si="81"/>
        <v>0</v>
      </c>
      <c r="O187" s="219"/>
      <c r="P187" s="219"/>
      <c r="Q187" s="219"/>
      <c r="R187" s="219"/>
      <c r="S187" s="219"/>
      <c r="T187" s="219"/>
      <c r="U187" s="219"/>
      <c r="V187" s="132">
        <f>SUM(X187:AA187)</f>
        <v>0</v>
      </c>
      <c r="W187" s="133" t="str">
        <f>IF(ISERROR(V187/G187),"",V187/G187)</f>
        <v/>
      </c>
      <c r="X187" s="132"/>
      <c r="Y187" s="132"/>
      <c r="Z187" s="132"/>
      <c r="AA187" s="132"/>
    </row>
    <row r="188" spans="1:27" ht="20.10000000000000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28"/>
      <c r="H188" s="226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219"/>
      <c r="P188" s="219"/>
      <c r="Q188" s="219"/>
      <c r="R188" s="219"/>
      <c r="S188" s="219"/>
      <c r="T188" s="219"/>
      <c r="U188" s="219"/>
      <c r="V188" s="132"/>
      <c r="W188" s="133"/>
      <c r="X188" s="132"/>
      <c r="Y188" s="132"/>
      <c r="Z188" s="132"/>
      <c r="AA188" s="132"/>
    </row>
    <row r="189" spans="1:27" ht="20.10000000000000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28"/>
      <c r="H189" s="226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219"/>
      <c r="P189" s="219"/>
      <c r="Q189" s="219"/>
      <c r="R189" s="219"/>
      <c r="S189" s="219"/>
      <c r="T189" s="219"/>
      <c r="U189" s="219"/>
      <c r="V189" s="132"/>
      <c r="W189" s="133"/>
      <c r="X189" s="132"/>
      <c r="Y189" s="132"/>
      <c r="Z189" s="132"/>
      <c r="AA189" s="132"/>
    </row>
    <row r="190" spans="1:27" ht="20.10000000000000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E190" s="108"/>
      <c r="F190" s="127"/>
      <c r="G190" s="128"/>
      <c r="H190" s="226">
        <f t="shared" ref="H190:H198" si="82">D190*G190</f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19</v>
      </c>
      <c r="M190" s="109">
        <f t="shared" ref="M190:M198" si="83">IF(ISERROR(I190-K190),"",I190-K190)</f>
        <v>0</v>
      </c>
      <c r="N190" s="130">
        <f t="shared" ref="N190:N192" si="84">SUM(O190:U190)</f>
        <v>0</v>
      </c>
      <c r="O190" s="219"/>
      <c r="P190" s="219"/>
      <c r="Q190" s="219"/>
      <c r="R190" s="219"/>
      <c r="S190" s="219"/>
      <c r="T190" s="219"/>
      <c r="U190" s="219"/>
      <c r="V190" s="132">
        <f t="shared" ref="V190:V192" si="85">SUM(X190:AA190)</f>
        <v>0</v>
      </c>
      <c r="W190" s="133" t="str">
        <f t="shared" ref="W190:W192" si="86">IF(ISERROR(V190/G190),"",V190/G190)</f>
        <v/>
      </c>
      <c r="X190" s="132"/>
      <c r="Y190" s="132"/>
      <c r="Z190" s="132"/>
      <c r="AA190" s="132"/>
    </row>
    <row r="191" spans="1:27" ht="20.10000000000000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27"/>
      <c r="G191" s="128"/>
      <c r="H191" s="226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219"/>
      <c r="P191" s="219"/>
      <c r="Q191" s="219"/>
      <c r="R191" s="219"/>
      <c r="S191" s="219"/>
      <c r="T191" s="219"/>
      <c r="U191" s="219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/>
      <c r="G192" s="128"/>
      <c r="H192" s="226">
        <f t="shared" si="82"/>
        <v>0</v>
      </c>
      <c r="I192" s="129"/>
      <c r="J192" s="130" t="str">
        <f t="array" ref="J192">IF(ISERROR(G192/I192),"",G192/I192)</f>
        <v/>
      </c>
      <c r="K192" s="131">
        <f t="array" ref="K192">IF(ISERROR(G192/L192),"",G192/L192)</f>
        <v>0</v>
      </c>
      <c r="L192" s="129">
        <v>23</v>
      </c>
      <c r="M192" s="109">
        <f t="shared" si="83"/>
        <v>0</v>
      </c>
      <c r="N192" s="130">
        <f t="shared" si="84"/>
        <v>0</v>
      </c>
      <c r="O192" s="219"/>
      <c r="P192" s="219"/>
      <c r="Q192" s="219"/>
      <c r="R192" s="219"/>
      <c r="S192" s="219"/>
      <c r="T192" s="219"/>
      <c r="U192" s="219"/>
      <c r="V192" s="132">
        <f t="shared" si="85"/>
        <v>0</v>
      </c>
      <c r="W192" s="133" t="str">
        <f t="shared" si="86"/>
        <v/>
      </c>
      <c r="X192" s="132"/>
      <c r="Y192" s="132"/>
      <c r="Z192" s="132"/>
      <c r="AA192" s="132"/>
    </row>
    <row r="193" spans="1:27" ht="20.100000000000001" customHeight="1">
      <c r="A193" s="300">
        <v>30100003</v>
      </c>
      <c r="B193" s="141" t="s">
        <v>198</v>
      </c>
      <c r="C193" s="217" t="s">
        <v>190</v>
      </c>
      <c r="D193" s="108">
        <v>4.8</v>
      </c>
      <c r="E193" s="108"/>
      <c r="F193" s="127"/>
      <c r="G193" s="128"/>
      <c r="H193" s="226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219"/>
      <c r="P193" s="219"/>
      <c r="Q193" s="219"/>
      <c r="R193" s="219"/>
      <c r="S193" s="219"/>
      <c r="T193" s="219"/>
      <c r="U193" s="219"/>
      <c r="V193" s="132"/>
      <c r="W193" s="133"/>
      <c r="X193" s="132"/>
      <c r="Y193" s="132"/>
      <c r="Z193" s="132"/>
      <c r="AA193" s="132"/>
    </row>
    <row r="194" spans="1:27" ht="20.100000000000001" customHeight="1">
      <c r="A194" s="300">
        <v>30100004</v>
      </c>
      <c r="B194" s="141" t="s">
        <v>198</v>
      </c>
      <c r="C194" s="217" t="s">
        <v>187</v>
      </c>
      <c r="D194" s="108">
        <v>4.8</v>
      </c>
      <c r="E194" s="108"/>
      <c r="F194" s="127"/>
      <c r="G194" s="128"/>
      <c r="H194" s="226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219"/>
      <c r="P194" s="219"/>
      <c r="Q194" s="219"/>
      <c r="R194" s="219"/>
      <c r="S194" s="219"/>
      <c r="T194" s="219"/>
      <c r="U194" s="219"/>
      <c r="V194" s="132"/>
      <c r="W194" s="133"/>
      <c r="X194" s="132"/>
      <c r="Y194" s="132"/>
      <c r="Z194" s="132"/>
      <c r="AA194" s="132"/>
    </row>
    <row r="195" spans="1:27" ht="20.100000000000001" customHeight="1">
      <c r="A195" s="300">
        <v>30100006</v>
      </c>
      <c r="B195" s="141" t="s">
        <v>198</v>
      </c>
      <c r="C195" s="217" t="s">
        <v>179</v>
      </c>
      <c r="D195" s="108">
        <v>4.8</v>
      </c>
      <c r="E195" s="108"/>
      <c r="F195" s="127"/>
      <c r="G195" s="128"/>
      <c r="H195" s="226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219"/>
      <c r="P195" s="219"/>
      <c r="Q195" s="219"/>
      <c r="R195" s="219"/>
      <c r="S195" s="219"/>
      <c r="T195" s="219"/>
      <c r="U195" s="219"/>
      <c r="V195" s="132"/>
      <c r="W195" s="133"/>
      <c r="X195" s="132"/>
      <c r="Y195" s="132"/>
      <c r="Z195" s="132"/>
      <c r="AA195" s="132"/>
    </row>
    <row r="196" spans="1:27" ht="20.100000000000001" customHeight="1">
      <c r="A196" s="300">
        <v>30100005</v>
      </c>
      <c r="B196" s="141" t="s">
        <v>198</v>
      </c>
      <c r="C196" s="217" t="s">
        <v>199</v>
      </c>
      <c r="D196" s="108">
        <v>4.8</v>
      </c>
      <c r="E196" s="108"/>
      <c r="F196" s="127"/>
      <c r="G196" s="128"/>
      <c r="H196" s="226">
        <f t="shared" si="82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3"/>
        <v>0</v>
      </c>
      <c r="N196" s="130"/>
      <c r="O196" s="219"/>
      <c r="P196" s="219"/>
      <c r="Q196" s="219"/>
      <c r="R196" s="219"/>
      <c r="S196" s="219"/>
      <c r="T196" s="219"/>
      <c r="U196" s="219"/>
      <c r="V196" s="132"/>
      <c r="W196" s="133"/>
      <c r="X196" s="132"/>
      <c r="Y196" s="132"/>
      <c r="Z196" s="132"/>
      <c r="AA196" s="132"/>
    </row>
    <row r="197" spans="1:27" ht="20.10000000000000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/>
      <c r="G197" s="128"/>
      <c r="H197" s="226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ref="N197:N198" si="87">SUM(O197:U197)</f>
        <v>0</v>
      </c>
      <c r="O197" s="219"/>
      <c r="P197" s="219"/>
      <c r="Q197" s="219"/>
      <c r="R197" s="219"/>
      <c r="S197" s="219"/>
      <c r="T197" s="219"/>
      <c r="U197" s="219"/>
      <c r="V197" s="132">
        <f t="shared" ref="V197:V198" si="88">SUM(X197:AA197)</f>
        <v>0</v>
      </c>
      <c r="W197" s="133" t="str">
        <f t="shared" ref="W197:W198" si="89">IF(ISERROR(V197/G197),"",V197/G197)</f>
        <v/>
      </c>
      <c r="X197" s="132"/>
      <c r="Y197" s="132"/>
      <c r="Z197" s="132"/>
      <c r="AA197" s="132"/>
    </row>
    <row r="198" spans="1:27" ht="20.10000000000000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42"/>
      <c r="G198" s="128"/>
      <c r="H198" s="226">
        <f t="shared" si="82"/>
        <v>0</v>
      </c>
      <c r="I198" s="129"/>
      <c r="J198" s="130" t="str">
        <f t="array" ref="J198">IF(ISERROR(G198/I198),"",G198/I198)</f>
        <v/>
      </c>
      <c r="K198" s="131">
        <f t="array" ref="K198">IF(ISERROR(G198/L198),"",G198/L198)</f>
        <v>0</v>
      </c>
      <c r="L198" s="129">
        <v>23.5</v>
      </c>
      <c r="M198" s="109">
        <f t="shared" si="83"/>
        <v>0</v>
      </c>
      <c r="N198" s="130">
        <f t="shared" si="87"/>
        <v>0</v>
      </c>
      <c r="O198" s="219"/>
      <c r="P198" s="219"/>
      <c r="Q198" s="219"/>
      <c r="R198" s="219"/>
      <c r="S198" s="219"/>
      <c r="T198" s="219"/>
      <c r="U198" s="219"/>
      <c r="V198" s="132">
        <f t="shared" si="88"/>
        <v>0</v>
      </c>
      <c r="W198" s="133" t="str">
        <f t="shared" si="89"/>
        <v/>
      </c>
      <c r="X198" s="132"/>
      <c r="Y198" s="132"/>
      <c r="Z198" s="132"/>
      <c r="AA198" s="132"/>
    </row>
    <row r="199" spans="1:27" ht="20.100000000000001" customHeight="1">
      <c r="A199" s="578" t="s">
        <v>201</v>
      </c>
      <c r="B199" s="579"/>
      <c r="C199" s="224" t="s">
        <v>202</v>
      </c>
      <c r="D199" s="143"/>
      <c r="E199" s="143"/>
      <c r="F199" s="144"/>
      <c r="G199" s="145">
        <f>SUM(G178:G198)</f>
        <v>0</v>
      </c>
      <c r="H199" s="146">
        <f>SUM(H178:H198)</f>
        <v>0</v>
      </c>
      <c r="I199" s="146">
        <f>SUM(I178:I198)</f>
        <v>0</v>
      </c>
      <c r="J199" s="130" t="str">
        <f t="array" ref="J199">IF(ISERROR(G199/I199),"",G199/I199)</f>
        <v/>
      </c>
      <c r="K199" s="146">
        <f>SUM(K178:K198)</f>
        <v>0</v>
      </c>
      <c r="L199" s="147"/>
      <c r="M199" s="150">
        <f t="shared" ref="M199:AA199" si="90">SUM(M178:M198)</f>
        <v>0</v>
      </c>
      <c r="N199" s="146">
        <f t="shared" si="90"/>
        <v>0</v>
      </c>
      <c r="O199" s="148">
        <f t="shared" si="90"/>
        <v>0</v>
      </c>
      <c r="P199" s="148">
        <f t="shared" si="90"/>
        <v>0</v>
      </c>
      <c r="Q199" s="148">
        <f t="shared" si="90"/>
        <v>0</v>
      </c>
      <c r="R199" s="148">
        <f t="shared" si="90"/>
        <v>0</v>
      </c>
      <c r="S199" s="148">
        <f t="shared" si="90"/>
        <v>0</v>
      </c>
      <c r="T199" s="148">
        <f t="shared" si="90"/>
        <v>0</v>
      </c>
      <c r="U199" s="148">
        <f t="shared" si="90"/>
        <v>0</v>
      </c>
      <c r="V199" s="149">
        <f t="shared" si="90"/>
        <v>0</v>
      </c>
      <c r="W199" s="133">
        <f t="shared" si="90"/>
        <v>0</v>
      </c>
      <c r="X199" s="149">
        <f t="shared" si="90"/>
        <v>0</v>
      </c>
      <c r="Y199" s="149">
        <f t="shared" si="90"/>
        <v>0</v>
      </c>
      <c r="Z199" s="149">
        <f t="shared" si="90"/>
        <v>0</v>
      </c>
      <c r="AA199" s="149">
        <f t="shared" si="90"/>
        <v>0</v>
      </c>
    </row>
    <row r="200" spans="1:27" ht="20.100000000000001" customHeight="1">
      <c r="A200" s="300">
        <v>30100012</v>
      </c>
      <c r="B200" s="218" t="s">
        <v>206</v>
      </c>
      <c r="C200" s="126" t="s">
        <v>199</v>
      </c>
      <c r="D200" s="108">
        <v>5.03</v>
      </c>
      <c r="E200" s="108"/>
      <c r="F200" s="127"/>
      <c r="G200" s="128"/>
      <c r="H200" s="226">
        <f t="shared" ref="H200:H210" si="91">D200*G200</f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 t="shared" ref="M200:M204" si="92">IF(ISERROR(I200-K200),"",I200-K200)</f>
        <v>0</v>
      </c>
      <c r="N200" s="130">
        <f t="shared" ref="N200:N204" si="93">SUM(O200:U200)</f>
        <v>0</v>
      </c>
      <c r="O200" s="221"/>
      <c r="P200" s="221"/>
      <c r="Q200" s="221"/>
      <c r="R200" s="221"/>
      <c r="S200" s="221"/>
      <c r="T200" s="221"/>
      <c r="U200" s="221"/>
      <c r="V200" s="132">
        <f t="shared" ref="V200:V204" si="94">SUM(X200:AA200)</f>
        <v>0</v>
      </c>
      <c r="W200" s="133" t="str">
        <f t="shared" ref="W200:W204" si="95">IF(ISERROR(V200/G200),"",V200/G200)</f>
        <v/>
      </c>
      <c r="X200" s="132"/>
      <c r="Y200" s="132"/>
      <c r="Z200" s="132"/>
      <c r="AA200" s="132"/>
    </row>
    <row r="201" spans="1:27" ht="20.100000000000001" customHeight="1">
      <c r="A201" s="300">
        <v>30100011</v>
      </c>
      <c r="B201" s="232" t="s">
        <v>426</v>
      </c>
      <c r="C201" s="187" t="s">
        <v>428</v>
      </c>
      <c r="D201" s="108">
        <v>5.03</v>
      </c>
      <c r="E201" s="108"/>
      <c r="F201" s="127"/>
      <c r="G201" s="128"/>
      <c r="H201" s="235">
        <f t="shared" si="91"/>
        <v>0</v>
      </c>
      <c r="I201" s="129"/>
      <c r="J201" s="130"/>
      <c r="K201" s="131"/>
      <c r="L201" s="129">
        <v>52</v>
      </c>
      <c r="M201" s="109"/>
      <c r="N201" s="130"/>
      <c r="O201" s="234"/>
      <c r="P201" s="234"/>
      <c r="Q201" s="234"/>
      <c r="R201" s="234"/>
      <c r="S201" s="234"/>
      <c r="T201" s="234"/>
      <c r="U201" s="234"/>
      <c r="V201" s="132"/>
      <c r="W201" s="133"/>
      <c r="X201" s="132"/>
      <c r="Y201" s="132"/>
      <c r="Z201" s="132"/>
      <c r="AA201" s="132"/>
    </row>
    <row r="202" spans="1:27" ht="20.100000000000001" customHeight="1">
      <c r="A202" s="300">
        <v>30100010</v>
      </c>
      <c r="B202" s="218" t="s">
        <v>206</v>
      </c>
      <c r="C202" s="126" t="s">
        <v>186</v>
      </c>
      <c r="D202" s="108">
        <v>5.03</v>
      </c>
      <c r="E202" s="108"/>
      <c r="F202" s="127"/>
      <c r="G202" s="128"/>
      <c r="H202" s="226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 t="shared" si="92"/>
        <v>0</v>
      </c>
      <c r="N202" s="130">
        <f t="shared" si="93"/>
        <v>0</v>
      </c>
      <c r="O202" s="221"/>
      <c r="P202" s="221"/>
      <c r="Q202" s="221"/>
      <c r="R202" s="221"/>
      <c r="S202" s="221"/>
      <c r="T202" s="221"/>
      <c r="U202" s="221"/>
      <c r="V202" s="132">
        <f t="shared" si="94"/>
        <v>0</v>
      </c>
      <c r="W202" s="133" t="str">
        <f t="shared" si="95"/>
        <v/>
      </c>
      <c r="X202" s="132"/>
      <c r="Y202" s="132"/>
      <c r="Z202" s="132"/>
      <c r="AA202" s="132"/>
    </row>
    <row r="203" spans="1:27" ht="20.100000000000001" customHeight="1">
      <c r="A203" s="300">
        <v>30100014</v>
      </c>
      <c r="B203" s="218" t="s">
        <v>206</v>
      </c>
      <c r="C203" s="126" t="s">
        <v>203</v>
      </c>
      <c r="D203" s="108">
        <v>5.03</v>
      </c>
      <c r="E203" s="108"/>
      <c r="F203" s="127"/>
      <c r="G203" s="128"/>
      <c r="H203" s="226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>IF(ISERROR(I203-K203),"",I203-K203)</f>
        <v>0</v>
      </c>
      <c r="N203" s="130">
        <f t="shared" si="93"/>
        <v>0</v>
      </c>
      <c r="O203" s="221"/>
      <c r="P203" s="221"/>
      <c r="Q203" s="221"/>
      <c r="R203" s="221"/>
      <c r="S203" s="221"/>
      <c r="T203" s="221"/>
      <c r="U203" s="221"/>
      <c r="V203" s="132">
        <f t="shared" si="94"/>
        <v>0</v>
      </c>
      <c r="W203" s="133" t="str">
        <f t="shared" si="95"/>
        <v/>
      </c>
      <c r="X203" s="132"/>
      <c r="Y203" s="132"/>
      <c r="Z203" s="132"/>
      <c r="AA203" s="132"/>
    </row>
    <row r="204" spans="1:27" ht="20.100000000000001" customHeight="1">
      <c r="A204" s="300">
        <v>30100013</v>
      </c>
      <c r="B204" s="218" t="s">
        <v>206</v>
      </c>
      <c r="C204" s="126" t="s">
        <v>207</v>
      </c>
      <c r="D204" s="108">
        <v>5.03</v>
      </c>
      <c r="E204" s="108"/>
      <c r="F204" s="127"/>
      <c r="G204" s="128"/>
      <c r="H204" s="292">
        <f t="shared" si="91"/>
        <v>0</v>
      </c>
      <c r="I204" s="129"/>
      <c r="J204" s="130" t="str">
        <f t="array" ref="J204">IF(ISERROR(G204/I204),"",G204/I204)</f>
        <v/>
      </c>
      <c r="K204" s="131">
        <f t="array" ref="K204">IF(ISERROR(G204/L204),"",G204/L204)</f>
        <v>0</v>
      </c>
      <c r="L204" s="129">
        <v>52</v>
      </c>
      <c r="M204" s="109">
        <f t="shared" si="92"/>
        <v>0</v>
      </c>
      <c r="N204" s="130">
        <f t="shared" si="93"/>
        <v>0</v>
      </c>
      <c r="O204" s="221"/>
      <c r="P204" s="221"/>
      <c r="Q204" s="221"/>
      <c r="R204" s="221"/>
      <c r="S204" s="221"/>
      <c r="T204" s="221"/>
      <c r="U204" s="221"/>
      <c r="V204" s="132">
        <f t="shared" si="94"/>
        <v>0</v>
      </c>
      <c r="W204" s="133" t="str">
        <f t="shared" si="95"/>
        <v/>
      </c>
      <c r="X204" s="132"/>
      <c r="Y204" s="132"/>
      <c r="Z204" s="132"/>
      <c r="AA204" s="132"/>
    </row>
    <row r="205" spans="1:27" ht="20.100000000000001" customHeight="1">
      <c r="A205" s="300">
        <v>30100016</v>
      </c>
      <c r="B205" s="218" t="s">
        <v>414</v>
      </c>
      <c r="C205" s="187" t="s">
        <v>415</v>
      </c>
      <c r="D205" s="108">
        <v>5.03</v>
      </c>
      <c r="E205" s="108"/>
      <c r="F205" s="127"/>
      <c r="G205" s="128"/>
      <c r="H205" s="292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221"/>
      <c r="P205" s="221"/>
      <c r="Q205" s="221"/>
      <c r="R205" s="221"/>
      <c r="S205" s="221"/>
      <c r="T205" s="221"/>
      <c r="U205" s="221"/>
      <c r="V205" s="132"/>
      <c r="W205" s="133"/>
      <c r="X205" s="132"/>
      <c r="Y205" s="132"/>
      <c r="Z205" s="132"/>
      <c r="AA205" s="132"/>
    </row>
    <row r="206" spans="1:27" ht="20.100000000000001" customHeight="1">
      <c r="A206" s="300">
        <v>30100017</v>
      </c>
      <c r="B206" s="218" t="s">
        <v>414</v>
      </c>
      <c r="C206" s="187" t="s">
        <v>416</v>
      </c>
      <c r="D206" s="108">
        <v>5.03</v>
      </c>
      <c r="E206" s="108"/>
      <c r="F206" s="127"/>
      <c r="G206" s="128"/>
      <c r="H206" s="292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221"/>
      <c r="P206" s="221"/>
      <c r="Q206" s="221"/>
      <c r="R206" s="221"/>
      <c r="S206" s="221"/>
      <c r="T206" s="221"/>
      <c r="U206" s="221"/>
      <c r="V206" s="132"/>
      <c r="W206" s="133"/>
      <c r="X206" s="132"/>
      <c r="Y206" s="132"/>
      <c r="Z206" s="132"/>
      <c r="AA206" s="132"/>
    </row>
    <row r="207" spans="1:27" ht="20.100000000000001" customHeight="1">
      <c r="A207" s="300">
        <v>30100015</v>
      </c>
      <c r="B207" s="218" t="s">
        <v>414</v>
      </c>
      <c r="C207" s="187" t="s">
        <v>61</v>
      </c>
      <c r="D207" s="108">
        <v>5.03</v>
      </c>
      <c r="E207" s="108"/>
      <c r="F207" s="127"/>
      <c r="G207" s="128"/>
      <c r="H207" s="292">
        <f t="shared" si="91"/>
        <v>0</v>
      </c>
      <c r="I207" s="129"/>
      <c r="J207" s="130"/>
      <c r="K207" s="131"/>
      <c r="L207" s="129">
        <v>52</v>
      </c>
      <c r="M207" s="109"/>
      <c r="N207" s="130"/>
      <c r="O207" s="221"/>
      <c r="P207" s="221"/>
      <c r="Q207" s="221"/>
      <c r="R207" s="221"/>
      <c r="S207" s="221"/>
      <c r="T207" s="221"/>
      <c r="U207" s="221"/>
      <c r="V207" s="132"/>
      <c r="W207" s="133"/>
      <c r="X207" s="132"/>
      <c r="Y207" s="132"/>
      <c r="Z207" s="132"/>
      <c r="AA207" s="132"/>
    </row>
    <row r="208" spans="1:27" ht="20.100000000000001" customHeight="1">
      <c r="A208" s="300">
        <v>30100027</v>
      </c>
      <c r="B208" s="218" t="s">
        <v>208</v>
      </c>
      <c r="C208" s="126" t="s">
        <v>179</v>
      </c>
      <c r="D208" s="108">
        <v>5.08</v>
      </c>
      <c r="E208" s="108"/>
      <c r="F208" s="127"/>
      <c r="G208" s="128"/>
      <c r="H208" s="292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ref="M208:M227" si="96">IF(ISERROR(I208-K208),"",I208-K208)</f>
        <v>0</v>
      </c>
      <c r="N208" s="130">
        <f t="shared" ref="N208:N228" si="97">SUM(O208:U208)</f>
        <v>0</v>
      </c>
      <c r="O208" s="221"/>
      <c r="P208" s="221"/>
      <c r="Q208" s="221"/>
      <c r="R208" s="221"/>
      <c r="S208" s="221"/>
      <c r="T208" s="221"/>
      <c r="U208" s="221"/>
      <c r="V208" s="132">
        <f t="shared" ref="V208:V219" si="98">SUM(X208:AA208)</f>
        <v>0</v>
      </c>
      <c r="W208" s="133" t="str">
        <f t="shared" ref="W208:W219" si="99">IF(ISERROR(V208/G208),"",V208/G208)</f>
        <v/>
      </c>
      <c r="X208" s="132"/>
      <c r="Y208" s="132"/>
      <c r="Z208" s="132"/>
      <c r="AA208" s="132"/>
    </row>
    <row r="209" spans="1:27" ht="20.100000000000001" customHeight="1">
      <c r="A209" s="300">
        <v>30100023</v>
      </c>
      <c r="B209" s="218" t="s">
        <v>208</v>
      </c>
      <c r="C209" s="126" t="s">
        <v>204</v>
      </c>
      <c r="D209" s="108">
        <v>5.08</v>
      </c>
      <c r="E209" s="108"/>
      <c r="F209" s="127"/>
      <c r="G209" s="128"/>
      <c r="H209" s="292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96"/>
        <v>0</v>
      </c>
      <c r="N209" s="130">
        <f t="shared" si="97"/>
        <v>0</v>
      </c>
      <c r="O209" s="221"/>
      <c r="P209" s="221"/>
      <c r="Q209" s="221"/>
      <c r="R209" s="221"/>
      <c r="S209" s="221"/>
      <c r="T209" s="221"/>
      <c r="U209" s="221"/>
      <c r="V209" s="132">
        <f t="shared" si="98"/>
        <v>0</v>
      </c>
      <c r="W209" s="133" t="str">
        <f t="shared" si="99"/>
        <v/>
      </c>
      <c r="X209" s="132"/>
      <c r="Y209" s="132"/>
      <c r="Z209" s="132"/>
      <c r="AA209" s="132"/>
    </row>
    <row r="210" spans="1:27" ht="20.100000000000001" customHeight="1">
      <c r="A210" s="300">
        <v>30100024</v>
      </c>
      <c r="B210" s="218" t="s">
        <v>208</v>
      </c>
      <c r="C210" s="126" t="s">
        <v>205</v>
      </c>
      <c r="D210" s="108">
        <v>5.08</v>
      </c>
      <c r="E210" s="108"/>
      <c r="F210" s="127"/>
      <c r="G210" s="128"/>
      <c r="H210" s="292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96"/>
        <v>0</v>
      </c>
      <c r="N210" s="130">
        <f t="shared" si="97"/>
        <v>0</v>
      </c>
      <c r="O210" s="221"/>
      <c r="P210" s="221"/>
      <c r="Q210" s="221"/>
      <c r="R210" s="221"/>
      <c r="S210" s="221"/>
      <c r="T210" s="221"/>
      <c r="U210" s="221"/>
      <c r="V210" s="132">
        <f t="shared" si="98"/>
        <v>0</v>
      </c>
      <c r="W210" s="133" t="str">
        <f t="shared" si="99"/>
        <v/>
      </c>
      <c r="X210" s="132"/>
      <c r="Y210" s="132"/>
      <c r="Z210" s="132"/>
      <c r="AA210" s="132"/>
    </row>
    <row r="211" spans="1:27" ht="20.100000000000001" customHeight="1">
      <c r="A211" s="300">
        <v>30100022</v>
      </c>
      <c r="B211" s="218" t="s">
        <v>208</v>
      </c>
      <c r="C211" s="126" t="s">
        <v>186</v>
      </c>
      <c r="D211" s="108">
        <v>5.08</v>
      </c>
      <c r="E211" s="108"/>
      <c r="F211" s="127"/>
      <c r="G211" s="128"/>
      <c r="H211" s="226">
        <f t="shared" ref="H211:H229" si="100">D211*G211</f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96"/>
        <v>0</v>
      </c>
      <c r="N211" s="130">
        <f t="shared" si="97"/>
        <v>0</v>
      </c>
      <c r="O211" s="221"/>
      <c r="P211" s="221"/>
      <c r="Q211" s="221"/>
      <c r="R211" s="221"/>
      <c r="S211" s="221"/>
      <c r="T211" s="221"/>
      <c r="U211" s="221"/>
      <c r="V211" s="132">
        <f t="shared" si="98"/>
        <v>0</v>
      </c>
      <c r="W211" s="133" t="str">
        <f t="shared" si="99"/>
        <v/>
      </c>
      <c r="X211" s="132"/>
      <c r="Y211" s="132"/>
      <c r="Z211" s="132"/>
      <c r="AA211" s="132"/>
    </row>
    <row r="212" spans="1:27" ht="20.100000000000001" customHeight="1">
      <c r="A212" s="300">
        <v>30100029</v>
      </c>
      <c r="B212" s="218" t="s">
        <v>208</v>
      </c>
      <c r="C212" s="126" t="s">
        <v>203</v>
      </c>
      <c r="D212" s="108">
        <v>5.08</v>
      </c>
      <c r="E212" s="108"/>
      <c r="F212" s="127"/>
      <c r="G212" s="128"/>
      <c r="H212" s="226">
        <f t="shared" si="100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96"/>
        <v>0</v>
      </c>
      <c r="N212" s="130">
        <f t="shared" si="97"/>
        <v>0</v>
      </c>
      <c r="O212" s="221"/>
      <c r="P212" s="221"/>
      <c r="Q212" s="221"/>
      <c r="R212" s="221"/>
      <c r="S212" s="221"/>
      <c r="T212" s="221"/>
      <c r="U212" s="221"/>
      <c r="V212" s="132">
        <f t="shared" si="98"/>
        <v>0</v>
      </c>
      <c r="W212" s="133" t="str">
        <f t="shared" si="99"/>
        <v/>
      </c>
      <c r="X212" s="132"/>
      <c r="Y212" s="132"/>
      <c r="Z212" s="132"/>
      <c r="AA212" s="132"/>
    </row>
    <row r="213" spans="1:27" ht="20.100000000000001" customHeight="1">
      <c r="A213" s="300">
        <v>30100026</v>
      </c>
      <c r="B213" s="218" t="s">
        <v>208</v>
      </c>
      <c r="C213" s="126" t="s">
        <v>199</v>
      </c>
      <c r="D213" s="108">
        <v>5.08</v>
      </c>
      <c r="E213" s="108"/>
      <c r="F213" s="127"/>
      <c r="G213" s="128"/>
      <c r="H213" s="226">
        <f t="shared" si="100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96"/>
        <v>0</v>
      </c>
      <c r="N213" s="130">
        <f t="shared" si="97"/>
        <v>0</v>
      </c>
      <c r="O213" s="219"/>
      <c r="P213" s="219"/>
      <c r="Q213" s="219"/>
      <c r="R213" s="219"/>
      <c r="S213" s="219"/>
      <c r="T213" s="219"/>
      <c r="U213" s="219"/>
      <c r="V213" s="132">
        <f t="shared" si="98"/>
        <v>0</v>
      </c>
      <c r="W213" s="133" t="str">
        <f t="shared" si="99"/>
        <v/>
      </c>
      <c r="X213" s="132"/>
      <c r="Y213" s="132"/>
      <c r="Z213" s="132"/>
      <c r="AA213" s="132"/>
    </row>
    <row r="214" spans="1:27" ht="20.100000000000001" customHeight="1">
      <c r="A214" s="300">
        <v>30100025</v>
      </c>
      <c r="B214" s="218" t="s">
        <v>208</v>
      </c>
      <c r="C214" s="126" t="s">
        <v>187</v>
      </c>
      <c r="D214" s="108">
        <v>5.08</v>
      </c>
      <c r="E214" s="108"/>
      <c r="F214" s="127"/>
      <c r="G214" s="128"/>
      <c r="H214" s="226">
        <f t="shared" si="100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96"/>
        <v>0</v>
      </c>
      <c r="N214" s="130">
        <f t="shared" si="97"/>
        <v>0</v>
      </c>
      <c r="O214" s="221"/>
      <c r="P214" s="221"/>
      <c r="Q214" s="221"/>
      <c r="R214" s="221"/>
      <c r="S214" s="221"/>
      <c r="T214" s="221"/>
      <c r="U214" s="221"/>
      <c r="V214" s="132">
        <f t="shared" si="98"/>
        <v>0</v>
      </c>
      <c r="W214" s="133" t="str">
        <f t="shared" si="99"/>
        <v/>
      </c>
      <c r="X214" s="132"/>
      <c r="Y214" s="132"/>
      <c r="Z214" s="132"/>
      <c r="AA214" s="132"/>
    </row>
    <row r="215" spans="1:27" ht="20.100000000000001" customHeight="1">
      <c r="A215" s="300">
        <v>30100028</v>
      </c>
      <c r="B215" s="218" t="s">
        <v>208</v>
      </c>
      <c r="C215" s="126" t="s">
        <v>207</v>
      </c>
      <c r="D215" s="108">
        <v>5.08</v>
      </c>
      <c r="E215" s="108"/>
      <c r="F215" s="127"/>
      <c r="G215" s="128"/>
      <c r="H215" s="226">
        <f t="shared" si="100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21</v>
      </c>
      <c r="M215" s="109">
        <f t="shared" si="96"/>
        <v>0</v>
      </c>
      <c r="N215" s="130">
        <f t="shared" si="97"/>
        <v>0</v>
      </c>
      <c r="O215" s="219"/>
      <c r="P215" s="219"/>
      <c r="Q215" s="219"/>
      <c r="R215" s="219"/>
      <c r="S215" s="219"/>
      <c r="T215" s="219"/>
      <c r="U215" s="219"/>
      <c r="V215" s="132">
        <f t="shared" si="98"/>
        <v>0</v>
      </c>
      <c r="W215" s="133" t="str">
        <f t="shared" si="99"/>
        <v/>
      </c>
      <c r="X215" s="132"/>
      <c r="Y215" s="132"/>
      <c r="Z215" s="132"/>
      <c r="AA215" s="132"/>
    </row>
    <row r="216" spans="1:27" ht="20.100000000000001" customHeight="1">
      <c r="A216" s="300">
        <v>30100032</v>
      </c>
      <c r="B216" s="218" t="s">
        <v>209</v>
      </c>
      <c r="C216" s="126" t="s">
        <v>194</v>
      </c>
      <c r="D216" s="108">
        <v>5.03</v>
      </c>
      <c r="E216" s="108"/>
      <c r="F216" s="127"/>
      <c r="G216" s="128"/>
      <c r="H216" s="226">
        <f t="shared" si="100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96"/>
        <v>0</v>
      </c>
      <c r="N216" s="130">
        <f t="shared" si="97"/>
        <v>0</v>
      </c>
      <c r="O216" s="221"/>
      <c r="P216" s="221"/>
      <c r="Q216" s="221"/>
      <c r="R216" s="221"/>
      <c r="S216" s="221"/>
      <c r="T216" s="221"/>
      <c r="U216" s="221"/>
      <c r="V216" s="132">
        <f t="shared" si="98"/>
        <v>0</v>
      </c>
      <c r="W216" s="133" t="str">
        <f t="shared" si="99"/>
        <v/>
      </c>
      <c r="X216" s="132"/>
      <c r="Y216" s="132"/>
      <c r="Z216" s="132"/>
      <c r="AA216" s="132"/>
    </row>
    <row r="217" spans="1:27" ht="20.100000000000001" customHeight="1">
      <c r="A217" s="300">
        <v>30100033</v>
      </c>
      <c r="B217" s="218" t="s">
        <v>209</v>
      </c>
      <c r="C217" s="126" t="s">
        <v>179</v>
      </c>
      <c r="D217" s="108">
        <v>5.03</v>
      </c>
      <c r="E217" s="108"/>
      <c r="F217" s="127"/>
      <c r="G217" s="128"/>
      <c r="H217" s="226">
        <f t="shared" si="100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96"/>
        <v>0</v>
      </c>
      <c r="N217" s="130">
        <f t="shared" si="97"/>
        <v>0</v>
      </c>
      <c r="O217" s="221"/>
      <c r="P217" s="221"/>
      <c r="Q217" s="221"/>
      <c r="R217" s="221"/>
      <c r="S217" s="221"/>
      <c r="T217" s="221"/>
      <c r="U217" s="221"/>
      <c r="V217" s="132">
        <f t="shared" si="98"/>
        <v>0</v>
      </c>
      <c r="W217" s="133" t="str">
        <f t="shared" si="99"/>
        <v/>
      </c>
      <c r="X217" s="132"/>
      <c r="Y217" s="132"/>
      <c r="Z217" s="132"/>
      <c r="AA217" s="132"/>
    </row>
    <row r="218" spans="1:27" ht="20.100000000000001" customHeight="1">
      <c r="A218" s="300">
        <v>30100062</v>
      </c>
      <c r="B218" s="218" t="s">
        <v>209</v>
      </c>
      <c r="C218" s="126" t="s">
        <v>195</v>
      </c>
      <c r="D218" s="108">
        <v>5.03</v>
      </c>
      <c r="E218" s="108"/>
      <c r="F218" s="127"/>
      <c r="G218" s="128"/>
      <c r="H218" s="226">
        <f t="shared" si="100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96"/>
        <v>0</v>
      </c>
      <c r="N218" s="130">
        <f t="shared" si="97"/>
        <v>0</v>
      </c>
      <c r="O218" s="221"/>
      <c r="P218" s="221"/>
      <c r="Q218" s="221"/>
      <c r="R218" s="221"/>
      <c r="S218" s="221"/>
      <c r="T218" s="221"/>
      <c r="U218" s="221"/>
      <c r="V218" s="132">
        <f t="shared" si="98"/>
        <v>0</v>
      </c>
      <c r="W218" s="133" t="str">
        <f t="shared" si="99"/>
        <v/>
      </c>
      <c r="X218" s="132"/>
      <c r="Y218" s="132"/>
      <c r="Z218" s="132"/>
      <c r="AA218" s="132"/>
    </row>
    <row r="219" spans="1:27" ht="20.100000000000001" customHeight="1">
      <c r="A219" s="300">
        <v>30100031</v>
      </c>
      <c r="B219" s="218" t="s">
        <v>209</v>
      </c>
      <c r="C219" s="126" t="s">
        <v>204</v>
      </c>
      <c r="D219" s="108">
        <v>5.03</v>
      </c>
      <c r="E219" s="108"/>
      <c r="F219" s="127"/>
      <c r="G219" s="128"/>
      <c r="H219" s="226">
        <f t="shared" si="100"/>
        <v>0</v>
      </c>
      <c r="I219" s="129"/>
      <c r="J219" s="130" t="str">
        <f t="array" ref="J219">IF(ISERROR(G219/I219),"",G219/I219)</f>
        <v/>
      </c>
      <c r="K219" s="131">
        <f t="array" ref="K219">IF(ISERROR(G219/L219),"",G219/L219)</f>
        <v>0</v>
      </c>
      <c r="L219" s="129">
        <v>56</v>
      </c>
      <c r="M219" s="109">
        <f t="shared" si="96"/>
        <v>0</v>
      </c>
      <c r="N219" s="130">
        <f t="shared" si="97"/>
        <v>0</v>
      </c>
      <c r="O219" s="221"/>
      <c r="P219" s="221"/>
      <c r="Q219" s="221"/>
      <c r="R219" s="221"/>
      <c r="S219" s="221"/>
      <c r="T219" s="221"/>
      <c r="U219" s="221"/>
      <c r="V219" s="132">
        <f t="shared" si="98"/>
        <v>0</v>
      </c>
      <c r="W219" s="133" t="str">
        <f t="shared" si="99"/>
        <v/>
      </c>
      <c r="X219" s="132"/>
      <c r="Y219" s="132"/>
      <c r="Z219" s="132"/>
      <c r="AA219" s="132"/>
    </row>
    <row r="220" spans="1:27" ht="20.100000000000001" customHeight="1">
      <c r="A220" s="300">
        <v>30100019</v>
      </c>
      <c r="B220" s="218" t="s">
        <v>382</v>
      </c>
      <c r="C220" s="187" t="s">
        <v>383</v>
      </c>
      <c r="D220" s="108">
        <v>5.03</v>
      </c>
      <c r="E220" s="108"/>
      <c r="F220" s="127"/>
      <c r="G220" s="128"/>
      <c r="H220" s="226">
        <f t="shared" si="100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96"/>
        <v>0</v>
      </c>
      <c r="N220" s="130">
        <f t="shared" si="97"/>
        <v>0</v>
      </c>
      <c r="O220" s="221"/>
      <c r="P220" s="221"/>
      <c r="Q220" s="221"/>
      <c r="R220" s="221"/>
      <c r="S220" s="221"/>
      <c r="T220" s="221"/>
      <c r="U220" s="221"/>
      <c r="V220" s="132"/>
      <c r="W220" s="133"/>
      <c r="X220" s="132"/>
      <c r="Y220" s="132"/>
      <c r="Z220" s="132"/>
      <c r="AA220" s="132"/>
    </row>
    <row r="221" spans="1:27" ht="20.100000000000001" customHeight="1">
      <c r="A221" s="300">
        <v>30100020</v>
      </c>
      <c r="B221" s="218" t="s">
        <v>382</v>
      </c>
      <c r="C221" s="187" t="s">
        <v>384</v>
      </c>
      <c r="D221" s="108">
        <v>5.03</v>
      </c>
      <c r="E221" s="108"/>
      <c r="F221" s="127"/>
      <c r="G221" s="128"/>
      <c r="H221" s="226">
        <f t="shared" si="100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96"/>
        <v>0</v>
      </c>
      <c r="N221" s="130">
        <f t="shared" si="97"/>
        <v>0</v>
      </c>
      <c r="O221" s="221"/>
      <c r="P221" s="221"/>
      <c r="Q221" s="221"/>
      <c r="R221" s="221"/>
      <c r="S221" s="221"/>
      <c r="T221" s="221"/>
      <c r="U221" s="221"/>
      <c r="V221" s="132"/>
      <c r="W221" s="133"/>
      <c r="X221" s="132"/>
      <c r="Y221" s="132"/>
      <c r="Z221" s="132"/>
      <c r="AA221" s="132"/>
    </row>
    <row r="222" spans="1:27" ht="20.100000000000001" customHeight="1">
      <c r="A222" s="300">
        <v>30100021</v>
      </c>
      <c r="B222" s="218" t="s">
        <v>382</v>
      </c>
      <c r="C222" s="187" t="s">
        <v>389</v>
      </c>
      <c r="D222" s="108">
        <v>5.03</v>
      </c>
      <c r="E222" s="108"/>
      <c r="F222" s="127"/>
      <c r="G222" s="128"/>
      <c r="H222" s="226">
        <f t="shared" si="100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96"/>
        <v>0</v>
      </c>
      <c r="N222" s="130">
        <f t="shared" si="97"/>
        <v>0</v>
      </c>
      <c r="O222" s="221"/>
      <c r="P222" s="221"/>
      <c r="Q222" s="221"/>
      <c r="R222" s="221"/>
      <c r="S222" s="221"/>
      <c r="T222" s="221"/>
      <c r="U222" s="221"/>
      <c r="V222" s="132"/>
      <c r="W222" s="133"/>
      <c r="X222" s="132"/>
      <c r="Y222" s="132"/>
      <c r="Z222" s="132"/>
      <c r="AA222" s="132"/>
    </row>
    <row r="223" spans="1:27" ht="20.100000000000001" customHeight="1">
      <c r="A223" s="300">
        <v>30100018</v>
      </c>
      <c r="B223" s="218" t="s">
        <v>382</v>
      </c>
      <c r="C223" s="187" t="s">
        <v>391</v>
      </c>
      <c r="D223" s="108">
        <v>5.03</v>
      </c>
      <c r="E223" s="108"/>
      <c r="F223" s="127"/>
      <c r="G223" s="128"/>
      <c r="H223" s="226">
        <f t="shared" si="100"/>
        <v>0</v>
      </c>
      <c r="I223" s="129"/>
      <c r="J223" s="130"/>
      <c r="K223" s="131">
        <f t="array" ref="K223">IF(ISERROR(G223/L223),"",G223/L223)</f>
        <v>0</v>
      </c>
      <c r="L223" s="129">
        <v>54</v>
      </c>
      <c r="M223" s="109">
        <f t="shared" si="96"/>
        <v>0</v>
      </c>
      <c r="N223" s="130">
        <f t="shared" si="97"/>
        <v>0</v>
      </c>
      <c r="O223" s="221"/>
      <c r="P223" s="221"/>
      <c r="Q223" s="221"/>
      <c r="R223" s="221"/>
      <c r="S223" s="221"/>
      <c r="T223" s="221"/>
      <c r="U223" s="221"/>
      <c r="V223" s="132"/>
      <c r="W223" s="133"/>
      <c r="X223" s="132"/>
      <c r="Y223" s="132"/>
      <c r="Z223" s="132"/>
      <c r="AA223" s="132"/>
    </row>
    <row r="224" spans="1:27" ht="20.100000000000001" customHeight="1">
      <c r="A224" s="303">
        <v>30700007</v>
      </c>
      <c r="B224" s="230" t="s">
        <v>418</v>
      </c>
      <c r="C224" s="187" t="s">
        <v>364</v>
      </c>
      <c r="D224" s="108">
        <v>5.03</v>
      </c>
      <c r="E224" s="108"/>
      <c r="F224" s="127"/>
      <c r="G224" s="128"/>
      <c r="H224" s="292">
        <f t="shared" si="100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96"/>
        <v>0</v>
      </c>
      <c r="N224" s="130">
        <f t="shared" si="97"/>
        <v>0</v>
      </c>
      <c r="O224" s="221"/>
      <c r="P224" s="221"/>
      <c r="Q224" s="221"/>
      <c r="R224" s="221"/>
      <c r="S224" s="221"/>
      <c r="T224" s="221"/>
      <c r="U224" s="221"/>
      <c r="V224" s="132"/>
      <c r="W224" s="133"/>
      <c r="X224" s="132"/>
      <c r="Y224" s="132"/>
      <c r="Z224" s="132"/>
      <c r="AA224" s="132"/>
    </row>
    <row r="225" spans="1:27" ht="20.100000000000001" customHeight="1">
      <c r="A225" s="303">
        <v>30700006</v>
      </c>
      <c r="B225" s="230" t="s">
        <v>418</v>
      </c>
      <c r="C225" s="187" t="s">
        <v>365</v>
      </c>
      <c r="D225" s="108">
        <v>5.03</v>
      </c>
      <c r="E225" s="108"/>
      <c r="F225" s="127"/>
      <c r="G225" s="128"/>
      <c r="H225" s="292">
        <f t="shared" si="100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96"/>
        <v>0</v>
      </c>
      <c r="N225" s="130">
        <f t="shared" si="97"/>
        <v>0</v>
      </c>
      <c r="O225" s="221"/>
      <c r="P225" s="221"/>
      <c r="Q225" s="221"/>
      <c r="R225" s="221"/>
      <c r="S225" s="221"/>
      <c r="T225" s="221"/>
      <c r="U225" s="221"/>
      <c r="V225" s="132"/>
      <c r="W225" s="133"/>
      <c r="X225" s="132"/>
      <c r="Y225" s="132"/>
      <c r="Z225" s="132"/>
      <c r="AA225" s="132"/>
    </row>
    <row r="226" spans="1:27" ht="20.100000000000001" customHeight="1">
      <c r="A226" s="303">
        <v>30700008</v>
      </c>
      <c r="B226" s="230" t="s">
        <v>418</v>
      </c>
      <c r="C226" s="187" t="s">
        <v>366</v>
      </c>
      <c r="D226" s="108">
        <v>5.03</v>
      </c>
      <c r="E226" s="108"/>
      <c r="F226" s="127"/>
      <c r="G226" s="128"/>
      <c r="H226" s="292">
        <f t="shared" si="100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96"/>
        <v>0</v>
      </c>
      <c r="N226" s="130">
        <f t="shared" si="97"/>
        <v>0</v>
      </c>
      <c r="O226" s="221"/>
      <c r="P226" s="221"/>
      <c r="Q226" s="221"/>
      <c r="R226" s="221"/>
      <c r="S226" s="221"/>
      <c r="T226" s="221"/>
      <c r="U226" s="221"/>
      <c r="V226" s="132"/>
      <c r="W226" s="133"/>
      <c r="X226" s="132"/>
      <c r="Y226" s="132"/>
      <c r="Z226" s="132"/>
      <c r="AA226" s="132"/>
    </row>
    <row r="227" spans="1:27" ht="20.100000000000001" customHeight="1">
      <c r="A227" s="303">
        <v>30700009</v>
      </c>
      <c r="B227" s="230" t="s">
        <v>418</v>
      </c>
      <c r="C227" s="187" t="s">
        <v>367</v>
      </c>
      <c r="D227" s="108">
        <v>5.03</v>
      </c>
      <c r="E227" s="108"/>
      <c r="F227" s="127"/>
      <c r="G227" s="128"/>
      <c r="H227" s="292">
        <f t="shared" si="100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96"/>
        <v>0</v>
      </c>
      <c r="N227" s="130">
        <f t="shared" si="97"/>
        <v>0</v>
      </c>
      <c r="O227" s="221"/>
      <c r="P227" s="221"/>
      <c r="Q227" s="221"/>
      <c r="R227" s="221"/>
      <c r="S227" s="221"/>
      <c r="T227" s="221"/>
      <c r="U227" s="221"/>
      <c r="V227" s="132"/>
      <c r="W227" s="133"/>
      <c r="X227" s="132"/>
      <c r="Y227" s="132"/>
      <c r="Z227" s="132"/>
      <c r="AA227" s="132"/>
    </row>
    <row r="228" spans="1:27" ht="20.10000000000000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/>
      <c r="G228" s="152"/>
      <c r="H228" s="292">
        <f t="shared" si="100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ref="M228:M242" si="101">IF(ISERROR(I228-K228),"",I228-K228)</f>
        <v>0</v>
      </c>
      <c r="N228" s="130">
        <f t="shared" si="97"/>
        <v>0</v>
      </c>
      <c r="O228" s="219"/>
      <c r="P228" s="219"/>
      <c r="Q228" s="219"/>
      <c r="R228" s="219"/>
      <c r="S228" s="219"/>
      <c r="T228" s="219"/>
      <c r="U228" s="219"/>
      <c r="V228" s="132">
        <f t="shared" ref="V228:V237" si="102">SUM(X228:AA228)</f>
        <v>0</v>
      </c>
      <c r="W228" s="133" t="str">
        <f t="shared" ref="W228:W237" si="103">IF(ISERROR(V228/G228),"",V228/G228)</f>
        <v/>
      </c>
      <c r="X228" s="132"/>
      <c r="Y228" s="132"/>
      <c r="Z228" s="132"/>
      <c r="AA228" s="132"/>
    </row>
    <row r="229" spans="1:27" ht="20.10000000000000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/>
      <c r="G229" s="152"/>
      <c r="H229" s="292">
        <f t="shared" si="100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ref="N229:N237" si="104">SUM(O229:U229)</f>
        <v>0</v>
      </c>
      <c r="O229" s="219"/>
      <c r="P229" s="219"/>
      <c r="Q229" s="219"/>
      <c r="R229" s="219"/>
      <c r="S229" s="219"/>
      <c r="T229" s="219"/>
      <c r="U229" s="219"/>
      <c r="V229" s="132">
        <f t="shared" si="102"/>
        <v>0</v>
      </c>
      <c r="W229" s="133" t="str">
        <f t="shared" si="103"/>
        <v/>
      </c>
      <c r="X229" s="132"/>
      <c r="Y229" s="132"/>
      <c r="Z229" s="132"/>
      <c r="AA229" s="132"/>
    </row>
    <row r="230" spans="1:27" ht="20.10000000000000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/>
      <c r="G230" s="152"/>
      <c r="H230" s="226">
        <f t="shared" ref="H230:H256" si="105">D230*G230</f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40</v>
      </c>
      <c r="M230" s="109">
        <f t="shared" si="101"/>
        <v>0</v>
      </c>
      <c r="N230" s="130">
        <f t="shared" si="104"/>
        <v>0</v>
      </c>
      <c r="O230" s="219"/>
      <c r="P230" s="219"/>
      <c r="Q230" s="219"/>
      <c r="R230" s="219"/>
      <c r="S230" s="219"/>
      <c r="T230" s="219"/>
      <c r="U230" s="219"/>
      <c r="V230" s="132">
        <f t="shared" si="102"/>
        <v>0</v>
      </c>
      <c r="W230" s="133" t="str">
        <f t="shared" si="103"/>
        <v/>
      </c>
      <c r="X230" s="132"/>
      <c r="Y230" s="132"/>
      <c r="Z230" s="132"/>
      <c r="AA230" s="132"/>
    </row>
    <row r="231" spans="1:27" ht="20.10000000000000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28"/>
      <c r="H231" s="226">
        <f t="shared" si="105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4"/>
        <v>0</v>
      </c>
      <c r="O231" s="219"/>
      <c r="P231" s="219"/>
      <c r="Q231" s="219"/>
      <c r="R231" s="219"/>
      <c r="S231" s="219"/>
      <c r="T231" s="219"/>
      <c r="U231" s="219"/>
      <c r="V231" s="132">
        <f t="shared" si="102"/>
        <v>0</v>
      </c>
      <c r="W231" s="133" t="str">
        <f t="shared" si="103"/>
        <v/>
      </c>
      <c r="X231" s="132"/>
      <c r="Y231" s="132"/>
      <c r="Z231" s="132"/>
      <c r="AA231" s="132"/>
    </row>
    <row r="232" spans="1:27" ht="20.10000000000000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28"/>
      <c r="H232" s="226">
        <f t="shared" si="105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4"/>
        <v>0</v>
      </c>
      <c r="O232" s="219"/>
      <c r="P232" s="219"/>
      <c r="Q232" s="219"/>
      <c r="R232" s="219"/>
      <c r="S232" s="219"/>
      <c r="T232" s="219"/>
      <c r="U232" s="219"/>
      <c r="V232" s="132">
        <f t="shared" si="102"/>
        <v>0</v>
      </c>
      <c r="W232" s="133" t="str">
        <f t="shared" si="103"/>
        <v/>
      </c>
      <c r="X232" s="132"/>
      <c r="Y232" s="132"/>
      <c r="Z232" s="132"/>
      <c r="AA232" s="132"/>
    </row>
    <row r="233" spans="1:27" ht="20.10000000000000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28"/>
      <c r="H233" s="226">
        <f t="shared" si="105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4"/>
        <v>0</v>
      </c>
      <c r="O233" s="219"/>
      <c r="P233" s="219"/>
      <c r="Q233" s="219"/>
      <c r="R233" s="219"/>
      <c r="S233" s="219"/>
      <c r="T233" s="219"/>
      <c r="U233" s="219"/>
      <c r="V233" s="132">
        <f t="shared" si="102"/>
        <v>0</v>
      </c>
      <c r="W233" s="133" t="str">
        <f t="shared" si="103"/>
        <v/>
      </c>
      <c r="X233" s="132"/>
      <c r="Y233" s="132"/>
      <c r="Z233" s="132"/>
      <c r="AA233" s="132"/>
    </row>
    <row r="234" spans="1:27" ht="20.10000000000000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28"/>
      <c r="H234" s="226">
        <f t="shared" si="105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4"/>
        <v>0</v>
      </c>
      <c r="O234" s="219"/>
      <c r="P234" s="219"/>
      <c r="Q234" s="219"/>
      <c r="R234" s="219"/>
      <c r="S234" s="219"/>
      <c r="T234" s="219"/>
      <c r="U234" s="219"/>
      <c r="V234" s="132">
        <f t="shared" si="102"/>
        <v>0</v>
      </c>
      <c r="W234" s="133" t="str">
        <f t="shared" si="103"/>
        <v/>
      </c>
      <c r="X234" s="132"/>
      <c r="Y234" s="132"/>
      <c r="Z234" s="132"/>
      <c r="AA234" s="132"/>
    </row>
    <row r="235" spans="1:27" ht="20.10000000000000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/>
      <c r="G235" s="128"/>
      <c r="H235" s="226">
        <f t="shared" si="105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4"/>
        <v>0</v>
      </c>
      <c r="O235" s="219"/>
      <c r="P235" s="219"/>
      <c r="Q235" s="219"/>
      <c r="R235" s="219"/>
      <c r="S235" s="219"/>
      <c r="T235" s="219"/>
      <c r="U235" s="219"/>
      <c r="V235" s="132">
        <f t="shared" si="102"/>
        <v>0</v>
      </c>
      <c r="W235" s="133" t="str">
        <f t="shared" si="103"/>
        <v/>
      </c>
      <c r="X235" s="132"/>
      <c r="Y235" s="132"/>
      <c r="Z235" s="132"/>
      <c r="AA235" s="132"/>
    </row>
    <row r="236" spans="1:27" ht="20.10000000000000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/>
      <c r="G236" s="128"/>
      <c r="H236" s="226">
        <f t="shared" si="105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4"/>
        <v>0</v>
      </c>
      <c r="O236" s="219"/>
      <c r="P236" s="219"/>
      <c r="Q236" s="219"/>
      <c r="R236" s="219"/>
      <c r="S236" s="219"/>
      <c r="T236" s="219"/>
      <c r="U236" s="219"/>
      <c r="V236" s="132">
        <f t="shared" si="102"/>
        <v>0</v>
      </c>
      <c r="W236" s="133" t="str">
        <f t="shared" si="103"/>
        <v/>
      </c>
      <c r="X236" s="132"/>
      <c r="Y236" s="132"/>
      <c r="Z236" s="132"/>
      <c r="AA236" s="132"/>
    </row>
    <row r="237" spans="1:27" ht="20.10000000000000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/>
      <c r="G237" s="128"/>
      <c r="H237" s="226">
        <f t="shared" si="105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50</v>
      </c>
      <c r="M237" s="109">
        <f t="shared" si="101"/>
        <v>0</v>
      </c>
      <c r="N237" s="130">
        <f t="shared" si="104"/>
        <v>0</v>
      </c>
      <c r="O237" s="219"/>
      <c r="P237" s="219"/>
      <c r="Q237" s="219"/>
      <c r="R237" s="219"/>
      <c r="S237" s="219"/>
      <c r="T237" s="219"/>
      <c r="U237" s="219"/>
      <c r="V237" s="132">
        <f t="shared" si="102"/>
        <v>0</v>
      </c>
      <c r="W237" s="133" t="str">
        <f t="shared" si="103"/>
        <v/>
      </c>
      <c r="X237" s="132"/>
      <c r="Y237" s="132"/>
      <c r="Z237" s="132"/>
      <c r="AA237" s="132"/>
    </row>
    <row r="238" spans="1:27" ht="20.100000000000001" customHeight="1">
      <c r="A238" s="300">
        <v>30100043</v>
      </c>
      <c r="B238" s="134" t="s">
        <v>430</v>
      </c>
      <c r="C238" s="187" t="s">
        <v>428</v>
      </c>
      <c r="D238" s="108">
        <v>5.03</v>
      </c>
      <c r="E238" s="108"/>
      <c r="F238" s="127"/>
      <c r="G238" s="128"/>
      <c r="H238" s="235">
        <f t="shared" si="105"/>
        <v>0</v>
      </c>
      <c r="I238" s="129"/>
      <c r="J238" s="130"/>
      <c r="K238" s="131"/>
      <c r="L238" s="129">
        <v>50</v>
      </c>
      <c r="M238" s="109"/>
      <c r="N238" s="130"/>
      <c r="O238" s="233"/>
      <c r="P238" s="233"/>
      <c r="Q238" s="233"/>
      <c r="R238" s="233"/>
      <c r="S238" s="233"/>
      <c r="T238" s="233"/>
      <c r="U238" s="233"/>
      <c r="V238" s="132"/>
      <c r="W238" s="133"/>
      <c r="X238" s="132"/>
      <c r="Y238" s="132"/>
      <c r="Z238" s="132"/>
      <c r="AA238" s="132"/>
    </row>
    <row r="239" spans="1:27" ht="20.10000000000000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/>
      <c r="G239" s="128"/>
      <c r="H239" s="226">
        <f t="shared" si="105"/>
        <v>0</v>
      </c>
      <c r="I239" s="129"/>
      <c r="J239" s="130"/>
      <c r="K239" s="131">
        <f t="array" ref="K239">IF(ISERROR(G239/L239),"",G239/L239)</f>
        <v>0</v>
      </c>
      <c r="L239" s="129">
        <v>50</v>
      </c>
      <c r="M239" s="109">
        <f t="shared" si="101"/>
        <v>0</v>
      </c>
      <c r="N239" s="130"/>
      <c r="O239" s="219"/>
      <c r="P239" s="219"/>
      <c r="Q239" s="219"/>
      <c r="R239" s="219"/>
      <c r="S239" s="219"/>
      <c r="T239" s="219"/>
      <c r="U239" s="219"/>
      <c r="V239" s="132"/>
      <c r="W239" s="133"/>
      <c r="X239" s="132"/>
      <c r="Y239" s="132"/>
      <c r="Z239" s="132"/>
      <c r="AA239" s="132"/>
    </row>
    <row r="240" spans="1:27" ht="20.10000000000000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/>
      <c r="G240" s="128"/>
      <c r="H240" s="292">
        <f t="shared" si="105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1"/>
        <v>0</v>
      </c>
      <c r="N240" s="130">
        <f t="shared" ref="N240:N241" si="106">SUM(O240:U240)</f>
        <v>0</v>
      </c>
      <c r="O240" s="219"/>
      <c r="P240" s="219"/>
      <c r="Q240" s="219"/>
      <c r="R240" s="219"/>
      <c r="S240" s="219"/>
      <c r="T240" s="219"/>
      <c r="U240" s="219"/>
      <c r="V240" s="132">
        <f t="shared" ref="V240:V241" si="107">SUM(X240:AA240)</f>
        <v>0</v>
      </c>
      <c r="W240" s="133" t="str">
        <f t="shared" ref="W240:W241" si="108">IF(ISERROR(V240/G240),"",V240/G240)</f>
        <v/>
      </c>
      <c r="X240" s="132"/>
      <c r="Y240" s="132"/>
      <c r="Z240" s="132"/>
      <c r="AA240" s="132"/>
    </row>
    <row r="241" spans="1:27" ht="20.10000000000000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/>
      <c r="G241" s="128"/>
      <c r="H241" s="292">
        <f t="shared" si="105"/>
        <v>0</v>
      </c>
      <c r="I241" s="129"/>
      <c r="J241" s="130" t="str">
        <f t="array" ref="J241">IF(ISERROR(G241/I241),"",G241/I241)</f>
        <v/>
      </c>
      <c r="K241" s="131">
        <f t="array" ref="K241">IF(ISERROR(G241/L241),"",G241/L241)</f>
        <v>0</v>
      </c>
      <c r="L241" s="129">
        <v>21.5</v>
      </c>
      <c r="M241" s="109">
        <f t="shared" si="101"/>
        <v>0</v>
      </c>
      <c r="N241" s="130">
        <f t="shared" si="106"/>
        <v>0</v>
      </c>
      <c r="O241" s="219"/>
      <c r="P241" s="219"/>
      <c r="Q241" s="219"/>
      <c r="R241" s="219"/>
      <c r="S241" s="219"/>
      <c r="T241" s="219"/>
      <c r="U241" s="219"/>
      <c r="V241" s="132">
        <f t="shared" si="107"/>
        <v>0</v>
      </c>
      <c r="W241" s="133" t="str">
        <f t="shared" si="108"/>
        <v/>
      </c>
      <c r="X241" s="132"/>
      <c r="Y241" s="132"/>
      <c r="Z241" s="132"/>
      <c r="AA241" s="132"/>
    </row>
    <row r="242" spans="1:27" ht="20.10000000000000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28"/>
      <c r="H242" s="292">
        <f t="shared" si="105"/>
        <v>0</v>
      </c>
      <c r="I242" s="129"/>
      <c r="J242" s="130"/>
      <c r="K242" s="131"/>
      <c r="L242" s="129"/>
      <c r="M242" s="109">
        <f t="shared" si="101"/>
        <v>0</v>
      </c>
      <c r="N242" s="130"/>
      <c r="O242" s="219"/>
      <c r="P242" s="219"/>
      <c r="Q242" s="219"/>
      <c r="R242" s="219"/>
      <c r="S242" s="219"/>
      <c r="T242" s="219"/>
      <c r="U242" s="219"/>
      <c r="V242" s="132"/>
      <c r="W242" s="133"/>
      <c r="X242" s="132"/>
      <c r="Y242" s="132"/>
      <c r="Z242" s="132"/>
      <c r="AA242" s="132"/>
    </row>
    <row r="243" spans="1:27" ht="20.10000000000000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28"/>
      <c r="H243" s="292">
        <f t="shared" si="105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ref="M243:M250" si="109">IF(ISERROR(I243-K243),"",I243-K243)</f>
        <v/>
      </c>
      <c r="N243" s="130">
        <f t="shared" ref="N243:N246" si="110">SUM(O243:U243)</f>
        <v>0</v>
      </c>
      <c r="O243" s="219"/>
      <c r="P243" s="219"/>
      <c r="Q243" s="219"/>
      <c r="R243" s="219"/>
      <c r="S243" s="219"/>
      <c r="T243" s="219"/>
      <c r="U243" s="219"/>
      <c r="V243" s="132">
        <f t="shared" ref="V243:V246" si="111">SUM(X243:AA243)</f>
        <v>0</v>
      </c>
      <c r="W243" s="133" t="str">
        <f t="shared" ref="W243:W246" si="112">IF(ISERROR(V243/G243),"",V243/G243)</f>
        <v/>
      </c>
      <c r="X243" s="132"/>
      <c r="Y243" s="132"/>
      <c r="Z243" s="132"/>
      <c r="AA243" s="132"/>
    </row>
    <row r="244" spans="1:27" ht="20.10000000000000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28"/>
      <c r="H244" s="292">
        <f t="shared" si="105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9"/>
        <v/>
      </c>
      <c r="N244" s="130">
        <f t="shared" si="110"/>
        <v>0</v>
      </c>
      <c r="O244" s="219"/>
      <c r="P244" s="219"/>
      <c r="Q244" s="219"/>
      <c r="R244" s="219"/>
      <c r="S244" s="219"/>
      <c r="T244" s="219"/>
      <c r="U244" s="219"/>
      <c r="V244" s="132">
        <f t="shared" si="111"/>
        <v>0</v>
      </c>
      <c r="W244" s="133" t="str">
        <f t="shared" si="112"/>
        <v/>
      </c>
      <c r="X244" s="132"/>
      <c r="Y244" s="132"/>
      <c r="Z244" s="132"/>
      <c r="AA244" s="132"/>
    </row>
    <row r="245" spans="1:27" ht="20.10000000000000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28"/>
      <c r="H245" s="292">
        <f t="shared" si="105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9"/>
        <v/>
      </c>
      <c r="N245" s="130">
        <f t="shared" si="110"/>
        <v>0</v>
      </c>
      <c r="O245" s="219"/>
      <c r="P245" s="219"/>
      <c r="Q245" s="219"/>
      <c r="R245" s="219"/>
      <c r="S245" s="219"/>
      <c r="T245" s="219"/>
      <c r="U245" s="219"/>
      <c r="V245" s="132">
        <f t="shared" si="111"/>
        <v>0</v>
      </c>
      <c r="W245" s="133" t="str">
        <f t="shared" si="112"/>
        <v/>
      </c>
      <c r="X245" s="132"/>
      <c r="Y245" s="132"/>
      <c r="Z245" s="132"/>
      <c r="AA245" s="132"/>
    </row>
    <row r="246" spans="1:27" ht="20.10000000000000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28"/>
      <c r="H246" s="292">
        <f t="shared" si="105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9"/>
        <v/>
      </c>
      <c r="N246" s="130">
        <f t="shared" si="110"/>
        <v>0</v>
      </c>
      <c r="O246" s="219"/>
      <c r="P246" s="219"/>
      <c r="Q246" s="219"/>
      <c r="R246" s="219"/>
      <c r="S246" s="219"/>
      <c r="T246" s="219"/>
      <c r="U246" s="219"/>
      <c r="V246" s="132">
        <f t="shared" si="111"/>
        <v>0</v>
      </c>
      <c r="W246" s="133" t="str">
        <f t="shared" si="112"/>
        <v/>
      </c>
      <c r="X246" s="132"/>
      <c r="Y246" s="132"/>
      <c r="Z246" s="132"/>
      <c r="AA246" s="132"/>
    </row>
    <row r="247" spans="1:27" ht="20.10000000000000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28"/>
      <c r="H247" s="292">
        <f t="shared" si="105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9"/>
        <v>0</v>
      </c>
      <c r="N247" s="130"/>
      <c r="O247" s="219"/>
      <c r="P247" s="219"/>
      <c r="Q247" s="219"/>
      <c r="R247" s="219"/>
      <c r="S247" s="219"/>
      <c r="T247" s="219"/>
      <c r="U247" s="219"/>
      <c r="V247" s="132"/>
      <c r="W247" s="133"/>
      <c r="X247" s="132"/>
      <c r="Y247" s="132"/>
      <c r="Z247" s="132"/>
      <c r="AA247" s="132"/>
    </row>
    <row r="248" spans="1:27" ht="20.10000000000000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28"/>
      <c r="H248" s="292">
        <f t="shared" si="105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9"/>
        <v>0</v>
      </c>
      <c r="N248" s="130"/>
      <c r="O248" s="219"/>
      <c r="P248" s="219"/>
      <c r="Q248" s="219"/>
      <c r="R248" s="219"/>
      <c r="S248" s="219"/>
      <c r="T248" s="219"/>
      <c r="U248" s="219"/>
      <c r="V248" s="132"/>
      <c r="W248" s="133"/>
      <c r="X248" s="132"/>
      <c r="Y248" s="132"/>
      <c r="Z248" s="132"/>
      <c r="AA248" s="132"/>
    </row>
    <row r="249" spans="1:27" ht="20.10000000000000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28"/>
      <c r="H249" s="292">
        <f t="shared" si="105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9"/>
        <v>0</v>
      </c>
      <c r="N249" s="130"/>
      <c r="O249" s="219"/>
      <c r="P249" s="219"/>
      <c r="Q249" s="219"/>
      <c r="R249" s="219"/>
      <c r="S249" s="219"/>
      <c r="T249" s="219"/>
      <c r="U249" s="219"/>
      <c r="V249" s="132"/>
      <c r="W249" s="133"/>
      <c r="X249" s="132"/>
      <c r="Y249" s="132"/>
      <c r="Z249" s="132"/>
      <c r="AA249" s="132"/>
    </row>
    <row r="250" spans="1:27" ht="20.10000000000000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28"/>
      <c r="H250" s="292">
        <f t="shared" si="105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9"/>
        <v>0</v>
      </c>
      <c r="N250" s="130"/>
      <c r="O250" s="219"/>
      <c r="P250" s="219"/>
      <c r="Q250" s="219"/>
      <c r="R250" s="219"/>
      <c r="S250" s="219"/>
      <c r="T250" s="219"/>
      <c r="U250" s="219"/>
      <c r="V250" s="132"/>
      <c r="W250" s="133"/>
      <c r="X250" s="132"/>
      <c r="Y250" s="132"/>
      <c r="Z250" s="132"/>
      <c r="AA250" s="132"/>
    </row>
    <row r="251" spans="1:27" ht="20.10000000000000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28"/>
      <c r="H251" s="292">
        <f t="shared" si="105"/>
        <v>0</v>
      </c>
      <c r="I251" s="129"/>
      <c r="J251" s="130"/>
      <c r="K251" s="131"/>
      <c r="L251" s="129">
        <v>4</v>
      </c>
      <c r="M251" s="109"/>
      <c r="N251" s="130"/>
      <c r="O251" s="219"/>
      <c r="P251" s="219"/>
      <c r="Q251" s="219"/>
      <c r="R251" s="219"/>
      <c r="S251" s="219"/>
      <c r="T251" s="219"/>
      <c r="U251" s="219"/>
      <c r="V251" s="132"/>
      <c r="W251" s="133"/>
      <c r="X251" s="132"/>
      <c r="Y251" s="132"/>
      <c r="Z251" s="132"/>
      <c r="AA251" s="132"/>
    </row>
    <row r="252" spans="1:27" ht="20.10000000000000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28"/>
      <c r="H252" s="292">
        <f t="shared" si="105"/>
        <v>0</v>
      </c>
      <c r="I252" s="129"/>
      <c r="J252" s="130"/>
      <c r="K252" s="131"/>
      <c r="L252" s="129">
        <v>4</v>
      </c>
      <c r="M252" s="109"/>
      <c r="N252" s="130"/>
      <c r="O252" s="219"/>
      <c r="P252" s="219"/>
      <c r="Q252" s="219"/>
      <c r="R252" s="219"/>
      <c r="S252" s="219"/>
      <c r="T252" s="219"/>
      <c r="U252" s="219"/>
      <c r="V252" s="132"/>
      <c r="W252" s="133"/>
      <c r="X252" s="132"/>
      <c r="Y252" s="132"/>
      <c r="Z252" s="132"/>
      <c r="AA252" s="132"/>
    </row>
    <row r="253" spans="1:27" ht="20.10000000000000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28"/>
      <c r="H253" s="292">
        <f t="shared" si="105"/>
        <v>0</v>
      </c>
      <c r="I253" s="129"/>
      <c r="J253" s="130"/>
      <c r="K253" s="131"/>
      <c r="L253" s="129">
        <v>4</v>
      </c>
      <c r="M253" s="109"/>
      <c r="N253" s="130"/>
      <c r="O253" s="219"/>
      <c r="P253" s="219"/>
      <c r="Q253" s="219"/>
      <c r="R253" s="219"/>
      <c r="S253" s="219"/>
      <c r="T253" s="219"/>
      <c r="U253" s="219"/>
      <c r="V253" s="132"/>
      <c r="W253" s="133"/>
      <c r="X253" s="132"/>
      <c r="Y253" s="132"/>
      <c r="Z253" s="132"/>
      <c r="AA253" s="132"/>
    </row>
    <row r="254" spans="1:27" ht="20.10000000000000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28"/>
      <c r="H254" s="292">
        <f t="shared" si="105"/>
        <v>0</v>
      </c>
      <c r="I254" s="129"/>
      <c r="J254" s="130"/>
      <c r="K254" s="131"/>
      <c r="L254" s="129">
        <v>4</v>
      </c>
      <c r="M254" s="109"/>
      <c r="N254" s="130"/>
      <c r="O254" s="219"/>
      <c r="P254" s="219"/>
      <c r="Q254" s="219"/>
      <c r="R254" s="219"/>
      <c r="S254" s="219"/>
      <c r="T254" s="219"/>
      <c r="U254" s="219"/>
      <c r="V254" s="132"/>
      <c r="W254" s="133"/>
      <c r="X254" s="132"/>
      <c r="Y254" s="132"/>
      <c r="Z254" s="132"/>
      <c r="AA254" s="132"/>
    </row>
    <row r="255" spans="1:27" ht="20.10000000000000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28"/>
      <c r="H255" s="292">
        <f t="shared" si="105"/>
        <v>0</v>
      </c>
      <c r="I255" s="129"/>
      <c r="J255" s="130"/>
      <c r="K255" s="131"/>
      <c r="L255" s="129">
        <v>4</v>
      </c>
      <c r="M255" s="109"/>
      <c r="N255" s="130"/>
      <c r="O255" s="219"/>
      <c r="P255" s="219"/>
      <c r="Q255" s="219"/>
      <c r="R255" s="219"/>
      <c r="S255" s="219"/>
      <c r="T255" s="219"/>
      <c r="U255" s="219"/>
      <c r="V255" s="132"/>
      <c r="W255" s="133"/>
      <c r="X255" s="132"/>
      <c r="Y255" s="132"/>
      <c r="Z255" s="132"/>
      <c r="AA255" s="132"/>
    </row>
    <row r="256" spans="1:27" ht="20.10000000000000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28"/>
      <c r="H256" s="292">
        <f t="shared" si="105"/>
        <v>0</v>
      </c>
      <c r="I256" s="129"/>
      <c r="J256" s="130"/>
      <c r="K256" s="131"/>
      <c r="L256" s="129">
        <v>4</v>
      </c>
      <c r="M256" s="109"/>
      <c r="N256" s="130"/>
      <c r="O256" s="219"/>
      <c r="P256" s="219"/>
      <c r="Q256" s="219"/>
      <c r="R256" s="219"/>
      <c r="S256" s="219"/>
      <c r="T256" s="219"/>
      <c r="U256" s="219"/>
      <c r="V256" s="132"/>
      <c r="W256" s="133"/>
      <c r="X256" s="132"/>
      <c r="Y256" s="132"/>
      <c r="Z256" s="132"/>
      <c r="AA256" s="132"/>
    </row>
    <row r="257" spans="1:27" ht="20.100000000000001" customHeight="1">
      <c r="A257" s="589" t="s">
        <v>216</v>
      </c>
      <c r="B257" s="589"/>
      <c r="C257" s="224" t="s">
        <v>202</v>
      </c>
      <c r="D257" s="143"/>
      <c r="E257" s="143"/>
      <c r="F257" s="144"/>
      <c r="G257" s="145">
        <f>SUM(G200:G256)</f>
        <v>0</v>
      </c>
      <c r="H257" s="146">
        <f>SUM(H200:H256)</f>
        <v>0</v>
      </c>
      <c r="I257" s="146">
        <f>SUM(I200:I256)</f>
        <v>0</v>
      </c>
      <c r="J257" s="130" t="str">
        <f t="array" ref="J257">IF(ISERROR(G257/I257),"",G257/I257)</f>
        <v/>
      </c>
      <c r="K257" s="146">
        <f>SUM(K200:K256)</f>
        <v>0</v>
      </c>
      <c r="L257" s="147"/>
      <c r="M257" s="150">
        <f t="shared" ref="M257:V257" si="113">SUM(M200:M256)</f>
        <v>0</v>
      </c>
      <c r="N257" s="146">
        <f t="shared" si="113"/>
        <v>0</v>
      </c>
      <c r="O257" s="148">
        <f t="shared" si="113"/>
        <v>0</v>
      </c>
      <c r="P257" s="148">
        <f t="shared" si="113"/>
        <v>0</v>
      </c>
      <c r="Q257" s="148">
        <f t="shared" si="113"/>
        <v>0</v>
      </c>
      <c r="R257" s="148">
        <f t="shared" si="113"/>
        <v>0</v>
      </c>
      <c r="S257" s="148">
        <f t="shared" si="113"/>
        <v>0</v>
      </c>
      <c r="T257" s="148">
        <f t="shared" si="113"/>
        <v>0</v>
      </c>
      <c r="U257" s="148">
        <f t="shared" si="113"/>
        <v>0</v>
      </c>
      <c r="V257" s="149">
        <f t="shared" si="113"/>
        <v>0</v>
      </c>
      <c r="W257" s="133" t="str">
        <f t="shared" ref="W257:W264" si="114">IF(ISERROR(V257/G257),"",V257/G257)</f>
        <v/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customHeight="1">
      <c r="A258" s="299">
        <v>30400012</v>
      </c>
      <c r="B258" s="218" t="s">
        <v>217</v>
      </c>
      <c r="C258" s="126" t="s">
        <v>179</v>
      </c>
      <c r="D258" s="108">
        <v>5.03</v>
      </c>
      <c r="E258" s="108"/>
      <c r="F258" s="127"/>
      <c r="G258" s="128"/>
      <c r="H258" s="226">
        <f t="shared" ref="H258:H288" si="115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6">IF(ISERROR(I258-K258),"",I258-K258)</f>
        <v>0</v>
      </c>
      <c r="N258" s="130">
        <f t="shared" ref="N258:N265" si="117">SUM(O258:U258)</f>
        <v>0</v>
      </c>
      <c r="O258" s="219"/>
      <c r="P258" s="219"/>
      <c r="Q258" s="219"/>
      <c r="R258" s="219"/>
      <c r="S258" s="219"/>
      <c r="T258" s="219"/>
      <c r="U258" s="219"/>
      <c r="V258" s="132">
        <f t="shared" ref="V258:V264" si="118">SUM(X258:AA258)</f>
        <v>0</v>
      </c>
      <c r="W258" s="133" t="str">
        <f t="shared" si="114"/>
        <v/>
      </c>
      <c r="X258" s="132"/>
      <c r="Y258" s="132"/>
      <c r="Z258" s="132"/>
      <c r="AA258" s="132"/>
    </row>
    <row r="259" spans="1:27" ht="20.100000000000001" customHeight="1">
      <c r="A259" s="299">
        <v>30400010</v>
      </c>
      <c r="B259" s="218" t="s">
        <v>217</v>
      </c>
      <c r="C259" s="126" t="s">
        <v>186</v>
      </c>
      <c r="D259" s="108">
        <v>5.03</v>
      </c>
      <c r="E259" s="108"/>
      <c r="F259" s="127"/>
      <c r="G259" s="128"/>
      <c r="H259" s="226">
        <f t="shared" si="115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6"/>
        <v>0</v>
      </c>
      <c r="N259" s="130">
        <f t="shared" si="117"/>
        <v>0</v>
      </c>
      <c r="O259" s="219"/>
      <c r="P259" s="219"/>
      <c r="Q259" s="219"/>
      <c r="R259" s="219"/>
      <c r="S259" s="219"/>
      <c r="T259" s="219"/>
      <c r="U259" s="219"/>
      <c r="V259" s="132">
        <f t="shared" si="118"/>
        <v>0</v>
      </c>
      <c r="W259" s="133" t="str">
        <f t="shared" si="114"/>
        <v/>
      </c>
      <c r="X259" s="132"/>
      <c r="Y259" s="132"/>
      <c r="Z259" s="132"/>
      <c r="AA259" s="132"/>
    </row>
    <row r="260" spans="1:27" ht="20.100000000000001" customHeight="1">
      <c r="A260" s="299">
        <v>30400011</v>
      </c>
      <c r="B260" s="218" t="s">
        <v>217</v>
      </c>
      <c r="C260" s="126" t="s">
        <v>204</v>
      </c>
      <c r="D260" s="108">
        <v>5.03</v>
      </c>
      <c r="E260" s="108"/>
      <c r="F260" s="127"/>
      <c r="G260" s="128"/>
      <c r="H260" s="226">
        <f t="shared" si="115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8.8000000000000007</v>
      </c>
      <c r="M260" s="109">
        <f t="shared" si="116"/>
        <v>0</v>
      </c>
      <c r="N260" s="130">
        <f t="shared" si="117"/>
        <v>0</v>
      </c>
      <c r="O260" s="219"/>
      <c r="P260" s="219"/>
      <c r="Q260" s="219"/>
      <c r="R260" s="219"/>
      <c r="S260" s="219"/>
      <c r="T260" s="219"/>
      <c r="U260" s="219"/>
      <c r="V260" s="132">
        <f t="shared" si="118"/>
        <v>0</v>
      </c>
      <c r="W260" s="133" t="str">
        <f t="shared" si="114"/>
        <v/>
      </c>
      <c r="X260" s="132"/>
      <c r="Y260" s="132"/>
      <c r="Z260" s="132"/>
      <c r="AA260" s="132"/>
    </row>
    <row r="261" spans="1:27" ht="20.10000000000000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28"/>
      <c r="H261" s="226">
        <f t="shared" si="115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6"/>
        <v>0</v>
      </c>
      <c r="N261" s="130">
        <f t="shared" si="117"/>
        <v>0</v>
      </c>
      <c r="O261" s="219"/>
      <c r="P261" s="219"/>
      <c r="Q261" s="219"/>
      <c r="R261" s="219"/>
      <c r="S261" s="219"/>
      <c r="T261" s="219"/>
      <c r="U261" s="219"/>
      <c r="V261" s="132">
        <f t="shared" si="118"/>
        <v>0</v>
      </c>
      <c r="W261" s="133" t="str">
        <f t="shared" si="114"/>
        <v/>
      </c>
      <c r="X261" s="132"/>
      <c r="Y261" s="132"/>
      <c r="Z261" s="132"/>
      <c r="AA261" s="132"/>
    </row>
    <row r="262" spans="1:27" ht="20.10000000000000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/>
      <c r="G262" s="128"/>
      <c r="H262" s="226">
        <f t="shared" si="115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6"/>
        <v>0</v>
      </c>
      <c r="N262" s="130">
        <f t="shared" si="117"/>
        <v>0</v>
      </c>
      <c r="O262" s="219"/>
      <c r="P262" s="219"/>
      <c r="Q262" s="219"/>
      <c r="R262" s="219"/>
      <c r="S262" s="219"/>
      <c r="T262" s="219"/>
      <c r="U262" s="219"/>
      <c r="V262" s="132">
        <f t="shared" si="118"/>
        <v>0</v>
      </c>
      <c r="W262" s="133" t="str">
        <f t="shared" si="114"/>
        <v/>
      </c>
      <c r="X262" s="132"/>
      <c r="Y262" s="132"/>
      <c r="Z262" s="132"/>
      <c r="AA262" s="132"/>
    </row>
    <row r="263" spans="1:27" ht="20.10000000000000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/>
      <c r="G263" s="128"/>
      <c r="H263" s="226">
        <f t="shared" si="115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6"/>
        <v>0</v>
      </c>
      <c r="N263" s="130">
        <f t="shared" si="117"/>
        <v>0</v>
      </c>
      <c r="O263" s="219"/>
      <c r="P263" s="219"/>
      <c r="Q263" s="219"/>
      <c r="R263" s="219"/>
      <c r="S263" s="219"/>
      <c r="T263" s="219"/>
      <c r="U263" s="219"/>
      <c r="V263" s="132">
        <f t="shared" si="118"/>
        <v>0</v>
      </c>
      <c r="W263" s="133" t="str">
        <f t="shared" si="114"/>
        <v/>
      </c>
      <c r="X263" s="132"/>
      <c r="Y263" s="132"/>
      <c r="Z263" s="132"/>
      <c r="AA263" s="132"/>
    </row>
    <row r="264" spans="1:27" ht="20.10000000000000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/>
      <c r="G264" s="128"/>
      <c r="H264" s="226">
        <f t="shared" si="115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9.3000000000000007</v>
      </c>
      <c r="M264" s="109">
        <f t="shared" si="116"/>
        <v>0</v>
      </c>
      <c r="N264" s="130">
        <f t="shared" si="117"/>
        <v>0</v>
      </c>
      <c r="O264" s="219"/>
      <c r="P264" s="219"/>
      <c r="Q264" s="219"/>
      <c r="R264" s="219"/>
      <c r="S264" s="219"/>
      <c r="T264" s="219"/>
      <c r="U264" s="219"/>
      <c r="V264" s="132">
        <f t="shared" si="118"/>
        <v>0</v>
      </c>
      <c r="W264" s="133" t="str">
        <f t="shared" si="114"/>
        <v/>
      </c>
      <c r="X264" s="132"/>
      <c r="Y264" s="132"/>
      <c r="Z264" s="132"/>
      <c r="AA264" s="132"/>
    </row>
    <row r="265" spans="1:27" ht="20.10000000000000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/>
      <c r="G265" s="128"/>
      <c r="H265" s="226">
        <f t="shared" si="115"/>
        <v>0</v>
      </c>
      <c r="I265" s="129"/>
      <c r="J265" s="130"/>
      <c r="K265" s="131">
        <f t="array" ref="K265">IF(ISERROR(G265/L265),"",G265/L265)</f>
        <v>0</v>
      </c>
      <c r="L265" s="129">
        <v>9.3000000000000007</v>
      </c>
      <c r="M265" s="109">
        <f t="shared" si="116"/>
        <v>0</v>
      </c>
      <c r="N265" s="130">
        <f t="shared" si="117"/>
        <v>0</v>
      </c>
      <c r="O265" s="219"/>
      <c r="P265" s="219"/>
      <c r="Q265" s="219"/>
      <c r="R265" s="219"/>
      <c r="S265" s="219"/>
      <c r="T265" s="219"/>
      <c r="U265" s="219"/>
      <c r="V265" s="132"/>
      <c r="W265" s="133"/>
      <c r="X265" s="132"/>
      <c r="Y265" s="132"/>
      <c r="Z265" s="132"/>
      <c r="AA265" s="132"/>
    </row>
    <row r="266" spans="1:27" ht="20.10000000000000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52"/>
      <c r="H266" s="226">
        <f t="shared" si="115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219"/>
      <c r="P266" s="219"/>
      <c r="Q266" s="219"/>
      <c r="R266" s="219"/>
      <c r="S266" s="219"/>
      <c r="T266" s="219"/>
      <c r="U266" s="219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28"/>
      <c r="H267" s="226">
        <f t="shared" si="115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219"/>
      <c r="P267" s="219"/>
      <c r="Q267" s="219"/>
      <c r="R267" s="219"/>
      <c r="S267" s="219"/>
      <c r="T267" s="219"/>
      <c r="U267" s="219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28"/>
      <c r="H268" s="226">
        <f t="shared" si="115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219"/>
      <c r="P268" s="219"/>
      <c r="Q268" s="219"/>
      <c r="R268" s="219"/>
      <c r="S268" s="219"/>
      <c r="T268" s="219"/>
      <c r="U268" s="219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28"/>
      <c r="H269" s="226">
        <f t="shared" si="115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219"/>
      <c r="P269" s="219"/>
      <c r="Q269" s="219"/>
      <c r="R269" s="219"/>
      <c r="S269" s="219"/>
      <c r="T269" s="219"/>
      <c r="U269" s="219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28"/>
      <c r="H270" s="226">
        <f t="shared" si="115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5" si="119">IF(ISERROR(I270-K270),"",I270-K270)</f>
        <v>0</v>
      </c>
      <c r="N270" s="130">
        <f t="shared" ref="N270:N285" si="120">SUM(O270:U270)</f>
        <v>0</v>
      </c>
      <c r="O270" s="219"/>
      <c r="P270" s="219"/>
      <c r="Q270" s="219"/>
      <c r="R270" s="219"/>
      <c r="S270" s="219"/>
      <c r="T270" s="219"/>
      <c r="U270" s="219"/>
      <c r="V270" s="132">
        <f t="shared" ref="V270:V273" si="121">SUM(X270:AA270)</f>
        <v>0</v>
      </c>
      <c r="W270" s="133" t="str">
        <f t="shared" ref="W270:W277" si="122">IF(ISERROR(V270/G270),"",V270/G270)</f>
        <v/>
      </c>
      <c r="X270" s="132"/>
      <c r="Y270" s="132"/>
      <c r="Z270" s="132"/>
      <c r="AA270" s="132"/>
    </row>
    <row r="271" spans="1:27" ht="20.10000000000000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28"/>
      <c r="H271" s="226">
        <f t="shared" si="115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19"/>
        <v/>
      </c>
      <c r="N271" s="130">
        <f t="shared" si="120"/>
        <v>0</v>
      </c>
      <c r="O271" s="219"/>
      <c r="P271" s="219"/>
      <c r="Q271" s="219"/>
      <c r="R271" s="219"/>
      <c r="S271" s="219"/>
      <c r="T271" s="219"/>
      <c r="U271" s="219"/>
      <c r="V271" s="132">
        <f t="shared" si="121"/>
        <v>0</v>
      </c>
      <c r="W271" s="133" t="str">
        <f t="shared" si="122"/>
        <v/>
      </c>
      <c r="X271" s="132"/>
      <c r="Y271" s="132"/>
      <c r="Z271" s="132"/>
      <c r="AA271" s="132"/>
    </row>
    <row r="272" spans="1:27" ht="20.10000000000000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28"/>
      <c r="H272" s="226">
        <f t="shared" si="115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19"/>
        <v/>
      </c>
      <c r="N272" s="130">
        <f t="shared" si="120"/>
        <v>0</v>
      </c>
      <c r="O272" s="219"/>
      <c r="P272" s="219"/>
      <c r="Q272" s="219"/>
      <c r="R272" s="219"/>
      <c r="S272" s="219"/>
      <c r="T272" s="219"/>
      <c r="U272" s="219"/>
      <c r="V272" s="132">
        <f t="shared" si="121"/>
        <v>0</v>
      </c>
      <c r="W272" s="133" t="str">
        <f t="shared" si="122"/>
        <v/>
      </c>
      <c r="X272" s="132"/>
      <c r="Y272" s="132"/>
      <c r="Z272" s="132"/>
      <c r="AA272" s="132"/>
    </row>
    <row r="273" spans="1:27" ht="20.10000000000000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28"/>
      <c r="H273" s="226">
        <f t="shared" si="115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19"/>
        <v/>
      </c>
      <c r="N273" s="130">
        <f t="shared" si="120"/>
        <v>0</v>
      </c>
      <c r="O273" s="219"/>
      <c r="P273" s="219"/>
      <c r="Q273" s="219"/>
      <c r="R273" s="219"/>
      <c r="S273" s="219"/>
      <c r="T273" s="219"/>
      <c r="U273" s="219"/>
      <c r="V273" s="132">
        <f t="shared" si="121"/>
        <v>0</v>
      </c>
      <c r="W273" s="133" t="str">
        <f t="shared" si="122"/>
        <v/>
      </c>
      <c r="X273" s="132"/>
      <c r="Y273" s="132"/>
      <c r="Z273" s="132"/>
      <c r="AA273" s="132"/>
    </row>
    <row r="274" spans="1:27" ht="20.100000000000001" customHeight="1">
      <c r="A274" s="304">
        <v>30600005</v>
      </c>
      <c r="B274" s="218" t="s">
        <v>222</v>
      </c>
      <c r="C274" s="126" t="s">
        <v>181</v>
      </c>
      <c r="D274" s="108">
        <v>9.36</v>
      </c>
      <c r="E274" s="108"/>
      <c r="F274" s="127"/>
      <c r="G274" s="128"/>
      <c r="H274" s="226">
        <f t="shared" si="115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19"/>
        <v>0</v>
      </c>
      <c r="N274" s="130">
        <f t="shared" si="120"/>
        <v>0</v>
      </c>
      <c r="O274" s="219"/>
      <c r="P274" s="219"/>
      <c r="Q274" s="219"/>
      <c r="R274" s="219"/>
      <c r="S274" s="219"/>
      <c r="T274" s="219"/>
      <c r="U274" s="219"/>
      <c r="V274" s="132">
        <f t="shared" ref="V274:V277" si="123">SUM(X274:AA274)</f>
        <v>0</v>
      </c>
      <c r="W274" s="133" t="str">
        <f t="shared" si="122"/>
        <v/>
      </c>
      <c r="X274" s="132"/>
      <c r="Y274" s="132"/>
      <c r="Z274" s="132"/>
      <c r="AA274" s="132"/>
    </row>
    <row r="275" spans="1:27" ht="20.100000000000001" customHeight="1">
      <c r="A275" s="304">
        <v>30600008</v>
      </c>
      <c r="B275" s="218" t="s">
        <v>222</v>
      </c>
      <c r="C275" s="126" t="s">
        <v>179</v>
      </c>
      <c r="D275" s="108">
        <v>9.36</v>
      </c>
      <c r="E275" s="108"/>
      <c r="F275" s="127"/>
      <c r="G275" s="128"/>
      <c r="H275" s="226">
        <f t="shared" si="115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19"/>
        <v>0</v>
      </c>
      <c r="N275" s="130">
        <f t="shared" si="120"/>
        <v>0</v>
      </c>
      <c r="O275" s="219"/>
      <c r="P275" s="219"/>
      <c r="Q275" s="219"/>
      <c r="R275" s="219"/>
      <c r="S275" s="219"/>
      <c r="T275" s="219"/>
      <c r="U275" s="219"/>
      <c r="V275" s="132">
        <f t="shared" si="123"/>
        <v>0</v>
      </c>
      <c r="W275" s="133" t="str">
        <f t="shared" si="122"/>
        <v/>
      </c>
      <c r="X275" s="132"/>
      <c r="Y275" s="132"/>
      <c r="Z275" s="132"/>
      <c r="AA275" s="132"/>
    </row>
    <row r="276" spans="1:27" ht="20.100000000000001" customHeight="1">
      <c r="A276" s="304">
        <v>30600007</v>
      </c>
      <c r="B276" s="218" t="s">
        <v>222</v>
      </c>
      <c r="C276" s="126" t="s">
        <v>221</v>
      </c>
      <c r="D276" s="108">
        <v>9.36</v>
      </c>
      <c r="E276" s="108"/>
      <c r="F276" s="127"/>
      <c r="G276" s="128"/>
      <c r="H276" s="226">
        <f t="shared" si="115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19"/>
        <v>0</v>
      </c>
      <c r="N276" s="130">
        <f t="shared" si="120"/>
        <v>0</v>
      </c>
      <c r="O276" s="219"/>
      <c r="P276" s="219"/>
      <c r="Q276" s="219"/>
      <c r="R276" s="219"/>
      <c r="S276" s="219"/>
      <c r="T276" s="219"/>
      <c r="U276" s="219"/>
      <c r="V276" s="132">
        <f t="shared" si="123"/>
        <v>0</v>
      </c>
      <c r="W276" s="133" t="str">
        <f t="shared" si="122"/>
        <v/>
      </c>
      <c r="X276" s="132"/>
      <c r="Y276" s="132"/>
      <c r="Z276" s="132"/>
      <c r="AA276" s="132"/>
    </row>
    <row r="277" spans="1:27" ht="20.100000000000001" customHeight="1">
      <c r="A277" s="304">
        <v>30600006</v>
      </c>
      <c r="B277" s="218" t="s">
        <v>222</v>
      </c>
      <c r="C277" s="126" t="s">
        <v>186</v>
      </c>
      <c r="D277" s="108">
        <v>9.36</v>
      </c>
      <c r="E277" s="108"/>
      <c r="F277" s="127"/>
      <c r="G277" s="128"/>
      <c r="H277" s="226">
        <f t="shared" si="115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19"/>
        <v>0</v>
      </c>
      <c r="N277" s="130">
        <f t="shared" si="120"/>
        <v>0</v>
      </c>
      <c r="O277" s="219"/>
      <c r="P277" s="219"/>
      <c r="Q277" s="219"/>
      <c r="R277" s="219"/>
      <c r="S277" s="219"/>
      <c r="T277" s="219"/>
      <c r="U277" s="219"/>
      <c r="V277" s="132">
        <f t="shared" si="123"/>
        <v>0</v>
      </c>
      <c r="W277" s="133" t="str">
        <f t="shared" si="122"/>
        <v/>
      </c>
      <c r="X277" s="132"/>
      <c r="Y277" s="132"/>
      <c r="Z277" s="132"/>
      <c r="AA277" s="132"/>
    </row>
    <row r="278" spans="1:27" ht="20.100000000000001" customHeight="1">
      <c r="A278" s="299">
        <v>30400026</v>
      </c>
      <c r="B278" s="218" t="s">
        <v>393</v>
      </c>
      <c r="C278" s="187" t="s">
        <v>395</v>
      </c>
      <c r="D278" s="108">
        <v>5</v>
      </c>
      <c r="E278" s="108"/>
      <c r="F278" s="127"/>
      <c r="G278" s="128"/>
      <c r="H278" s="226">
        <f t="shared" si="115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19"/>
        <v>0</v>
      </c>
      <c r="N278" s="130">
        <f t="shared" si="120"/>
        <v>0</v>
      </c>
      <c r="O278" s="219"/>
      <c r="P278" s="219"/>
      <c r="Q278" s="219"/>
      <c r="R278" s="219"/>
      <c r="S278" s="219"/>
      <c r="T278" s="219"/>
      <c r="U278" s="219"/>
      <c r="V278" s="132"/>
      <c r="W278" s="133"/>
      <c r="X278" s="132"/>
      <c r="Y278" s="132"/>
      <c r="Z278" s="132"/>
      <c r="AA278" s="132"/>
    </row>
    <row r="279" spans="1:27" ht="20.100000000000001" customHeight="1">
      <c r="A279" s="299">
        <v>30400028</v>
      </c>
      <c r="B279" s="218" t="s">
        <v>393</v>
      </c>
      <c r="C279" s="187" t="s">
        <v>402</v>
      </c>
      <c r="D279" s="108">
        <v>5</v>
      </c>
      <c r="E279" s="108"/>
      <c r="F279" s="127"/>
      <c r="G279" s="128"/>
      <c r="H279" s="226">
        <f t="shared" si="115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19"/>
        <v>0</v>
      </c>
      <c r="N279" s="130">
        <f t="shared" si="120"/>
        <v>0</v>
      </c>
      <c r="O279" s="219"/>
      <c r="P279" s="219"/>
      <c r="Q279" s="219"/>
      <c r="R279" s="219"/>
      <c r="S279" s="219"/>
      <c r="T279" s="219"/>
      <c r="U279" s="219"/>
      <c r="V279" s="132"/>
      <c r="W279" s="133"/>
      <c r="X279" s="132"/>
      <c r="Y279" s="132"/>
      <c r="Z279" s="132"/>
      <c r="AA279" s="132"/>
    </row>
    <row r="280" spans="1:27" ht="20.100000000000001" customHeight="1">
      <c r="A280" s="299">
        <v>30400027</v>
      </c>
      <c r="B280" s="218" t="s">
        <v>404</v>
      </c>
      <c r="C280" s="187" t="s">
        <v>405</v>
      </c>
      <c r="D280" s="108">
        <v>5</v>
      </c>
      <c r="E280" s="108"/>
      <c r="F280" s="127"/>
      <c r="G280" s="128"/>
      <c r="H280" s="226">
        <f t="shared" si="115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19"/>
        <v>0</v>
      </c>
      <c r="N280" s="130">
        <f t="shared" si="120"/>
        <v>0</v>
      </c>
      <c r="O280" s="219"/>
      <c r="P280" s="219"/>
      <c r="Q280" s="219"/>
      <c r="R280" s="219"/>
      <c r="S280" s="219"/>
      <c r="T280" s="219"/>
      <c r="U280" s="219"/>
      <c r="V280" s="132"/>
      <c r="W280" s="133"/>
      <c r="X280" s="132"/>
      <c r="Y280" s="132"/>
      <c r="Z280" s="132"/>
      <c r="AA280" s="132"/>
    </row>
    <row r="281" spans="1:27" ht="20.100000000000001" customHeight="1">
      <c r="A281" s="299"/>
      <c r="B281" s="218" t="s">
        <v>342</v>
      </c>
      <c r="C281" s="187" t="s">
        <v>372</v>
      </c>
      <c r="D281" s="108">
        <v>5</v>
      </c>
      <c r="E281" s="108"/>
      <c r="F281" s="127"/>
      <c r="G281" s="128"/>
      <c r="H281" s="226">
        <f t="shared" si="115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19"/>
        <v>0</v>
      </c>
      <c r="N281" s="130">
        <f t="shared" si="120"/>
        <v>0</v>
      </c>
      <c r="O281" s="219"/>
      <c r="P281" s="219"/>
      <c r="Q281" s="219"/>
      <c r="R281" s="219"/>
      <c r="S281" s="219"/>
      <c r="T281" s="219"/>
      <c r="U281" s="219"/>
      <c r="V281" s="132"/>
      <c r="W281" s="133"/>
      <c r="X281" s="132"/>
      <c r="Y281" s="132"/>
      <c r="Z281" s="132"/>
      <c r="AA281" s="132"/>
    </row>
    <row r="282" spans="1:27" ht="20.100000000000001" customHeight="1">
      <c r="A282" s="299">
        <v>30600009</v>
      </c>
      <c r="B282" s="218" t="s">
        <v>343</v>
      </c>
      <c r="C282" s="126" t="s">
        <v>345</v>
      </c>
      <c r="D282" s="108">
        <v>5</v>
      </c>
      <c r="E282" s="108"/>
      <c r="F282" s="127"/>
      <c r="G282" s="128"/>
      <c r="H282" s="226">
        <f t="shared" si="115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19"/>
        <v>0</v>
      </c>
      <c r="N282" s="130">
        <f t="shared" si="120"/>
        <v>0</v>
      </c>
      <c r="O282" s="219"/>
      <c r="P282" s="219"/>
      <c r="Q282" s="219"/>
      <c r="R282" s="219"/>
      <c r="S282" s="219"/>
      <c r="T282" s="219"/>
      <c r="U282" s="219"/>
      <c r="V282" s="132"/>
      <c r="W282" s="133"/>
      <c r="X282" s="132"/>
      <c r="Y282" s="132"/>
      <c r="Z282" s="132"/>
      <c r="AA282" s="132"/>
    </row>
    <row r="283" spans="1:27" ht="20.100000000000001" customHeight="1">
      <c r="A283" s="299">
        <v>30600010</v>
      </c>
      <c r="B283" s="218" t="s">
        <v>343</v>
      </c>
      <c r="C283" s="126" t="s">
        <v>347</v>
      </c>
      <c r="D283" s="108">
        <v>5</v>
      </c>
      <c r="E283" s="108"/>
      <c r="F283" s="127"/>
      <c r="G283" s="128"/>
      <c r="H283" s="226">
        <f t="shared" si="115"/>
        <v>0</v>
      </c>
      <c r="I283" s="129"/>
      <c r="J283" s="130"/>
      <c r="K283" s="131">
        <f t="array" ref="K283">IF(ISERROR(G283/L283),"",G283/L283)</f>
        <v>0</v>
      </c>
      <c r="L283" s="129">
        <v>5</v>
      </c>
      <c r="M283" s="109">
        <f t="shared" si="119"/>
        <v>0</v>
      </c>
      <c r="N283" s="130">
        <f t="shared" si="120"/>
        <v>0</v>
      </c>
      <c r="O283" s="219"/>
      <c r="P283" s="219"/>
      <c r="Q283" s="219"/>
      <c r="R283" s="219"/>
      <c r="S283" s="219"/>
      <c r="T283" s="219"/>
      <c r="U283" s="219"/>
      <c r="V283" s="132"/>
      <c r="W283" s="133"/>
      <c r="X283" s="132"/>
      <c r="Y283" s="132"/>
      <c r="Z283" s="132"/>
      <c r="AA283" s="132"/>
    </row>
    <row r="284" spans="1:27" ht="20.10000000000000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/>
      <c r="G284" s="128"/>
      <c r="H284" s="226">
        <f t="shared" si="115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19"/>
        <v>0</v>
      </c>
      <c r="N284" s="130">
        <f t="shared" si="120"/>
        <v>0</v>
      </c>
      <c r="O284" s="219"/>
      <c r="P284" s="219"/>
      <c r="Q284" s="219"/>
      <c r="R284" s="219"/>
      <c r="S284" s="219"/>
      <c r="T284" s="219"/>
      <c r="U284" s="219"/>
      <c r="V284" s="132">
        <f t="shared" ref="V284:V285" si="124">SUM(X284:AA284)</f>
        <v>0</v>
      </c>
      <c r="W284" s="133" t="str">
        <f t="shared" ref="W284:W285" si="125">IF(ISERROR(V284/G284),"",V284/G284)</f>
        <v/>
      </c>
      <c r="X284" s="132"/>
      <c r="Y284" s="132"/>
      <c r="Z284" s="132"/>
      <c r="AA284" s="132"/>
    </row>
    <row r="285" spans="1:27" ht="20.10000000000000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28"/>
      <c r="H285" s="226">
        <f t="shared" si="115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19"/>
        <v>0</v>
      </c>
      <c r="N285" s="130">
        <f t="shared" si="120"/>
        <v>0</v>
      </c>
      <c r="O285" s="219"/>
      <c r="P285" s="219"/>
      <c r="Q285" s="219"/>
      <c r="R285" s="219"/>
      <c r="S285" s="219"/>
      <c r="T285" s="219"/>
      <c r="U285" s="219"/>
      <c r="V285" s="132">
        <f t="shared" si="124"/>
        <v>0</v>
      </c>
      <c r="W285" s="133" t="str">
        <f t="shared" si="125"/>
        <v/>
      </c>
      <c r="X285" s="132"/>
      <c r="Y285" s="132"/>
      <c r="Z285" s="132"/>
      <c r="AA285" s="132"/>
    </row>
    <row r="286" spans="1:27" ht="20.100000000000001" customHeight="1">
      <c r="A286" s="299">
        <v>30400004</v>
      </c>
      <c r="B286" s="151" t="s">
        <v>419</v>
      </c>
      <c r="C286" s="187" t="s">
        <v>420</v>
      </c>
      <c r="D286" s="108">
        <v>5.03</v>
      </c>
      <c r="E286" s="108"/>
      <c r="F286" s="127"/>
      <c r="G286" s="128"/>
      <c r="H286" s="231">
        <f t="shared" si="115"/>
        <v>0</v>
      </c>
      <c r="I286" s="129"/>
      <c r="J286" s="130"/>
      <c r="K286" s="131"/>
      <c r="L286" s="129">
        <v>24</v>
      </c>
      <c r="M286" s="109"/>
      <c r="N286" s="130"/>
      <c r="O286" s="219"/>
      <c r="P286" s="219"/>
      <c r="Q286" s="219"/>
      <c r="R286" s="219"/>
      <c r="S286" s="219"/>
      <c r="T286" s="219"/>
      <c r="U286" s="219"/>
      <c r="V286" s="132"/>
      <c r="W286" s="133"/>
      <c r="X286" s="132"/>
      <c r="Y286" s="132"/>
      <c r="Z286" s="132"/>
      <c r="AA286" s="132"/>
    </row>
    <row r="287" spans="1:27" ht="20.10000000000000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/>
      <c r="G287" s="128"/>
      <c r="H287" s="231">
        <f t="shared" si="115"/>
        <v>0</v>
      </c>
      <c r="I287" s="129"/>
      <c r="J287" s="130"/>
      <c r="K287" s="131"/>
      <c r="L287" s="129">
        <v>24</v>
      </c>
      <c r="M287" s="109"/>
      <c r="N287" s="130"/>
      <c r="O287" s="219"/>
      <c r="P287" s="219"/>
      <c r="Q287" s="219"/>
      <c r="R287" s="219"/>
      <c r="S287" s="219"/>
      <c r="T287" s="219"/>
      <c r="U287" s="219"/>
      <c r="V287" s="132"/>
      <c r="W287" s="133"/>
      <c r="X287" s="132"/>
      <c r="Y287" s="132"/>
      <c r="Z287" s="132"/>
      <c r="AA287" s="132"/>
    </row>
    <row r="288" spans="1:27" ht="20.10000000000000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/>
      <c r="G288" s="128"/>
      <c r="H288" s="231">
        <f t="shared" si="115"/>
        <v>0</v>
      </c>
      <c r="I288" s="129"/>
      <c r="J288" s="130"/>
      <c r="K288" s="131"/>
      <c r="L288" s="129">
        <v>24</v>
      </c>
      <c r="M288" s="109"/>
      <c r="N288" s="130"/>
      <c r="O288" s="219"/>
      <c r="P288" s="219"/>
      <c r="Q288" s="219"/>
      <c r="R288" s="219"/>
      <c r="S288" s="219"/>
      <c r="T288" s="219"/>
      <c r="U288" s="219"/>
      <c r="V288" s="132"/>
      <c r="W288" s="133"/>
      <c r="X288" s="132"/>
      <c r="Y288" s="132"/>
      <c r="Z288" s="132"/>
      <c r="AA288" s="132"/>
    </row>
    <row r="289" spans="1:27" ht="20.10000000000000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/>
      <c r="G289" s="128"/>
      <c r="H289" s="226">
        <f t="shared" ref="H289:H291" si="126">D289*G289</f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ref="M289:M291" si="127">IF(ISERROR(I289-K289),"",I289-K289)</f>
        <v>0</v>
      </c>
      <c r="N289" s="130">
        <f t="shared" ref="N289:N291" si="128">SUM(O289:U289)</f>
        <v>0</v>
      </c>
      <c r="O289" s="219"/>
      <c r="P289" s="219"/>
      <c r="Q289" s="219"/>
      <c r="R289" s="219"/>
      <c r="S289" s="219"/>
      <c r="T289" s="219"/>
      <c r="U289" s="219"/>
      <c r="V289" s="132">
        <f t="shared" ref="V289:V291" si="129">SUM(X289:AA289)</f>
        <v>0</v>
      </c>
      <c r="W289" s="133" t="str">
        <f t="shared" ref="W289:W305" si="130">IF(ISERROR(V289/G289),"",V289/G289)</f>
        <v/>
      </c>
      <c r="X289" s="132"/>
      <c r="Y289" s="132"/>
      <c r="Z289" s="132"/>
      <c r="AA289" s="132"/>
    </row>
    <row r="290" spans="1:27" ht="20.10000000000000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28"/>
      <c r="H290" s="226">
        <f t="shared" si="126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219"/>
      <c r="P290" s="219"/>
      <c r="Q290" s="219"/>
      <c r="R290" s="219"/>
      <c r="S290" s="219"/>
      <c r="T290" s="219"/>
      <c r="U290" s="219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/>
      <c r="G291" s="128"/>
      <c r="H291" s="226">
        <f t="shared" si="126"/>
        <v>0</v>
      </c>
      <c r="I291" s="129"/>
      <c r="J291" s="130" t="str">
        <f t="array" ref="J291">IF(ISERROR(G291/I291),"",G291/I291)</f>
        <v/>
      </c>
      <c r="K291" s="226">
        <f t="array" ref="K291">IF(ISERROR(G291/L291),"",G291/L291)</f>
        <v>0</v>
      </c>
      <c r="L291" s="129">
        <v>9</v>
      </c>
      <c r="M291" s="109">
        <f t="shared" si="127"/>
        <v>0</v>
      </c>
      <c r="N291" s="130">
        <f t="shared" si="128"/>
        <v>0</v>
      </c>
      <c r="O291" s="219"/>
      <c r="P291" s="219"/>
      <c r="Q291" s="219"/>
      <c r="R291" s="219"/>
      <c r="S291" s="219"/>
      <c r="T291" s="219"/>
      <c r="U291" s="219"/>
      <c r="V291" s="132">
        <f t="shared" si="129"/>
        <v>0</v>
      </c>
      <c r="W291" s="133" t="str">
        <f t="shared" si="130"/>
        <v/>
      </c>
      <c r="X291" s="132"/>
      <c r="Y291" s="132"/>
      <c r="Z291" s="132"/>
      <c r="AA291" s="132"/>
    </row>
    <row r="292" spans="1:27" ht="20.100000000000001" customHeight="1">
      <c r="A292" s="578" t="s">
        <v>224</v>
      </c>
      <c r="B292" s="579"/>
      <c r="C292" s="224" t="s">
        <v>202</v>
      </c>
      <c r="D292" s="143"/>
      <c r="E292" s="143"/>
      <c r="F292" s="144"/>
      <c r="G292" s="145">
        <f>SUM(G258:G291)</f>
        <v>0</v>
      </c>
      <c r="H292" s="146">
        <f>SUM(H258:H291)</f>
        <v>0</v>
      </c>
      <c r="I292" s="146">
        <f>SUM(I258:I291)</f>
        <v>0</v>
      </c>
      <c r="J292" s="130" t="str">
        <f t="array" ref="J292">IF(ISERROR(G292/I292),"",G292/I292)</f>
        <v/>
      </c>
      <c r="K292" s="146">
        <f>SUM(K258:K291)</f>
        <v>0</v>
      </c>
      <c r="L292" s="147"/>
      <c r="M292" s="150">
        <f t="shared" ref="M292:V292" si="131">SUM(M258:M291)</f>
        <v>0</v>
      </c>
      <c r="N292" s="146">
        <f t="shared" si="131"/>
        <v>0</v>
      </c>
      <c r="O292" s="148">
        <f t="shared" si="131"/>
        <v>0</v>
      </c>
      <c r="P292" s="148">
        <f t="shared" si="131"/>
        <v>0</v>
      </c>
      <c r="Q292" s="148">
        <f t="shared" si="131"/>
        <v>0</v>
      </c>
      <c r="R292" s="148">
        <f t="shared" si="131"/>
        <v>0</v>
      </c>
      <c r="S292" s="148">
        <f t="shared" si="131"/>
        <v>0</v>
      </c>
      <c r="T292" s="148">
        <f t="shared" si="131"/>
        <v>0</v>
      </c>
      <c r="U292" s="148">
        <f t="shared" si="131"/>
        <v>0</v>
      </c>
      <c r="V292" s="149">
        <f t="shared" si="131"/>
        <v>0</v>
      </c>
      <c r="W292" s="133" t="str">
        <f t="shared" si="130"/>
        <v/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/>
      <c r="G293" s="152"/>
      <c r="H293" s="226">
        <f t="shared" ref="H293:H305" si="132">D293*G293</f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ref="M293:M305" si="133">IF(ISERROR(I293-K293),"",I293-K293)</f>
        <v>0</v>
      </c>
      <c r="N293" s="130">
        <f t="shared" ref="N293:N305" si="134">SUM(O293:U293)</f>
        <v>0</v>
      </c>
      <c r="O293" s="219"/>
      <c r="P293" s="219"/>
      <c r="Q293" s="219"/>
      <c r="R293" s="219"/>
      <c r="S293" s="219"/>
      <c r="T293" s="219"/>
      <c r="U293" s="219"/>
      <c r="V293" s="132">
        <f t="shared" ref="V293:V305" si="135">SUM(X293:AA293)</f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/>
      <c r="G294" s="128"/>
      <c r="H294" s="226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25</v>
      </c>
      <c r="M294" s="109">
        <f t="shared" si="133"/>
        <v>0</v>
      </c>
      <c r="N294" s="130">
        <f t="shared" si="134"/>
        <v>0</v>
      </c>
      <c r="O294" s="219"/>
      <c r="P294" s="219"/>
      <c r="Q294" s="219"/>
      <c r="R294" s="219"/>
      <c r="S294" s="219"/>
      <c r="T294" s="219"/>
      <c r="U294" s="219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/>
      <c r="G295" s="128"/>
      <c r="H295" s="226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20</v>
      </c>
      <c r="M295" s="109">
        <f t="shared" si="133"/>
        <v>0</v>
      </c>
      <c r="N295" s="130">
        <f t="shared" si="134"/>
        <v>0</v>
      </c>
      <c r="O295" s="219"/>
      <c r="P295" s="219"/>
      <c r="Q295" s="219"/>
      <c r="R295" s="219"/>
      <c r="S295" s="219"/>
      <c r="T295" s="219"/>
      <c r="U295" s="219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28"/>
      <c r="H296" s="226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219"/>
      <c r="P296" s="219"/>
      <c r="Q296" s="219"/>
      <c r="R296" s="219"/>
      <c r="S296" s="219"/>
      <c r="T296" s="219"/>
      <c r="U296" s="219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customHeight="1">
      <c r="A297" s="299">
        <v>30100054</v>
      </c>
      <c r="B297" s="140" t="s">
        <v>227</v>
      </c>
      <c r="C297" s="223" t="s">
        <v>203</v>
      </c>
      <c r="D297" s="108">
        <v>5.03</v>
      </c>
      <c r="E297" s="108"/>
      <c r="F297" s="127"/>
      <c r="G297" s="152"/>
      <c r="H297" s="226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219"/>
      <c r="P297" s="219"/>
      <c r="Q297" s="219"/>
      <c r="R297" s="219"/>
      <c r="S297" s="219"/>
      <c r="T297" s="219"/>
      <c r="U297" s="219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/>
      <c r="G298" s="128"/>
      <c r="H298" s="226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219"/>
      <c r="P298" s="219"/>
      <c r="Q298" s="219"/>
      <c r="R298" s="219"/>
      <c r="S298" s="219"/>
      <c r="T298" s="219"/>
      <c r="U298" s="219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28"/>
      <c r="H299" s="226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219"/>
      <c r="P299" s="219"/>
      <c r="Q299" s="219"/>
      <c r="R299" s="219"/>
      <c r="S299" s="219"/>
      <c r="T299" s="219"/>
      <c r="U299" s="219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customHeight="1">
      <c r="A300" s="299"/>
      <c r="B300" s="140" t="s">
        <v>227</v>
      </c>
      <c r="C300" s="223" t="s">
        <v>228</v>
      </c>
      <c r="D300" s="108">
        <v>5.03</v>
      </c>
      <c r="E300" s="108"/>
      <c r="F300" s="127"/>
      <c r="G300" s="128"/>
      <c r="H300" s="226">
        <f t="shared" si="132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3"/>
        <v>0</v>
      </c>
      <c r="N300" s="130">
        <f t="shared" si="134"/>
        <v>0</v>
      </c>
      <c r="O300" s="219"/>
      <c r="P300" s="219"/>
      <c r="Q300" s="219"/>
      <c r="R300" s="219"/>
      <c r="S300" s="219"/>
      <c r="T300" s="219"/>
      <c r="U300" s="219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customHeight="1">
      <c r="A301" s="299">
        <v>30101067</v>
      </c>
      <c r="B301" s="140" t="s">
        <v>229</v>
      </c>
      <c r="C301" s="223" t="s">
        <v>212</v>
      </c>
      <c r="D301" s="108">
        <v>5.03</v>
      </c>
      <c r="E301" s="108"/>
      <c r="F301" s="127"/>
      <c r="G301" s="128"/>
      <c r="H301" s="226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219"/>
      <c r="P301" s="219"/>
      <c r="Q301" s="219"/>
      <c r="R301" s="219"/>
      <c r="S301" s="219"/>
      <c r="T301" s="219"/>
      <c r="U301" s="219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customHeight="1">
      <c r="A302" s="299">
        <v>30101068</v>
      </c>
      <c r="B302" s="140" t="s">
        <v>229</v>
      </c>
      <c r="C302" s="223" t="s">
        <v>203</v>
      </c>
      <c r="D302" s="108">
        <v>5.03</v>
      </c>
      <c r="E302" s="108"/>
      <c r="F302" s="127"/>
      <c r="G302" s="128"/>
      <c r="H302" s="226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219"/>
      <c r="P302" s="219"/>
      <c r="Q302" s="219"/>
      <c r="R302" s="219"/>
      <c r="S302" s="219"/>
      <c r="T302" s="219"/>
      <c r="U302" s="219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customHeight="1">
      <c r="A303" s="299">
        <v>30101069</v>
      </c>
      <c r="B303" s="140" t="s">
        <v>229</v>
      </c>
      <c r="C303" s="223" t="s">
        <v>186</v>
      </c>
      <c r="D303" s="108">
        <v>5.03</v>
      </c>
      <c r="E303" s="108"/>
      <c r="F303" s="127"/>
      <c r="G303" s="128"/>
      <c r="H303" s="226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219"/>
      <c r="P303" s="219"/>
      <c r="Q303" s="219"/>
      <c r="R303" s="219"/>
      <c r="S303" s="219"/>
      <c r="T303" s="219"/>
      <c r="U303" s="219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customHeight="1">
      <c r="A304" s="299">
        <v>30101070</v>
      </c>
      <c r="B304" s="140" t="s">
        <v>229</v>
      </c>
      <c r="C304" s="223" t="s">
        <v>228</v>
      </c>
      <c r="D304" s="108">
        <v>5.03</v>
      </c>
      <c r="E304" s="108"/>
      <c r="F304" s="127"/>
      <c r="G304" s="128"/>
      <c r="H304" s="226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219"/>
      <c r="P304" s="219"/>
      <c r="Q304" s="219"/>
      <c r="R304" s="219"/>
      <c r="S304" s="219"/>
      <c r="T304" s="219"/>
      <c r="U304" s="219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customHeight="1">
      <c r="A305" s="299">
        <v>30101071</v>
      </c>
      <c r="B305" s="140" t="s">
        <v>229</v>
      </c>
      <c r="C305" s="223" t="s">
        <v>199</v>
      </c>
      <c r="D305" s="108">
        <v>5.03</v>
      </c>
      <c r="E305" s="108"/>
      <c r="F305" s="127"/>
      <c r="G305" s="128"/>
      <c r="H305" s="226">
        <f t="shared" si="132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3"/>
        <v/>
      </c>
      <c r="N305" s="130">
        <f t="shared" si="134"/>
        <v>0</v>
      </c>
      <c r="O305" s="219"/>
      <c r="P305" s="219"/>
      <c r="Q305" s="219"/>
      <c r="R305" s="219"/>
      <c r="S305" s="219"/>
      <c r="T305" s="219"/>
      <c r="U305" s="219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/>
      <c r="G306" s="128"/>
      <c r="H306" s="226">
        <f t="shared" ref="H306:H307" si="136">D306*G306</f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ref="M306:M307" si="137">IF(ISERROR(I306-K306),"",I306-K306)</f>
        <v>0</v>
      </c>
      <c r="N306" s="130">
        <f t="shared" ref="N306:N307" si="138">SUM(O306:U306)</f>
        <v>0</v>
      </c>
      <c r="O306" s="219"/>
      <c r="P306" s="219"/>
      <c r="Q306" s="219"/>
      <c r="R306" s="219"/>
      <c r="S306" s="219"/>
      <c r="T306" s="219"/>
      <c r="U306" s="219"/>
      <c r="V306" s="132">
        <f t="shared" ref="V306:V307" si="139">SUM(X306:AA306)</f>
        <v>0</v>
      </c>
      <c r="W306" s="133" t="str">
        <f t="shared" ref="W306:W323" si="140">IF(ISERROR(V306/G306),"",V306/G306)</f>
        <v/>
      </c>
      <c r="X306" s="132"/>
      <c r="Y306" s="132"/>
      <c r="Z306" s="132"/>
      <c r="AA306" s="132"/>
    </row>
    <row r="307" spans="1:27" ht="20.10000000000000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/>
      <c r="G307" s="128"/>
      <c r="H307" s="226">
        <f t="shared" si="136"/>
        <v>0</v>
      </c>
      <c r="I307" s="129"/>
      <c r="J307" s="130" t="str">
        <f t="array" ref="J307">IF(ISERROR(G307/I307),"",G307/I307)</f>
        <v/>
      </c>
      <c r="K307" s="131">
        <f t="array" ref="K307">IF(ISERROR(G307/L307),"",G307/L307)</f>
        <v>0</v>
      </c>
      <c r="L307" s="129">
        <v>25</v>
      </c>
      <c r="M307" s="109">
        <f t="shared" si="137"/>
        <v>0</v>
      </c>
      <c r="N307" s="130">
        <f t="shared" si="138"/>
        <v>0</v>
      </c>
      <c r="O307" s="219"/>
      <c r="P307" s="219"/>
      <c r="Q307" s="219"/>
      <c r="R307" s="219"/>
      <c r="S307" s="219"/>
      <c r="T307" s="219"/>
      <c r="U307" s="219"/>
      <c r="V307" s="132">
        <f t="shared" si="139"/>
        <v>0</v>
      </c>
      <c r="W307" s="133" t="str">
        <f t="shared" si="140"/>
        <v/>
      </c>
      <c r="X307" s="132"/>
      <c r="Y307" s="132"/>
      <c r="Z307" s="132"/>
      <c r="AA307" s="132"/>
    </row>
    <row r="308" spans="1:27" ht="20.100000000000001" customHeight="1">
      <c r="A308" s="578" t="s">
        <v>231</v>
      </c>
      <c r="B308" s="579"/>
      <c r="C308" s="224" t="s">
        <v>202</v>
      </c>
      <c r="D308" s="143"/>
      <c r="E308" s="143"/>
      <c r="F308" s="144"/>
      <c r="G308" s="145">
        <f>SUM(G293:G307)</f>
        <v>0</v>
      </c>
      <c r="H308" s="146">
        <f>SUM(H293:H307)</f>
        <v>0</v>
      </c>
      <c r="I308" s="146">
        <f>SUM(I293:I307)</f>
        <v>0</v>
      </c>
      <c r="J308" s="130" t="str">
        <f t="array" ref="J308">IF(ISERROR(G308/I308),"",G308/I308)</f>
        <v/>
      </c>
      <c r="K308" s="146">
        <f>SUM(K293:K307)</f>
        <v>0</v>
      </c>
      <c r="L308" s="146"/>
      <c r="M308" s="150">
        <f>SUM(M293:M307)</f>
        <v>0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 t="str">
        <f t="shared" si="140"/>
        <v/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28"/>
      <c r="H309" s="226">
        <f t="shared" ref="H309:H318" si="141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8" si="142">IF(ISERROR(I309-K309),"",I309-K309)</f>
        <v>0</v>
      </c>
      <c r="N309" s="130">
        <f t="shared" ref="N309:N318" si="143">SUM(O309:U309)</f>
        <v>0</v>
      </c>
      <c r="O309" s="219"/>
      <c r="P309" s="219"/>
      <c r="Q309" s="219"/>
      <c r="R309" s="219"/>
      <c r="S309" s="219"/>
      <c r="T309" s="219"/>
      <c r="U309" s="219"/>
      <c r="V309" s="132">
        <f t="shared" ref="V309:V318" si="144">SUM(X309:AA309)</f>
        <v>0</v>
      </c>
      <c r="W309" s="133" t="str">
        <f t="shared" si="140"/>
        <v/>
      </c>
      <c r="X309" s="132"/>
      <c r="Y309" s="132"/>
      <c r="Z309" s="132"/>
      <c r="AA309" s="132"/>
    </row>
    <row r="310" spans="1:27" ht="20.10000000000000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28"/>
      <c r="H310" s="226">
        <f t="shared" si="141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42"/>
        <v>0</v>
      </c>
      <c r="N310" s="130">
        <f t="shared" si="143"/>
        <v>0</v>
      </c>
      <c r="O310" s="219"/>
      <c r="P310" s="219"/>
      <c r="Q310" s="219"/>
      <c r="R310" s="219"/>
      <c r="S310" s="219"/>
      <c r="T310" s="219"/>
      <c r="U310" s="219"/>
      <c r="V310" s="132">
        <f t="shared" si="144"/>
        <v>0</v>
      </c>
      <c r="W310" s="133" t="str">
        <f t="shared" si="140"/>
        <v/>
      </c>
      <c r="X310" s="132"/>
      <c r="Y310" s="132"/>
      <c r="Z310" s="132"/>
      <c r="AA310" s="132"/>
    </row>
    <row r="311" spans="1:27" ht="20.10000000000000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28"/>
      <c r="H311" s="226">
        <f t="shared" si="141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42"/>
        <v>0</v>
      </c>
      <c r="N311" s="130">
        <f t="shared" si="143"/>
        <v>0</v>
      </c>
      <c r="O311" s="219"/>
      <c r="P311" s="219"/>
      <c r="Q311" s="219"/>
      <c r="R311" s="219"/>
      <c r="S311" s="219"/>
      <c r="T311" s="219"/>
      <c r="U311" s="219"/>
      <c r="V311" s="132">
        <f t="shared" si="144"/>
        <v>0</v>
      </c>
      <c r="W311" s="133" t="str">
        <f t="shared" si="140"/>
        <v/>
      </c>
      <c r="X311" s="132"/>
      <c r="Y311" s="132"/>
      <c r="Z311" s="132"/>
      <c r="AA311" s="132"/>
    </row>
    <row r="312" spans="1:27" ht="20.10000000000000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28"/>
      <c r="H312" s="226">
        <f t="shared" si="141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42"/>
        <v>0</v>
      </c>
      <c r="N312" s="130">
        <f t="shared" si="143"/>
        <v>0</v>
      </c>
      <c r="O312" s="219"/>
      <c r="P312" s="219"/>
      <c r="Q312" s="219"/>
      <c r="R312" s="219"/>
      <c r="S312" s="219"/>
      <c r="T312" s="219"/>
      <c r="U312" s="219"/>
      <c r="V312" s="132">
        <f t="shared" si="144"/>
        <v>0</v>
      </c>
      <c r="W312" s="133" t="str">
        <f t="shared" si="140"/>
        <v/>
      </c>
      <c r="X312" s="132"/>
      <c r="Y312" s="132"/>
      <c r="Z312" s="132"/>
      <c r="AA312" s="132"/>
    </row>
    <row r="313" spans="1:27" ht="20.10000000000000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28"/>
      <c r="H313" s="226">
        <f t="shared" si="141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42"/>
        <v>0</v>
      </c>
      <c r="N313" s="130">
        <f t="shared" si="143"/>
        <v>0</v>
      </c>
      <c r="O313" s="219"/>
      <c r="P313" s="219"/>
      <c r="Q313" s="219"/>
      <c r="R313" s="219"/>
      <c r="S313" s="219"/>
      <c r="T313" s="219"/>
      <c r="U313" s="219"/>
      <c r="V313" s="132">
        <f t="shared" si="144"/>
        <v>0</v>
      </c>
      <c r="W313" s="133" t="str">
        <f t="shared" si="140"/>
        <v/>
      </c>
      <c r="X313" s="132"/>
      <c r="Y313" s="132"/>
      <c r="Z313" s="132"/>
      <c r="AA313" s="132"/>
    </row>
    <row r="314" spans="1:27" ht="20.10000000000000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/>
      <c r="G314" s="128"/>
      <c r="H314" s="373">
        <f t="shared" si="141"/>
        <v>0</v>
      </c>
      <c r="I314" s="129"/>
      <c r="J314" s="130"/>
      <c r="K314" s="131"/>
      <c r="L314" s="129">
        <v>13.5</v>
      </c>
      <c r="M314" s="109"/>
      <c r="N314" s="130"/>
      <c r="O314" s="261"/>
      <c r="P314" s="261"/>
      <c r="Q314" s="261"/>
      <c r="R314" s="261"/>
      <c r="S314" s="261"/>
      <c r="T314" s="261"/>
      <c r="U314" s="261"/>
      <c r="V314" s="132"/>
      <c r="W314" s="133"/>
      <c r="X314" s="132"/>
      <c r="Y314" s="132"/>
      <c r="Z314" s="132"/>
      <c r="AA314" s="132"/>
    </row>
    <row r="315" spans="1:27" ht="20.100000000000001" customHeight="1">
      <c r="A315" s="300">
        <v>30400020</v>
      </c>
      <c r="B315" s="134" t="s">
        <v>439</v>
      </c>
      <c r="C315" s="187" t="s">
        <v>516</v>
      </c>
      <c r="D315" s="108">
        <v>5.03</v>
      </c>
      <c r="E315" s="108"/>
      <c r="F315" s="127"/>
      <c r="G315" s="128"/>
      <c r="H315" s="373">
        <f t="shared" si="141"/>
        <v>0</v>
      </c>
      <c r="I315" s="129"/>
      <c r="J315" s="130"/>
      <c r="K315" s="131"/>
      <c r="L315" s="129">
        <v>13.5</v>
      </c>
      <c r="M315" s="109"/>
      <c r="N315" s="130"/>
      <c r="O315" s="372"/>
      <c r="P315" s="372"/>
      <c r="Q315" s="372"/>
      <c r="R315" s="372"/>
      <c r="S315" s="372"/>
      <c r="T315" s="372"/>
      <c r="U315" s="372"/>
      <c r="V315" s="132"/>
      <c r="W315" s="133"/>
      <c r="X315" s="132"/>
      <c r="Y315" s="132"/>
      <c r="Z315" s="132"/>
      <c r="AA315" s="132"/>
    </row>
    <row r="316" spans="1:27" ht="20.100000000000001" customHeight="1">
      <c r="A316" s="300">
        <v>30400021</v>
      </c>
      <c r="B316" s="134" t="s">
        <v>439</v>
      </c>
      <c r="C316" s="187" t="s">
        <v>517</v>
      </c>
      <c r="D316" s="108">
        <v>5.03</v>
      </c>
      <c r="E316" s="108"/>
      <c r="F316" s="127"/>
      <c r="G316" s="128"/>
      <c r="H316" s="377">
        <f t="shared" si="141"/>
        <v>0</v>
      </c>
      <c r="I316" s="129"/>
      <c r="J316" s="130"/>
      <c r="K316" s="131"/>
      <c r="L316" s="129">
        <v>13.5</v>
      </c>
      <c r="M316" s="109"/>
      <c r="N316" s="130"/>
      <c r="O316" s="376"/>
      <c r="P316" s="376"/>
      <c r="Q316" s="376"/>
      <c r="R316" s="376"/>
      <c r="S316" s="376"/>
      <c r="T316" s="376"/>
      <c r="U316" s="376"/>
      <c r="V316" s="132"/>
      <c r="W316" s="133"/>
      <c r="X316" s="132"/>
      <c r="Y316" s="132"/>
      <c r="Z316" s="132"/>
      <c r="AA316" s="132"/>
    </row>
    <row r="317" spans="1:27" ht="20.10000000000000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/>
      <c r="G317" s="128"/>
      <c r="H317" s="438">
        <f t="shared" si="141"/>
        <v>0</v>
      </c>
      <c r="I317" s="129"/>
      <c r="J317" s="130"/>
      <c r="K317" s="131"/>
      <c r="L317" s="129"/>
      <c r="M317" s="109"/>
      <c r="N317" s="130"/>
      <c r="O317" s="446"/>
      <c r="P317" s="446"/>
      <c r="Q317" s="446"/>
      <c r="R317" s="446"/>
      <c r="S317" s="446"/>
      <c r="T317" s="446"/>
      <c r="U317" s="446"/>
      <c r="V317" s="132"/>
      <c r="W317" s="133"/>
      <c r="X317" s="132"/>
      <c r="Y317" s="132"/>
      <c r="Z317" s="132"/>
      <c r="AA317" s="132"/>
    </row>
    <row r="318" spans="1:27" ht="20.10000000000000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28"/>
      <c r="H318" s="226">
        <f t="shared" si="141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si="142"/>
        <v>0</v>
      </c>
      <c r="N318" s="130">
        <f t="shared" si="143"/>
        <v>0</v>
      </c>
      <c r="O318" s="219"/>
      <c r="P318" s="219"/>
      <c r="Q318" s="219"/>
      <c r="R318" s="219"/>
      <c r="S318" s="219"/>
      <c r="T318" s="219"/>
      <c r="U318" s="219"/>
      <c r="V318" s="132">
        <f t="shared" si="144"/>
        <v>0</v>
      </c>
      <c r="W318" s="133" t="str">
        <f t="shared" si="140"/>
        <v/>
      </c>
      <c r="X318" s="132"/>
      <c r="Y318" s="132"/>
      <c r="Z318" s="132"/>
      <c r="AA318" s="132"/>
    </row>
    <row r="319" spans="1:27" ht="20.100000000000001" customHeight="1">
      <c r="A319" s="578" t="s">
        <v>234</v>
      </c>
      <c r="B319" s="579"/>
      <c r="C319" s="224" t="s">
        <v>202</v>
      </c>
      <c r="D319" s="143"/>
      <c r="E319" s="143"/>
      <c r="F319" s="144"/>
      <c r="G319" s="145">
        <f>SUM(G309:G318)</f>
        <v>0</v>
      </c>
      <c r="H319" s="146">
        <f>SUM(H309:H318)</f>
        <v>0</v>
      </c>
      <c r="I319" s="146">
        <f>SUM(I309:I318)</f>
        <v>0</v>
      </c>
      <c r="J319" s="130" t="str">
        <f t="array" ref="J319">IF(ISERROR(G319/I319),"",G319/I319)</f>
        <v/>
      </c>
      <c r="K319" s="146">
        <f>SUM(K309:K318)</f>
        <v>0</v>
      </c>
      <c r="L319" s="147"/>
      <c r="M319" s="150">
        <f>SUM(M309:M318)</f>
        <v>0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 t="str">
        <f t="shared" si="140"/>
        <v/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customHeight="1">
      <c r="A320" s="299">
        <v>30700013</v>
      </c>
      <c r="B320" s="141" t="s">
        <v>235</v>
      </c>
      <c r="C320" s="217"/>
      <c r="D320" s="108">
        <v>3.65</v>
      </c>
      <c r="E320" s="108"/>
      <c r="F320" s="153"/>
      <c r="G320" s="128"/>
      <c r="H320" s="226">
        <f t="shared" ref="H320:H329" si="145">D320*G320</f>
        <v>0</v>
      </c>
      <c r="I320" s="129"/>
      <c r="J320" s="130" t="str">
        <f t="array" ref="J320">IF(ISERROR(G320/I320),"",G320/I320)</f>
        <v/>
      </c>
      <c r="K320" s="226">
        <f t="array" ref="K320">IF(ISERROR(G320/L320),"",G320/L320)</f>
        <v>0</v>
      </c>
      <c r="L320" s="129">
        <v>5</v>
      </c>
      <c r="M320" s="109">
        <f t="shared" ref="M320:M323" si="146">IF(ISERROR(I320-K320),"",I320-K320)</f>
        <v>0</v>
      </c>
      <c r="N320" s="130">
        <f t="shared" ref="N320:N323" si="147">SUM(O320:U320)</f>
        <v>0</v>
      </c>
      <c r="O320" s="219"/>
      <c r="P320" s="219"/>
      <c r="Q320" s="219"/>
      <c r="R320" s="219"/>
      <c r="S320" s="219"/>
      <c r="T320" s="219"/>
      <c r="U320" s="219"/>
      <c r="V320" s="132">
        <f t="shared" ref="V320:V323" si="148">SUM(X320:AA320)</f>
        <v>0</v>
      </c>
      <c r="W320" s="133" t="str">
        <f t="shared" si="140"/>
        <v/>
      </c>
      <c r="X320" s="132"/>
      <c r="Y320" s="132"/>
      <c r="Z320" s="132"/>
      <c r="AA320" s="132"/>
    </row>
    <row r="321" spans="1:27" ht="20.100000000000001" customHeight="1">
      <c r="A321" s="299">
        <v>30700014</v>
      </c>
      <c r="B321" s="141" t="s">
        <v>236</v>
      </c>
      <c r="C321" s="217"/>
      <c r="D321" s="108">
        <v>6.58</v>
      </c>
      <c r="E321" s="108"/>
      <c r="F321" s="127"/>
      <c r="G321" s="128"/>
      <c r="H321" s="226">
        <f t="shared" si="145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</v>
      </c>
      <c r="M321" s="109">
        <f t="shared" si="146"/>
        <v>0</v>
      </c>
      <c r="N321" s="130">
        <f t="shared" si="147"/>
        <v>0</v>
      </c>
      <c r="O321" s="219"/>
      <c r="P321" s="219"/>
      <c r="Q321" s="219"/>
      <c r="R321" s="219"/>
      <c r="S321" s="219"/>
      <c r="T321" s="219"/>
      <c r="U321" s="219"/>
      <c r="V321" s="132">
        <f t="shared" si="148"/>
        <v>0</v>
      </c>
      <c r="W321" s="133" t="str">
        <f t="shared" si="140"/>
        <v/>
      </c>
      <c r="X321" s="132"/>
      <c r="Y321" s="132"/>
      <c r="Z321" s="132"/>
      <c r="AA321" s="132"/>
    </row>
    <row r="322" spans="1:27" ht="20.100000000000001" customHeight="1">
      <c r="A322" s="299">
        <v>30700016</v>
      </c>
      <c r="B322" s="141" t="s">
        <v>237</v>
      </c>
      <c r="C322" s="217"/>
      <c r="D322" s="108">
        <v>7.8</v>
      </c>
      <c r="E322" s="108"/>
      <c r="F322" s="127"/>
      <c r="G322" s="128"/>
      <c r="H322" s="226">
        <f t="shared" si="145"/>
        <v>0</v>
      </c>
      <c r="I322" s="129"/>
      <c r="J322" s="130" t="str">
        <f t="array" ref="J322">IF(ISERROR(G322/I322),"",G322/I322)</f>
        <v/>
      </c>
      <c r="K322" s="131">
        <f t="array" ref="K322">IF(ISERROR(G322/L322),"",G322/L322)</f>
        <v>0</v>
      </c>
      <c r="L322" s="129">
        <v>4.5999999999999996</v>
      </c>
      <c r="M322" s="109">
        <f t="shared" si="146"/>
        <v>0</v>
      </c>
      <c r="N322" s="130">
        <f t="shared" si="147"/>
        <v>0</v>
      </c>
      <c r="O322" s="219"/>
      <c r="P322" s="219"/>
      <c r="Q322" s="219"/>
      <c r="R322" s="219"/>
      <c r="S322" s="219"/>
      <c r="T322" s="219"/>
      <c r="U322" s="219"/>
      <c r="V322" s="132">
        <f t="shared" si="148"/>
        <v>0</v>
      </c>
      <c r="W322" s="133" t="str">
        <f t="shared" si="140"/>
        <v/>
      </c>
      <c r="X322" s="132"/>
      <c r="Y322" s="132"/>
      <c r="Z322" s="132"/>
      <c r="AA322" s="132"/>
    </row>
    <row r="323" spans="1:27" ht="20.100000000000001" customHeight="1">
      <c r="A323" s="299">
        <v>30700017</v>
      </c>
      <c r="B323" s="141" t="s">
        <v>238</v>
      </c>
      <c r="C323" s="217"/>
      <c r="D323" s="108">
        <v>4.4000000000000004</v>
      </c>
      <c r="E323" s="108"/>
      <c r="F323" s="127"/>
      <c r="G323" s="128"/>
      <c r="H323" s="226">
        <f t="shared" si="145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5.8</v>
      </c>
      <c r="M323" s="109">
        <f t="shared" si="146"/>
        <v>0</v>
      </c>
      <c r="N323" s="130">
        <f t="shared" si="147"/>
        <v>0</v>
      </c>
      <c r="O323" s="219"/>
      <c r="P323" s="219"/>
      <c r="Q323" s="219"/>
      <c r="R323" s="219"/>
      <c r="S323" s="219"/>
      <c r="T323" s="219"/>
      <c r="U323" s="219"/>
      <c r="V323" s="132">
        <f t="shared" si="148"/>
        <v>0</v>
      </c>
      <c r="W323" s="133" t="str">
        <f t="shared" si="140"/>
        <v/>
      </c>
      <c r="X323" s="132"/>
      <c r="Y323" s="132"/>
      <c r="Z323" s="132"/>
      <c r="AA323" s="132"/>
    </row>
    <row r="324" spans="1:27" ht="20.100000000000001" customHeight="1">
      <c r="A324" s="299">
        <v>30700001</v>
      </c>
      <c r="B324" s="127" t="s">
        <v>359</v>
      </c>
      <c r="C324" s="217"/>
      <c r="D324" s="108"/>
      <c r="E324" s="108"/>
      <c r="F324" s="127"/>
      <c r="G324" s="128"/>
      <c r="H324" s="292">
        <f t="shared" si="145"/>
        <v>0</v>
      </c>
      <c r="I324" s="129"/>
      <c r="J324" s="130"/>
      <c r="K324" s="131"/>
      <c r="L324" s="129">
        <v>6</v>
      </c>
      <c r="M324" s="109"/>
      <c r="N324" s="130"/>
      <c r="O324" s="219"/>
      <c r="P324" s="219"/>
      <c r="Q324" s="219"/>
      <c r="R324" s="219"/>
      <c r="S324" s="219"/>
      <c r="T324" s="219"/>
      <c r="U324" s="219"/>
      <c r="V324" s="132"/>
      <c r="W324" s="133"/>
      <c r="X324" s="132"/>
      <c r="Y324" s="132"/>
      <c r="Z324" s="132"/>
      <c r="AA324" s="132"/>
    </row>
    <row r="325" spans="1:27" ht="20.100000000000001" customHeight="1">
      <c r="A325" s="305"/>
      <c r="B325" s="217" t="s">
        <v>239</v>
      </c>
      <c r="C325" s="217" t="s">
        <v>179</v>
      </c>
      <c r="D325" s="108">
        <v>6.04</v>
      </c>
      <c r="E325" s="108"/>
      <c r="F325" s="127"/>
      <c r="G325" s="128"/>
      <c r="H325" s="292">
        <f t="shared" si="145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6" si="149">IF(ISERROR(I325-K325),"",I325-K325)</f>
        <v>0</v>
      </c>
      <c r="N325" s="130">
        <f t="shared" ref="N325:N326" si="150">SUM(O325:U325)</f>
        <v>0</v>
      </c>
      <c r="O325" s="219"/>
      <c r="P325" s="219"/>
      <c r="Q325" s="219"/>
      <c r="R325" s="219"/>
      <c r="S325" s="219"/>
      <c r="T325" s="219"/>
      <c r="U325" s="219"/>
      <c r="V325" s="132">
        <f t="shared" ref="V325:V326" si="151">SUM(X325:AA325)</f>
        <v>0</v>
      </c>
      <c r="W325" s="133" t="str">
        <f t="shared" ref="W325:W326" si="152">IF(ISERROR(V325/G325),"",V325/G325)</f>
        <v/>
      </c>
      <c r="X325" s="132"/>
      <c r="Y325" s="132"/>
      <c r="Z325" s="132"/>
      <c r="AA325" s="132"/>
    </row>
    <row r="326" spans="1:27" ht="20.100000000000001" customHeight="1">
      <c r="A326" s="305">
        <v>30700019</v>
      </c>
      <c r="B326" s="217" t="s">
        <v>239</v>
      </c>
      <c r="C326" s="217" t="s">
        <v>186</v>
      </c>
      <c r="D326" s="108">
        <v>6.04</v>
      </c>
      <c r="E326" s="108"/>
      <c r="F326" s="127"/>
      <c r="G326" s="128"/>
      <c r="H326" s="292">
        <f t="shared" si="145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49"/>
        <v>0</v>
      </c>
      <c r="N326" s="130">
        <f t="shared" si="150"/>
        <v>0</v>
      </c>
      <c r="O326" s="219"/>
      <c r="P326" s="219"/>
      <c r="Q326" s="219"/>
      <c r="R326" s="219"/>
      <c r="S326" s="219"/>
      <c r="T326" s="219"/>
      <c r="U326" s="219"/>
      <c r="V326" s="132">
        <f t="shared" si="151"/>
        <v>0</v>
      </c>
      <c r="W326" s="133" t="str">
        <f t="shared" si="152"/>
        <v/>
      </c>
      <c r="X326" s="132"/>
      <c r="Y326" s="132"/>
      <c r="Z326" s="132"/>
      <c r="AA326" s="132"/>
    </row>
    <row r="327" spans="1:27" ht="20.100000000000001" customHeight="1">
      <c r="A327" s="305">
        <v>30601015</v>
      </c>
      <c r="B327" s="277" t="s">
        <v>444</v>
      </c>
      <c r="C327" s="277" t="s">
        <v>179</v>
      </c>
      <c r="D327" s="108">
        <v>6</v>
      </c>
      <c r="E327" s="108"/>
      <c r="F327" s="127"/>
      <c r="G327" s="128"/>
      <c r="H327" s="292">
        <f t="shared" si="145"/>
        <v>0</v>
      </c>
      <c r="I327" s="129"/>
      <c r="J327" s="130"/>
      <c r="K327" s="131"/>
      <c r="L327" s="129"/>
      <c r="M327" s="109"/>
      <c r="N327" s="130"/>
      <c r="O327" s="278"/>
      <c r="P327" s="278"/>
      <c r="Q327" s="278"/>
      <c r="R327" s="278"/>
      <c r="S327" s="278"/>
      <c r="T327" s="278"/>
      <c r="U327" s="278"/>
      <c r="V327" s="132"/>
      <c r="W327" s="133"/>
      <c r="X327" s="132"/>
      <c r="Y327" s="132"/>
      <c r="Z327" s="132"/>
      <c r="AA327" s="132"/>
    </row>
    <row r="328" spans="1:27" ht="20.100000000000001" customHeight="1">
      <c r="A328" s="305">
        <v>30101016</v>
      </c>
      <c r="B328" s="282" t="s">
        <v>443</v>
      </c>
      <c r="C328" s="282" t="s">
        <v>445</v>
      </c>
      <c r="D328" s="108">
        <v>6</v>
      </c>
      <c r="E328" s="108"/>
      <c r="F328" s="127"/>
      <c r="G328" s="128"/>
      <c r="H328" s="292">
        <f t="shared" si="145"/>
        <v>0</v>
      </c>
      <c r="I328" s="129"/>
      <c r="J328" s="130"/>
      <c r="K328" s="131">
        <f t="array" ref="K328">IF(ISERROR(G328/L328),"",G328/L328)</f>
        <v>0</v>
      </c>
      <c r="L328" s="129">
        <v>6</v>
      </c>
      <c r="M328" s="109"/>
      <c r="N328" s="130"/>
      <c r="O328" s="219"/>
      <c r="P328" s="219"/>
      <c r="Q328" s="219"/>
      <c r="R328" s="219"/>
      <c r="S328" s="219"/>
      <c r="T328" s="219"/>
      <c r="U328" s="219"/>
      <c r="V328" s="132"/>
      <c r="W328" s="133"/>
      <c r="X328" s="132"/>
      <c r="Y328" s="132"/>
      <c r="Z328" s="132"/>
      <c r="AA328" s="132"/>
    </row>
    <row r="329" spans="1:27" ht="20.100000000000001" customHeight="1">
      <c r="A329" s="299">
        <v>30700018</v>
      </c>
      <c r="B329" s="291" t="s">
        <v>240</v>
      </c>
      <c r="C329" s="126"/>
      <c r="D329" s="108">
        <v>7.3</v>
      </c>
      <c r="E329" s="108"/>
      <c r="F329" s="127"/>
      <c r="G329" s="128"/>
      <c r="H329" s="292">
        <f t="shared" si="145"/>
        <v>0</v>
      </c>
      <c r="I329" s="129"/>
      <c r="J329" s="130"/>
      <c r="K329" s="131"/>
      <c r="L329" s="129"/>
      <c r="M329" s="109"/>
      <c r="N329" s="130"/>
      <c r="O329" s="293"/>
      <c r="P329" s="293"/>
      <c r="Q329" s="293"/>
      <c r="R329" s="293"/>
      <c r="S329" s="293"/>
      <c r="T329" s="293"/>
      <c r="U329" s="293"/>
      <c r="V329" s="132"/>
      <c r="W329" s="133"/>
      <c r="X329" s="132"/>
      <c r="Y329" s="132"/>
      <c r="Z329" s="132"/>
      <c r="AA329" s="132"/>
    </row>
    <row r="330" spans="1:27" ht="20.100000000000001" customHeight="1">
      <c r="A330" s="299">
        <v>30700010</v>
      </c>
      <c r="B330" s="291" t="s">
        <v>241</v>
      </c>
      <c r="C330" s="126"/>
      <c r="D330" s="108">
        <f>78*120/1000</f>
        <v>9.36</v>
      </c>
      <c r="E330" s="108"/>
      <c r="F330" s="127"/>
      <c r="G330" s="128"/>
      <c r="H330" s="255">
        <f t="shared" ref="H330:H333" si="153">D330*G330</f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4">SUM(O330:U330)</f>
        <v>0</v>
      </c>
      <c r="O330" s="219"/>
      <c r="P330" s="219"/>
      <c r="Q330" s="219"/>
      <c r="R330" s="219"/>
      <c r="S330" s="219"/>
      <c r="T330" s="219"/>
      <c r="U330" s="219"/>
      <c r="V330" s="132">
        <f t="shared" ref="V330" si="155">SUM(X330:AA330)</f>
        <v>0</v>
      </c>
      <c r="W330" s="133" t="str">
        <f t="shared" ref="W330" si="156">IF(ISERROR(V330/G330),"",V330/G330)</f>
        <v/>
      </c>
      <c r="X330" s="132"/>
      <c r="Y330" s="132"/>
      <c r="Z330" s="132"/>
      <c r="AA330" s="132"/>
    </row>
    <row r="331" spans="1:27" ht="20.100000000000001" customHeight="1">
      <c r="A331" s="299">
        <v>30700015</v>
      </c>
      <c r="B331" s="291" t="s">
        <v>242</v>
      </c>
      <c r="C331" s="126"/>
      <c r="D331" s="108">
        <v>4.5</v>
      </c>
      <c r="E331" s="108"/>
      <c r="F331" s="127"/>
      <c r="G331" s="128"/>
      <c r="H331" s="255">
        <f t="shared" si="153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219"/>
      <c r="P331" s="219"/>
      <c r="Q331" s="219"/>
      <c r="R331" s="219"/>
      <c r="S331" s="219"/>
      <c r="T331" s="219"/>
      <c r="U331" s="219"/>
      <c r="V331" s="132"/>
      <c r="W331" s="133"/>
      <c r="X331" s="132"/>
      <c r="Y331" s="132"/>
      <c r="Z331" s="132"/>
      <c r="AA331" s="132"/>
    </row>
    <row r="332" spans="1:27" ht="20.100000000000001" customHeight="1">
      <c r="A332" s="299">
        <v>30700012</v>
      </c>
      <c r="B332" s="291" t="s">
        <v>243</v>
      </c>
      <c r="C332" s="126"/>
      <c r="D332" s="108">
        <v>4.5</v>
      </c>
      <c r="E332" s="108"/>
      <c r="F332" s="127"/>
      <c r="G332" s="128"/>
      <c r="H332" s="255">
        <f t="shared" si="153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219"/>
      <c r="P332" s="219"/>
      <c r="Q332" s="219"/>
      <c r="R332" s="219"/>
      <c r="S332" s="219"/>
      <c r="T332" s="219"/>
      <c r="U332" s="219"/>
      <c r="V332" s="132"/>
      <c r="W332" s="133"/>
      <c r="X332" s="132"/>
      <c r="Y332" s="132"/>
      <c r="Z332" s="132"/>
      <c r="AA332" s="132"/>
    </row>
    <row r="333" spans="1:27" ht="20.100000000000001" customHeight="1">
      <c r="A333" s="299"/>
      <c r="B333" s="199" t="s">
        <v>438</v>
      </c>
      <c r="C333" s="126"/>
      <c r="D333" s="108">
        <v>4.5</v>
      </c>
      <c r="E333" s="108"/>
      <c r="F333" s="127"/>
      <c r="G333" s="128"/>
      <c r="H333" s="255">
        <f t="shared" si="153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219"/>
      <c r="P333" s="219"/>
      <c r="Q333" s="219"/>
      <c r="R333" s="219"/>
      <c r="S333" s="219"/>
      <c r="T333" s="219"/>
      <c r="U333" s="219"/>
      <c r="V333" s="132"/>
      <c r="W333" s="133"/>
      <c r="X333" s="132"/>
      <c r="Y333" s="132"/>
      <c r="Z333" s="132"/>
      <c r="AA333" s="132"/>
    </row>
    <row r="334" spans="1:27" ht="20.100000000000001" customHeight="1">
      <c r="A334" s="578" t="s">
        <v>244</v>
      </c>
      <c r="B334" s="579"/>
      <c r="C334" s="224" t="s">
        <v>202</v>
      </c>
      <c r="D334" s="143"/>
      <c r="E334" s="143"/>
      <c r="F334" s="144"/>
      <c r="G334" s="145">
        <f>SUM(G320:G333)</f>
        <v>0</v>
      </c>
      <c r="H334" s="146">
        <f>SUM(H320:H330)</f>
        <v>0</v>
      </c>
      <c r="I334" s="146">
        <f>SUM(I320:I333)</f>
        <v>0</v>
      </c>
      <c r="J334" s="130"/>
      <c r="K334" s="146">
        <f>SUM(K320:K330)</f>
        <v>0</v>
      </c>
      <c r="L334" s="147"/>
      <c r="M334" s="150">
        <f t="shared" ref="M334:AA334" si="157">SUM(M320:M330)</f>
        <v>0</v>
      </c>
      <c r="N334" s="146">
        <f t="shared" si="157"/>
        <v>0</v>
      </c>
      <c r="O334" s="148">
        <f t="shared" si="157"/>
        <v>0</v>
      </c>
      <c r="P334" s="148">
        <f t="shared" si="157"/>
        <v>0</v>
      </c>
      <c r="Q334" s="148">
        <f t="shared" si="157"/>
        <v>0</v>
      </c>
      <c r="R334" s="148">
        <f t="shared" si="157"/>
        <v>0</v>
      </c>
      <c r="S334" s="148">
        <f t="shared" si="157"/>
        <v>0</v>
      </c>
      <c r="T334" s="148">
        <f t="shared" si="157"/>
        <v>0</v>
      </c>
      <c r="U334" s="148">
        <f t="shared" si="157"/>
        <v>0</v>
      </c>
      <c r="V334" s="149">
        <f t="shared" si="157"/>
        <v>0</v>
      </c>
      <c r="W334" s="133">
        <f t="shared" si="157"/>
        <v>0</v>
      </c>
      <c r="X334" s="149">
        <f t="shared" si="157"/>
        <v>0</v>
      </c>
      <c r="Y334" s="149">
        <f t="shared" si="157"/>
        <v>0</v>
      </c>
      <c r="Z334" s="149">
        <f t="shared" si="157"/>
        <v>0</v>
      </c>
      <c r="AA334" s="149">
        <f t="shared" si="157"/>
        <v>0</v>
      </c>
    </row>
    <row r="335" spans="1:27" ht="20.100000000000001" customHeight="1">
      <c r="A335" s="580" t="s">
        <v>246</v>
      </c>
      <c r="B335" s="581"/>
      <c r="C335" s="581"/>
      <c r="D335" s="581"/>
      <c r="E335" s="581"/>
      <c r="F335" s="582"/>
      <c r="G335" s="154">
        <f>SUM(G199,G257,G292,G308,G319,G334)</f>
        <v>0</v>
      </c>
      <c r="H335" s="154">
        <f>SUM(H199,H257,H292,H308,H319,H334)</f>
        <v>0</v>
      </c>
      <c r="I335" s="154">
        <f>SUM(I199,I257,I292,I308,I319,I334)</f>
        <v>0</v>
      </c>
      <c r="J335" s="155" t="str">
        <f t="array" ref="J335">IF(ISERROR(G335/I335),"",G335/I335)</f>
        <v/>
      </c>
      <c r="K335" s="154">
        <f>SUM(K199,K257,K292,K308,K319,K334)</f>
        <v>0</v>
      </c>
      <c r="L335" s="155" t="str">
        <f>IF(ISERROR(G335/K335),"",G335/K335)</f>
        <v/>
      </c>
      <c r="M335" s="154">
        <f t="shared" ref="M335:AA335" si="158">SUM(M199,M257,M292,M308,M319,M334)</f>
        <v>0</v>
      </c>
      <c r="N335" s="154">
        <f t="shared" si="158"/>
        <v>0</v>
      </c>
      <c r="O335" s="154">
        <f t="shared" si="158"/>
        <v>0</v>
      </c>
      <c r="P335" s="154">
        <f t="shared" si="158"/>
        <v>0</v>
      </c>
      <c r="Q335" s="154">
        <f t="shared" si="158"/>
        <v>0</v>
      </c>
      <c r="R335" s="154">
        <f t="shared" si="158"/>
        <v>0</v>
      </c>
      <c r="S335" s="154">
        <f t="shared" si="158"/>
        <v>0</v>
      </c>
      <c r="T335" s="154">
        <f t="shared" si="158"/>
        <v>0</v>
      </c>
      <c r="U335" s="154">
        <f t="shared" si="158"/>
        <v>0</v>
      </c>
      <c r="V335" s="154">
        <f t="shared" si="158"/>
        <v>0</v>
      </c>
      <c r="W335" s="154">
        <f t="shared" si="158"/>
        <v>0</v>
      </c>
      <c r="X335" s="154">
        <f t="shared" si="158"/>
        <v>0</v>
      </c>
      <c r="Y335" s="154">
        <f t="shared" si="158"/>
        <v>0</v>
      </c>
      <c r="Z335" s="154">
        <f t="shared" si="158"/>
        <v>0</v>
      </c>
      <c r="AA335" s="154">
        <f t="shared" si="158"/>
        <v>0</v>
      </c>
    </row>
    <row r="336" spans="1:27" ht="20.100000000000001" customHeight="1">
      <c r="A336" s="583" t="s">
        <v>476</v>
      </c>
      <c r="B336" s="222" t="s">
        <v>247</v>
      </c>
      <c r="C336" s="586" t="s">
        <v>248</v>
      </c>
      <c r="D336" s="587"/>
      <c r="E336" s="588" t="s">
        <v>249</v>
      </c>
      <c r="F336" s="588"/>
      <c r="G336" s="591" t="s">
        <v>250</v>
      </c>
      <c r="H336" s="591"/>
      <c r="I336" s="588" t="s">
        <v>251</v>
      </c>
      <c r="J336" s="588"/>
      <c r="K336" s="588" t="s">
        <v>252</v>
      </c>
      <c r="L336" s="588"/>
      <c r="M336" s="588" t="s">
        <v>253</v>
      </c>
      <c r="N336" s="588"/>
      <c r="O336" s="588" t="s">
        <v>254</v>
      </c>
      <c r="P336" s="591" t="s">
        <v>255</v>
      </c>
      <c r="Q336" s="591"/>
      <c r="R336" s="591" t="s">
        <v>252</v>
      </c>
      <c r="S336" s="591"/>
      <c r="T336" s="591" t="s">
        <v>256</v>
      </c>
      <c r="U336" s="591"/>
      <c r="V336" s="591" t="s">
        <v>257</v>
      </c>
      <c r="W336" s="591"/>
      <c r="X336" s="591" t="s">
        <v>252</v>
      </c>
      <c r="Y336" s="591"/>
      <c r="Z336" s="591" t="s">
        <v>256</v>
      </c>
      <c r="AA336" s="591"/>
    </row>
    <row r="337" spans="1:27" ht="20.100000000000001" customHeight="1">
      <c r="A337" s="584"/>
      <c r="B337" s="222" t="s">
        <v>258</v>
      </c>
      <c r="C337" s="626">
        <v>1</v>
      </c>
      <c r="D337" s="627"/>
      <c r="E337" s="590">
        <f>C337*11</f>
        <v>11</v>
      </c>
      <c r="F337" s="590"/>
      <c r="G337" s="591">
        <v>1</v>
      </c>
      <c r="H337" s="591"/>
      <c r="I337" s="590">
        <f>G337*11</f>
        <v>11</v>
      </c>
      <c r="J337" s="590"/>
      <c r="K337" s="590">
        <f>E337-I337</f>
        <v>0</v>
      </c>
      <c r="L337" s="590"/>
      <c r="M337" s="592">
        <f>IF(ISERROR(K337/E337),"",K337/E337)</f>
        <v>0</v>
      </c>
      <c r="N337" s="592"/>
      <c r="O337" s="588"/>
      <c r="P337" s="591" t="s">
        <v>201</v>
      </c>
      <c r="Q337" s="591"/>
      <c r="R337" s="593">
        <f>SUM(O199:U199)</f>
        <v>0</v>
      </c>
      <c r="S337" s="593"/>
      <c r="T337" s="594" t="str">
        <f t="array" ref="T337">IF(ISERROR(R337/R344),"",R337/R344)</f>
        <v/>
      </c>
      <c r="U337" s="594"/>
      <c r="V337" s="591" t="s">
        <v>259</v>
      </c>
      <c r="W337" s="591"/>
      <c r="X337" s="628">
        <f>SUM(P198,P256,P291,P307,P318,P333)</f>
        <v>0</v>
      </c>
      <c r="Y337" s="629"/>
      <c r="Z337" s="594" t="str">
        <f t="array" ref="Z337">IF(ISERROR(X337/X344),"",X337/X344)</f>
        <v/>
      </c>
      <c r="AA337" s="594"/>
    </row>
    <row r="338" spans="1:27" ht="20.100000000000001" customHeight="1">
      <c r="A338" s="584"/>
      <c r="B338" s="222" t="s">
        <v>260</v>
      </c>
      <c r="C338" s="586">
        <v>0</v>
      </c>
      <c r="D338" s="587"/>
      <c r="E338" s="590">
        <f>C338*11</f>
        <v>0</v>
      </c>
      <c r="F338" s="590"/>
      <c r="G338" s="591">
        <v>0</v>
      </c>
      <c r="H338" s="591"/>
      <c r="I338" s="590">
        <f>G338*11</f>
        <v>0</v>
      </c>
      <c r="J338" s="590"/>
      <c r="K338" s="590">
        <f>E338-I338</f>
        <v>0</v>
      </c>
      <c r="L338" s="590"/>
      <c r="M338" s="592" t="str">
        <f>IF(ISERROR(K338/E338),"",K338/E338)</f>
        <v/>
      </c>
      <c r="N338" s="592"/>
      <c r="O338" s="588"/>
      <c r="P338" s="591" t="s">
        <v>216</v>
      </c>
      <c r="Q338" s="591"/>
      <c r="R338" s="593">
        <f>SUM(O257:U257)</f>
        <v>0</v>
      </c>
      <c r="S338" s="593"/>
      <c r="T338" s="594" t="str">
        <f>IF(ISERROR(R338/R344),"",R338/R344)</f>
        <v/>
      </c>
      <c r="U338" s="594"/>
      <c r="V338" s="591" t="s">
        <v>261</v>
      </c>
      <c r="W338" s="591"/>
      <c r="X338" s="628">
        <f>SUM(P199,P257,P292,P308,P319,P334)</f>
        <v>0</v>
      </c>
      <c r="Y338" s="629"/>
      <c r="Z338" s="594" t="str">
        <f>IF(ISERROR(X338/X344),"",X338/X344)</f>
        <v/>
      </c>
      <c r="AA338" s="594"/>
    </row>
    <row r="339" spans="1:27" ht="20.100000000000001" customHeight="1">
      <c r="A339" s="584"/>
      <c r="B339" s="222" t="s">
        <v>262</v>
      </c>
      <c r="C339" s="586">
        <v>0</v>
      </c>
      <c r="D339" s="587"/>
      <c r="E339" s="590">
        <f>C339*8</f>
        <v>0</v>
      </c>
      <c r="F339" s="590"/>
      <c r="G339" s="591">
        <v>1</v>
      </c>
      <c r="H339" s="591"/>
      <c r="I339" s="590">
        <f>G339*8</f>
        <v>8</v>
      </c>
      <c r="J339" s="590"/>
      <c r="K339" s="590">
        <f>E339-I339</f>
        <v>-8</v>
      </c>
      <c r="L339" s="590"/>
      <c r="M339" s="592" t="str">
        <f>IF(ISERROR(K339/E339),"",K339/E339)</f>
        <v/>
      </c>
      <c r="N339" s="592"/>
      <c r="O339" s="588"/>
      <c r="P339" s="591" t="s">
        <v>224</v>
      </c>
      <c r="Q339" s="591"/>
      <c r="R339" s="593">
        <f>SUM(O292:U292)</f>
        <v>0</v>
      </c>
      <c r="S339" s="593"/>
      <c r="T339" s="594" t="str">
        <f>IF(ISERROR(R339/R344),"",R339/R344)</f>
        <v/>
      </c>
      <c r="U339" s="594"/>
      <c r="V339" s="591" t="s">
        <v>263</v>
      </c>
      <c r="W339" s="591"/>
      <c r="X339" s="628">
        <f>SUM(P200,P258,P293,P309,P320,P335)</f>
        <v>0</v>
      </c>
      <c r="Y339" s="629"/>
      <c r="Z339" s="594" t="str">
        <f>IF(ISERROR(X339/X344),"",X339/X344)</f>
        <v/>
      </c>
      <c r="AA339" s="594"/>
    </row>
    <row r="340" spans="1:27" ht="20.100000000000001" customHeight="1">
      <c r="A340" s="584"/>
      <c r="B340" s="222" t="s">
        <v>264</v>
      </c>
      <c r="C340" s="586">
        <v>1</v>
      </c>
      <c r="D340" s="587"/>
      <c r="E340" s="590">
        <f>C340*11</f>
        <v>11</v>
      </c>
      <c r="F340" s="590"/>
      <c r="G340" s="591">
        <v>1</v>
      </c>
      <c r="H340" s="591"/>
      <c r="I340" s="590">
        <f>G340*11</f>
        <v>11</v>
      </c>
      <c r="J340" s="590"/>
      <c r="K340" s="590">
        <f>E340-I340</f>
        <v>0</v>
      </c>
      <c r="L340" s="590"/>
      <c r="M340" s="592">
        <f>IF(ISERROR(K340/E340),"",K340/E340)</f>
        <v>0</v>
      </c>
      <c r="N340" s="592"/>
      <c r="O340" s="588"/>
      <c r="P340" s="591" t="s">
        <v>231</v>
      </c>
      <c r="Q340" s="591"/>
      <c r="R340" s="593">
        <f>SUM(O308:U308)</f>
        <v>0</v>
      </c>
      <c r="S340" s="593"/>
      <c r="T340" s="594" t="str">
        <f>IF(ISERROR(R340/R344),"",R340/R344)</f>
        <v/>
      </c>
      <c r="U340" s="594"/>
      <c r="V340" s="591" t="s">
        <v>265</v>
      </c>
      <c r="W340" s="591"/>
      <c r="X340" s="628">
        <f>SUM(P202,P259,P294,P310,P321,P336)</f>
        <v>0</v>
      </c>
      <c r="Y340" s="629"/>
      <c r="Z340" s="594" t="str">
        <f>IF(ISERROR(X340/X344),"",X340/X344)</f>
        <v/>
      </c>
      <c r="AA340" s="594"/>
    </row>
    <row r="341" spans="1:27" ht="20.100000000000001" customHeight="1">
      <c r="A341" s="585"/>
      <c r="B341" s="222" t="s">
        <v>266</v>
      </c>
      <c r="C341" s="596">
        <f>SUM(C337:D340)</f>
        <v>2</v>
      </c>
      <c r="D341" s="597"/>
      <c r="E341" s="590">
        <f>SUM(E337:F340)</f>
        <v>22</v>
      </c>
      <c r="F341" s="590"/>
      <c r="G341" s="591">
        <f>SUM(G337:H340)</f>
        <v>3</v>
      </c>
      <c r="H341" s="591"/>
      <c r="I341" s="590">
        <f>SUM(I337:J340)</f>
        <v>30</v>
      </c>
      <c r="J341" s="590"/>
      <c r="K341" s="590">
        <f>SUM(K337:L340)</f>
        <v>-8</v>
      </c>
      <c r="L341" s="590"/>
      <c r="M341" s="592">
        <f>IF(ISERROR(K341/E341),"",K341/E341)</f>
        <v>-0.36363636363636365</v>
      </c>
      <c r="N341" s="592"/>
      <c r="O341" s="588"/>
      <c r="P341" s="591" t="s">
        <v>234</v>
      </c>
      <c r="Q341" s="591"/>
      <c r="R341" s="593">
        <f>SUM(O319:U319)</f>
        <v>0</v>
      </c>
      <c r="S341" s="593"/>
      <c r="T341" s="594" t="str">
        <f>IF(ISERROR(R341/R344),"",R341/R344)</f>
        <v/>
      </c>
      <c r="U341" s="594"/>
      <c r="V341" s="591" t="s">
        <v>267</v>
      </c>
      <c r="W341" s="591"/>
      <c r="X341" s="628">
        <f>SUM(P203,P260,P295,P311,P322,P337)</f>
        <v>0</v>
      </c>
      <c r="Y341" s="629"/>
      <c r="Z341" s="594" t="str">
        <f>IF(ISERROR(X341/X344),"",X341/X344)</f>
        <v/>
      </c>
      <c r="AA341" s="594"/>
    </row>
    <row r="342" spans="1:27" ht="20.100000000000001" customHeight="1">
      <c r="A342" s="309" t="s">
        <v>477</v>
      </c>
      <c r="B342" s="222">
        <f>G335</f>
        <v>0</v>
      </c>
      <c r="C342" s="598" t="s">
        <v>269</v>
      </c>
      <c r="D342" s="599"/>
      <c r="E342" s="591">
        <f>H335</f>
        <v>0</v>
      </c>
      <c r="F342" s="591"/>
      <c r="G342" s="591" t="s">
        <v>270</v>
      </c>
      <c r="H342" s="591"/>
      <c r="I342" s="600" t="str">
        <f>L335</f>
        <v/>
      </c>
      <c r="J342" s="600"/>
      <c r="K342" s="588" t="s">
        <v>271</v>
      </c>
      <c r="L342" s="588"/>
      <c r="M342" s="600" t="str">
        <f>J335</f>
        <v/>
      </c>
      <c r="N342" s="600"/>
      <c r="O342" s="588"/>
      <c r="P342" s="591" t="s">
        <v>244</v>
      </c>
      <c r="Q342" s="591"/>
      <c r="R342" s="593">
        <f>SUM(O334:U334)</f>
        <v>0</v>
      </c>
      <c r="S342" s="593"/>
      <c r="T342" s="594" t="str">
        <f>IF(ISERROR(R342/R344),"",R342/R344)</f>
        <v/>
      </c>
      <c r="U342" s="594"/>
      <c r="V342" s="591" t="s">
        <v>272</v>
      </c>
      <c r="W342" s="591"/>
      <c r="X342" s="628">
        <f>SUM(P204,P261,P296,P312,P323,P338)</f>
        <v>0</v>
      </c>
      <c r="Y342" s="629"/>
      <c r="Z342" s="594" t="str">
        <f>IF(ISERROR(X342/X344),"",X342/X344)</f>
        <v/>
      </c>
      <c r="AA342" s="594"/>
    </row>
    <row r="343" spans="1:27" ht="20.100000000000001" customHeight="1">
      <c r="A343" s="310" t="s">
        <v>478</v>
      </c>
      <c r="B343" s="222">
        <f>I335+C341</f>
        <v>2</v>
      </c>
      <c r="C343" s="601" t="s">
        <v>251</v>
      </c>
      <c r="D343" s="602"/>
      <c r="E343" s="603">
        <f>K335+I341</f>
        <v>30</v>
      </c>
      <c r="F343" s="603"/>
      <c r="G343" s="591" t="s">
        <v>274</v>
      </c>
      <c r="H343" s="591"/>
      <c r="I343" s="600">
        <f>B343-E343</f>
        <v>-28</v>
      </c>
      <c r="J343" s="600"/>
      <c r="K343" s="588" t="s">
        <v>275</v>
      </c>
      <c r="L343" s="588"/>
      <c r="M343" s="592">
        <f>IF(ISERROR(I343/E343),"",I343/E343)</f>
        <v>-0.93333333333333335</v>
      </c>
      <c r="N343" s="592"/>
      <c r="O343" s="588"/>
      <c r="P343" s="591" t="s">
        <v>245</v>
      </c>
      <c r="Q343" s="591"/>
      <c r="R343" s="593"/>
      <c r="S343" s="593"/>
      <c r="T343" s="594" t="str">
        <f>IF(ISERROR(R343/R344),"",R343/R344)</f>
        <v/>
      </c>
      <c r="U343" s="594"/>
      <c r="V343" s="591" t="s">
        <v>264</v>
      </c>
      <c r="W343" s="591"/>
      <c r="X343" s="628">
        <f>SUM(P205,P262,P297,P313,P324,P339)</f>
        <v>0</v>
      </c>
      <c r="Y343" s="629"/>
      <c r="Z343" s="594" t="str">
        <f>IF(ISERROR(X343/X344),"",X343/X344)</f>
        <v/>
      </c>
      <c r="AA343" s="594"/>
    </row>
    <row r="344" spans="1:27" ht="20.100000000000001" customHeight="1">
      <c r="A344" s="310" t="s">
        <v>479</v>
      </c>
      <c r="B344" s="222">
        <f>N335</f>
        <v>0</v>
      </c>
      <c r="C344" s="601" t="s">
        <v>277</v>
      </c>
      <c r="D344" s="602"/>
      <c r="E344" s="594">
        <f>IF(ISERROR(B344/B343),"",B344/B343)</f>
        <v>0</v>
      </c>
      <c r="F344" s="594"/>
      <c r="G344" s="591" t="s">
        <v>278</v>
      </c>
      <c r="H344" s="591"/>
      <c r="I344" s="588">
        <f>V335</f>
        <v>0</v>
      </c>
      <c r="J344" s="588"/>
      <c r="K344" s="588" t="s">
        <v>279</v>
      </c>
      <c r="L344" s="588"/>
      <c r="M344" s="592" t="str">
        <f t="array" ref="M344">IF(ISERROR(I344/B342),"",I344/B342)</f>
        <v/>
      </c>
      <c r="N344" s="592"/>
      <c r="O344" s="588"/>
      <c r="P344" s="591" t="s">
        <v>266</v>
      </c>
      <c r="Q344" s="591"/>
      <c r="R344" s="593">
        <f>SUM(R337:S343)</f>
        <v>0</v>
      </c>
      <c r="S344" s="593"/>
      <c r="T344" s="594"/>
      <c r="U344" s="594"/>
      <c r="V344" s="591" t="s">
        <v>266</v>
      </c>
      <c r="W344" s="591"/>
      <c r="X344" s="595">
        <f>SUM(X337:Y343)</f>
        <v>0</v>
      </c>
      <c r="Y344" s="595"/>
      <c r="Z344" s="594"/>
      <c r="AA344" s="594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4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604" t="s">
        <v>480</v>
      </c>
      <c r="B346" s="607" t="s">
        <v>280</v>
      </c>
      <c r="C346" s="607" t="s">
        <v>281</v>
      </c>
      <c r="D346" s="607" t="s">
        <v>282</v>
      </c>
      <c r="E346" s="610" t="s">
        <v>283</v>
      </c>
      <c r="F346" s="623" t="s">
        <v>284</v>
      </c>
      <c r="G346" s="588" t="s">
        <v>285</v>
      </c>
      <c r="H346" s="588"/>
      <c r="I346" s="607" t="s">
        <v>286</v>
      </c>
      <c r="J346" s="613" t="s">
        <v>271</v>
      </c>
      <c r="K346" s="616" t="s">
        <v>287</v>
      </c>
      <c r="L346" s="607" t="s">
        <v>270</v>
      </c>
      <c r="M346" s="619" t="s">
        <v>288</v>
      </c>
      <c r="N346" s="621" t="s">
        <v>252</v>
      </c>
      <c r="O346" s="588" t="s">
        <v>289</v>
      </c>
      <c r="P346" s="588"/>
      <c r="Q346" s="588"/>
      <c r="R346" s="588"/>
      <c r="S346" s="588"/>
      <c r="T346" s="588"/>
      <c r="U346" s="588"/>
      <c r="V346" s="588" t="s">
        <v>290</v>
      </c>
      <c r="W346" s="621" t="s">
        <v>291</v>
      </c>
      <c r="X346" s="588" t="s">
        <v>292</v>
      </c>
      <c r="Y346" s="588"/>
      <c r="Z346" s="588"/>
      <c r="AA346" s="588"/>
    </row>
    <row r="347" spans="1:27" ht="21.95" customHeight="1">
      <c r="A347" s="605"/>
      <c r="B347" s="608"/>
      <c r="C347" s="608"/>
      <c r="D347" s="608"/>
      <c r="E347" s="611"/>
      <c r="F347" s="624"/>
      <c r="G347" s="588"/>
      <c r="H347" s="588"/>
      <c r="I347" s="608"/>
      <c r="J347" s="614"/>
      <c r="K347" s="617"/>
      <c r="L347" s="608"/>
      <c r="M347" s="620"/>
      <c r="N347" s="621"/>
      <c r="O347" s="588" t="s">
        <v>259</v>
      </c>
      <c r="P347" s="588" t="s">
        <v>261</v>
      </c>
      <c r="Q347" s="588" t="s">
        <v>263</v>
      </c>
      <c r="R347" s="622" t="s">
        <v>265</v>
      </c>
      <c r="S347" s="591" t="s">
        <v>267</v>
      </c>
      <c r="T347" s="588" t="s">
        <v>272</v>
      </c>
      <c r="U347" s="588" t="s">
        <v>264</v>
      </c>
      <c r="V347" s="588"/>
      <c r="W347" s="621"/>
      <c r="X347" s="588" t="s">
        <v>293</v>
      </c>
      <c r="Y347" s="588" t="s">
        <v>294</v>
      </c>
      <c r="Z347" s="588" t="s">
        <v>295</v>
      </c>
      <c r="AA347" s="588" t="s">
        <v>264</v>
      </c>
    </row>
    <row r="348" spans="1:27" ht="21.95" customHeight="1">
      <c r="A348" s="606"/>
      <c r="B348" s="609"/>
      <c r="C348" s="609"/>
      <c r="D348" s="609"/>
      <c r="E348" s="612"/>
      <c r="F348" s="625"/>
      <c r="G348" s="157" t="s">
        <v>296</v>
      </c>
      <c r="H348" s="217" t="s">
        <v>297</v>
      </c>
      <c r="I348" s="609"/>
      <c r="J348" s="615"/>
      <c r="K348" s="618"/>
      <c r="L348" s="609"/>
      <c r="M348" s="620"/>
      <c r="N348" s="621"/>
      <c r="O348" s="588"/>
      <c r="P348" s="588"/>
      <c r="Q348" s="588"/>
      <c r="R348" s="622"/>
      <c r="S348" s="591"/>
      <c r="T348" s="588"/>
      <c r="U348" s="588"/>
      <c r="V348" s="588"/>
      <c r="W348" s="621"/>
      <c r="X348" s="588"/>
      <c r="Y348" s="588"/>
      <c r="Z348" s="588"/>
      <c r="AA348" s="588"/>
    </row>
    <row r="349" spans="1:27" ht="20.100000000000001" customHeight="1">
      <c r="A349" s="299">
        <v>30100030</v>
      </c>
      <c r="B349" s="218" t="s">
        <v>178</v>
      </c>
      <c r="C349" s="126" t="s">
        <v>179</v>
      </c>
      <c r="D349" s="108">
        <v>5.03</v>
      </c>
      <c r="E349" s="108"/>
      <c r="F349" s="127"/>
      <c r="G349" s="128"/>
      <c r="H349" s="226">
        <f t="shared" ref="H349:H369" si="159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69" si="160">IF(ISERROR(I349-K349),"",I349-K349)</f>
        <v>0</v>
      </c>
      <c r="N349" s="130">
        <f t="shared" ref="N349:N354" si="161">SUM(O349:U349)</f>
        <v>0</v>
      </c>
      <c r="O349" s="219"/>
      <c r="P349" s="219"/>
      <c r="Q349" s="219"/>
      <c r="R349" s="219"/>
      <c r="S349" s="219"/>
      <c r="T349" s="219"/>
      <c r="U349" s="219"/>
      <c r="V349" s="132">
        <f t="shared" ref="V349:V354" si="162">SUM(X349:AA349)</f>
        <v>0</v>
      </c>
      <c r="W349" s="133" t="str">
        <f t="shared" ref="W349:W354" si="163">IF(ISERROR(V349/G349),"",V349/G349)</f>
        <v/>
      </c>
      <c r="X349" s="132"/>
      <c r="Y349" s="132"/>
      <c r="Z349" s="132"/>
      <c r="AA349" s="132"/>
    </row>
    <row r="350" spans="1:27" ht="20.10000000000000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28"/>
      <c r="H350" s="226">
        <f t="shared" si="159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60"/>
        <v>0</v>
      </c>
      <c r="N350" s="130">
        <f t="shared" si="161"/>
        <v>0</v>
      </c>
      <c r="O350" s="219"/>
      <c r="P350" s="219"/>
      <c r="Q350" s="219"/>
      <c r="R350" s="219"/>
      <c r="S350" s="219"/>
      <c r="T350" s="219"/>
      <c r="U350" s="219"/>
      <c r="V350" s="132">
        <f t="shared" si="162"/>
        <v>0</v>
      </c>
      <c r="W350" s="133" t="str">
        <f t="shared" si="163"/>
        <v/>
      </c>
      <c r="X350" s="132"/>
      <c r="Y350" s="132"/>
      <c r="Z350" s="132"/>
      <c r="AA350" s="132"/>
    </row>
    <row r="351" spans="1:27" ht="20.10000000000000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28"/>
      <c r="H351" s="226">
        <f t="shared" si="159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60"/>
        <v>0</v>
      </c>
      <c r="N351" s="130">
        <f t="shared" si="161"/>
        <v>0</v>
      </c>
      <c r="O351" s="219"/>
      <c r="P351" s="219"/>
      <c r="Q351" s="219"/>
      <c r="R351" s="219"/>
      <c r="S351" s="219"/>
      <c r="T351" s="219"/>
      <c r="U351" s="219"/>
      <c r="V351" s="132">
        <f t="shared" si="162"/>
        <v>0</v>
      </c>
      <c r="W351" s="133" t="str">
        <f t="shared" si="163"/>
        <v/>
      </c>
      <c r="X351" s="132"/>
      <c r="Y351" s="132"/>
      <c r="Z351" s="132"/>
      <c r="AA351" s="132"/>
    </row>
    <row r="352" spans="1:27" ht="20.10000000000000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28"/>
      <c r="H352" s="226">
        <f t="shared" si="159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60"/>
        <v>0</v>
      </c>
      <c r="N352" s="130">
        <f t="shared" si="161"/>
        <v>0</v>
      </c>
      <c r="O352" s="219"/>
      <c r="P352" s="219"/>
      <c r="Q352" s="219"/>
      <c r="R352" s="219"/>
      <c r="S352" s="219"/>
      <c r="T352" s="219"/>
      <c r="U352" s="219"/>
      <c r="V352" s="132">
        <f t="shared" si="162"/>
        <v>0</v>
      </c>
      <c r="W352" s="133" t="str">
        <f t="shared" si="163"/>
        <v/>
      </c>
      <c r="X352" s="132"/>
      <c r="Y352" s="132"/>
      <c r="Z352" s="132"/>
      <c r="AA352" s="132"/>
    </row>
    <row r="353" spans="1:27" ht="20.10000000000000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28"/>
      <c r="H353" s="226">
        <f t="shared" si="159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60"/>
        <v>0</v>
      </c>
      <c r="N353" s="130">
        <f t="shared" si="161"/>
        <v>0</v>
      </c>
      <c r="O353" s="219"/>
      <c r="P353" s="219"/>
      <c r="Q353" s="219"/>
      <c r="R353" s="219"/>
      <c r="S353" s="219"/>
      <c r="T353" s="219"/>
      <c r="U353" s="219"/>
      <c r="V353" s="132">
        <f t="shared" si="162"/>
        <v>0</v>
      </c>
      <c r="W353" s="133" t="str">
        <f t="shared" si="163"/>
        <v/>
      </c>
      <c r="X353" s="132"/>
      <c r="Y353" s="132"/>
      <c r="Z353" s="132"/>
      <c r="AA353" s="132"/>
    </row>
    <row r="354" spans="1:27" ht="20.10000000000000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137"/>
      <c r="H354" s="226">
        <f t="shared" si="159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60"/>
        <v>0</v>
      </c>
      <c r="N354" s="130">
        <f t="shared" si="161"/>
        <v>0</v>
      </c>
      <c r="O354" s="219"/>
      <c r="P354" s="219"/>
      <c r="Q354" s="219"/>
      <c r="R354" s="219"/>
      <c r="S354" s="219"/>
      <c r="T354" s="219"/>
      <c r="U354" s="219"/>
      <c r="V354" s="132">
        <f t="shared" si="162"/>
        <v>0</v>
      </c>
      <c r="W354" s="133" t="str">
        <f t="shared" si="163"/>
        <v/>
      </c>
      <c r="X354" s="132"/>
      <c r="Y354" s="132"/>
      <c r="Z354" s="132"/>
      <c r="AA354" s="132"/>
    </row>
    <row r="355" spans="1:27" ht="20.10000000000000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28"/>
      <c r="H355" s="226">
        <f t="shared" si="159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60"/>
        <v>0</v>
      </c>
      <c r="N355" s="130"/>
      <c r="O355" s="219"/>
      <c r="P355" s="219"/>
      <c r="Q355" s="219"/>
      <c r="R355" s="219"/>
      <c r="S355" s="219"/>
      <c r="T355" s="219"/>
      <c r="U355" s="219"/>
      <c r="V355" s="132"/>
      <c r="W355" s="133"/>
      <c r="X355" s="132"/>
      <c r="Y355" s="132"/>
      <c r="Z355" s="132"/>
      <c r="AA355" s="132"/>
    </row>
    <row r="356" spans="1:27" ht="20.10000000000000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28"/>
      <c r="H356" s="226">
        <f t="shared" si="159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60"/>
        <v>0</v>
      </c>
      <c r="N356" s="130"/>
      <c r="O356" s="219"/>
      <c r="P356" s="219"/>
      <c r="Q356" s="219"/>
      <c r="R356" s="219"/>
      <c r="S356" s="219"/>
      <c r="T356" s="219"/>
      <c r="U356" s="219"/>
      <c r="V356" s="132"/>
      <c r="W356" s="133"/>
      <c r="X356" s="132"/>
      <c r="Y356" s="132"/>
      <c r="Z356" s="132"/>
      <c r="AA356" s="132"/>
    </row>
    <row r="357" spans="1:27" ht="20.10000000000000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28"/>
      <c r="H357" s="226">
        <f t="shared" si="159"/>
        <v>0</v>
      </c>
      <c r="I357" s="226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60"/>
        <v>0</v>
      </c>
      <c r="N357" s="130">
        <f>SUM(O357:U357)</f>
        <v>0</v>
      </c>
      <c r="O357" s="219"/>
      <c r="P357" s="219"/>
      <c r="Q357" s="219"/>
      <c r="R357" s="219"/>
      <c r="S357" s="219"/>
      <c r="T357" s="219"/>
      <c r="U357" s="219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28"/>
      <c r="H358" s="226">
        <f t="shared" si="159"/>
        <v>0</v>
      </c>
      <c r="I358" s="226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60"/>
        <v>0</v>
      </c>
      <c r="N358" s="130">
        <f>SUM(O358:U358)</f>
        <v>0</v>
      </c>
      <c r="O358" s="219"/>
      <c r="P358" s="219"/>
      <c r="Q358" s="219"/>
      <c r="R358" s="219"/>
      <c r="S358" s="219"/>
      <c r="T358" s="219"/>
      <c r="U358" s="219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customHeight="1">
      <c r="A359" s="302">
        <v>30100063</v>
      </c>
      <c r="B359" s="134" t="s">
        <v>466</v>
      </c>
      <c r="C359" s="126" t="s">
        <v>192</v>
      </c>
      <c r="D359" s="108">
        <v>5.03</v>
      </c>
      <c r="E359" s="108"/>
      <c r="F359" s="126"/>
      <c r="G359" s="128"/>
      <c r="H359" s="292">
        <f t="shared" si="159"/>
        <v>0</v>
      </c>
      <c r="I359" s="292"/>
      <c r="J359" s="130"/>
      <c r="K359" s="131"/>
      <c r="L359" s="129"/>
      <c r="M359" s="109"/>
      <c r="N359" s="130"/>
      <c r="O359" s="293"/>
      <c r="P359" s="293"/>
      <c r="Q359" s="293"/>
      <c r="R359" s="293"/>
      <c r="S359" s="293"/>
      <c r="T359" s="293"/>
      <c r="U359" s="293"/>
      <c r="V359" s="132"/>
      <c r="W359" s="133"/>
      <c r="X359" s="132"/>
      <c r="Y359" s="132"/>
      <c r="Z359" s="132"/>
      <c r="AA359" s="132"/>
    </row>
    <row r="360" spans="1:27" ht="20.100000000000001" customHeight="1">
      <c r="A360" s="302">
        <v>30100061</v>
      </c>
      <c r="B360" s="134" t="s">
        <v>466</v>
      </c>
      <c r="C360" s="126" t="s">
        <v>193</v>
      </c>
      <c r="D360" s="108">
        <v>5.03</v>
      </c>
      <c r="E360" s="108"/>
      <c r="F360" s="126"/>
      <c r="G360" s="128"/>
      <c r="H360" s="292">
        <f t="shared" si="159"/>
        <v>0</v>
      </c>
      <c r="I360" s="292"/>
      <c r="J360" s="130"/>
      <c r="K360" s="131"/>
      <c r="L360" s="129"/>
      <c r="M360" s="109"/>
      <c r="N360" s="130"/>
      <c r="O360" s="293"/>
      <c r="P360" s="293"/>
      <c r="Q360" s="293"/>
      <c r="R360" s="293"/>
      <c r="S360" s="293"/>
      <c r="T360" s="293"/>
      <c r="U360" s="293"/>
      <c r="V360" s="132"/>
      <c r="W360" s="133"/>
      <c r="X360" s="132"/>
      <c r="Y360" s="132"/>
      <c r="Z360" s="132"/>
      <c r="AA360" s="132"/>
    </row>
    <row r="361" spans="1:27" ht="20.10000000000000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28"/>
      <c r="H361" s="292">
        <f t="shared" si="159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si="160"/>
        <v>0</v>
      </c>
      <c r="N361" s="130">
        <f t="shared" ref="N361:N363" si="164">SUM(O361:U361)</f>
        <v>0</v>
      </c>
      <c r="O361" s="219"/>
      <c r="P361" s="219"/>
      <c r="Q361" s="219"/>
      <c r="R361" s="219"/>
      <c r="S361" s="219"/>
      <c r="T361" s="219"/>
      <c r="U361" s="219"/>
      <c r="V361" s="132">
        <f t="shared" ref="V361:V363" si="165">SUM(X361:AA361)</f>
        <v>0</v>
      </c>
      <c r="W361" s="133" t="str">
        <f t="shared" ref="W361:W363" si="166">IF(ISERROR(V361/G361),"",V361/G361)</f>
        <v/>
      </c>
      <c r="X361" s="132"/>
      <c r="Y361" s="132"/>
      <c r="Z361" s="132"/>
      <c r="AA361" s="132"/>
    </row>
    <row r="362" spans="1:27" ht="20.10000000000000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28"/>
      <c r="H362" s="292">
        <f t="shared" si="159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0"/>
        <v>0</v>
      </c>
      <c r="N362" s="130">
        <f t="shared" si="164"/>
        <v>0</v>
      </c>
      <c r="O362" s="219"/>
      <c r="P362" s="219"/>
      <c r="Q362" s="219"/>
      <c r="R362" s="219"/>
      <c r="S362" s="219"/>
      <c r="T362" s="219"/>
      <c r="U362" s="219"/>
      <c r="V362" s="132">
        <f t="shared" si="165"/>
        <v>0</v>
      </c>
      <c r="W362" s="133" t="str">
        <f t="shared" si="166"/>
        <v/>
      </c>
      <c r="X362" s="132"/>
      <c r="Y362" s="132"/>
      <c r="Z362" s="132"/>
      <c r="AA362" s="132"/>
    </row>
    <row r="363" spans="1:27" ht="20.10000000000000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28"/>
      <c r="H363" s="292">
        <f t="shared" si="159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0"/>
        <v>0</v>
      </c>
      <c r="N363" s="130">
        <f t="shared" si="164"/>
        <v>0</v>
      </c>
      <c r="O363" s="219"/>
      <c r="P363" s="219"/>
      <c r="Q363" s="219"/>
      <c r="R363" s="219"/>
      <c r="S363" s="219"/>
      <c r="T363" s="219"/>
      <c r="U363" s="219"/>
      <c r="V363" s="132">
        <f t="shared" si="165"/>
        <v>0</v>
      </c>
      <c r="W363" s="133" t="str">
        <f t="shared" si="166"/>
        <v/>
      </c>
      <c r="X363" s="132"/>
      <c r="Y363" s="132"/>
      <c r="Z363" s="132"/>
      <c r="AA363" s="132"/>
    </row>
    <row r="364" spans="1:27" ht="20.100000000000001" customHeight="1">
      <c r="A364" s="300">
        <v>30100003</v>
      </c>
      <c r="B364" s="141" t="s">
        <v>198</v>
      </c>
      <c r="C364" s="217" t="s">
        <v>190</v>
      </c>
      <c r="D364" s="108">
        <v>4.8</v>
      </c>
      <c r="E364" s="108"/>
      <c r="F364" s="127"/>
      <c r="G364" s="128"/>
      <c r="H364" s="226">
        <f t="shared" si="159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0"/>
        <v>0</v>
      </c>
      <c r="N364" s="130"/>
      <c r="O364" s="219"/>
      <c r="P364" s="219"/>
      <c r="Q364" s="219"/>
      <c r="R364" s="219"/>
      <c r="S364" s="219"/>
      <c r="T364" s="219"/>
      <c r="U364" s="219"/>
      <c r="V364" s="132"/>
      <c r="W364" s="133"/>
      <c r="X364" s="132"/>
      <c r="Y364" s="132"/>
      <c r="Z364" s="132"/>
      <c r="AA364" s="132"/>
    </row>
    <row r="365" spans="1:27" ht="20.100000000000001" customHeight="1">
      <c r="A365" s="300">
        <v>30100004</v>
      </c>
      <c r="B365" s="141" t="s">
        <v>198</v>
      </c>
      <c r="C365" s="217" t="s">
        <v>187</v>
      </c>
      <c r="D365" s="108">
        <v>4.8</v>
      </c>
      <c r="E365" s="108"/>
      <c r="F365" s="127"/>
      <c r="G365" s="128"/>
      <c r="H365" s="226">
        <f t="shared" si="159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0"/>
        <v>0</v>
      </c>
      <c r="N365" s="130"/>
      <c r="O365" s="219"/>
      <c r="P365" s="219"/>
      <c r="Q365" s="219"/>
      <c r="R365" s="219"/>
      <c r="S365" s="219"/>
      <c r="T365" s="219"/>
      <c r="U365" s="219"/>
      <c r="V365" s="132"/>
      <c r="W365" s="133"/>
      <c r="X365" s="132"/>
      <c r="Y365" s="132"/>
      <c r="Z365" s="132"/>
      <c r="AA365" s="132"/>
    </row>
    <row r="366" spans="1:27" ht="20.100000000000001" customHeight="1">
      <c r="A366" s="300">
        <v>30100006</v>
      </c>
      <c r="B366" s="141" t="s">
        <v>198</v>
      </c>
      <c r="C366" s="217" t="s">
        <v>179</v>
      </c>
      <c r="D366" s="108">
        <v>4.8</v>
      </c>
      <c r="E366" s="108"/>
      <c r="F366" s="127"/>
      <c r="G366" s="128"/>
      <c r="H366" s="226">
        <f t="shared" si="159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0"/>
        <v>0</v>
      </c>
      <c r="N366" s="130"/>
      <c r="O366" s="219"/>
      <c r="P366" s="219"/>
      <c r="Q366" s="219"/>
      <c r="R366" s="219"/>
      <c r="S366" s="219"/>
      <c r="T366" s="219"/>
      <c r="U366" s="219"/>
      <c r="V366" s="132"/>
      <c r="W366" s="133"/>
      <c r="X366" s="132"/>
      <c r="Y366" s="132"/>
      <c r="Z366" s="132"/>
      <c r="AA366" s="132"/>
    </row>
    <row r="367" spans="1:27" ht="20.100000000000001" customHeight="1">
      <c r="A367" s="300">
        <v>30100005</v>
      </c>
      <c r="B367" s="141" t="s">
        <v>198</v>
      </c>
      <c r="C367" s="217" t="s">
        <v>199</v>
      </c>
      <c r="D367" s="108">
        <v>4.8</v>
      </c>
      <c r="E367" s="108"/>
      <c r="F367" s="127"/>
      <c r="G367" s="128"/>
      <c r="H367" s="226">
        <f t="shared" si="159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0"/>
        <v>0</v>
      </c>
      <c r="N367" s="130"/>
      <c r="O367" s="219"/>
      <c r="P367" s="219"/>
      <c r="Q367" s="219"/>
      <c r="R367" s="219"/>
      <c r="S367" s="219"/>
      <c r="T367" s="219"/>
      <c r="U367" s="219"/>
      <c r="V367" s="132"/>
      <c r="W367" s="133"/>
      <c r="X367" s="132"/>
      <c r="Y367" s="132"/>
      <c r="Z367" s="132"/>
      <c r="AA367" s="132"/>
    </row>
    <row r="368" spans="1:27" ht="20.10000000000000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28"/>
      <c r="H368" s="226">
        <f t="shared" si="159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0"/>
        <v>0</v>
      </c>
      <c r="N368" s="130">
        <f t="shared" ref="N368:N369" si="167">SUM(O368:U368)</f>
        <v>0</v>
      </c>
      <c r="O368" s="219"/>
      <c r="P368" s="219"/>
      <c r="Q368" s="219"/>
      <c r="R368" s="219"/>
      <c r="S368" s="219"/>
      <c r="T368" s="219"/>
      <c r="U368" s="219"/>
      <c r="V368" s="132">
        <f t="shared" ref="V368:V369" si="168">SUM(X368:AA368)</f>
        <v>0</v>
      </c>
      <c r="W368" s="133" t="str">
        <f t="shared" ref="W368:W369" si="169">IF(ISERROR(V368/G368),"",V368/G368)</f>
        <v/>
      </c>
      <c r="X368" s="132"/>
      <c r="Y368" s="132"/>
      <c r="Z368" s="132"/>
      <c r="AA368" s="132"/>
    </row>
    <row r="369" spans="1:27" ht="20.10000000000000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28"/>
      <c r="H369" s="226">
        <f t="shared" si="159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0"/>
        <v>0</v>
      </c>
      <c r="N369" s="130">
        <f t="shared" si="167"/>
        <v>0</v>
      </c>
      <c r="O369" s="219"/>
      <c r="P369" s="219"/>
      <c r="Q369" s="219"/>
      <c r="R369" s="219"/>
      <c r="S369" s="219"/>
      <c r="T369" s="219"/>
      <c r="U369" s="219"/>
      <c r="V369" s="132">
        <f t="shared" si="168"/>
        <v>0</v>
      </c>
      <c r="W369" s="133" t="str">
        <f t="shared" si="169"/>
        <v/>
      </c>
      <c r="X369" s="132"/>
      <c r="Y369" s="132"/>
      <c r="Z369" s="132"/>
      <c r="AA369" s="132"/>
    </row>
    <row r="370" spans="1:27" ht="20.100000000000001" customHeight="1">
      <c r="A370" s="578" t="s">
        <v>201</v>
      </c>
      <c r="B370" s="579"/>
      <c r="C370" s="224" t="s">
        <v>202</v>
      </c>
      <c r="D370" s="143"/>
      <c r="E370" s="143"/>
      <c r="F370" s="144"/>
      <c r="G370" s="145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70">SUM(M349:M369)</f>
        <v>0</v>
      </c>
      <c r="N370" s="146">
        <f t="shared" si="170"/>
        <v>0</v>
      </c>
      <c r="O370" s="148">
        <f t="shared" si="170"/>
        <v>0</v>
      </c>
      <c r="P370" s="148">
        <f t="shared" si="170"/>
        <v>0</v>
      </c>
      <c r="Q370" s="148">
        <f t="shared" si="170"/>
        <v>0</v>
      </c>
      <c r="R370" s="148">
        <f t="shared" si="170"/>
        <v>0</v>
      </c>
      <c r="S370" s="148">
        <f t="shared" si="170"/>
        <v>0</v>
      </c>
      <c r="T370" s="148">
        <f t="shared" si="170"/>
        <v>0</v>
      </c>
      <c r="U370" s="148">
        <f t="shared" si="170"/>
        <v>0</v>
      </c>
      <c r="V370" s="149">
        <f t="shared" si="170"/>
        <v>0</v>
      </c>
      <c r="W370" s="133">
        <f t="shared" si="170"/>
        <v>0</v>
      </c>
      <c r="X370" s="149">
        <f t="shared" si="170"/>
        <v>0</v>
      </c>
      <c r="Y370" s="149">
        <f t="shared" si="170"/>
        <v>0</v>
      </c>
      <c r="Z370" s="149">
        <f t="shared" si="170"/>
        <v>0</v>
      </c>
      <c r="AA370" s="149">
        <f t="shared" si="170"/>
        <v>0</v>
      </c>
    </row>
    <row r="371" spans="1:27" ht="20.100000000000001" customHeight="1">
      <c r="A371" s="300">
        <v>30100012</v>
      </c>
      <c r="B371" s="218" t="s">
        <v>206</v>
      </c>
      <c r="C371" s="126" t="s">
        <v>199</v>
      </c>
      <c r="D371" s="108">
        <v>5.03</v>
      </c>
      <c r="E371" s="108"/>
      <c r="F371" s="127"/>
      <c r="G371" s="128"/>
      <c r="H371" s="226">
        <f t="shared" ref="H371:H378" si="171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:M378" si="172">IF(ISERROR(I371-K371),"",I371-K371)</f>
        <v>0</v>
      </c>
      <c r="N371" s="130">
        <f t="shared" ref="N371:N375" si="173">SUM(O371:U371)</f>
        <v>0</v>
      </c>
      <c r="O371" s="221"/>
      <c r="P371" s="221"/>
      <c r="Q371" s="221"/>
      <c r="R371" s="221"/>
      <c r="S371" s="221"/>
      <c r="T371" s="221"/>
      <c r="U371" s="221"/>
      <c r="V371" s="132">
        <f t="shared" ref="V371:V375" si="174">SUM(X371:AA371)</f>
        <v>0</v>
      </c>
      <c r="W371" s="133" t="str">
        <f t="shared" ref="W371:W375" si="175">IF(ISERROR(V371/G371),"",V371/G371)</f>
        <v/>
      </c>
      <c r="X371" s="132"/>
      <c r="Y371" s="132"/>
      <c r="Z371" s="132"/>
      <c r="AA371" s="132"/>
    </row>
    <row r="372" spans="1:27" ht="20.100000000000001" customHeight="1">
      <c r="A372" s="300">
        <v>30100011</v>
      </c>
      <c r="B372" s="236" t="s">
        <v>431</v>
      </c>
      <c r="C372" s="187" t="s">
        <v>432</v>
      </c>
      <c r="D372" s="108">
        <v>5.03</v>
      </c>
      <c r="E372" s="108"/>
      <c r="F372" s="127"/>
      <c r="G372" s="128"/>
      <c r="H372" s="239">
        <f t="shared" si="171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238"/>
      <c r="P372" s="238"/>
      <c r="Q372" s="238"/>
      <c r="R372" s="238"/>
      <c r="S372" s="238"/>
      <c r="T372" s="238"/>
      <c r="U372" s="238"/>
      <c r="V372" s="132"/>
      <c r="W372" s="133"/>
      <c r="X372" s="132"/>
      <c r="Y372" s="132"/>
      <c r="Z372" s="132"/>
      <c r="AA372" s="132"/>
    </row>
    <row r="373" spans="1:27" ht="20.100000000000001" customHeight="1">
      <c r="A373" s="300">
        <v>30100010</v>
      </c>
      <c r="B373" s="218" t="s">
        <v>206</v>
      </c>
      <c r="C373" s="126" t="s">
        <v>186</v>
      </c>
      <c r="D373" s="108">
        <v>5.03</v>
      </c>
      <c r="E373" s="108"/>
      <c r="F373" s="127"/>
      <c r="G373" s="128"/>
      <c r="H373" s="239">
        <f t="shared" si="171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si="172"/>
        <v>0</v>
      </c>
      <c r="N373" s="130">
        <f t="shared" si="173"/>
        <v>0</v>
      </c>
      <c r="O373" s="221"/>
      <c r="P373" s="221"/>
      <c r="Q373" s="221"/>
      <c r="R373" s="221"/>
      <c r="S373" s="221"/>
      <c r="T373" s="221"/>
      <c r="U373" s="221"/>
      <c r="V373" s="132">
        <f t="shared" si="174"/>
        <v>0</v>
      </c>
      <c r="W373" s="133" t="str">
        <f t="shared" si="175"/>
        <v/>
      </c>
      <c r="X373" s="132"/>
      <c r="Y373" s="132"/>
      <c r="Z373" s="132"/>
      <c r="AA373" s="132"/>
    </row>
    <row r="374" spans="1:27" ht="20.100000000000001" customHeight="1">
      <c r="A374" s="300">
        <v>30100014</v>
      </c>
      <c r="B374" s="218" t="s">
        <v>206</v>
      </c>
      <c r="C374" s="126" t="s">
        <v>203</v>
      </c>
      <c r="D374" s="108">
        <v>5.03</v>
      </c>
      <c r="E374" s="108"/>
      <c r="F374" s="127"/>
      <c r="G374" s="128"/>
      <c r="H374" s="226">
        <f t="shared" si="171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2"/>
        <v>0</v>
      </c>
      <c r="N374" s="130">
        <f t="shared" si="173"/>
        <v>0</v>
      </c>
      <c r="O374" s="221"/>
      <c r="P374" s="221"/>
      <c r="Q374" s="221"/>
      <c r="R374" s="221"/>
      <c r="S374" s="221"/>
      <c r="T374" s="221"/>
      <c r="U374" s="221"/>
      <c r="V374" s="132">
        <f t="shared" si="174"/>
        <v>0</v>
      </c>
      <c r="W374" s="133" t="str">
        <f t="shared" si="175"/>
        <v/>
      </c>
      <c r="X374" s="132"/>
      <c r="Y374" s="132"/>
      <c r="Z374" s="132"/>
      <c r="AA374" s="132"/>
    </row>
    <row r="375" spans="1:27" ht="20.100000000000001" customHeight="1">
      <c r="A375" s="300">
        <v>30100013</v>
      </c>
      <c r="B375" s="218" t="s">
        <v>206</v>
      </c>
      <c r="C375" s="126" t="s">
        <v>207</v>
      </c>
      <c r="D375" s="108">
        <v>5.03</v>
      </c>
      <c r="E375" s="108"/>
      <c r="F375" s="127"/>
      <c r="G375" s="128"/>
      <c r="H375" s="226">
        <f t="shared" si="171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2"/>
        <v>0</v>
      </c>
      <c r="N375" s="130">
        <f t="shared" si="173"/>
        <v>0</v>
      </c>
      <c r="O375" s="221"/>
      <c r="P375" s="221"/>
      <c r="Q375" s="221"/>
      <c r="R375" s="221"/>
      <c r="S375" s="221"/>
      <c r="T375" s="221"/>
      <c r="U375" s="221"/>
      <c r="V375" s="132">
        <f t="shared" si="174"/>
        <v>0</v>
      </c>
      <c r="W375" s="133" t="str">
        <f t="shared" si="175"/>
        <v/>
      </c>
      <c r="X375" s="132"/>
      <c r="Y375" s="132"/>
      <c r="Z375" s="132"/>
      <c r="AA375" s="132"/>
    </row>
    <row r="376" spans="1:27" ht="20.100000000000001" customHeight="1">
      <c r="A376" s="300">
        <v>30100016</v>
      </c>
      <c r="B376" s="218" t="s">
        <v>414</v>
      </c>
      <c r="C376" s="187" t="s">
        <v>415</v>
      </c>
      <c r="D376" s="108"/>
      <c r="E376" s="108"/>
      <c r="F376" s="127"/>
      <c r="G376" s="128"/>
      <c r="H376" s="239">
        <f t="shared" si="171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2"/>
        <v>0</v>
      </c>
      <c r="N376" s="130"/>
      <c r="O376" s="221"/>
      <c r="P376" s="221"/>
      <c r="Q376" s="221"/>
      <c r="R376" s="221"/>
      <c r="S376" s="221"/>
      <c r="T376" s="221"/>
      <c r="U376" s="221"/>
      <c r="V376" s="132"/>
      <c r="W376" s="133"/>
      <c r="X376" s="132"/>
      <c r="Y376" s="132"/>
      <c r="Z376" s="132"/>
      <c r="AA376" s="132"/>
    </row>
    <row r="377" spans="1:27" ht="20.100000000000001" customHeight="1">
      <c r="A377" s="300">
        <v>30100017</v>
      </c>
      <c r="B377" s="218" t="s">
        <v>414</v>
      </c>
      <c r="C377" s="187" t="s">
        <v>416</v>
      </c>
      <c r="D377" s="108"/>
      <c r="E377" s="108"/>
      <c r="F377" s="127"/>
      <c r="G377" s="128"/>
      <c r="H377" s="239">
        <f t="shared" si="171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2"/>
        <v>0</v>
      </c>
      <c r="N377" s="130"/>
      <c r="O377" s="221"/>
      <c r="P377" s="221"/>
      <c r="Q377" s="221"/>
      <c r="R377" s="221"/>
      <c r="S377" s="221"/>
      <c r="T377" s="221"/>
      <c r="U377" s="221"/>
      <c r="V377" s="132"/>
      <c r="W377" s="133"/>
      <c r="X377" s="132"/>
      <c r="Y377" s="132"/>
      <c r="Z377" s="132"/>
      <c r="AA377" s="132"/>
    </row>
    <row r="378" spans="1:27" ht="20.100000000000001" customHeight="1">
      <c r="A378" s="300">
        <v>30100015</v>
      </c>
      <c r="B378" s="218" t="s">
        <v>414</v>
      </c>
      <c r="C378" s="187" t="s">
        <v>61</v>
      </c>
      <c r="D378" s="108"/>
      <c r="E378" s="108"/>
      <c r="F378" s="127"/>
      <c r="G378" s="128"/>
      <c r="H378" s="239">
        <f t="shared" si="171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2"/>
        <v>0</v>
      </c>
      <c r="N378" s="130"/>
      <c r="O378" s="221"/>
      <c r="P378" s="221"/>
      <c r="Q378" s="221"/>
      <c r="R378" s="221"/>
      <c r="S378" s="221"/>
      <c r="T378" s="221"/>
      <c r="U378" s="221"/>
      <c r="V378" s="132"/>
      <c r="W378" s="133"/>
      <c r="X378" s="132"/>
      <c r="Y378" s="132"/>
      <c r="Z378" s="132"/>
      <c r="AA378" s="132"/>
    </row>
    <row r="379" spans="1:27" ht="20.100000000000001" customHeight="1">
      <c r="A379" s="300">
        <v>30100027</v>
      </c>
      <c r="B379" s="218" t="s">
        <v>208</v>
      </c>
      <c r="C379" s="126" t="s">
        <v>179</v>
      </c>
      <c r="D379" s="108">
        <v>5.08</v>
      </c>
      <c r="E379" s="108"/>
      <c r="F379" s="127"/>
      <c r="G379" s="128"/>
      <c r="H379" s="226">
        <f t="shared" ref="H379:H427" si="176">D379*G379</f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ref="M379:M398" si="177">IF(ISERROR(I379-K379),"",I379-K379)</f>
        <v>0</v>
      </c>
      <c r="N379" s="130">
        <f t="shared" ref="N379:N394" si="178">SUM(O379:U379)</f>
        <v>0</v>
      </c>
      <c r="O379" s="221"/>
      <c r="P379" s="221"/>
      <c r="Q379" s="221"/>
      <c r="R379" s="221"/>
      <c r="S379" s="221"/>
      <c r="T379" s="221"/>
      <c r="U379" s="221"/>
      <c r="V379" s="132">
        <f t="shared" ref="V379:V390" si="179">SUM(X379:AA379)</f>
        <v>0</v>
      </c>
      <c r="W379" s="133" t="str">
        <f t="shared" ref="W379:W390" si="180">IF(ISERROR(V379/G379),"",V379/G379)</f>
        <v/>
      </c>
      <c r="X379" s="132"/>
      <c r="Y379" s="132"/>
      <c r="Z379" s="132"/>
      <c r="AA379" s="132"/>
    </row>
    <row r="380" spans="1:27" ht="20.100000000000001" customHeight="1">
      <c r="A380" s="300">
        <v>30100023</v>
      </c>
      <c r="B380" s="218" t="s">
        <v>208</v>
      </c>
      <c r="C380" s="126" t="s">
        <v>204</v>
      </c>
      <c r="D380" s="108">
        <v>5.08</v>
      </c>
      <c r="E380" s="108"/>
      <c r="F380" s="127"/>
      <c r="G380" s="128"/>
      <c r="H380" s="226">
        <f t="shared" si="176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7"/>
        <v>0</v>
      </c>
      <c r="N380" s="130">
        <f t="shared" si="178"/>
        <v>0</v>
      </c>
      <c r="O380" s="221"/>
      <c r="P380" s="221"/>
      <c r="Q380" s="221"/>
      <c r="R380" s="221"/>
      <c r="S380" s="221"/>
      <c r="T380" s="221"/>
      <c r="U380" s="221"/>
      <c r="V380" s="132">
        <f t="shared" si="179"/>
        <v>0</v>
      </c>
      <c r="W380" s="133" t="str">
        <f t="shared" si="180"/>
        <v/>
      </c>
      <c r="X380" s="132"/>
      <c r="Y380" s="132"/>
      <c r="Z380" s="132"/>
      <c r="AA380" s="132"/>
    </row>
    <row r="381" spans="1:27" ht="20.100000000000001" customHeight="1">
      <c r="A381" s="300">
        <v>30100024</v>
      </c>
      <c r="B381" s="218" t="s">
        <v>208</v>
      </c>
      <c r="C381" s="126" t="s">
        <v>205</v>
      </c>
      <c r="D381" s="108">
        <v>5.08</v>
      </c>
      <c r="E381" s="108"/>
      <c r="F381" s="127"/>
      <c r="G381" s="128"/>
      <c r="H381" s="226">
        <f t="shared" si="176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7"/>
        <v>0</v>
      </c>
      <c r="N381" s="130">
        <f t="shared" si="178"/>
        <v>0</v>
      </c>
      <c r="O381" s="221"/>
      <c r="P381" s="221"/>
      <c r="Q381" s="221"/>
      <c r="R381" s="221"/>
      <c r="S381" s="221"/>
      <c r="T381" s="221"/>
      <c r="U381" s="221"/>
      <c r="V381" s="132">
        <f t="shared" si="179"/>
        <v>0</v>
      </c>
      <c r="W381" s="133" t="str">
        <f t="shared" si="180"/>
        <v/>
      </c>
      <c r="X381" s="132"/>
      <c r="Y381" s="132"/>
      <c r="Z381" s="132"/>
      <c r="AA381" s="132"/>
    </row>
    <row r="382" spans="1:27" ht="20.100000000000001" customHeight="1">
      <c r="A382" s="300">
        <v>30100022</v>
      </c>
      <c r="B382" s="218" t="s">
        <v>208</v>
      </c>
      <c r="C382" s="126" t="s">
        <v>186</v>
      </c>
      <c r="D382" s="108">
        <v>5.08</v>
      </c>
      <c r="E382" s="108"/>
      <c r="F382" s="127"/>
      <c r="G382" s="128"/>
      <c r="H382" s="226">
        <f t="shared" si="176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7"/>
        <v>0</v>
      </c>
      <c r="N382" s="130">
        <f t="shared" si="178"/>
        <v>0</v>
      </c>
      <c r="O382" s="221"/>
      <c r="P382" s="221"/>
      <c r="Q382" s="221"/>
      <c r="R382" s="221"/>
      <c r="S382" s="221"/>
      <c r="T382" s="221"/>
      <c r="U382" s="221"/>
      <c r="V382" s="132">
        <f t="shared" si="179"/>
        <v>0</v>
      </c>
      <c r="W382" s="133" t="str">
        <f t="shared" si="180"/>
        <v/>
      </c>
      <c r="X382" s="132"/>
      <c r="Y382" s="132"/>
      <c r="Z382" s="132"/>
      <c r="AA382" s="132"/>
    </row>
    <row r="383" spans="1:27" ht="20.100000000000001" customHeight="1">
      <c r="A383" s="300">
        <v>30100029</v>
      </c>
      <c r="B383" s="218" t="s">
        <v>208</v>
      </c>
      <c r="C383" s="126" t="s">
        <v>203</v>
      </c>
      <c r="D383" s="108">
        <v>5.08</v>
      </c>
      <c r="E383" s="108"/>
      <c r="F383" s="127"/>
      <c r="G383" s="128"/>
      <c r="H383" s="226">
        <f t="shared" si="176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7"/>
        <v>0</v>
      </c>
      <c r="N383" s="130">
        <f t="shared" si="178"/>
        <v>0</v>
      </c>
      <c r="O383" s="221"/>
      <c r="P383" s="221"/>
      <c r="Q383" s="221"/>
      <c r="R383" s="221"/>
      <c r="S383" s="221"/>
      <c r="T383" s="221"/>
      <c r="U383" s="221"/>
      <c r="V383" s="132">
        <f t="shared" si="179"/>
        <v>0</v>
      </c>
      <c r="W383" s="133" t="str">
        <f t="shared" si="180"/>
        <v/>
      </c>
      <c r="X383" s="132"/>
      <c r="Y383" s="132"/>
      <c r="Z383" s="132"/>
      <c r="AA383" s="132"/>
    </row>
    <row r="384" spans="1:27" ht="20.100000000000001" customHeight="1">
      <c r="A384" s="300">
        <v>30100026</v>
      </c>
      <c r="B384" s="218" t="s">
        <v>208</v>
      </c>
      <c r="C384" s="126" t="s">
        <v>199</v>
      </c>
      <c r="D384" s="108">
        <v>5.08</v>
      </c>
      <c r="E384" s="108"/>
      <c r="F384" s="127"/>
      <c r="G384" s="128"/>
      <c r="H384" s="226">
        <f t="shared" si="176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7"/>
        <v>0</v>
      </c>
      <c r="N384" s="130">
        <f t="shared" si="178"/>
        <v>0</v>
      </c>
      <c r="O384" s="219"/>
      <c r="P384" s="219"/>
      <c r="Q384" s="219"/>
      <c r="R384" s="219"/>
      <c r="S384" s="219"/>
      <c r="T384" s="219"/>
      <c r="U384" s="219"/>
      <c r="V384" s="132">
        <f t="shared" si="179"/>
        <v>0</v>
      </c>
      <c r="W384" s="133" t="str">
        <f t="shared" si="180"/>
        <v/>
      </c>
      <c r="X384" s="132"/>
      <c r="Y384" s="132"/>
      <c r="Z384" s="132"/>
      <c r="AA384" s="132"/>
    </row>
    <row r="385" spans="1:27" ht="20.100000000000001" customHeight="1">
      <c r="A385" s="300">
        <v>30100025</v>
      </c>
      <c r="B385" s="218" t="s">
        <v>208</v>
      </c>
      <c r="C385" s="126" t="s">
        <v>187</v>
      </c>
      <c r="D385" s="108">
        <v>5.08</v>
      </c>
      <c r="E385" s="108"/>
      <c r="F385" s="127"/>
      <c r="G385" s="128"/>
      <c r="H385" s="226">
        <f t="shared" si="176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7"/>
        <v>0</v>
      </c>
      <c r="N385" s="130">
        <f t="shared" si="178"/>
        <v>0</v>
      </c>
      <c r="O385" s="221"/>
      <c r="P385" s="221"/>
      <c r="Q385" s="221"/>
      <c r="R385" s="221"/>
      <c r="S385" s="221"/>
      <c r="T385" s="221"/>
      <c r="U385" s="221"/>
      <c r="V385" s="132">
        <f t="shared" si="179"/>
        <v>0</v>
      </c>
      <c r="W385" s="133" t="str">
        <f t="shared" si="180"/>
        <v/>
      </c>
      <c r="X385" s="132"/>
      <c r="Y385" s="132"/>
      <c r="Z385" s="132"/>
      <c r="AA385" s="132"/>
    </row>
    <row r="386" spans="1:27" ht="20.100000000000001" customHeight="1">
      <c r="A386" s="300">
        <v>30100028</v>
      </c>
      <c r="B386" s="218" t="s">
        <v>208</v>
      </c>
      <c r="C386" s="126" t="s">
        <v>207</v>
      </c>
      <c r="D386" s="108">
        <v>5.08</v>
      </c>
      <c r="E386" s="108"/>
      <c r="F386" s="127"/>
      <c r="G386" s="128"/>
      <c r="H386" s="226">
        <f t="shared" si="176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7"/>
        <v>0</v>
      </c>
      <c r="N386" s="130">
        <f t="shared" si="178"/>
        <v>0</v>
      </c>
      <c r="O386" s="219"/>
      <c r="P386" s="219"/>
      <c r="Q386" s="219"/>
      <c r="R386" s="219"/>
      <c r="S386" s="219"/>
      <c r="T386" s="219"/>
      <c r="U386" s="219"/>
      <c r="V386" s="132">
        <f t="shared" si="179"/>
        <v>0</v>
      </c>
      <c r="W386" s="133" t="str">
        <f t="shared" si="180"/>
        <v/>
      </c>
      <c r="X386" s="132"/>
      <c r="Y386" s="132"/>
      <c r="Z386" s="132"/>
      <c r="AA386" s="132"/>
    </row>
    <row r="387" spans="1:27" ht="20.100000000000001" customHeight="1">
      <c r="A387" s="300">
        <v>30100032</v>
      </c>
      <c r="B387" s="218" t="s">
        <v>209</v>
      </c>
      <c r="C387" s="126" t="s">
        <v>194</v>
      </c>
      <c r="D387" s="108">
        <v>5.03</v>
      </c>
      <c r="E387" s="108"/>
      <c r="F387" s="127"/>
      <c r="G387" s="128"/>
      <c r="H387" s="226">
        <f t="shared" si="176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7"/>
        <v>0</v>
      </c>
      <c r="N387" s="130">
        <f t="shared" si="178"/>
        <v>0</v>
      </c>
      <c r="O387" s="221"/>
      <c r="P387" s="221"/>
      <c r="Q387" s="221"/>
      <c r="R387" s="221"/>
      <c r="S387" s="221"/>
      <c r="T387" s="221"/>
      <c r="U387" s="221"/>
      <c r="V387" s="132">
        <f t="shared" si="179"/>
        <v>0</v>
      </c>
      <c r="W387" s="133" t="str">
        <f t="shared" si="180"/>
        <v/>
      </c>
      <c r="X387" s="132"/>
      <c r="Y387" s="132"/>
      <c r="Z387" s="132"/>
      <c r="AA387" s="132"/>
    </row>
    <row r="388" spans="1:27" ht="20.100000000000001" customHeight="1">
      <c r="A388" s="300">
        <v>30100033</v>
      </c>
      <c r="B388" s="218" t="s">
        <v>209</v>
      </c>
      <c r="C388" s="126" t="s">
        <v>179</v>
      </c>
      <c r="D388" s="108">
        <v>5.03</v>
      </c>
      <c r="E388" s="108"/>
      <c r="F388" s="127"/>
      <c r="G388" s="128"/>
      <c r="H388" s="226">
        <f t="shared" si="176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7"/>
        <v>0</v>
      </c>
      <c r="N388" s="130">
        <f t="shared" si="178"/>
        <v>0</v>
      </c>
      <c r="O388" s="221"/>
      <c r="P388" s="221"/>
      <c r="Q388" s="221"/>
      <c r="R388" s="221"/>
      <c r="S388" s="221"/>
      <c r="T388" s="221"/>
      <c r="U388" s="221"/>
      <c r="V388" s="132">
        <f t="shared" si="179"/>
        <v>0</v>
      </c>
      <c r="W388" s="133" t="str">
        <f t="shared" si="180"/>
        <v/>
      </c>
      <c r="X388" s="132"/>
      <c r="Y388" s="132"/>
      <c r="Z388" s="132"/>
      <c r="AA388" s="132"/>
    </row>
    <row r="389" spans="1:27" ht="20.100000000000001" customHeight="1">
      <c r="A389" s="300">
        <v>30100062</v>
      </c>
      <c r="B389" s="218" t="s">
        <v>209</v>
      </c>
      <c r="C389" s="126" t="s">
        <v>195</v>
      </c>
      <c r="D389" s="108">
        <v>5.03</v>
      </c>
      <c r="E389" s="108"/>
      <c r="F389" s="127"/>
      <c r="G389" s="128"/>
      <c r="H389" s="226">
        <f t="shared" si="176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7"/>
        <v>0</v>
      </c>
      <c r="N389" s="130">
        <f t="shared" si="178"/>
        <v>0</v>
      </c>
      <c r="O389" s="221"/>
      <c r="P389" s="221"/>
      <c r="Q389" s="221"/>
      <c r="R389" s="221"/>
      <c r="S389" s="221"/>
      <c r="T389" s="221"/>
      <c r="U389" s="221"/>
      <c r="V389" s="132">
        <f t="shared" si="179"/>
        <v>0</v>
      </c>
      <c r="W389" s="133" t="str">
        <f t="shared" si="180"/>
        <v/>
      </c>
      <c r="X389" s="132"/>
      <c r="Y389" s="132"/>
      <c r="Z389" s="132"/>
      <c r="AA389" s="132"/>
    </row>
    <row r="390" spans="1:27" ht="20.100000000000001" customHeight="1">
      <c r="A390" s="300">
        <v>30100031</v>
      </c>
      <c r="B390" s="218" t="s">
        <v>209</v>
      </c>
      <c r="C390" s="126" t="s">
        <v>204</v>
      </c>
      <c r="D390" s="108">
        <v>5.03</v>
      </c>
      <c r="E390" s="108"/>
      <c r="F390" s="127"/>
      <c r="G390" s="128"/>
      <c r="H390" s="226">
        <f t="shared" si="176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7"/>
        <v>0</v>
      </c>
      <c r="N390" s="130">
        <f t="shared" si="178"/>
        <v>0</v>
      </c>
      <c r="O390" s="221"/>
      <c r="P390" s="221"/>
      <c r="Q390" s="221"/>
      <c r="R390" s="221"/>
      <c r="S390" s="221"/>
      <c r="T390" s="221"/>
      <c r="U390" s="221"/>
      <c r="V390" s="132">
        <f t="shared" si="179"/>
        <v>0</v>
      </c>
      <c r="W390" s="133" t="str">
        <f t="shared" si="180"/>
        <v/>
      </c>
      <c r="X390" s="132"/>
      <c r="Y390" s="132"/>
      <c r="Z390" s="132"/>
      <c r="AA390" s="132"/>
    </row>
    <row r="391" spans="1:27" ht="20.100000000000001" customHeight="1">
      <c r="A391" s="300">
        <v>30100019</v>
      </c>
      <c r="B391" s="218" t="s">
        <v>382</v>
      </c>
      <c r="C391" s="187" t="s">
        <v>383</v>
      </c>
      <c r="D391" s="108">
        <v>5.03</v>
      </c>
      <c r="E391" s="108"/>
      <c r="F391" s="127"/>
      <c r="G391" s="128"/>
      <c r="H391" s="226">
        <f t="shared" si="176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7"/>
        <v>0</v>
      </c>
      <c r="N391" s="130">
        <f t="shared" si="178"/>
        <v>0</v>
      </c>
      <c r="O391" s="221"/>
      <c r="P391" s="221"/>
      <c r="Q391" s="221"/>
      <c r="R391" s="221"/>
      <c r="S391" s="221"/>
      <c r="T391" s="221"/>
      <c r="U391" s="221"/>
      <c r="V391" s="132"/>
      <c r="W391" s="133"/>
      <c r="X391" s="132"/>
      <c r="Y391" s="132"/>
      <c r="Z391" s="132"/>
      <c r="AA391" s="132"/>
    </row>
    <row r="392" spans="1:27" ht="20.100000000000001" customHeight="1">
      <c r="A392" s="300">
        <v>30100020</v>
      </c>
      <c r="B392" s="218" t="s">
        <v>382</v>
      </c>
      <c r="C392" s="187" t="s">
        <v>384</v>
      </c>
      <c r="D392" s="108">
        <v>5.03</v>
      </c>
      <c r="E392" s="108"/>
      <c r="F392" s="127"/>
      <c r="G392" s="128"/>
      <c r="H392" s="226">
        <f t="shared" si="176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7"/>
        <v>0</v>
      </c>
      <c r="N392" s="130">
        <f t="shared" si="178"/>
        <v>0</v>
      </c>
      <c r="O392" s="221"/>
      <c r="P392" s="221"/>
      <c r="Q392" s="221"/>
      <c r="R392" s="221"/>
      <c r="S392" s="221"/>
      <c r="T392" s="221"/>
      <c r="U392" s="221"/>
      <c r="V392" s="132"/>
      <c r="W392" s="133"/>
      <c r="X392" s="132"/>
      <c r="Y392" s="132"/>
      <c r="Z392" s="132"/>
      <c r="AA392" s="132"/>
    </row>
    <row r="393" spans="1:27" ht="20.100000000000001" customHeight="1">
      <c r="A393" s="300">
        <v>30100021</v>
      </c>
      <c r="B393" s="218" t="s">
        <v>382</v>
      </c>
      <c r="C393" s="187" t="s">
        <v>389</v>
      </c>
      <c r="D393" s="108">
        <v>5.03</v>
      </c>
      <c r="E393" s="108"/>
      <c r="F393" s="127"/>
      <c r="G393" s="128"/>
      <c r="H393" s="226">
        <f t="shared" si="176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7"/>
        <v>0</v>
      </c>
      <c r="N393" s="130">
        <f t="shared" si="178"/>
        <v>0</v>
      </c>
      <c r="O393" s="221"/>
      <c r="P393" s="221"/>
      <c r="Q393" s="221"/>
      <c r="R393" s="221"/>
      <c r="S393" s="221"/>
      <c r="T393" s="221"/>
      <c r="U393" s="221"/>
      <c r="V393" s="132"/>
      <c r="W393" s="133"/>
      <c r="X393" s="132"/>
      <c r="Y393" s="132"/>
      <c r="Z393" s="132"/>
      <c r="AA393" s="132"/>
    </row>
    <row r="394" spans="1:27" ht="20.100000000000001" customHeight="1">
      <c r="A394" s="300">
        <v>30100018</v>
      </c>
      <c r="B394" s="218" t="s">
        <v>382</v>
      </c>
      <c r="C394" s="187" t="s">
        <v>391</v>
      </c>
      <c r="D394" s="108">
        <v>5.03</v>
      </c>
      <c r="E394" s="108"/>
      <c r="F394" s="127"/>
      <c r="G394" s="128"/>
      <c r="H394" s="226">
        <f t="shared" si="176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7"/>
        <v>0</v>
      </c>
      <c r="N394" s="130">
        <f t="shared" si="178"/>
        <v>0</v>
      </c>
      <c r="O394" s="221"/>
      <c r="P394" s="221"/>
      <c r="Q394" s="221"/>
      <c r="R394" s="221"/>
      <c r="S394" s="221"/>
      <c r="T394" s="221"/>
      <c r="U394" s="221"/>
      <c r="V394" s="132"/>
      <c r="W394" s="133"/>
      <c r="X394" s="132"/>
      <c r="Y394" s="132"/>
      <c r="Z394" s="132"/>
      <c r="AA394" s="132"/>
    </row>
    <row r="395" spans="1:27" ht="20.100000000000001" customHeight="1">
      <c r="A395" s="303">
        <v>30700007</v>
      </c>
      <c r="B395" s="230" t="s">
        <v>418</v>
      </c>
      <c r="C395" s="187" t="s">
        <v>364</v>
      </c>
      <c r="D395" s="108">
        <v>5.03</v>
      </c>
      <c r="E395" s="108"/>
      <c r="F395" s="127"/>
      <c r="G395" s="128"/>
      <c r="H395" s="226">
        <f t="shared" si="176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7"/>
        <v>0</v>
      </c>
      <c r="N395" s="130"/>
      <c r="O395" s="221"/>
      <c r="P395" s="221"/>
      <c r="Q395" s="221"/>
      <c r="R395" s="221"/>
      <c r="S395" s="221"/>
      <c r="T395" s="221"/>
      <c r="U395" s="221"/>
      <c r="V395" s="132"/>
      <c r="W395" s="133"/>
      <c r="X395" s="132"/>
      <c r="Y395" s="132"/>
      <c r="Z395" s="132"/>
      <c r="AA395" s="132"/>
    </row>
    <row r="396" spans="1:27" ht="20.100000000000001" customHeight="1">
      <c r="A396" s="303">
        <v>30700006</v>
      </c>
      <c r="B396" s="230" t="s">
        <v>418</v>
      </c>
      <c r="C396" s="187" t="s">
        <v>365</v>
      </c>
      <c r="D396" s="108">
        <v>5.03</v>
      </c>
      <c r="E396" s="108"/>
      <c r="F396" s="127"/>
      <c r="G396" s="128"/>
      <c r="H396" s="226">
        <f t="shared" si="176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7"/>
        <v>0</v>
      </c>
      <c r="N396" s="130"/>
      <c r="O396" s="221"/>
      <c r="P396" s="221"/>
      <c r="Q396" s="221"/>
      <c r="R396" s="221"/>
      <c r="S396" s="221"/>
      <c r="T396" s="221"/>
      <c r="U396" s="221"/>
      <c r="V396" s="132"/>
      <c r="W396" s="133"/>
      <c r="X396" s="132"/>
      <c r="Y396" s="132"/>
      <c r="Z396" s="132"/>
      <c r="AA396" s="132"/>
    </row>
    <row r="397" spans="1:27" ht="20.100000000000001" customHeight="1">
      <c r="A397" s="303">
        <v>30700008</v>
      </c>
      <c r="B397" s="230" t="s">
        <v>418</v>
      </c>
      <c r="C397" s="187" t="s">
        <v>366</v>
      </c>
      <c r="D397" s="108">
        <v>5.03</v>
      </c>
      <c r="E397" s="108"/>
      <c r="F397" s="127"/>
      <c r="G397" s="128"/>
      <c r="H397" s="226">
        <f t="shared" si="176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7"/>
        <v>0</v>
      </c>
      <c r="N397" s="130"/>
      <c r="O397" s="221"/>
      <c r="P397" s="221"/>
      <c r="Q397" s="221"/>
      <c r="R397" s="221"/>
      <c r="S397" s="221"/>
      <c r="T397" s="221"/>
      <c r="U397" s="221"/>
      <c r="V397" s="132"/>
      <c r="W397" s="133"/>
      <c r="X397" s="132"/>
      <c r="Y397" s="132"/>
      <c r="Z397" s="132"/>
      <c r="AA397" s="132"/>
    </row>
    <row r="398" spans="1:27" ht="20.100000000000001" customHeight="1">
      <c r="A398" s="303">
        <v>30700009</v>
      </c>
      <c r="B398" s="230" t="s">
        <v>418</v>
      </c>
      <c r="C398" s="187" t="s">
        <v>367</v>
      </c>
      <c r="D398" s="108">
        <v>5.03</v>
      </c>
      <c r="E398" s="108"/>
      <c r="F398" s="127"/>
      <c r="G398" s="128"/>
      <c r="H398" s="226">
        <f t="shared" si="176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7"/>
        <v>0</v>
      </c>
      <c r="N398" s="130"/>
      <c r="O398" s="221"/>
      <c r="P398" s="221"/>
      <c r="Q398" s="221"/>
      <c r="R398" s="221"/>
      <c r="S398" s="221"/>
      <c r="T398" s="221"/>
      <c r="U398" s="221"/>
      <c r="V398" s="132"/>
      <c r="W398" s="133"/>
      <c r="X398" s="132"/>
      <c r="Y398" s="132"/>
      <c r="Z398" s="132"/>
      <c r="AA398" s="132"/>
    </row>
    <row r="399" spans="1:27" ht="20.10000000000000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28"/>
      <c r="H399" s="226">
        <f t="shared" si="176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ref="M399:M408" si="181">IF(ISERROR(I399-K399),"",I399-K399)</f>
        <v>0</v>
      </c>
      <c r="N399" s="130">
        <f t="shared" ref="N399:N408" si="182">SUM(O399:U399)</f>
        <v>0</v>
      </c>
      <c r="O399" s="219"/>
      <c r="P399" s="219"/>
      <c r="Q399" s="219"/>
      <c r="R399" s="219"/>
      <c r="S399" s="219"/>
      <c r="T399" s="219"/>
      <c r="U399" s="219"/>
      <c r="V399" s="132">
        <f t="shared" ref="V399:V408" si="183">SUM(X399:AA399)</f>
        <v>0</v>
      </c>
      <c r="W399" s="133" t="str">
        <f t="shared" ref="W399:W408" si="184">IF(ISERROR(V399/G399),"",V399/G399)</f>
        <v/>
      </c>
      <c r="X399" s="132"/>
      <c r="Y399" s="132"/>
      <c r="Z399" s="132"/>
      <c r="AA399" s="132"/>
    </row>
    <row r="400" spans="1:27" ht="20.10000000000000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28"/>
      <c r="H400" s="226">
        <f t="shared" si="176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81"/>
        <v>0</v>
      </c>
      <c r="N400" s="130">
        <f t="shared" si="182"/>
        <v>0</v>
      </c>
      <c r="O400" s="219"/>
      <c r="P400" s="219"/>
      <c r="Q400" s="219"/>
      <c r="R400" s="219"/>
      <c r="S400" s="219"/>
      <c r="T400" s="219"/>
      <c r="U400" s="219"/>
      <c r="V400" s="132">
        <f t="shared" si="183"/>
        <v>0</v>
      </c>
      <c r="W400" s="133" t="str">
        <f t="shared" si="184"/>
        <v/>
      </c>
      <c r="X400" s="132"/>
      <c r="Y400" s="132"/>
      <c r="Z400" s="132"/>
      <c r="AA400" s="132"/>
    </row>
    <row r="401" spans="1:27" ht="20.10000000000000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28"/>
      <c r="H401" s="226">
        <f t="shared" si="176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81"/>
        <v>0</v>
      </c>
      <c r="N401" s="130">
        <f t="shared" si="182"/>
        <v>0</v>
      </c>
      <c r="O401" s="219"/>
      <c r="P401" s="219"/>
      <c r="Q401" s="219"/>
      <c r="R401" s="219"/>
      <c r="S401" s="219"/>
      <c r="T401" s="219"/>
      <c r="U401" s="219"/>
      <c r="V401" s="132">
        <f t="shared" si="183"/>
        <v>0</v>
      </c>
      <c r="W401" s="133" t="str">
        <f t="shared" si="184"/>
        <v/>
      </c>
      <c r="X401" s="132"/>
      <c r="Y401" s="132"/>
      <c r="Z401" s="132"/>
      <c r="AA401" s="132"/>
    </row>
    <row r="402" spans="1:27" ht="20.10000000000000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28"/>
      <c r="H402" s="226">
        <f t="shared" si="176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81"/>
        <v>0</v>
      </c>
      <c r="N402" s="130">
        <f t="shared" si="182"/>
        <v>0</v>
      </c>
      <c r="O402" s="219"/>
      <c r="P402" s="219"/>
      <c r="Q402" s="219"/>
      <c r="R402" s="219"/>
      <c r="S402" s="219"/>
      <c r="T402" s="219"/>
      <c r="U402" s="219"/>
      <c r="V402" s="132">
        <f t="shared" si="183"/>
        <v>0</v>
      </c>
      <c r="W402" s="133" t="str">
        <f t="shared" si="184"/>
        <v/>
      </c>
      <c r="X402" s="132"/>
      <c r="Y402" s="132"/>
      <c r="Z402" s="132"/>
      <c r="AA402" s="132"/>
    </row>
    <row r="403" spans="1:27" ht="20.10000000000000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28"/>
      <c r="H403" s="226">
        <f t="shared" si="176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81"/>
        <v>0</v>
      </c>
      <c r="N403" s="130">
        <f t="shared" si="182"/>
        <v>0</v>
      </c>
      <c r="O403" s="219"/>
      <c r="P403" s="219"/>
      <c r="Q403" s="219"/>
      <c r="R403" s="219"/>
      <c r="S403" s="219"/>
      <c r="T403" s="219"/>
      <c r="U403" s="219"/>
      <c r="V403" s="132">
        <f t="shared" si="183"/>
        <v>0</v>
      </c>
      <c r="W403" s="133" t="str">
        <f t="shared" si="184"/>
        <v/>
      </c>
      <c r="X403" s="132"/>
      <c r="Y403" s="132"/>
      <c r="Z403" s="132"/>
      <c r="AA403" s="132"/>
    </row>
    <row r="404" spans="1:27" ht="20.10000000000000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28"/>
      <c r="H404" s="226">
        <f t="shared" si="176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81"/>
        <v>0</v>
      </c>
      <c r="N404" s="130">
        <f t="shared" si="182"/>
        <v>0</v>
      </c>
      <c r="O404" s="219"/>
      <c r="P404" s="219"/>
      <c r="Q404" s="219"/>
      <c r="R404" s="219"/>
      <c r="S404" s="219"/>
      <c r="T404" s="219"/>
      <c r="U404" s="219"/>
      <c r="V404" s="132">
        <f t="shared" si="183"/>
        <v>0</v>
      </c>
      <c r="W404" s="133" t="str">
        <f t="shared" si="184"/>
        <v/>
      </c>
      <c r="X404" s="132"/>
      <c r="Y404" s="132"/>
      <c r="Z404" s="132"/>
      <c r="AA404" s="132"/>
    </row>
    <row r="405" spans="1:27" ht="20.10000000000000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28"/>
      <c r="H405" s="226">
        <f t="shared" si="176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81"/>
        <v>0</v>
      </c>
      <c r="N405" s="130">
        <f t="shared" si="182"/>
        <v>0</v>
      </c>
      <c r="O405" s="219"/>
      <c r="P405" s="219"/>
      <c r="Q405" s="219"/>
      <c r="R405" s="219"/>
      <c r="S405" s="219"/>
      <c r="T405" s="219"/>
      <c r="U405" s="219"/>
      <c r="V405" s="132">
        <f t="shared" si="183"/>
        <v>0</v>
      </c>
      <c r="W405" s="133" t="str">
        <f t="shared" si="184"/>
        <v/>
      </c>
      <c r="X405" s="132"/>
      <c r="Y405" s="132"/>
      <c r="Z405" s="132"/>
      <c r="AA405" s="132"/>
    </row>
    <row r="406" spans="1:27" ht="20.10000000000000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28"/>
      <c r="H406" s="226">
        <f t="shared" si="176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81"/>
        <v>0</v>
      </c>
      <c r="N406" s="130">
        <f t="shared" si="182"/>
        <v>0</v>
      </c>
      <c r="O406" s="219"/>
      <c r="P406" s="219"/>
      <c r="Q406" s="219"/>
      <c r="R406" s="219"/>
      <c r="S406" s="219"/>
      <c r="T406" s="219"/>
      <c r="U406" s="219"/>
      <c r="V406" s="132">
        <f t="shared" si="183"/>
        <v>0</v>
      </c>
      <c r="W406" s="133" t="str">
        <f t="shared" si="184"/>
        <v/>
      </c>
      <c r="X406" s="132"/>
      <c r="Y406" s="132"/>
      <c r="Z406" s="132"/>
      <c r="AA406" s="132"/>
    </row>
    <row r="407" spans="1:27" ht="20.10000000000000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28"/>
      <c r="H407" s="226">
        <f t="shared" si="176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81"/>
        <v>0</v>
      </c>
      <c r="N407" s="130">
        <f t="shared" si="182"/>
        <v>0</v>
      </c>
      <c r="O407" s="219"/>
      <c r="P407" s="219"/>
      <c r="Q407" s="219"/>
      <c r="R407" s="219"/>
      <c r="S407" s="219"/>
      <c r="T407" s="219"/>
      <c r="U407" s="219"/>
      <c r="V407" s="132">
        <f t="shared" si="183"/>
        <v>0</v>
      </c>
      <c r="W407" s="133" t="str">
        <f t="shared" si="184"/>
        <v/>
      </c>
      <c r="X407" s="132"/>
      <c r="Y407" s="132"/>
      <c r="Z407" s="132"/>
      <c r="AA407" s="132"/>
    </row>
    <row r="408" spans="1:27" ht="20.10000000000000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28"/>
      <c r="H408" s="226">
        <f t="shared" si="176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81"/>
        <v>0</v>
      </c>
      <c r="N408" s="130">
        <f t="shared" si="182"/>
        <v>0</v>
      </c>
      <c r="O408" s="219"/>
      <c r="P408" s="219"/>
      <c r="Q408" s="219"/>
      <c r="R408" s="219"/>
      <c r="S408" s="219"/>
      <c r="T408" s="219"/>
      <c r="U408" s="219"/>
      <c r="V408" s="132">
        <f t="shared" si="183"/>
        <v>0</v>
      </c>
      <c r="W408" s="133" t="str">
        <f t="shared" si="184"/>
        <v/>
      </c>
      <c r="X408" s="132"/>
      <c r="Y408" s="132"/>
      <c r="Z408" s="132"/>
      <c r="AA408" s="132"/>
    </row>
    <row r="409" spans="1:27" ht="20.100000000000001" customHeight="1">
      <c r="A409" s="300">
        <v>30100043</v>
      </c>
      <c r="B409" s="134" t="s">
        <v>433</v>
      </c>
      <c r="C409" s="187" t="s">
        <v>432</v>
      </c>
      <c r="D409" s="108">
        <v>50.3</v>
      </c>
      <c r="E409" s="108"/>
      <c r="F409" s="127"/>
      <c r="G409" s="128"/>
      <c r="H409" s="239">
        <f t="shared" si="176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237"/>
      <c r="P409" s="237"/>
      <c r="Q409" s="237"/>
      <c r="R409" s="237"/>
      <c r="S409" s="237"/>
      <c r="T409" s="237"/>
      <c r="U409" s="237"/>
      <c r="V409" s="132"/>
      <c r="W409" s="133"/>
      <c r="X409" s="132"/>
      <c r="Y409" s="132"/>
      <c r="Z409" s="132"/>
      <c r="AA409" s="132"/>
    </row>
    <row r="410" spans="1:27" ht="20.10000000000000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28"/>
      <c r="H410" s="226">
        <f t="shared" si="176"/>
        <v>0</v>
      </c>
      <c r="I410" s="129"/>
      <c r="J410" s="130"/>
      <c r="K410" s="131"/>
      <c r="L410" s="129">
        <v>50</v>
      </c>
      <c r="M410" s="109"/>
      <c r="N410" s="130"/>
      <c r="O410" s="219"/>
      <c r="P410" s="219"/>
      <c r="Q410" s="219"/>
      <c r="R410" s="219"/>
      <c r="S410" s="219"/>
      <c r="T410" s="219"/>
      <c r="U410" s="219"/>
      <c r="V410" s="132"/>
      <c r="W410" s="133"/>
      <c r="X410" s="132"/>
      <c r="Y410" s="132"/>
      <c r="Z410" s="132"/>
      <c r="AA410" s="132"/>
    </row>
    <row r="411" spans="1:27" ht="20.10000000000000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28"/>
      <c r="H411" s="226">
        <f t="shared" si="176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5">IF(ISERROR(I411-K411),"",I411-K411)</f>
        <v>0</v>
      </c>
      <c r="N411" s="130">
        <f t="shared" ref="N411:N412" si="186">SUM(O411:U411)</f>
        <v>0</v>
      </c>
      <c r="O411" s="219"/>
      <c r="P411" s="219"/>
      <c r="Q411" s="219"/>
      <c r="R411" s="219"/>
      <c r="S411" s="219"/>
      <c r="T411" s="219"/>
      <c r="U411" s="219"/>
      <c r="V411" s="132">
        <f t="shared" ref="V411:V412" si="187">SUM(X411:AA411)</f>
        <v>0</v>
      </c>
      <c r="W411" s="133" t="str">
        <f t="shared" ref="W411:W412" si="188">IF(ISERROR(V411/G411),"",V411/G411)</f>
        <v/>
      </c>
      <c r="X411" s="132"/>
      <c r="Y411" s="132"/>
      <c r="Z411" s="132"/>
      <c r="AA411" s="132"/>
    </row>
    <row r="412" spans="1:27" ht="20.10000000000000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28"/>
      <c r="H412" s="226">
        <f t="shared" si="176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5"/>
        <v>0</v>
      </c>
      <c r="N412" s="130">
        <f t="shared" si="186"/>
        <v>0</v>
      </c>
      <c r="O412" s="219"/>
      <c r="P412" s="219"/>
      <c r="Q412" s="219"/>
      <c r="R412" s="219"/>
      <c r="S412" s="219"/>
      <c r="T412" s="219"/>
      <c r="U412" s="219"/>
      <c r="V412" s="132">
        <f t="shared" si="187"/>
        <v>0</v>
      </c>
      <c r="W412" s="133" t="str">
        <f t="shared" si="188"/>
        <v/>
      </c>
      <c r="X412" s="132"/>
      <c r="Y412" s="132"/>
      <c r="Z412" s="132"/>
      <c r="AA412" s="132"/>
    </row>
    <row r="413" spans="1:27" ht="20.10000000000000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28"/>
      <c r="H413" s="226">
        <f t="shared" si="176"/>
        <v>0</v>
      </c>
      <c r="I413" s="129"/>
      <c r="J413" s="130"/>
      <c r="K413" s="131"/>
      <c r="L413" s="129"/>
      <c r="M413" s="109"/>
      <c r="N413" s="130"/>
      <c r="O413" s="219"/>
      <c r="P413" s="219"/>
      <c r="Q413" s="219"/>
      <c r="R413" s="219"/>
      <c r="S413" s="219"/>
      <c r="T413" s="219"/>
      <c r="U413" s="219"/>
      <c r="V413" s="132"/>
      <c r="W413" s="133"/>
      <c r="X413" s="132"/>
      <c r="Y413" s="132"/>
      <c r="Z413" s="132"/>
      <c r="AA413" s="132"/>
    </row>
    <row r="414" spans="1:27" ht="20.10000000000000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28"/>
      <c r="H414" s="226">
        <f t="shared" si="176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89">IF(ISERROR(I414-K414),"",I414-K414)</f>
        <v/>
      </c>
      <c r="N414" s="130">
        <f t="shared" ref="N414:N417" si="190">SUM(O414:U414)</f>
        <v>0</v>
      </c>
      <c r="O414" s="219"/>
      <c r="P414" s="219"/>
      <c r="Q414" s="219"/>
      <c r="R414" s="219"/>
      <c r="S414" s="219"/>
      <c r="T414" s="219"/>
      <c r="U414" s="219"/>
      <c r="V414" s="132">
        <f t="shared" ref="V414:V417" si="191">SUM(X414:AA414)</f>
        <v>0</v>
      </c>
      <c r="W414" s="133" t="str">
        <f t="shared" ref="W414:W417" si="192">IF(ISERROR(V414/G414),"",V414/G414)</f>
        <v/>
      </c>
      <c r="X414" s="132"/>
      <c r="Y414" s="132"/>
      <c r="Z414" s="132"/>
      <c r="AA414" s="132"/>
    </row>
    <row r="415" spans="1:27" ht="20.10000000000000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28"/>
      <c r="H415" s="226">
        <f t="shared" si="176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89"/>
        <v/>
      </c>
      <c r="N415" s="130">
        <f t="shared" si="190"/>
        <v>0</v>
      </c>
      <c r="O415" s="219"/>
      <c r="P415" s="219"/>
      <c r="Q415" s="219"/>
      <c r="R415" s="219"/>
      <c r="S415" s="219"/>
      <c r="T415" s="219"/>
      <c r="U415" s="219"/>
      <c r="V415" s="132">
        <f t="shared" si="191"/>
        <v>0</v>
      </c>
      <c r="W415" s="133" t="str">
        <f t="shared" si="192"/>
        <v/>
      </c>
      <c r="X415" s="132"/>
      <c r="Y415" s="132"/>
      <c r="Z415" s="132"/>
      <c r="AA415" s="132"/>
    </row>
    <row r="416" spans="1:27" ht="20.10000000000000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28"/>
      <c r="H416" s="226">
        <f t="shared" si="176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89"/>
        <v/>
      </c>
      <c r="N416" s="130">
        <f t="shared" si="190"/>
        <v>0</v>
      </c>
      <c r="O416" s="219"/>
      <c r="P416" s="219"/>
      <c r="Q416" s="219"/>
      <c r="R416" s="219"/>
      <c r="S416" s="219"/>
      <c r="T416" s="219"/>
      <c r="U416" s="219"/>
      <c r="V416" s="132">
        <f t="shared" si="191"/>
        <v>0</v>
      </c>
      <c r="W416" s="133" t="str">
        <f t="shared" si="192"/>
        <v/>
      </c>
      <c r="X416" s="132"/>
      <c r="Y416" s="132"/>
      <c r="Z416" s="132"/>
      <c r="AA416" s="132"/>
    </row>
    <row r="417" spans="1:27" ht="20.10000000000000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28"/>
      <c r="H417" s="226">
        <f t="shared" si="176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89"/>
        <v/>
      </c>
      <c r="N417" s="130">
        <f t="shared" si="190"/>
        <v>0</v>
      </c>
      <c r="O417" s="219"/>
      <c r="P417" s="219"/>
      <c r="Q417" s="219"/>
      <c r="R417" s="219"/>
      <c r="S417" s="219"/>
      <c r="T417" s="219"/>
      <c r="U417" s="219"/>
      <c r="V417" s="132">
        <f t="shared" si="191"/>
        <v>0</v>
      </c>
      <c r="W417" s="133" t="str">
        <f t="shared" si="192"/>
        <v/>
      </c>
      <c r="X417" s="132"/>
      <c r="Y417" s="132"/>
      <c r="Z417" s="132"/>
      <c r="AA417" s="132"/>
    </row>
    <row r="418" spans="1:27" ht="20.10000000000000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28"/>
      <c r="H418" s="226">
        <f t="shared" si="176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89"/>
        <v>0</v>
      </c>
      <c r="N418" s="130"/>
      <c r="O418" s="219"/>
      <c r="P418" s="219"/>
      <c r="Q418" s="219"/>
      <c r="R418" s="219"/>
      <c r="S418" s="219"/>
      <c r="T418" s="219"/>
      <c r="U418" s="219"/>
      <c r="V418" s="132"/>
      <c r="W418" s="133"/>
      <c r="X418" s="132"/>
      <c r="Y418" s="132"/>
      <c r="Z418" s="132"/>
      <c r="AA418" s="132"/>
    </row>
    <row r="419" spans="1:27" ht="20.10000000000000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28"/>
      <c r="H419" s="226">
        <f t="shared" si="176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89"/>
        <v>0</v>
      </c>
      <c r="N419" s="130"/>
      <c r="O419" s="219"/>
      <c r="P419" s="219"/>
      <c r="Q419" s="219"/>
      <c r="R419" s="219"/>
      <c r="S419" s="219"/>
      <c r="T419" s="219"/>
      <c r="U419" s="219"/>
      <c r="V419" s="132"/>
      <c r="W419" s="133"/>
      <c r="X419" s="132"/>
      <c r="Y419" s="132"/>
      <c r="Z419" s="132"/>
      <c r="AA419" s="132"/>
    </row>
    <row r="420" spans="1:27" ht="20.10000000000000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28"/>
      <c r="H420" s="226">
        <f t="shared" si="176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89"/>
        <v>0</v>
      </c>
      <c r="N420" s="130"/>
      <c r="O420" s="219"/>
      <c r="P420" s="219"/>
      <c r="Q420" s="219"/>
      <c r="R420" s="219"/>
      <c r="S420" s="219"/>
      <c r="T420" s="219"/>
      <c r="U420" s="219"/>
      <c r="V420" s="132"/>
      <c r="W420" s="133"/>
      <c r="X420" s="132"/>
      <c r="Y420" s="132"/>
      <c r="Z420" s="132"/>
      <c r="AA420" s="132"/>
    </row>
    <row r="421" spans="1:27" ht="20.10000000000000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28"/>
      <c r="H421" s="226">
        <f t="shared" si="176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89"/>
        <v>0</v>
      </c>
      <c r="N421" s="130"/>
      <c r="O421" s="219"/>
      <c r="P421" s="219"/>
      <c r="Q421" s="219"/>
      <c r="R421" s="219"/>
      <c r="S421" s="219"/>
      <c r="T421" s="219"/>
      <c r="U421" s="219"/>
      <c r="V421" s="132"/>
      <c r="W421" s="133"/>
      <c r="X421" s="132"/>
      <c r="Y421" s="132"/>
      <c r="Z421" s="132"/>
      <c r="AA421" s="132"/>
    </row>
    <row r="422" spans="1:27" ht="20.10000000000000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28"/>
      <c r="H422" s="226">
        <f t="shared" si="176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89"/>
        <v>0</v>
      </c>
      <c r="N422" s="130"/>
      <c r="O422" s="219"/>
      <c r="P422" s="219"/>
      <c r="Q422" s="219"/>
      <c r="R422" s="219"/>
      <c r="S422" s="219"/>
      <c r="T422" s="219"/>
      <c r="U422" s="219"/>
      <c r="V422" s="132"/>
      <c r="W422" s="133"/>
      <c r="X422" s="132"/>
      <c r="Y422" s="132"/>
      <c r="Z422" s="132"/>
      <c r="AA422" s="132"/>
    </row>
    <row r="423" spans="1:27" ht="20.10000000000000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28"/>
      <c r="H423" s="226">
        <f t="shared" si="176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89"/>
        <v>0</v>
      </c>
      <c r="N423" s="130"/>
      <c r="O423" s="219"/>
      <c r="P423" s="219"/>
      <c r="Q423" s="219"/>
      <c r="R423" s="219"/>
      <c r="S423" s="219"/>
      <c r="T423" s="219"/>
      <c r="U423" s="219"/>
      <c r="V423" s="132"/>
      <c r="W423" s="133"/>
      <c r="X423" s="132"/>
      <c r="Y423" s="132"/>
      <c r="Z423" s="132"/>
      <c r="AA423" s="132"/>
    </row>
    <row r="424" spans="1:27" ht="20.10000000000000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28"/>
      <c r="H424" s="226">
        <f t="shared" si="176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89"/>
        <v>0</v>
      </c>
      <c r="N424" s="130"/>
      <c r="O424" s="219"/>
      <c r="P424" s="219"/>
      <c r="Q424" s="219"/>
      <c r="R424" s="219"/>
      <c r="S424" s="219"/>
      <c r="T424" s="219"/>
      <c r="U424" s="219"/>
      <c r="V424" s="132"/>
      <c r="W424" s="133"/>
      <c r="X424" s="132"/>
      <c r="Y424" s="132"/>
      <c r="Z424" s="132"/>
      <c r="AA424" s="132"/>
    </row>
    <row r="425" spans="1:27" ht="20.10000000000000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28"/>
      <c r="H425" s="226">
        <f t="shared" si="176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89"/>
        <v>0</v>
      </c>
      <c r="N425" s="130"/>
      <c r="O425" s="219"/>
      <c r="P425" s="219"/>
      <c r="Q425" s="219"/>
      <c r="R425" s="219"/>
      <c r="S425" s="219"/>
      <c r="T425" s="219"/>
      <c r="U425" s="219"/>
      <c r="V425" s="132"/>
      <c r="W425" s="133"/>
      <c r="X425" s="132"/>
      <c r="Y425" s="132"/>
      <c r="Z425" s="132"/>
      <c r="AA425" s="132"/>
    </row>
    <row r="426" spans="1:27" ht="20.10000000000000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28"/>
      <c r="H426" s="226">
        <f t="shared" si="176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89"/>
        <v>0</v>
      </c>
      <c r="N426" s="130"/>
      <c r="O426" s="219"/>
      <c r="P426" s="219"/>
      <c r="Q426" s="219"/>
      <c r="R426" s="219"/>
      <c r="S426" s="219"/>
      <c r="T426" s="219"/>
      <c r="U426" s="219"/>
      <c r="V426" s="132"/>
      <c r="W426" s="133"/>
      <c r="X426" s="132"/>
      <c r="Y426" s="132"/>
      <c r="Z426" s="132"/>
      <c r="AA426" s="132"/>
    </row>
    <row r="427" spans="1:27" ht="20.10000000000000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28"/>
      <c r="H427" s="226">
        <f t="shared" si="176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89"/>
        <v>0</v>
      </c>
      <c r="N427" s="130"/>
      <c r="O427" s="219"/>
      <c r="P427" s="219"/>
      <c r="Q427" s="219"/>
      <c r="R427" s="219"/>
      <c r="S427" s="219"/>
      <c r="T427" s="219"/>
      <c r="U427" s="219"/>
      <c r="V427" s="132"/>
      <c r="W427" s="133"/>
      <c r="X427" s="132"/>
      <c r="Y427" s="132"/>
      <c r="Z427" s="132"/>
      <c r="AA427" s="132"/>
    </row>
    <row r="428" spans="1:27" ht="20.100000000000001" customHeight="1">
      <c r="A428" s="589" t="s">
        <v>216</v>
      </c>
      <c r="B428" s="589"/>
      <c r="C428" s="224" t="s">
        <v>202</v>
      </c>
      <c r="D428" s="143"/>
      <c r="E428" s="143"/>
      <c r="F428" s="144"/>
      <c r="G428" s="145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3">SUM(M371:M427)</f>
        <v>0</v>
      </c>
      <c r="N428" s="146">
        <f t="shared" si="193"/>
        <v>0</v>
      </c>
      <c r="O428" s="148">
        <f t="shared" si="193"/>
        <v>0</v>
      </c>
      <c r="P428" s="148">
        <f t="shared" si="193"/>
        <v>0</v>
      </c>
      <c r="Q428" s="148">
        <f t="shared" si="193"/>
        <v>0</v>
      </c>
      <c r="R428" s="148">
        <f t="shared" si="193"/>
        <v>0</v>
      </c>
      <c r="S428" s="148">
        <f t="shared" si="193"/>
        <v>0</v>
      </c>
      <c r="T428" s="148">
        <f t="shared" si="193"/>
        <v>0</v>
      </c>
      <c r="U428" s="148">
        <f t="shared" si="193"/>
        <v>0</v>
      </c>
      <c r="V428" s="149">
        <f t="shared" si="193"/>
        <v>0</v>
      </c>
      <c r="W428" s="133" t="str">
        <f t="shared" ref="W428:W435" si="194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customHeight="1">
      <c r="A429" s="299">
        <v>30400012</v>
      </c>
      <c r="B429" s="218" t="s">
        <v>217</v>
      </c>
      <c r="C429" s="126" t="s">
        <v>179</v>
      </c>
      <c r="D429" s="108">
        <v>5.03</v>
      </c>
      <c r="E429" s="108"/>
      <c r="F429" s="127"/>
      <c r="G429" s="128"/>
      <c r="H429" s="226">
        <f t="shared" ref="H429:H461" si="195">D429*G429</f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ref="M429:M436" si="196">IF(ISERROR(I429-K429),"",I429-K429)</f>
        <v>0</v>
      </c>
      <c r="N429" s="130">
        <f t="shared" ref="N429:N436" si="197">SUM(O429:U429)</f>
        <v>0</v>
      </c>
      <c r="O429" s="219"/>
      <c r="P429" s="219"/>
      <c r="Q429" s="219"/>
      <c r="R429" s="219"/>
      <c r="S429" s="219"/>
      <c r="T429" s="219"/>
      <c r="U429" s="219"/>
      <c r="V429" s="132">
        <f t="shared" ref="V429:V435" si="198">SUM(X429:AA429)</f>
        <v>0</v>
      </c>
      <c r="W429" s="133" t="str">
        <f t="shared" si="194"/>
        <v/>
      </c>
      <c r="X429" s="132"/>
      <c r="Y429" s="132"/>
      <c r="Z429" s="132"/>
      <c r="AA429" s="132"/>
    </row>
    <row r="430" spans="1:27" ht="20.100000000000001" customHeight="1">
      <c r="A430" s="299">
        <v>30400010</v>
      </c>
      <c r="B430" s="218" t="s">
        <v>217</v>
      </c>
      <c r="C430" s="126" t="s">
        <v>186</v>
      </c>
      <c r="D430" s="108">
        <v>5.03</v>
      </c>
      <c r="E430" s="108"/>
      <c r="F430" s="127"/>
      <c r="G430" s="128"/>
      <c r="H430" s="226">
        <f t="shared" si="195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8.8000000000000007</v>
      </c>
      <c r="M430" s="109">
        <f t="shared" si="196"/>
        <v>0</v>
      </c>
      <c r="N430" s="130">
        <f t="shared" si="197"/>
        <v>0</v>
      </c>
      <c r="O430" s="219"/>
      <c r="P430" s="219"/>
      <c r="Q430" s="219"/>
      <c r="R430" s="219"/>
      <c r="S430" s="219"/>
      <c r="T430" s="219"/>
      <c r="U430" s="219"/>
      <c r="V430" s="132">
        <f t="shared" si="198"/>
        <v>0</v>
      </c>
      <c r="W430" s="133" t="str">
        <f t="shared" si="194"/>
        <v/>
      </c>
      <c r="X430" s="132"/>
      <c r="Y430" s="132"/>
      <c r="Z430" s="132"/>
      <c r="AA430" s="132"/>
    </row>
    <row r="431" spans="1:27" ht="20.100000000000001" customHeight="1">
      <c r="A431" s="299">
        <v>30400011</v>
      </c>
      <c r="B431" s="218" t="s">
        <v>217</v>
      </c>
      <c r="C431" s="126" t="s">
        <v>204</v>
      </c>
      <c r="D431" s="108">
        <v>5.03</v>
      </c>
      <c r="E431" s="108"/>
      <c r="F431" s="127"/>
      <c r="G431" s="128"/>
      <c r="H431" s="226">
        <f t="shared" si="195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8.8000000000000007</v>
      </c>
      <c r="M431" s="109">
        <f t="shared" si="196"/>
        <v>0</v>
      </c>
      <c r="N431" s="130">
        <f t="shared" si="197"/>
        <v>0</v>
      </c>
      <c r="O431" s="219"/>
      <c r="P431" s="219"/>
      <c r="Q431" s="219"/>
      <c r="R431" s="219"/>
      <c r="S431" s="219"/>
      <c r="T431" s="219"/>
      <c r="U431" s="219"/>
      <c r="V431" s="132">
        <f t="shared" si="198"/>
        <v>0</v>
      </c>
      <c r="W431" s="133" t="str">
        <f t="shared" si="194"/>
        <v/>
      </c>
      <c r="X431" s="132"/>
      <c r="Y431" s="132"/>
      <c r="Z431" s="132"/>
      <c r="AA431" s="132"/>
    </row>
    <row r="432" spans="1:27" ht="20.10000000000000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28"/>
      <c r="H432" s="226">
        <f t="shared" si="195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6"/>
        <v>0</v>
      </c>
      <c r="N432" s="130">
        <f t="shared" si="197"/>
        <v>0</v>
      </c>
      <c r="O432" s="219"/>
      <c r="P432" s="219"/>
      <c r="Q432" s="219"/>
      <c r="R432" s="219"/>
      <c r="S432" s="219"/>
      <c r="T432" s="219"/>
      <c r="U432" s="219"/>
      <c r="V432" s="132">
        <f t="shared" si="198"/>
        <v>0</v>
      </c>
      <c r="W432" s="133" t="str">
        <f t="shared" si="194"/>
        <v/>
      </c>
      <c r="X432" s="132"/>
      <c r="Y432" s="132"/>
      <c r="Z432" s="132"/>
      <c r="AA432" s="132"/>
    </row>
    <row r="433" spans="1:27" ht="20.10000000000000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/>
      <c r="G433" s="128"/>
      <c r="H433" s="226">
        <f t="shared" si="195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6"/>
        <v>0</v>
      </c>
      <c r="N433" s="130">
        <f t="shared" si="197"/>
        <v>0</v>
      </c>
      <c r="O433" s="219"/>
      <c r="P433" s="219"/>
      <c r="Q433" s="219"/>
      <c r="R433" s="219"/>
      <c r="S433" s="219"/>
      <c r="T433" s="219"/>
      <c r="U433" s="219"/>
      <c r="V433" s="132">
        <f t="shared" si="198"/>
        <v>0</v>
      </c>
      <c r="W433" s="133" t="str">
        <f t="shared" si="194"/>
        <v/>
      </c>
      <c r="X433" s="132"/>
      <c r="Y433" s="132"/>
      <c r="Z433" s="132"/>
      <c r="AA433" s="132"/>
    </row>
    <row r="434" spans="1:27" ht="20.10000000000000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/>
      <c r="G434" s="128"/>
      <c r="H434" s="226">
        <f t="shared" si="195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9.3000000000000007</v>
      </c>
      <c r="M434" s="109">
        <f t="shared" si="196"/>
        <v>0</v>
      </c>
      <c r="N434" s="130">
        <f t="shared" si="197"/>
        <v>0</v>
      </c>
      <c r="O434" s="219"/>
      <c r="P434" s="219"/>
      <c r="Q434" s="219"/>
      <c r="R434" s="219"/>
      <c r="S434" s="219"/>
      <c r="T434" s="219"/>
      <c r="U434" s="219"/>
      <c r="V434" s="132">
        <f t="shared" si="198"/>
        <v>0</v>
      </c>
      <c r="W434" s="133" t="str">
        <f t="shared" si="194"/>
        <v/>
      </c>
      <c r="X434" s="132"/>
      <c r="Y434" s="132"/>
      <c r="Z434" s="132"/>
      <c r="AA434" s="132"/>
    </row>
    <row r="435" spans="1:27" ht="20.10000000000000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/>
      <c r="G435" s="128"/>
      <c r="H435" s="226">
        <f t="shared" si="195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9.3000000000000007</v>
      </c>
      <c r="M435" s="109">
        <f t="shared" si="196"/>
        <v>0</v>
      </c>
      <c r="N435" s="130">
        <f t="shared" si="197"/>
        <v>0</v>
      </c>
      <c r="O435" s="219"/>
      <c r="P435" s="219"/>
      <c r="Q435" s="219"/>
      <c r="R435" s="219"/>
      <c r="S435" s="219"/>
      <c r="T435" s="219"/>
      <c r="U435" s="219"/>
      <c r="V435" s="132">
        <f t="shared" si="198"/>
        <v>0</v>
      </c>
      <c r="W435" s="133" t="str">
        <f t="shared" si="194"/>
        <v/>
      </c>
      <c r="X435" s="132"/>
      <c r="Y435" s="132"/>
      <c r="Z435" s="132"/>
      <c r="AA435" s="132"/>
    </row>
    <row r="436" spans="1:27" ht="20.10000000000000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/>
      <c r="G436" s="128"/>
      <c r="H436" s="226">
        <f t="shared" si="195"/>
        <v>0</v>
      </c>
      <c r="I436" s="129"/>
      <c r="J436" s="130"/>
      <c r="K436" s="131">
        <f t="array" ref="K436">IF(ISERROR(G436/L436),"",G436/L436)</f>
        <v>0</v>
      </c>
      <c r="L436" s="129">
        <v>9.3000000000000007</v>
      </c>
      <c r="M436" s="109">
        <f t="shared" si="196"/>
        <v>0</v>
      </c>
      <c r="N436" s="130">
        <f t="shared" si="197"/>
        <v>0</v>
      </c>
      <c r="O436" s="219"/>
      <c r="P436" s="219"/>
      <c r="Q436" s="219"/>
      <c r="R436" s="219"/>
      <c r="S436" s="219"/>
      <c r="T436" s="219"/>
      <c r="U436" s="219"/>
      <c r="V436" s="132"/>
      <c r="W436" s="133"/>
      <c r="X436" s="132"/>
      <c r="Y436" s="132"/>
      <c r="Z436" s="132"/>
      <c r="AA436" s="132"/>
    </row>
    <row r="437" spans="1:27" ht="20.10000000000000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52"/>
      <c r="H437" s="226">
        <f t="shared" si="195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219"/>
      <c r="P437" s="219"/>
      <c r="Q437" s="219"/>
      <c r="R437" s="219"/>
      <c r="S437" s="219"/>
      <c r="T437" s="219"/>
      <c r="U437" s="219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28"/>
      <c r="H438" s="226">
        <f t="shared" si="195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219"/>
      <c r="P438" s="219"/>
      <c r="Q438" s="219"/>
      <c r="R438" s="219"/>
      <c r="S438" s="219"/>
      <c r="T438" s="219"/>
      <c r="U438" s="219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28"/>
      <c r="H439" s="226">
        <f t="shared" si="195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219"/>
      <c r="P439" s="219"/>
      <c r="Q439" s="219"/>
      <c r="R439" s="219"/>
      <c r="S439" s="219"/>
      <c r="T439" s="219"/>
      <c r="U439" s="219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28"/>
      <c r="H440" s="226">
        <f t="shared" si="195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219"/>
      <c r="P440" s="219"/>
      <c r="Q440" s="219"/>
      <c r="R440" s="219"/>
      <c r="S440" s="219"/>
      <c r="T440" s="219"/>
      <c r="U440" s="219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28"/>
      <c r="H441" s="226">
        <f t="shared" si="195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0" si="199">IF(ISERROR(I441-K441),"",I441-K441)</f>
        <v>0</v>
      </c>
      <c r="N441" s="130">
        <f t="shared" ref="N441:N456" si="200">SUM(O441:U441)</f>
        <v>0</v>
      </c>
      <c r="O441" s="219"/>
      <c r="P441" s="219"/>
      <c r="Q441" s="219"/>
      <c r="R441" s="219"/>
      <c r="S441" s="219"/>
      <c r="T441" s="219"/>
      <c r="U441" s="219"/>
      <c r="V441" s="132">
        <f t="shared" ref="V441:V444" si="201">SUM(X441:AA441)</f>
        <v>0</v>
      </c>
      <c r="W441" s="133" t="str">
        <f t="shared" ref="W441:W448" si="202">IF(ISERROR(V441/G441),"",V441/G441)</f>
        <v/>
      </c>
      <c r="X441" s="132"/>
      <c r="Y441" s="132"/>
      <c r="Z441" s="132"/>
      <c r="AA441" s="132"/>
    </row>
    <row r="442" spans="1:27" ht="20.10000000000000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28"/>
      <c r="H442" s="226">
        <f t="shared" si="195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199"/>
        <v/>
      </c>
      <c r="N442" s="130">
        <f t="shared" si="200"/>
        <v>0</v>
      </c>
      <c r="O442" s="219"/>
      <c r="P442" s="219"/>
      <c r="Q442" s="219"/>
      <c r="R442" s="219"/>
      <c r="S442" s="219"/>
      <c r="T442" s="219"/>
      <c r="U442" s="219"/>
      <c r="V442" s="132">
        <f t="shared" si="201"/>
        <v>0</v>
      </c>
      <c r="W442" s="133" t="str">
        <f t="shared" si="202"/>
        <v/>
      </c>
      <c r="X442" s="132"/>
      <c r="Y442" s="132"/>
      <c r="Z442" s="132"/>
      <c r="AA442" s="132"/>
    </row>
    <row r="443" spans="1:27" ht="20.10000000000000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28"/>
      <c r="H443" s="226">
        <f t="shared" si="195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199"/>
        <v/>
      </c>
      <c r="N443" s="130">
        <f t="shared" si="200"/>
        <v>0</v>
      </c>
      <c r="O443" s="219"/>
      <c r="P443" s="219"/>
      <c r="Q443" s="219"/>
      <c r="R443" s="219"/>
      <c r="S443" s="219"/>
      <c r="T443" s="219"/>
      <c r="U443" s="219"/>
      <c r="V443" s="132">
        <f t="shared" si="201"/>
        <v>0</v>
      </c>
      <c r="W443" s="133" t="str">
        <f t="shared" si="202"/>
        <v/>
      </c>
      <c r="X443" s="132"/>
      <c r="Y443" s="132"/>
      <c r="Z443" s="132"/>
      <c r="AA443" s="132"/>
    </row>
    <row r="444" spans="1:27" ht="20.10000000000000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28"/>
      <c r="H444" s="226">
        <f t="shared" si="195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199"/>
        <v/>
      </c>
      <c r="N444" s="130">
        <f t="shared" si="200"/>
        <v>0</v>
      </c>
      <c r="O444" s="219"/>
      <c r="P444" s="219"/>
      <c r="Q444" s="219"/>
      <c r="R444" s="219"/>
      <c r="S444" s="219"/>
      <c r="T444" s="219"/>
      <c r="U444" s="219"/>
      <c r="V444" s="132">
        <f t="shared" si="201"/>
        <v>0</v>
      </c>
      <c r="W444" s="133" t="str">
        <f t="shared" si="202"/>
        <v/>
      </c>
      <c r="X444" s="132"/>
      <c r="Y444" s="132"/>
      <c r="Z444" s="132"/>
      <c r="AA444" s="132"/>
    </row>
    <row r="445" spans="1:27" ht="20.100000000000001" customHeight="1">
      <c r="A445" s="304">
        <v>30600005</v>
      </c>
      <c r="B445" s="218" t="s">
        <v>222</v>
      </c>
      <c r="C445" s="126" t="s">
        <v>181</v>
      </c>
      <c r="D445" s="108">
        <v>9.36</v>
      </c>
      <c r="E445" s="108"/>
      <c r="F445" s="127"/>
      <c r="G445" s="128"/>
      <c r="H445" s="226">
        <f t="shared" si="195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199"/>
        <v>0</v>
      </c>
      <c r="N445" s="130">
        <f t="shared" si="200"/>
        <v>0</v>
      </c>
      <c r="O445" s="219"/>
      <c r="P445" s="219"/>
      <c r="Q445" s="219"/>
      <c r="R445" s="219"/>
      <c r="S445" s="219"/>
      <c r="T445" s="219"/>
      <c r="U445" s="219"/>
      <c r="V445" s="132">
        <f t="shared" ref="V445:V448" si="203">SUM(X445:AA445)</f>
        <v>0</v>
      </c>
      <c r="W445" s="133" t="str">
        <f t="shared" si="202"/>
        <v/>
      </c>
      <c r="X445" s="132"/>
      <c r="Y445" s="132"/>
      <c r="Z445" s="132"/>
      <c r="AA445" s="132"/>
    </row>
    <row r="446" spans="1:27" ht="20.100000000000001" customHeight="1">
      <c r="A446" s="304">
        <v>30600008</v>
      </c>
      <c r="B446" s="218" t="s">
        <v>222</v>
      </c>
      <c r="C446" s="126" t="s">
        <v>179</v>
      </c>
      <c r="D446" s="108">
        <v>9.36</v>
      </c>
      <c r="E446" s="108"/>
      <c r="F446" s="127"/>
      <c r="G446" s="128"/>
      <c r="H446" s="226">
        <f t="shared" si="195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199"/>
        <v>0</v>
      </c>
      <c r="N446" s="130">
        <f t="shared" si="200"/>
        <v>0</v>
      </c>
      <c r="O446" s="219"/>
      <c r="P446" s="219"/>
      <c r="Q446" s="219"/>
      <c r="R446" s="219"/>
      <c r="S446" s="219"/>
      <c r="T446" s="219"/>
      <c r="U446" s="219"/>
      <c r="V446" s="132">
        <f t="shared" si="203"/>
        <v>0</v>
      </c>
      <c r="W446" s="133" t="str">
        <f t="shared" si="202"/>
        <v/>
      </c>
      <c r="X446" s="132"/>
      <c r="Y446" s="132"/>
      <c r="Z446" s="132"/>
      <c r="AA446" s="132"/>
    </row>
    <row r="447" spans="1:27" ht="20.100000000000001" customHeight="1">
      <c r="A447" s="304">
        <v>30600007</v>
      </c>
      <c r="B447" s="218" t="s">
        <v>222</v>
      </c>
      <c r="C447" s="126" t="s">
        <v>221</v>
      </c>
      <c r="D447" s="108">
        <v>9.36</v>
      </c>
      <c r="E447" s="108"/>
      <c r="F447" s="127"/>
      <c r="G447" s="128"/>
      <c r="H447" s="226">
        <f t="shared" si="195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199"/>
        <v>0</v>
      </c>
      <c r="N447" s="130">
        <f t="shared" si="200"/>
        <v>0</v>
      </c>
      <c r="O447" s="219"/>
      <c r="P447" s="219"/>
      <c r="Q447" s="219"/>
      <c r="R447" s="219"/>
      <c r="S447" s="219"/>
      <c r="T447" s="219"/>
      <c r="U447" s="219"/>
      <c r="V447" s="132">
        <f t="shared" si="203"/>
        <v>0</v>
      </c>
      <c r="W447" s="133" t="str">
        <f t="shared" si="202"/>
        <v/>
      </c>
      <c r="X447" s="132"/>
      <c r="Y447" s="132"/>
      <c r="Z447" s="132"/>
      <c r="AA447" s="132"/>
    </row>
    <row r="448" spans="1:27" ht="20.100000000000001" customHeight="1">
      <c r="A448" s="304">
        <v>30600006</v>
      </c>
      <c r="B448" s="218" t="s">
        <v>222</v>
      </c>
      <c r="C448" s="126" t="s">
        <v>186</v>
      </c>
      <c r="D448" s="108">
        <v>9.36</v>
      </c>
      <c r="E448" s="108"/>
      <c r="F448" s="127"/>
      <c r="G448" s="128"/>
      <c r="H448" s="226">
        <f t="shared" si="195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199"/>
        <v>0</v>
      </c>
      <c r="N448" s="130">
        <f t="shared" si="200"/>
        <v>0</v>
      </c>
      <c r="O448" s="219"/>
      <c r="P448" s="219"/>
      <c r="Q448" s="219"/>
      <c r="R448" s="219"/>
      <c r="S448" s="219"/>
      <c r="T448" s="219"/>
      <c r="U448" s="219"/>
      <c r="V448" s="132">
        <f t="shared" si="203"/>
        <v>0</v>
      </c>
      <c r="W448" s="133" t="str">
        <f t="shared" si="202"/>
        <v/>
      </c>
      <c r="X448" s="132"/>
      <c r="Y448" s="132"/>
      <c r="Z448" s="132"/>
      <c r="AA448" s="132"/>
    </row>
    <row r="449" spans="1:27" ht="20.100000000000001" customHeight="1">
      <c r="A449" s="299">
        <v>30400026</v>
      </c>
      <c r="B449" s="218" t="s">
        <v>393</v>
      </c>
      <c r="C449" s="187" t="s">
        <v>395</v>
      </c>
      <c r="D449" s="108">
        <v>5</v>
      </c>
      <c r="E449" s="108"/>
      <c r="F449" s="127"/>
      <c r="G449" s="128"/>
      <c r="H449" s="226">
        <f t="shared" si="195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199"/>
        <v>0</v>
      </c>
      <c r="N449" s="130">
        <f t="shared" si="200"/>
        <v>0</v>
      </c>
      <c r="O449" s="219"/>
      <c r="P449" s="219"/>
      <c r="Q449" s="219"/>
      <c r="R449" s="219"/>
      <c r="S449" s="219"/>
      <c r="T449" s="219"/>
      <c r="U449" s="219"/>
      <c r="V449" s="132"/>
      <c r="W449" s="133"/>
      <c r="X449" s="132"/>
      <c r="Y449" s="132"/>
      <c r="Z449" s="132"/>
      <c r="AA449" s="132"/>
    </row>
    <row r="450" spans="1:27" ht="20.100000000000001" customHeight="1">
      <c r="A450" s="299">
        <v>30400028</v>
      </c>
      <c r="B450" s="218" t="s">
        <v>393</v>
      </c>
      <c r="C450" s="187" t="s">
        <v>402</v>
      </c>
      <c r="D450" s="108">
        <v>5</v>
      </c>
      <c r="E450" s="108"/>
      <c r="F450" s="127"/>
      <c r="G450" s="128"/>
      <c r="H450" s="226">
        <f t="shared" si="195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199"/>
        <v>0</v>
      </c>
      <c r="N450" s="130">
        <f t="shared" si="200"/>
        <v>0</v>
      </c>
      <c r="O450" s="219"/>
      <c r="P450" s="219"/>
      <c r="Q450" s="219"/>
      <c r="R450" s="219"/>
      <c r="S450" s="219"/>
      <c r="T450" s="219"/>
      <c r="U450" s="219"/>
      <c r="V450" s="132"/>
      <c r="W450" s="133"/>
      <c r="X450" s="132"/>
      <c r="Y450" s="132"/>
      <c r="Z450" s="132"/>
      <c r="AA450" s="132"/>
    </row>
    <row r="451" spans="1:27" ht="20.100000000000001" customHeight="1">
      <c r="A451" s="299">
        <v>30400027</v>
      </c>
      <c r="B451" s="218" t="s">
        <v>404</v>
      </c>
      <c r="C451" s="187" t="s">
        <v>405</v>
      </c>
      <c r="D451" s="108">
        <v>5</v>
      </c>
      <c r="E451" s="108"/>
      <c r="F451" s="127"/>
      <c r="G451" s="128"/>
      <c r="H451" s="226">
        <f t="shared" si="195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199"/>
        <v>0</v>
      </c>
      <c r="N451" s="130">
        <f t="shared" si="200"/>
        <v>0</v>
      </c>
      <c r="O451" s="219"/>
      <c r="P451" s="219"/>
      <c r="Q451" s="219"/>
      <c r="R451" s="219"/>
      <c r="S451" s="219"/>
      <c r="T451" s="219"/>
      <c r="U451" s="219"/>
      <c r="V451" s="132"/>
      <c r="W451" s="133"/>
      <c r="X451" s="132"/>
      <c r="Y451" s="132"/>
      <c r="Z451" s="132"/>
      <c r="AA451" s="132"/>
    </row>
    <row r="452" spans="1:27" ht="20.100000000000001" customHeight="1">
      <c r="A452" s="299"/>
      <c r="B452" s="218" t="s">
        <v>342</v>
      </c>
      <c r="C452" s="187" t="s">
        <v>372</v>
      </c>
      <c r="D452" s="108">
        <v>5</v>
      </c>
      <c r="E452" s="108"/>
      <c r="F452" s="127"/>
      <c r="G452" s="128"/>
      <c r="H452" s="226">
        <f t="shared" si="195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199"/>
        <v>0</v>
      </c>
      <c r="N452" s="130">
        <f t="shared" si="200"/>
        <v>0</v>
      </c>
      <c r="O452" s="219"/>
      <c r="P452" s="219"/>
      <c r="Q452" s="219"/>
      <c r="R452" s="219"/>
      <c r="S452" s="219"/>
      <c r="T452" s="219"/>
      <c r="U452" s="219"/>
      <c r="V452" s="132"/>
      <c r="W452" s="133"/>
      <c r="X452" s="132"/>
      <c r="Y452" s="132"/>
      <c r="Z452" s="132"/>
      <c r="AA452" s="132"/>
    </row>
    <row r="453" spans="1:27" ht="20.100000000000001" customHeight="1">
      <c r="A453" s="299">
        <v>30600009</v>
      </c>
      <c r="B453" s="218" t="s">
        <v>343</v>
      </c>
      <c r="C453" s="126" t="s">
        <v>345</v>
      </c>
      <c r="D453" s="108">
        <v>5</v>
      </c>
      <c r="E453" s="108"/>
      <c r="F453" s="127"/>
      <c r="G453" s="128"/>
      <c r="H453" s="226">
        <f t="shared" si="195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199"/>
        <v>0</v>
      </c>
      <c r="N453" s="130">
        <f t="shared" si="200"/>
        <v>0</v>
      </c>
      <c r="O453" s="219"/>
      <c r="P453" s="219"/>
      <c r="Q453" s="219"/>
      <c r="R453" s="219"/>
      <c r="S453" s="219"/>
      <c r="T453" s="219"/>
      <c r="U453" s="219"/>
      <c r="V453" s="132"/>
      <c r="W453" s="133"/>
      <c r="X453" s="132"/>
      <c r="Y453" s="132"/>
      <c r="Z453" s="132"/>
      <c r="AA453" s="132"/>
    </row>
    <row r="454" spans="1:27" ht="20.100000000000001" customHeight="1">
      <c r="A454" s="299">
        <v>30600010</v>
      </c>
      <c r="B454" s="218" t="s">
        <v>343</v>
      </c>
      <c r="C454" s="126" t="s">
        <v>347</v>
      </c>
      <c r="D454" s="108">
        <v>5</v>
      </c>
      <c r="E454" s="108"/>
      <c r="F454" s="127"/>
      <c r="G454" s="128"/>
      <c r="H454" s="226">
        <f t="shared" si="195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199"/>
        <v>0</v>
      </c>
      <c r="N454" s="130">
        <f t="shared" si="200"/>
        <v>0</v>
      </c>
      <c r="O454" s="219"/>
      <c r="P454" s="219"/>
      <c r="Q454" s="219"/>
      <c r="R454" s="219"/>
      <c r="S454" s="219"/>
      <c r="T454" s="219"/>
      <c r="U454" s="219"/>
      <c r="V454" s="132"/>
      <c r="W454" s="133"/>
      <c r="X454" s="132"/>
      <c r="Y454" s="132"/>
      <c r="Z454" s="132"/>
      <c r="AA454" s="132"/>
    </row>
    <row r="455" spans="1:27" ht="20.10000000000000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/>
      <c r="G455" s="128"/>
      <c r="H455" s="226">
        <f t="shared" si="195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15.5</v>
      </c>
      <c r="M455" s="109">
        <f t="shared" si="199"/>
        <v>0</v>
      </c>
      <c r="N455" s="130">
        <f t="shared" si="200"/>
        <v>0</v>
      </c>
      <c r="O455" s="219"/>
      <c r="P455" s="219"/>
      <c r="Q455" s="219"/>
      <c r="R455" s="219"/>
      <c r="S455" s="219"/>
      <c r="T455" s="219"/>
      <c r="U455" s="219"/>
      <c r="V455" s="132">
        <f t="shared" ref="V455:V456" si="204">SUM(X455:AA455)</f>
        <v>0</v>
      </c>
      <c r="W455" s="133" t="str">
        <f t="shared" ref="W455:W456" si="205">IF(ISERROR(V455/G455),"",V455/G455)</f>
        <v/>
      </c>
      <c r="X455" s="132"/>
      <c r="Y455" s="132"/>
      <c r="Z455" s="132"/>
      <c r="AA455" s="132"/>
    </row>
    <row r="456" spans="1:27" ht="20.10000000000000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/>
      <c r="G456" s="128"/>
      <c r="H456" s="226">
        <f t="shared" si="195"/>
        <v>0</v>
      </c>
      <c r="I456" s="129"/>
      <c r="J456" s="130" t="str">
        <f t="array" ref="J456">IF(ISERROR(G456/I456),"",G456/I456)</f>
        <v/>
      </c>
      <c r="K456" s="131">
        <f t="array" ref="K456">IF(ISERROR(G456/L456),"",G456/L456)</f>
        <v>0</v>
      </c>
      <c r="L456" s="129">
        <v>15.5</v>
      </c>
      <c r="M456" s="109">
        <f t="shared" si="199"/>
        <v>0</v>
      </c>
      <c r="N456" s="130">
        <f t="shared" si="200"/>
        <v>0</v>
      </c>
      <c r="O456" s="219"/>
      <c r="P456" s="219"/>
      <c r="Q456" s="219"/>
      <c r="R456" s="219"/>
      <c r="S456" s="219"/>
      <c r="T456" s="219"/>
      <c r="U456" s="219"/>
      <c r="V456" s="132">
        <f t="shared" si="204"/>
        <v>0</v>
      </c>
      <c r="W456" s="133" t="str">
        <f t="shared" si="205"/>
        <v/>
      </c>
      <c r="X456" s="132"/>
      <c r="Y456" s="132"/>
      <c r="Z456" s="132"/>
      <c r="AA456" s="132"/>
    </row>
    <row r="457" spans="1:27" ht="20.100000000000001" customHeight="1">
      <c r="A457" s="299">
        <v>30400004</v>
      </c>
      <c r="B457" s="151" t="s">
        <v>419</v>
      </c>
      <c r="C457" s="187" t="s">
        <v>420</v>
      </c>
      <c r="D457" s="108"/>
      <c r="E457" s="108"/>
      <c r="F457" s="127"/>
      <c r="G457" s="128"/>
      <c r="H457" s="229">
        <f t="shared" si="195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199"/>
        <v>0</v>
      </c>
      <c r="N457" s="130"/>
      <c r="O457" s="219"/>
      <c r="P457" s="219"/>
      <c r="Q457" s="219"/>
      <c r="R457" s="219"/>
      <c r="S457" s="219"/>
      <c r="T457" s="219"/>
      <c r="U457" s="219"/>
      <c r="V457" s="132"/>
      <c r="W457" s="133"/>
      <c r="X457" s="132"/>
      <c r="Y457" s="132"/>
      <c r="Z457" s="132"/>
      <c r="AA457" s="132"/>
    </row>
    <row r="458" spans="1:27" ht="20.10000000000000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28"/>
      <c r="H458" s="229">
        <f t="shared" si="195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199"/>
        <v>0</v>
      </c>
      <c r="N458" s="130"/>
      <c r="O458" s="219"/>
      <c r="P458" s="219"/>
      <c r="Q458" s="219"/>
      <c r="R458" s="219"/>
      <c r="S458" s="219"/>
      <c r="T458" s="219"/>
      <c r="U458" s="219"/>
      <c r="V458" s="132"/>
      <c r="W458" s="133"/>
      <c r="X458" s="132"/>
      <c r="Y458" s="132"/>
      <c r="Z458" s="132"/>
      <c r="AA458" s="132"/>
    </row>
    <row r="459" spans="1:27" ht="20.10000000000000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28"/>
      <c r="H459" s="229">
        <f t="shared" si="195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199"/>
        <v>0</v>
      </c>
      <c r="N459" s="130"/>
      <c r="O459" s="219"/>
      <c r="P459" s="219"/>
      <c r="Q459" s="219"/>
      <c r="R459" s="219"/>
      <c r="S459" s="219"/>
      <c r="T459" s="219"/>
      <c r="U459" s="219"/>
      <c r="V459" s="132"/>
      <c r="W459" s="133"/>
      <c r="X459" s="132"/>
      <c r="Y459" s="132"/>
      <c r="Z459" s="132"/>
      <c r="AA459" s="132"/>
    </row>
    <row r="460" spans="1:27" ht="20.10000000000000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28"/>
      <c r="H460" s="229">
        <f t="shared" si="195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199"/>
        <v>0</v>
      </c>
      <c r="N460" s="130">
        <f t="shared" ref="N460:N462" si="206">SUM(O460:U460)</f>
        <v>0</v>
      </c>
      <c r="O460" s="219"/>
      <c r="P460" s="219"/>
      <c r="Q460" s="219"/>
      <c r="R460" s="219"/>
      <c r="S460" s="219"/>
      <c r="T460" s="219"/>
      <c r="U460" s="219"/>
      <c r="V460" s="132">
        <f t="shared" ref="V460:V462" si="207">SUM(X460:AA460)</f>
        <v>0</v>
      </c>
      <c r="W460" s="133" t="str">
        <f t="shared" ref="W460:W476" si="208">IF(ISERROR(V460/G460),"",V460/G460)</f>
        <v/>
      </c>
      <c r="X460" s="132"/>
      <c r="Y460" s="132"/>
      <c r="Z460" s="132"/>
      <c r="AA460" s="132"/>
    </row>
    <row r="461" spans="1:27" ht="20.10000000000000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28"/>
      <c r="H461" s="229">
        <f t="shared" si="195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ref="M461:M462" si="209">IF(ISERROR(I461-K461),"",I461-K461)</f>
        <v>0</v>
      </c>
      <c r="N461" s="130">
        <f t="shared" si="206"/>
        <v>0</v>
      </c>
      <c r="O461" s="219"/>
      <c r="P461" s="219"/>
      <c r="Q461" s="219"/>
      <c r="R461" s="219"/>
      <c r="S461" s="219"/>
      <c r="T461" s="219"/>
      <c r="U461" s="219"/>
      <c r="V461" s="132">
        <f t="shared" si="207"/>
        <v>0</v>
      </c>
      <c r="W461" s="133" t="str">
        <f t="shared" si="208"/>
        <v/>
      </c>
      <c r="X461" s="132"/>
      <c r="Y461" s="132"/>
      <c r="Z461" s="132"/>
      <c r="AA461" s="132"/>
    </row>
    <row r="462" spans="1:27" ht="20.10000000000000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28"/>
      <c r="H462" s="226">
        <f t="shared" ref="H462" si="210">D462*G462</f>
        <v>0</v>
      </c>
      <c r="I462" s="129"/>
      <c r="J462" s="130" t="str">
        <f t="array" ref="J462">IF(ISERROR(G462/I462),"",G462/I462)</f>
        <v/>
      </c>
      <c r="K462" s="226">
        <f t="array" ref="K462">IF(ISERROR(G462/L462),"",G462/L462)</f>
        <v>0</v>
      </c>
      <c r="L462" s="129">
        <v>9</v>
      </c>
      <c r="M462" s="109">
        <f t="shared" si="209"/>
        <v>0</v>
      </c>
      <c r="N462" s="130">
        <f t="shared" si="206"/>
        <v>0</v>
      </c>
      <c r="O462" s="219"/>
      <c r="P462" s="219"/>
      <c r="Q462" s="219"/>
      <c r="R462" s="219"/>
      <c r="S462" s="219"/>
      <c r="T462" s="219"/>
      <c r="U462" s="219"/>
      <c r="V462" s="132">
        <f t="shared" si="207"/>
        <v>0</v>
      </c>
      <c r="W462" s="133" t="str">
        <f t="shared" si="208"/>
        <v/>
      </c>
      <c r="X462" s="132"/>
      <c r="Y462" s="132"/>
      <c r="Z462" s="132"/>
      <c r="AA462" s="132"/>
    </row>
    <row r="463" spans="1:27" ht="20.100000000000001" customHeight="1">
      <c r="A463" s="578" t="s">
        <v>224</v>
      </c>
      <c r="B463" s="579"/>
      <c r="C463" s="224" t="s">
        <v>202</v>
      </c>
      <c r="D463" s="143"/>
      <c r="E463" s="143"/>
      <c r="F463" s="144"/>
      <c r="G463" s="145">
        <f>SUM(G429:G462)</f>
        <v>0</v>
      </c>
      <c r="H463" s="146">
        <f>SUM(H429:H462)</f>
        <v>0</v>
      </c>
      <c r="I463" s="146">
        <f>SUM(I429:I462)</f>
        <v>0</v>
      </c>
      <c r="J463" s="130" t="str">
        <f t="array" ref="J463">IF(ISERROR(G463/I463),"",G463/I463)</f>
        <v/>
      </c>
      <c r="K463" s="146">
        <f>SUM(K429:K462)</f>
        <v>0</v>
      </c>
      <c r="L463" s="147"/>
      <c r="M463" s="150">
        <f t="shared" ref="M463:V463" si="211">SUM(M429:M462)</f>
        <v>0</v>
      </c>
      <c r="N463" s="146">
        <f t="shared" si="211"/>
        <v>0</v>
      </c>
      <c r="O463" s="148">
        <f t="shared" si="211"/>
        <v>0</v>
      </c>
      <c r="P463" s="148">
        <f t="shared" si="211"/>
        <v>0</v>
      </c>
      <c r="Q463" s="148">
        <f t="shared" si="211"/>
        <v>0</v>
      </c>
      <c r="R463" s="148">
        <f t="shared" si="211"/>
        <v>0</v>
      </c>
      <c r="S463" s="148">
        <f t="shared" si="211"/>
        <v>0</v>
      </c>
      <c r="T463" s="148">
        <f t="shared" si="211"/>
        <v>0</v>
      </c>
      <c r="U463" s="148">
        <f t="shared" si="211"/>
        <v>0</v>
      </c>
      <c r="V463" s="149">
        <f t="shared" si="211"/>
        <v>0</v>
      </c>
      <c r="W463" s="133" t="str">
        <f t="shared" si="208"/>
        <v/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28"/>
      <c r="H464" s="226">
        <f t="shared" ref="H464:H476" si="212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6" si="213">IF(ISERROR(I464-K464),"",I464-K464)</f>
        <v>0</v>
      </c>
      <c r="N464" s="130">
        <f t="shared" ref="N464:N476" si="214">SUM(O464:U464)</f>
        <v>0</v>
      </c>
      <c r="O464" s="219"/>
      <c r="P464" s="219"/>
      <c r="Q464" s="219"/>
      <c r="R464" s="219"/>
      <c r="S464" s="219"/>
      <c r="T464" s="219"/>
      <c r="U464" s="219"/>
      <c r="V464" s="132">
        <f t="shared" ref="V464:V476" si="215">SUM(X464:AA464)</f>
        <v>0</v>
      </c>
      <c r="W464" s="133" t="str">
        <f t="shared" si="208"/>
        <v/>
      </c>
      <c r="X464" s="132"/>
      <c r="Y464" s="132"/>
      <c r="Z464" s="132"/>
      <c r="AA464" s="132"/>
    </row>
    <row r="465" spans="1:27" ht="20.10000000000000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28"/>
      <c r="H465" s="226">
        <f t="shared" si="212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3"/>
        <v>0</v>
      </c>
      <c r="N465" s="130">
        <f t="shared" si="214"/>
        <v>0</v>
      </c>
      <c r="O465" s="219"/>
      <c r="P465" s="219"/>
      <c r="Q465" s="219"/>
      <c r="R465" s="219"/>
      <c r="S465" s="219"/>
      <c r="T465" s="219"/>
      <c r="U465" s="219"/>
      <c r="V465" s="132">
        <f t="shared" si="215"/>
        <v>0</v>
      </c>
      <c r="W465" s="133" t="str">
        <f t="shared" si="208"/>
        <v/>
      </c>
      <c r="X465" s="132"/>
      <c r="Y465" s="132"/>
      <c r="Z465" s="132"/>
      <c r="AA465" s="132"/>
    </row>
    <row r="466" spans="1:27" ht="20.10000000000000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28"/>
      <c r="H466" s="226">
        <f t="shared" si="212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3"/>
        <v>0</v>
      </c>
      <c r="N466" s="130">
        <f t="shared" si="214"/>
        <v>0</v>
      </c>
      <c r="O466" s="219"/>
      <c r="P466" s="219"/>
      <c r="Q466" s="219"/>
      <c r="R466" s="219"/>
      <c r="S466" s="219"/>
      <c r="T466" s="219"/>
      <c r="U466" s="219"/>
      <c r="V466" s="132">
        <f t="shared" si="215"/>
        <v>0</v>
      </c>
      <c r="W466" s="133" t="str">
        <f t="shared" si="208"/>
        <v/>
      </c>
      <c r="X466" s="132"/>
      <c r="Y466" s="132"/>
      <c r="Z466" s="132"/>
      <c r="AA466" s="132"/>
    </row>
    <row r="467" spans="1:27" ht="20.10000000000000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28"/>
      <c r="H467" s="226">
        <f t="shared" si="212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3"/>
        <v>0</v>
      </c>
      <c r="N467" s="130">
        <f t="shared" si="214"/>
        <v>0</v>
      </c>
      <c r="O467" s="219"/>
      <c r="P467" s="219"/>
      <c r="Q467" s="219"/>
      <c r="R467" s="219"/>
      <c r="S467" s="219"/>
      <c r="T467" s="219"/>
      <c r="U467" s="219"/>
      <c r="V467" s="132">
        <f t="shared" si="215"/>
        <v>0</v>
      </c>
      <c r="W467" s="133" t="str">
        <f t="shared" si="208"/>
        <v/>
      </c>
      <c r="X467" s="132"/>
      <c r="Y467" s="132"/>
      <c r="Z467" s="132"/>
      <c r="AA467" s="132"/>
    </row>
    <row r="468" spans="1:27" ht="20.100000000000001" customHeight="1">
      <c r="A468" s="299">
        <v>30100054</v>
      </c>
      <c r="B468" s="140" t="s">
        <v>227</v>
      </c>
      <c r="C468" s="223" t="s">
        <v>203</v>
      </c>
      <c r="D468" s="108">
        <v>5.03</v>
      </c>
      <c r="E468" s="108"/>
      <c r="F468" s="127"/>
      <c r="G468" s="128"/>
      <c r="H468" s="226">
        <f t="shared" si="212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3"/>
        <v>0</v>
      </c>
      <c r="N468" s="130">
        <f t="shared" si="214"/>
        <v>0</v>
      </c>
      <c r="O468" s="219"/>
      <c r="P468" s="219"/>
      <c r="Q468" s="219"/>
      <c r="R468" s="219"/>
      <c r="S468" s="219"/>
      <c r="T468" s="219"/>
      <c r="U468" s="219"/>
      <c r="V468" s="132">
        <f t="shared" si="215"/>
        <v>0</v>
      </c>
      <c r="W468" s="133" t="str">
        <f t="shared" si="208"/>
        <v/>
      </c>
      <c r="X468" s="132"/>
      <c r="Y468" s="132"/>
      <c r="Z468" s="132"/>
      <c r="AA468" s="132"/>
    </row>
    <row r="469" spans="1:27" ht="20.10000000000000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28"/>
      <c r="H469" s="226">
        <f t="shared" si="212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3"/>
        <v>0</v>
      </c>
      <c r="N469" s="130">
        <f t="shared" si="214"/>
        <v>0</v>
      </c>
      <c r="O469" s="219"/>
      <c r="P469" s="219"/>
      <c r="Q469" s="219"/>
      <c r="R469" s="219"/>
      <c r="S469" s="219"/>
      <c r="T469" s="219"/>
      <c r="U469" s="219"/>
      <c r="V469" s="132">
        <f t="shared" si="215"/>
        <v>0</v>
      </c>
      <c r="W469" s="133" t="str">
        <f t="shared" si="208"/>
        <v/>
      </c>
      <c r="X469" s="132"/>
      <c r="Y469" s="132"/>
      <c r="Z469" s="132"/>
      <c r="AA469" s="132"/>
    </row>
    <row r="470" spans="1:27" ht="20.10000000000000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28"/>
      <c r="H470" s="226">
        <f t="shared" si="212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3"/>
        <v>0</v>
      </c>
      <c r="N470" s="130">
        <f t="shared" si="214"/>
        <v>0</v>
      </c>
      <c r="O470" s="219"/>
      <c r="P470" s="219"/>
      <c r="Q470" s="219"/>
      <c r="R470" s="219"/>
      <c r="S470" s="219"/>
      <c r="T470" s="219"/>
      <c r="U470" s="219"/>
      <c r="V470" s="132">
        <f t="shared" si="215"/>
        <v>0</v>
      </c>
      <c r="W470" s="133" t="str">
        <f t="shared" si="208"/>
        <v/>
      </c>
      <c r="X470" s="132"/>
      <c r="Y470" s="132"/>
      <c r="Z470" s="132"/>
      <c r="AA470" s="132"/>
    </row>
    <row r="471" spans="1:27" ht="20.100000000000001" customHeight="1">
      <c r="A471" s="299"/>
      <c r="B471" s="140" t="s">
        <v>227</v>
      </c>
      <c r="C471" s="223" t="s">
        <v>228</v>
      </c>
      <c r="D471" s="108">
        <v>5.03</v>
      </c>
      <c r="E471" s="108"/>
      <c r="F471" s="127"/>
      <c r="G471" s="128"/>
      <c r="H471" s="226">
        <f t="shared" si="212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3"/>
        <v>0</v>
      </c>
      <c r="N471" s="130">
        <f t="shared" si="214"/>
        <v>0</v>
      </c>
      <c r="O471" s="219"/>
      <c r="P471" s="219"/>
      <c r="Q471" s="219"/>
      <c r="R471" s="219"/>
      <c r="S471" s="219"/>
      <c r="T471" s="219"/>
      <c r="U471" s="219"/>
      <c r="V471" s="132">
        <f t="shared" si="215"/>
        <v>0</v>
      </c>
      <c r="W471" s="133" t="str">
        <f t="shared" si="208"/>
        <v/>
      </c>
      <c r="X471" s="132"/>
      <c r="Y471" s="132"/>
      <c r="Z471" s="132"/>
      <c r="AA471" s="132"/>
    </row>
    <row r="472" spans="1:27" ht="20.100000000000001" customHeight="1">
      <c r="A472" s="299">
        <v>30101067</v>
      </c>
      <c r="B472" s="140" t="s">
        <v>229</v>
      </c>
      <c r="C472" s="223" t="s">
        <v>212</v>
      </c>
      <c r="D472" s="108">
        <v>5.03</v>
      </c>
      <c r="E472" s="108"/>
      <c r="F472" s="127"/>
      <c r="G472" s="128"/>
      <c r="H472" s="226">
        <f t="shared" si="212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3"/>
        <v/>
      </c>
      <c r="N472" s="130">
        <f t="shared" si="214"/>
        <v>0</v>
      </c>
      <c r="O472" s="219"/>
      <c r="P472" s="219"/>
      <c r="Q472" s="219"/>
      <c r="R472" s="219"/>
      <c r="S472" s="219"/>
      <c r="T472" s="219"/>
      <c r="U472" s="219"/>
      <c r="V472" s="132">
        <f t="shared" si="215"/>
        <v>0</v>
      </c>
      <c r="W472" s="133" t="str">
        <f t="shared" si="208"/>
        <v/>
      </c>
      <c r="X472" s="132"/>
      <c r="Y472" s="132"/>
      <c r="Z472" s="132"/>
      <c r="AA472" s="132"/>
    </row>
    <row r="473" spans="1:27" ht="20.100000000000001" customHeight="1">
      <c r="A473" s="299">
        <v>30101068</v>
      </c>
      <c r="B473" s="140" t="s">
        <v>229</v>
      </c>
      <c r="C473" s="223" t="s">
        <v>203</v>
      </c>
      <c r="D473" s="108">
        <v>5.03</v>
      </c>
      <c r="E473" s="108"/>
      <c r="F473" s="127"/>
      <c r="G473" s="128"/>
      <c r="H473" s="226">
        <f t="shared" si="212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3"/>
        <v/>
      </c>
      <c r="N473" s="130">
        <f t="shared" si="214"/>
        <v>0</v>
      </c>
      <c r="O473" s="219"/>
      <c r="P473" s="219"/>
      <c r="Q473" s="219"/>
      <c r="R473" s="219"/>
      <c r="S473" s="219"/>
      <c r="T473" s="219"/>
      <c r="U473" s="219"/>
      <c r="V473" s="132">
        <f t="shared" si="215"/>
        <v>0</v>
      </c>
      <c r="W473" s="133" t="str">
        <f t="shared" si="208"/>
        <v/>
      </c>
      <c r="X473" s="132"/>
      <c r="Y473" s="132"/>
      <c r="Z473" s="132"/>
      <c r="AA473" s="132"/>
    </row>
    <row r="474" spans="1:27" ht="20.100000000000001" customHeight="1">
      <c r="A474" s="299">
        <v>30101069</v>
      </c>
      <c r="B474" s="140" t="s">
        <v>229</v>
      </c>
      <c r="C474" s="223" t="s">
        <v>186</v>
      </c>
      <c r="D474" s="108">
        <v>5.03</v>
      </c>
      <c r="E474" s="108"/>
      <c r="F474" s="127"/>
      <c r="G474" s="128"/>
      <c r="H474" s="226">
        <f t="shared" si="212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3"/>
        <v/>
      </c>
      <c r="N474" s="130">
        <f t="shared" si="214"/>
        <v>0</v>
      </c>
      <c r="O474" s="219"/>
      <c r="P474" s="219"/>
      <c r="Q474" s="219"/>
      <c r="R474" s="219"/>
      <c r="S474" s="219"/>
      <c r="T474" s="219"/>
      <c r="U474" s="219"/>
      <c r="V474" s="132">
        <f t="shared" si="215"/>
        <v>0</v>
      </c>
      <c r="W474" s="133" t="str">
        <f t="shared" si="208"/>
        <v/>
      </c>
      <c r="X474" s="132"/>
      <c r="Y474" s="132"/>
      <c r="Z474" s="132"/>
      <c r="AA474" s="132"/>
    </row>
    <row r="475" spans="1:27" ht="20.100000000000001" customHeight="1">
      <c r="A475" s="299">
        <v>30101070</v>
      </c>
      <c r="B475" s="140" t="s">
        <v>229</v>
      </c>
      <c r="C475" s="223" t="s">
        <v>228</v>
      </c>
      <c r="D475" s="108">
        <v>5.03</v>
      </c>
      <c r="E475" s="108"/>
      <c r="F475" s="127"/>
      <c r="G475" s="128"/>
      <c r="H475" s="226">
        <f t="shared" si="212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3"/>
        <v/>
      </c>
      <c r="N475" s="130">
        <f t="shared" si="214"/>
        <v>0</v>
      </c>
      <c r="O475" s="219"/>
      <c r="P475" s="219"/>
      <c r="Q475" s="219"/>
      <c r="R475" s="219"/>
      <c r="S475" s="219"/>
      <c r="T475" s="219"/>
      <c r="U475" s="219"/>
      <c r="V475" s="132">
        <f t="shared" si="215"/>
        <v>0</v>
      </c>
      <c r="W475" s="133" t="str">
        <f t="shared" si="208"/>
        <v/>
      </c>
      <c r="X475" s="132"/>
      <c r="Y475" s="132"/>
      <c r="Z475" s="132"/>
      <c r="AA475" s="132"/>
    </row>
    <row r="476" spans="1:27" ht="20.100000000000001" customHeight="1">
      <c r="A476" s="299">
        <v>30101071</v>
      </c>
      <c r="B476" s="140" t="s">
        <v>229</v>
      </c>
      <c r="C476" s="223" t="s">
        <v>199</v>
      </c>
      <c r="D476" s="108">
        <v>5.03</v>
      </c>
      <c r="E476" s="108"/>
      <c r="F476" s="127"/>
      <c r="G476" s="128"/>
      <c r="H476" s="226">
        <f t="shared" si="212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3"/>
        <v/>
      </c>
      <c r="N476" s="130">
        <f t="shared" si="214"/>
        <v>0</v>
      </c>
      <c r="O476" s="219"/>
      <c r="P476" s="219"/>
      <c r="Q476" s="219"/>
      <c r="R476" s="219"/>
      <c r="S476" s="219"/>
      <c r="T476" s="219"/>
      <c r="U476" s="219"/>
      <c r="V476" s="132">
        <f t="shared" si="215"/>
        <v>0</v>
      </c>
      <c r="W476" s="133" t="str">
        <f t="shared" si="208"/>
        <v/>
      </c>
      <c r="X476" s="132"/>
      <c r="Y476" s="132"/>
      <c r="Z476" s="132"/>
      <c r="AA476" s="132"/>
    </row>
    <row r="477" spans="1:27" ht="20.10000000000000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28"/>
      <c r="H477" s="226">
        <f t="shared" ref="H477:H478" si="216">D477*G477</f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ref="M477:M478" si="217">IF(ISERROR(I477-K477),"",I477-K477)</f>
        <v>0</v>
      </c>
      <c r="N477" s="130">
        <f t="shared" ref="N477:N478" si="218">SUM(O477:U477)</f>
        <v>0</v>
      </c>
      <c r="O477" s="219"/>
      <c r="P477" s="219"/>
      <c r="Q477" s="219"/>
      <c r="R477" s="219"/>
      <c r="S477" s="219"/>
      <c r="T477" s="219"/>
      <c r="U477" s="219"/>
      <c r="V477" s="132">
        <f t="shared" ref="V477:V478" si="219">SUM(X477:AA477)</f>
        <v>0</v>
      </c>
      <c r="W477" s="133" t="str">
        <f t="shared" ref="W477:W494" si="220">IF(ISERROR(V477/G477),"",V477/G477)</f>
        <v/>
      </c>
      <c r="X477" s="132"/>
      <c r="Y477" s="132"/>
      <c r="Z477" s="132"/>
      <c r="AA477" s="132"/>
    </row>
    <row r="478" spans="1:27" ht="20.10000000000000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28"/>
      <c r="H478" s="226">
        <f t="shared" si="216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7"/>
        <v>0</v>
      </c>
      <c r="N478" s="130">
        <f t="shared" si="218"/>
        <v>0</v>
      </c>
      <c r="O478" s="219"/>
      <c r="P478" s="219"/>
      <c r="Q478" s="219"/>
      <c r="R478" s="219"/>
      <c r="S478" s="219"/>
      <c r="T478" s="219"/>
      <c r="U478" s="219"/>
      <c r="V478" s="132">
        <f t="shared" si="219"/>
        <v>0</v>
      </c>
      <c r="W478" s="133" t="str">
        <f t="shared" si="220"/>
        <v/>
      </c>
      <c r="X478" s="132"/>
      <c r="Y478" s="132"/>
      <c r="Z478" s="132"/>
      <c r="AA478" s="132"/>
    </row>
    <row r="479" spans="1:27" ht="20.100000000000001" customHeight="1">
      <c r="A479" s="578" t="s">
        <v>231</v>
      </c>
      <c r="B479" s="579"/>
      <c r="C479" s="224" t="s">
        <v>202</v>
      </c>
      <c r="D479" s="143"/>
      <c r="E479" s="143"/>
      <c r="F479" s="144"/>
      <c r="G479" s="145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20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28"/>
      <c r="H480" s="226">
        <f t="shared" ref="H480:H489" si="221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9" si="222">IF(ISERROR(I480-K480),"",I480-K480)</f>
        <v>0</v>
      </c>
      <c r="N480" s="130">
        <f t="shared" ref="N480:N489" si="223">SUM(O480:U480)</f>
        <v>0</v>
      </c>
      <c r="O480" s="219"/>
      <c r="P480" s="219"/>
      <c r="Q480" s="219"/>
      <c r="R480" s="219"/>
      <c r="S480" s="219"/>
      <c r="T480" s="219"/>
      <c r="U480" s="219"/>
      <c r="V480" s="132">
        <f t="shared" ref="V480:V489" si="224">SUM(X480:AA480)</f>
        <v>0</v>
      </c>
      <c r="W480" s="133" t="str">
        <f t="shared" si="220"/>
        <v/>
      </c>
      <c r="X480" s="132"/>
      <c r="Y480" s="132"/>
      <c r="Z480" s="132"/>
      <c r="AA480" s="132"/>
    </row>
    <row r="481" spans="1:27" ht="20.10000000000000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28"/>
      <c r="H481" s="226">
        <f t="shared" si="221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22"/>
        <v>0</v>
      </c>
      <c r="N481" s="130">
        <f t="shared" si="223"/>
        <v>0</v>
      </c>
      <c r="O481" s="219"/>
      <c r="P481" s="219"/>
      <c r="Q481" s="219"/>
      <c r="R481" s="219"/>
      <c r="S481" s="219"/>
      <c r="T481" s="219"/>
      <c r="U481" s="219"/>
      <c r="V481" s="132">
        <f t="shared" si="224"/>
        <v>0</v>
      </c>
      <c r="W481" s="133" t="str">
        <f t="shared" si="220"/>
        <v/>
      </c>
      <c r="X481" s="132"/>
      <c r="Y481" s="132"/>
      <c r="Z481" s="132"/>
      <c r="AA481" s="132"/>
    </row>
    <row r="482" spans="1:27" ht="20.10000000000000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28"/>
      <c r="H482" s="226">
        <f t="shared" si="221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22"/>
        <v>0</v>
      </c>
      <c r="N482" s="130">
        <f t="shared" si="223"/>
        <v>0</v>
      </c>
      <c r="O482" s="219"/>
      <c r="P482" s="219"/>
      <c r="Q482" s="219"/>
      <c r="R482" s="219"/>
      <c r="S482" s="219"/>
      <c r="T482" s="219"/>
      <c r="U482" s="219"/>
      <c r="V482" s="132">
        <f t="shared" si="224"/>
        <v>0</v>
      </c>
      <c r="W482" s="133" t="str">
        <f t="shared" si="220"/>
        <v/>
      </c>
      <c r="X482" s="132"/>
      <c r="Y482" s="132"/>
      <c r="Z482" s="132"/>
      <c r="AA482" s="132"/>
    </row>
    <row r="483" spans="1:27" ht="20.10000000000000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28"/>
      <c r="H483" s="226">
        <f t="shared" si="221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22"/>
        <v>0</v>
      </c>
      <c r="N483" s="130">
        <f t="shared" si="223"/>
        <v>0</v>
      </c>
      <c r="O483" s="219"/>
      <c r="P483" s="219"/>
      <c r="Q483" s="219"/>
      <c r="R483" s="219"/>
      <c r="S483" s="219"/>
      <c r="T483" s="219"/>
      <c r="U483" s="219"/>
      <c r="V483" s="132">
        <f t="shared" si="224"/>
        <v>0</v>
      </c>
      <c r="W483" s="133" t="str">
        <f t="shared" si="220"/>
        <v/>
      </c>
      <c r="X483" s="132"/>
      <c r="Y483" s="132"/>
      <c r="Z483" s="132"/>
      <c r="AA483" s="132"/>
    </row>
    <row r="484" spans="1:27" ht="20.10000000000000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28"/>
      <c r="H484" s="226">
        <f t="shared" si="221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22"/>
        <v>0</v>
      </c>
      <c r="N484" s="130">
        <f t="shared" si="223"/>
        <v>0</v>
      </c>
      <c r="O484" s="219"/>
      <c r="P484" s="219"/>
      <c r="Q484" s="219"/>
      <c r="R484" s="219"/>
      <c r="S484" s="219"/>
      <c r="T484" s="219"/>
      <c r="U484" s="219"/>
      <c r="V484" s="132">
        <f t="shared" si="224"/>
        <v>0</v>
      </c>
      <c r="W484" s="133" t="str">
        <f t="shared" si="220"/>
        <v/>
      </c>
      <c r="X484" s="132"/>
      <c r="Y484" s="132"/>
      <c r="Z484" s="132"/>
      <c r="AA484" s="132"/>
    </row>
    <row r="485" spans="1:27" ht="20.10000000000000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28"/>
      <c r="H485" s="292">
        <f t="shared" si="221"/>
        <v>0</v>
      </c>
      <c r="I485" s="129"/>
      <c r="J485" s="130"/>
      <c r="K485" s="131"/>
      <c r="L485" s="129">
        <v>13.5</v>
      </c>
      <c r="M485" s="109"/>
      <c r="N485" s="130"/>
      <c r="O485" s="261"/>
      <c r="P485" s="261"/>
      <c r="Q485" s="261"/>
      <c r="R485" s="261"/>
      <c r="S485" s="261"/>
      <c r="T485" s="261"/>
      <c r="U485" s="261"/>
      <c r="V485" s="132"/>
      <c r="W485" s="133"/>
      <c r="X485" s="132"/>
      <c r="Y485" s="132"/>
      <c r="Z485" s="132"/>
      <c r="AA485" s="132"/>
    </row>
    <row r="486" spans="1:27" ht="20.100000000000001" customHeight="1">
      <c r="A486" s="300">
        <v>30400020</v>
      </c>
      <c r="B486" s="134" t="s">
        <v>439</v>
      </c>
      <c r="C486" s="187" t="s">
        <v>516</v>
      </c>
      <c r="D486" s="108">
        <v>5.04</v>
      </c>
      <c r="E486" s="108"/>
      <c r="F486" s="127"/>
      <c r="G486" s="128"/>
      <c r="H486" s="377">
        <f t="shared" si="221"/>
        <v>0</v>
      </c>
      <c r="I486" s="129"/>
      <c r="J486" s="130"/>
      <c r="K486" s="131"/>
      <c r="L486" s="129">
        <v>13.5</v>
      </c>
      <c r="M486" s="109"/>
      <c r="N486" s="130"/>
      <c r="O486" s="372"/>
      <c r="P486" s="372"/>
      <c r="Q486" s="372"/>
      <c r="R486" s="372"/>
      <c r="S486" s="372"/>
      <c r="T486" s="372"/>
      <c r="U486" s="372"/>
      <c r="V486" s="132"/>
      <c r="W486" s="133"/>
      <c r="X486" s="132"/>
      <c r="Y486" s="132"/>
      <c r="Z486" s="132"/>
      <c r="AA486" s="132"/>
    </row>
    <row r="487" spans="1:27" ht="20.100000000000001" customHeight="1">
      <c r="A487" s="300">
        <v>30400021</v>
      </c>
      <c r="B487" s="134" t="s">
        <v>439</v>
      </c>
      <c r="C487" s="187" t="s">
        <v>517</v>
      </c>
      <c r="D487" s="108">
        <v>5.04</v>
      </c>
      <c r="E487" s="108"/>
      <c r="F487" s="127"/>
      <c r="G487" s="128"/>
      <c r="H487" s="377">
        <f t="shared" si="221"/>
        <v>0</v>
      </c>
      <c r="I487" s="129"/>
      <c r="J487" s="130"/>
      <c r="K487" s="131"/>
      <c r="L487" s="129">
        <v>13.5</v>
      </c>
      <c r="M487" s="109"/>
      <c r="N487" s="130"/>
      <c r="O487" s="376"/>
      <c r="P487" s="376"/>
      <c r="Q487" s="376"/>
      <c r="R487" s="376"/>
      <c r="S487" s="376"/>
      <c r="T487" s="376"/>
      <c r="U487" s="376"/>
      <c r="V487" s="132"/>
      <c r="W487" s="133"/>
      <c r="X487" s="132"/>
      <c r="Y487" s="132"/>
      <c r="Z487" s="132"/>
      <c r="AA487" s="132"/>
    </row>
    <row r="488" spans="1:27" ht="20.10000000000000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28"/>
      <c r="H488" s="438">
        <f t="shared" si="221"/>
        <v>0</v>
      </c>
      <c r="I488" s="129"/>
      <c r="J488" s="130"/>
      <c r="K488" s="131"/>
      <c r="L488" s="129">
        <v>13.5</v>
      </c>
      <c r="M488" s="109"/>
      <c r="N488" s="130"/>
      <c r="O488" s="446"/>
      <c r="P488" s="446"/>
      <c r="Q488" s="446"/>
      <c r="R488" s="446"/>
      <c r="S488" s="446"/>
      <c r="T488" s="446"/>
      <c r="U488" s="446"/>
      <c r="V488" s="132"/>
      <c r="W488" s="133"/>
      <c r="X488" s="132"/>
      <c r="Y488" s="132"/>
      <c r="Z488" s="132"/>
      <c r="AA488" s="132"/>
    </row>
    <row r="489" spans="1:27" ht="20.10000000000000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28"/>
      <c r="H489" s="226">
        <f t="shared" si="221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si="222"/>
        <v>0</v>
      </c>
      <c r="N489" s="130">
        <f t="shared" si="223"/>
        <v>0</v>
      </c>
      <c r="O489" s="219"/>
      <c r="P489" s="219"/>
      <c r="Q489" s="219"/>
      <c r="R489" s="219"/>
      <c r="S489" s="219"/>
      <c r="T489" s="219"/>
      <c r="U489" s="219"/>
      <c r="V489" s="132">
        <f t="shared" si="224"/>
        <v>0</v>
      </c>
      <c r="W489" s="133" t="str">
        <f t="shared" si="220"/>
        <v/>
      </c>
      <c r="X489" s="132"/>
      <c r="Y489" s="132"/>
      <c r="Z489" s="132"/>
      <c r="AA489" s="132"/>
    </row>
    <row r="490" spans="1:27" ht="20.100000000000001" customHeight="1">
      <c r="A490" s="578" t="s">
        <v>234</v>
      </c>
      <c r="B490" s="579"/>
      <c r="C490" s="224" t="s">
        <v>202</v>
      </c>
      <c r="D490" s="143"/>
      <c r="E490" s="143"/>
      <c r="F490" s="144"/>
      <c r="G490" s="145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0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customHeight="1">
      <c r="A491" s="299">
        <v>30700013</v>
      </c>
      <c r="B491" s="141" t="s">
        <v>235</v>
      </c>
      <c r="C491" s="217"/>
      <c r="D491" s="108">
        <v>3.65</v>
      </c>
      <c r="E491" s="108"/>
      <c r="F491" s="153"/>
      <c r="G491" s="128"/>
      <c r="H491" s="226">
        <f t="shared" ref="H491:H505" si="225">D491*G491</f>
        <v>0</v>
      </c>
      <c r="I491" s="129"/>
      <c r="J491" s="130" t="str">
        <f t="array" ref="J491">IF(ISERROR(G491/I491),"",G491/I491)</f>
        <v/>
      </c>
      <c r="K491" s="226">
        <f t="array" ref="K491">IF(ISERROR(G491/L491),"",G491/L491)</f>
        <v>0</v>
      </c>
      <c r="L491" s="129">
        <v>5</v>
      </c>
      <c r="M491" s="109">
        <f t="shared" ref="M491:M494" si="226">IF(ISERROR(I491-K491),"",I491-K491)</f>
        <v>0</v>
      </c>
      <c r="N491" s="130">
        <f t="shared" ref="N491:N494" si="227">SUM(O491:U491)</f>
        <v>0</v>
      </c>
      <c r="O491" s="219"/>
      <c r="P491" s="219"/>
      <c r="Q491" s="219"/>
      <c r="R491" s="219"/>
      <c r="S491" s="219"/>
      <c r="T491" s="219"/>
      <c r="U491" s="219"/>
      <c r="V491" s="132">
        <f t="shared" ref="V491:V494" si="228">SUM(X491:AA491)</f>
        <v>0</v>
      </c>
      <c r="W491" s="133" t="str">
        <f t="shared" si="220"/>
        <v/>
      </c>
      <c r="X491" s="132"/>
      <c r="Y491" s="132"/>
      <c r="Z491" s="132"/>
      <c r="AA491" s="132"/>
    </row>
    <row r="492" spans="1:27" ht="20.100000000000001" customHeight="1">
      <c r="A492" s="299">
        <v>30700014</v>
      </c>
      <c r="B492" s="141" t="s">
        <v>236</v>
      </c>
      <c r="C492" s="217"/>
      <c r="D492" s="108">
        <v>6.58</v>
      </c>
      <c r="E492" s="108"/>
      <c r="F492" s="127"/>
      <c r="G492" s="128"/>
      <c r="H492" s="226">
        <f t="shared" si="225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6"/>
        <v>0</v>
      </c>
      <c r="N492" s="130">
        <f t="shared" si="227"/>
        <v>0</v>
      </c>
      <c r="O492" s="219"/>
      <c r="P492" s="219"/>
      <c r="Q492" s="219"/>
      <c r="R492" s="219"/>
      <c r="S492" s="219"/>
      <c r="T492" s="219"/>
      <c r="U492" s="219"/>
      <c r="V492" s="132">
        <f t="shared" si="228"/>
        <v>0</v>
      </c>
      <c r="W492" s="133" t="str">
        <f t="shared" si="220"/>
        <v/>
      </c>
      <c r="X492" s="132"/>
      <c r="Y492" s="132"/>
      <c r="Z492" s="132"/>
      <c r="AA492" s="132"/>
    </row>
    <row r="493" spans="1:27" ht="20.100000000000001" customHeight="1">
      <c r="A493" s="299">
        <v>30700016</v>
      </c>
      <c r="B493" s="141" t="s">
        <v>237</v>
      </c>
      <c r="C493" s="217"/>
      <c r="D493" s="108">
        <v>7.8</v>
      </c>
      <c r="E493" s="108"/>
      <c r="F493" s="127"/>
      <c r="G493" s="128"/>
      <c r="H493" s="292">
        <f t="shared" si="225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6"/>
        <v>0</v>
      </c>
      <c r="N493" s="130">
        <f t="shared" si="227"/>
        <v>0</v>
      </c>
      <c r="O493" s="219"/>
      <c r="P493" s="219"/>
      <c r="Q493" s="219"/>
      <c r="R493" s="219"/>
      <c r="S493" s="219"/>
      <c r="T493" s="219"/>
      <c r="U493" s="219"/>
      <c r="V493" s="132">
        <f t="shared" si="228"/>
        <v>0</v>
      </c>
      <c r="W493" s="133" t="str">
        <f t="shared" si="220"/>
        <v/>
      </c>
      <c r="X493" s="132"/>
      <c r="Y493" s="132"/>
      <c r="Z493" s="132"/>
      <c r="AA493" s="132"/>
    </row>
    <row r="494" spans="1:27" ht="20.100000000000001" customHeight="1">
      <c r="A494" s="299">
        <v>30700017</v>
      </c>
      <c r="B494" s="141" t="s">
        <v>238</v>
      </c>
      <c r="C494" s="217"/>
      <c r="D494" s="108">
        <v>4.4000000000000004</v>
      </c>
      <c r="E494" s="108"/>
      <c r="F494" s="127"/>
      <c r="G494" s="128"/>
      <c r="H494" s="292">
        <f t="shared" si="225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6"/>
        <v>0</v>
      </c>
      <c r="N494" s="130">
        <f t="shared" si="227"/>
        <v>0</v>
      </c>
      <c r="O494" s="219"/>
      <c r="P494" s="219"/>
      <c r="Q494" s="219"/>
      <c r="R494" s="219"/>
      <c r="S494" s="219"/>
      <c r="T494" s="219"/>
      <c r="U494" s="219"/>
      <c r="V494" s="132">
        <f t="shared" si="228"/>
        <v>0</v>
      </c>
      <c r="W494" s="133" t="str">
        <f t="shared" si="220"/>
        <v/>
      </c>
      <c r="X494" s="132"/>
      <c r="Y494" s="132"/>
      <c r="Z494" s="132"/>
      <c r="AA494" s="132"/>
    </row>
    <row r="495" spans="1:27" ht="20.10000000000000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28"/>
      <c r="H495" s="292">
        <f t="shared" si="225"/>
        <v>0</v>
      </c>
      <c r="I495" s="129"/>
      <c r="J495" s="130"/>
      <c r="K495" s="131"/>
      <c r="L495" s="129"/>
      <c r="M495" s="109"/>
      <c r="N495" s="130"/>
      <c r="O495" s="219"/>
      <c r="P495" s="219"/>
      <c r="Q495" s="219"/>
      <c r="R495" s="219"/>
      <c r="S495" s="219"/>
      <c r="T495" s="219"/>
      <c r="U495" s="219"/>
      <c r="V495" s="132"/>
      <c r="W495" s="133"/>
      <c r="X495" s="132"/>
      <c r="Y495" s="132"/>
      <c r="Z495" s="132"/>
      <c r="AA495" s="132"/>
    </row>
    <row r="496" spans="1:27" ht="20.100000000000001" customHeight="1">
      <c r="A496" s="299">
        <v>30700001</v>
      </c>
      <c r="B496" s="127" t="s">
        <v>359</v>
      </c>
      <c r="C496" s="217"/>
      <c r="D496" s="108"/>
      <c r="E496" s="108"/>
      <c r="F496" s="127"/>
      <c r="G496" s="128"/>
      <c r="H496" s="292">
        <f t="shared" si="225"/>
        <v>0</v>
      </c>
      <c r="I496" s="129"/>
      <c r="J496" s="130"/>
      <c r="K496" s="131"/>
      <c r="L496" s="129">
        <v>6</v>
      </c>
      <c r="M496" s="109"/>
      <c r="N496" s="130"/>
      <c r="O496" s="219"/>
      <c r="P496" s="219"/>
      <c r="Q496" s="219"/>
      <c r="R496" s="219"/>
      <c r="S496" s="219"/>
      <c r="T496" s="219"/>
      <c r="U496" s="219"/>
      <c r="V496" s="132"/>
      <c r="W496" s="133"/>
      <c r="X496" s="132"/>
      <c r="Y496" s="132"/>
      <c r="Z496" s="132"/>
      <c r="AA496" s="132"/>
    </row>
    <row r="497" spans="1:27" ht="20.100000000000001" customHeight="1">
      <c r="A497" s="305"/>
      <c r="B497" s="217" t="s">
        <v>239</v>
      </c>
      <c r="C497" s="217" t="s">
        <v>179</v>
      </c>
      <c r="D497" s="108">
        <v>6.04</v>
      </c>
      <c r="E497" s="108"/>
      <c r="F497" s="127"/>
      <c r="G497" s="128"/>
      <c r="H497" s="292">
        <f t="shared" si="225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501" si="229">IF(ISERROR(I497-K497),"",I497-K497)</f>
        <v>0</v>
      </c>
      <c r="N497" s="130">
        <f t="shared" ref="N497:N501" si="230">SUM(O497:U497)</f>
        <v>0</v>
      </c>
      <c r="O497" s="219"/>
      <c r="P497" s="219"/>
      <c r="Q497" s="219"/>
      <c r="R497" s="219"/>
      <c r="S497" s="219"/>
      <c r="T497" s="219"/>
      <c r="U497" s="219"/>
      <c r="V497" s="132">
        <f t="shared" ref="V497:V501" si="231">SUM(X497:AA497)</f>
        <v>0</v>
      </c>
      <c r="W497" s="133" t="str">
        <f t="shared" ref="W497:W501" si="232">IF(ISERROR(V497/G497),"",V497/G497)</f>
        <v/>
      </c>
      <c r="X497" s="132"/>
      <c r="Y497" s="132"/>
      <c r="Z497" s="132"/>
      <c r="AA497" s="132"/>
    </row>
    <row r="498" spans="1:27" ht="20.100000000000001" customHeight="1">
      <c r="A498" s="305">
        <v>30700019</v>
      </c>
      <c r="B498" s="217" t="s">
        <v>239</v>
      </c>
      <c r="C498" s="217" t="s">
        <v>186</v>
      </c>
      <c r="D498" s="108">
        <v>6.04</v>
      </c>
      <c r="E498" s="108"/>
      <c r="F498" s="127"/>
      <c r="G498" s="128"/>
      <c r="H498" s="292">
        <f t="shared" si="225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9"/>
        <v>0</v>
      </c>
      <c r="N498" s="130">
        <f t="shared" si="230"/>
        <v>0</v>
      </c>
      <c r="O498" s="219"/>
      <c r="P498" s="219"/>
      <c r="Q498" s="219"/>
      <c r="R498" s="219"/>
      <c r="S498" s="219"/>
      <c r="T498" s="219"/>
      <c r="U498" s="219"/>
      <c r="V498" s="132">
        <f t="shared" si="231"/>
        <v>0</v>
      </c>
      <c r="W498" s="133" t="str">
        <f t="shared" si="232"/>
        <v/>
      </c>
      <c r="X498" s="132"/>
      <c r="Y498" s="132"/>
      <c r="Z498" s="132"/>
      <c r="AA498" s="132"/>
    </row>
    <row r="499" spans="1:27" ht="20.100000000000001" customHeight="1">
      <c r="A499" s="305">
        <v>30601015</v>
      </c>
      <c r="B499" s="287" t="s">
        <v>443</v>
      </c>
      <c r="C499" s="287" t="s">
        <v>179</v>
      </c>
      <c r="D499" s="108"/>
      <c r="E499" s="108"/>
      <c r="F499" s="127"/>
      <c r="G499" s="128"/>
      <c r="H499" s="292">
        <f t="shared" si="225"/>
        <v>0</v>
      </c>
      <c r="I499" s="129"/>
      <c r="J499" s="130"/>
      <c r="K499" s="131"/>
      <c r="L499" s="129"/>
      <c r="M499" s="109"/>
      <c r="N499" s="130"/>
      <c r="O499" s="288"/>
      <c r="P499" s="288"/>
      <c r="Q499" s="288"/>
      <c r="R499" s="288"/>
      <c r="S499" s="288"/>
      <c r="T499" s="288"/>
      <c r="U499" s="288"/>
      <c r="V499" s="132"/>
      <c r="W499" s="133"/>
      <c r="X499" s="132"/>
      <c r="Y499" s="132"/>
      <c r="Z499" s="132"/>
      <c r="AA499" s="132"/>
    </row>
    <row r="500" spans="1:27" ht="20.100000000000001" customHeight="1">
      <c r="A500" s="305">
        <v>30101016</v>
      </c>
      <c r="B500" s="287" t="s">
        <v>443</v>
      </c>
      <c r="C500" s="287" t="s">
        <v>186</v>
      </c>
      <c r="D500" s="108"/>
      <c r="E500" s="108"/>
      <c r="F500" s="127"/>
      <c r="G500" s="128"/>
      <c r="H500" s="292">
        <f t="shared" si="225"/>
        <v>0</v>
      </c>
      <c r="I500" s="129"/>
      <c r="J500" s="130"/>
      <c r="K500" s="131"/>
      <c r="L500" s="129"/>
      <c r="M500" s="109"/>
      <c r="N500" s="130"/>
      <c r="O500" s="288"/>
      <c r="P500" s="288"/>
      <c r="Q500" s="288"/>
      <c r="R500" s="288"/>
      <c r="S500" s="288"/>
      <c r="T500" s="288"/>
      <c r="U500" s="288"/>
      <c r="V500" s="132"/>
      <c r="W500" s="133"/>
      <c r="X500" s="132"/>
      <c r="Y500" s="132"/>
      <c r="Z500" s="132"/>
      <c r="AA500" s="132"/>
    </row>
    <row r="501" spans="1:27" ht="20.100000000000001" customHeight="1">
      <c r="A501" s="299">
        <v>30700018</v>
      </c>
      <c r="B501" s="291" t="s">
        <v>240</v>
      </c>
      <c r="C501" s="126"/>
      <c r="D501" s="108">
        <v>7.3</v>
      </c>
      <c r="E501" s="108"/>
      <c r="F501" s="127"/>
      <c r="G501" s="128"/>
      <c r="H501" s="292">
        <f t="shared" si="225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si="229"/>
        <v>0</v>
      </c>
      <c r="N501" s="130">
        <f t="shared" si="230"/>
        <v>0</v>
      </c>
      <c r="O501" s="219"/>
      <c r="P501" s="219"/>
      <c r="Q501" s="219"/>
      <c r="R501" s="219"/>
      <c r="S501" s="219"/>
      <c r="T501" s="219"/>
      <c r="U501" s="219"/>
      <c r="V501" s="132">
        <f t="shared" si="231"/>
        <v>0</v>
      </c>
      <c r="W501" s="133" t="str">
        <f t="shared" si="232"/>
        <v/>
      </c>
      <c r="X501" s="132"/>
      <c r="Y501" s="132"/>
      <c r="Z501" s="132"/>
      <c r="AA501" s="132"/>
    </row>
    <row r="502" spans="1:27" ht="20.100000000000001" customHeight="1">
      <c r="A502" s="299">
        <v>30700010</v>
      </c>
      <c r="B502" s="291" t="s">
        <v>241</v>
      </c>
      <c r="C502" s="126"/>
      <c r="D502" s="108">
        <f>78*120/1000</f>
        <v>9.36</v>
      </c>
      <c r="E502" s="108"/>
      <c r="F502" s="127"/>
      <c r="G502" s="128"/>
      <c r="H502" s="292">
        <f t="shared" si="225"/>
        <v>0</v>
      </c>
      <c r="I502" s="129"/>
      <c r="J502" s="130"/>
      <c r="K502" s="131"/>
      <c r="L502" s="129"/>
      <c r="M502" s="109"/>
      <c r="N502" s="130"/>
      <c r="O502" s="219"/>
      <c r="P502" s="219"/>
      <c r="Q502" s="219"/>
      <c r="R502" s="219"/>
      <c r="S502" s="219"/>
      <c r="T502" s="219"/>
      <c r="U502" s="219"/>
      <c r="V502" s="132"/>
      <c r="W502" s="133"/>
      <c r="X502" s="132"/>
      <c r="Y502" s="132"/>
      <c r="Z502" s="132"/>
      <c r="AA502" s="132"/>
    </row>
    <row r="503" spans="1:27" ht="20.100000000000001" customHeight="1">
      <c r="A503" s="299">
        <v>30700015</v>
      </c>
      <c r="B503" s="291" t="s">
        <v>242</v>
      </c>
      <c r="C503" s="126"/>
      <c r="D503" s="108">
        <v>4.5</v>
      </c>
      <c r="E503" s="108"/>
      <c r="F503" s="127"/>
      <c r="G503" s="128"/>
      <c r="H503" s="292">
        <f t="shared" si="225"/>
        <v>0</v>
      </c>
      <c r="I503" s="129"/>
      <c r="J503" s="130"/>
      <c r="K503" s="131"/>
      <c r="L503" s="129"/>
      <c r="M503" s="109"/>
      <c r="N503" s="130"/>
      <c r="O503" s="227"/>
      <c r="P503" s="227"/>
      <c r="Q503" s="227"/>
      <c r="R503" s="227"/>
      <c r="S503" s="227"/>
      <c r="T503" s="227"/>
      <c r="U503" s="227"/>
      <c r="V503" s="132"/>
      <c r="W503" s="133"/>
      <c r="X503" s="132"/>
      <c r="Y503" s="132"/>
      <c r="Z503" s="132"/>
      <c r="AA503" s="132"/>
    </row>
    <row r="504" spans="1:27" ht="20.100000000000001" customHeight="1">
      <c r="A504" s="299">
        <v>30700012</v>
      </c>
      <c r="B504" s="291" t="s">
        <v>243</v>
      </c>
      <c r="C504" s="126"/>
      <c r="D504" s="108">
        <v>4.5</v>
      </c>
      <c r="E504" s="108"/>
      <c r="F504" s="127"/>
      <c r="G504" s="128"/>
      <c r="H504" s="292">
        <f t="shared" si="225"/>
        <v>0</v>
      </c>
      <c r="I504" s="129"/>
      <c r="J504" s="130"/>
      <c r="K504" s="131"/>
      <c r="L504" s="129"/>
      <c r="M504" s="109"/>
      <c r="N504" s="130"/>
      <c r="O504" s="219"/>
      <c r="P504" s="219"/>
      <c r="Q504" s="219"/>
      <c r="R504" s="219"/>
      <c r="S504" s="219"/>
      <c r="T504" s="219"/>
      <c r="U504" s="219"/>
      <c r="V504" s="132"/>
      <c r="W504" s="133"/>
      <c r="X504" s="132"/>
      <c r="Y504" s="132"/>
      <c r="Z504" s="132"/>
      <c r="AA504" s="132"/>
    </row>
    <row r="505" spans="1:27" ht="20.100000000000001" customHeight="1">
      <c r="A505" s="299"/>
      <c r="B505" s="218"/>
      <c r="C505" s="126"/>
      <c r="D505" s="108"/>
      <c r="E505" s="108"/>
      <c r="F505" s="127"/>
      <c r="G505" s="128"/>
      <c r="H505" s="292">
        <f t="shared" si="225"/>
        <v>0</v>
      </c>
      <c r="I505" s="129"/>
      <c r="J505" s="130"/>
      <c r="K505" s="131"/>
      <c r="L505" s="129"/>
      <c r="M505" s="109"/>
      <c r="N505" s="130"/>
      <c r="O505" s="219"/>
      <c r="P505" s="219"/>
      <c r="Q505" s="219"/>
      <c r="R505" s="219"/>
      <c r="S505" s="219"/>
      <c r="T505" s="219"/>
      <c r="U505" s="219"/>
      <c r="V505" s="132"/>
      <c r="W505" s="133"/>
      <c r="X505" s="132"/>
      <c r="Y505" s="132"/>
      <c r="Z505" s="132"/>
      <c r="AA505" s="132"/>
    </row>
    <row r="506" spans="1:27" ht="20.100000000000001" customHeight="1">
      <c r="A506" s="578" t="s">
        <v>244</v>
      </c>
      <c r="B506" s="579"/>
      <c r="C506" s="224" t="s">
        <v>202</v>
      </c>
      <c r="D506" s="143"/>
      <c r="E506" s="143"/>
      <c r="F506" s="144"/>
      <c r="G506" s="145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3">SUM(M491:M501)</f>
        <v>0</v>
      </c>
      <c r="N506" s="146">
        <f t="shared" si="233"/>
        <v>0</v>
      </c>
      <c r="O506" s="148">
        <f t="shared" si="233"/>
        <v>0</v>
      </c>
      <c r="P506" s="148">
        <f t="shared" si="233"/>
        <v>0</v>
      </c>
      <c r="Q506" s="148">
        <f t="shared" si="233"/>
        <v>0</v>
      </c>
      <c r="R506" s="148">
        <f t="shared" si="233"/>
        <v>0</v>
      </c>
      <c r="S506" s="148">
        <f t="shared" si="233"/>
        <v>0</v>
      </c>
      <c r="T506" s="148">
        <f t="shared" si="233"/>
        <v>0</v>
      </c>
      <c r="U506" s="148">
        <f t="shared" si="233"/>
        <v>0</v>
      </c>
      <c r="V506" s="149">
        <f t="shared" si="233"/>
        <v>0</v>
      </c>
      <c r="W506" s="133">
        <f t="shared" si="233"/>
        <v>0</v>
      </c>
      <c r="X506" s="149">
        <f t="shared" si="233"/>
        <v>0</v>
      </c>
      <c r="Y506" s="149">
        <f t="shared" si="233"/>
        <v>0</v>
      </c>
      <c r="Z506" s="149">
        <f t="shared" si="233"/>
        <v>0</v>
      </c>
      <c r="AA506" s="149">
        <f t="shared" si="233"/>
        <v>0</v>
      </c>
    </row>
    <row r="507" spans="1:27" ht="20.100000000000001" customHeight="1">
      <c r="A507" s="580" t="s">
        <v>246</v>
      </c>
      <c r="B507" s="581"/>
      <c r="C507" s="581"/>
      <c r="D507" s="581"/>
      <c r="E507" s="581"/>
      <c r="F507" s="582"/>
      <c r="G507" s="154">
        <f>SUM(G370,G428,G463,G479,G490,G506)</f>
        <v>0</v>
      </c>
      <c r="H507" s="154">
        <f>SUM(H370,H428,H463,H479,H490,H506)</f>
        <v>0</v>
      </c>
      <c r="I507" s="154">
        <f>SUM(I370,I428,I463,I479,I490,I506)</f>
        <v>0</v>
      </c>
      <c r="J507" s="155" t="str">
        <f t="array" ref="J507">IF(ISERROR(G507/I507),"",G507/I507)</f>
        <v/>
      </c>
      <c r="K507" s="154">
        <f>SUM(K370,K428,K463,K479,K490,K506)</f>
        <v>0</v>
      </c>
      <c r="L507" s="155" t="str">
        <f>IF(ISERROR(G507/K507),"",G507/K507)</f>
        <v/>
      </c>
      <c r="M507" s="154">
        <f t="shared" ref="M507:V507" si="234">SUM(M370,M428,M463,M479,M490,M506)</f>
        <v>0</v>
      </c>
      <c r="N507" s="154">
        <f t="shared" si="234"/>
        <v>0</v>
      </c>
      <c r="O507" s="154">
        <f t="shared" si="234"/>
        <v>0</v>
      </c>
      <c r="P507" s="154">
        <f t="shared" si="234"/>
        <v>0</v>
      </c>
      <c r="Q507" s="154">
        <f t="shared" si="234"/>
        <v>0</v>
      </c>
      <c r="R507" s="154">
        <f t="shared" si="234"/>
        <v>0</v>
      </c>
      <c r="S507" s="154">
        <f t="shared" si="234"/>
        <v>0</v>
      </c>
      <c r="T507" s="154">
        <f t="shared" si="234"/>
        <v>0</v>
      </c>
      <c r="U507" s="154">
        <f t="shared" si="234"/>
        <v>0</v>
      </c>
      <c r="V507" s="154">
        <f t="shared" si="234"/>
        <v>0</v>
      </c>
      <c r="W507" s="156" t="str">
        <f t="shared" ref="W507" si="235">IF(ISERROR(V507/G507),"",V507/G507)</f>
        <v/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583" t="s">
        <v>476</v>
      </c>
      <c r="B508" s="222" t="s">
        <v>247</v>
      </c>
      <c r="C508" s="586" t="s">
        <v>248</v>
      </c>
      <c r="D508" s="587"/>
      <c r="E508" s="588" t="s">
        <v>249</v>
      </c>
      <c r="F508" s="588"/>
      <c r="G508" s="591" t="s">
        <v>250</v>
      </c>
      <c r="H508" s="591"/>
      <c r="I508" s="588" t="s">
        <v>251</v>
      </c>
      <c r="J508" s="588"/>
      <c r="K508" s="588" t="s">
        <v>252</v>
      </c>
      <c r="L508" s="588"/>
      <c r="M508" s="588" t="s">
        <v>253</v>
      </c>
      <c r="N508" s="588"/>
      <c r="O508" s="588" t="s">
        <v>254</v>
      </c>
      <c r="P508" s="591" t="s">
        <v>255</v>
      </c>
      <c r="Q508" s="591"/>
      <c r="R508" s="591" t="s">
        <v>252</v>
      </c>
      <c r="S508" s="591"/>
      <c r="T508" s="591" t="s">
        <v>256</v>
      </c>
      <c r="U508" s="591"/>
      <c r="V508" s="591" t="s">
        <v>257</v>
      </c>
      <c r="W508" s="591"/>
      <c r="X508" s="591" t="s">
        <v>252</v>
      </c>
      <c r="Y508" s="591"/>
      <c r="Z508" s="591" t="s">
        <v>256</v>
      </c>
      <c r="AA508" s="591"/>
    </row>
    <row r="509" spans="1:27" ht="20.100000000000001" customHeight="1">
      <c r="A509" s="584"/>
      <c r="B509" s="222" t="s">
        <v>258</v>
      </c>
      <c r="C509" s="586">
        <v>0</v>
      </c>
      <c r="D509" s="587"/>
      <c r="E509" s="590">
        <f>C509*11</f>
        <v>0</v>
      </c>
      <c r="F509" s="590"/>
      <c r="G509" s="591">
        <v>0</v>
      </c>
      <c r="H509" s="591"/>
      <c r="I509" s="590">
        <f>G509*11</f>
        <v>0</v>
      </c>
      <c r="J509" s="590"/>
      <c r="K509" s="590">
        <f>E509-I509</f>
        <v>0</v>
      </c>
      <c r="L509" s="590"/>
      <c r="M509" s="592" t="str">
        <f>IF(ISERROR(K509/E509),"",K509/E509)</f>
        <v/>
      </c>
      <c r="N509" s="592"/>
      <c r="O509" s="588"/>
      <c r="P509" s="591" t="s">
        <v>201</v>
      </c>
      <c r="Q509" s="591"/>
      <c r="R509" s="593">
        <f>SUM(O370:U370)</f>
        <v>0</v>
      </c>
      <c r="S509" s="593"/>
      <c r="T509" s="594" t="str">
        <f t="array" ref="T509">IF(ISERROR(R509/R516),"",R509/R516)</f>
        <v/>
      </c>
      <c r="U509" s="594"/>
      <c r="V509" s="591" t="s">
        <v>259</v>
      </c>
      <c r="W509" s="591"/>
      <c r="X509" s="595">
        <f>SUM(O370,O428,O463,O479,O490,O506)</f>
        <v>0</v>
      </c>
      <c r="Y509" s="595"/>
      <c r="Z509" s="594" t="str">
        <f t="array" ref="Z509">IF(ISERROR(X509/X516),"",X509/X516)</f>
        <v/>
      </c>
      <c r="AA509" s="594"/>
    </row>
    <row r="510" spans="1:27" ht="20.100000000000001" customHeight="1">
      <c r="A510" s="584"/>
      <c r="B510" s="222" t="s">
        <v>260</v>
      </c>
      <c r="C510" s="586">
        <v>0</v>
      </c>
      <c r="D510" s="587"/>
      <c r="E510" s="590">
        <f>C510*11</f>
        <v>0</v>
      </c>
      <c r="F510" s="590"/>
      <c r="G510" s="591">
        <v>0</v>
      </c>
      <c r="H510" s="591"/>
      <c r="I510" s="590">
        <f>G510*11</f>
        <v>0</v>
      </c>
      <c r="J510" s="590"/>
      <c r="K510" s="590">
        <f>E510-I510</f>
        <v>0</v>
      </c>
      <c r="L510" s="590"/>
      <c r="M510" s="592" t="str">
        <f>IF(ISERROR(K510/E510),"",K510/E510)</f>
        <v/>
      </c>
      <c r="N510" s="592"/>
      <c r="O510" s="588"/>
      <c r="P510" s="591" t="s">
        <v>216</v>
      </c>
      <c r="Q510" s="591"/>
      <c r="R510" s="593">
        <f>SUM(O428:U428)</f>
        <v>0</v>
      </c>
      <c r="S510" s="593"/>
      <c r="T510" s="594" t="str">
        <f>IF(ISERROR(R510/R516),"",R510/R516)</f>
        <v/>
      </c>
      <c r="U510" s="594"/>
      <c r="V510" s="591" t="s">
        <v>261</v>
      </c>
      <c r="W510" s="591"/>
      <c r="X510" s="595">
        <f>SUM(O371,O429,O464,O480,O491,O507)</f>
        <v>0</v>
      </c>
      <c r="Y510" s="595"/>
      <c r="Z510" s="594" t="str">
        <f>IF(ISERROR(X510/X516),"",X510/X516)</f>
        <v/>
      </c>
      <c r="AA510" s="594"/>
    </row>
    <row r="511" spans="1:27" ht="20.100000000000001" customHeight="1">
      <c r="A511" s="584"/>
      <c r="B511" s="222" t="s">
        <v>262</v>
      </c>
      <c r="C511" s="586">
        <v>0</v>
      </c>
      <c r="D511" s="587"/>
      <c r="E511" s="590">
        <f>C511*11</f>
        <v>0</v>
      </c>
      <c r="F511" s="590"/>
      <c r="G511" s="591">
        <v>0</v>
      </c>
      <c r="H511" s="591"/>
      <c r="I511" s="590">
        <f>G511*11</f>
        <v>0</v>
      </c>
      <c r="J511" s="590"/>
      <c r="K511" s="590">
        <f>E511-I511</f>
        <v>0</v>
      </c>
      <c r="L511" s="590"/>
      <c r="M511" s="592" t="str">
        <f>IF(ISERROR(K511/E511),"",K511/E511)</f>
        <v/>
      </c>
      <c r="N511" s="592"/>
      <c r="O511" s="588"/>
      <c r="P511" s="591" t="s">
        <v>224</v>
      </c>
      <c r="Q511" s="591"/>
      <c r="R511" s="593">
        <f>SUM(O463:U463)</f>
        <v>0</v>
      </c>
      <c r="S511" s="593"/>
      <c r="T511" s="594" t="str">
        <f>IF(ISERROR(R511/R516),"",R511/R516)</f>
        <v/>
      </c>
      <c r="U511" s="594"/>
      <c r="V511" s="591" t="s">
        <v>263</v>
      </c>
      <c r="W511" s="591"/>
      <c r="X511" s="595">
        <f>SUM(O373,O430,O465,O481,O492,O508)</f>
        <v>0</v>
      </c>
      <c r="Y511" s="595"/>
      <c r="Z511" s="594" t="str">
        <f>IF(ISERROR(X511/X516),"",X511/X516)</f>
        <v/>
      </c>
      <c r="AA511" s="594"/>
    </row>
    <row r="512" spans="1:27" ht="20.100000000000001" customHeight="1">
      <c r="A512" s="584"/>
      <c r="B512" s="222" t="s">
        <v>264</v>
      </c>
      <c r="C512" s="586">
        <v>1</v>
      </c>
      <c r="D512" s="587"/>
      <c r="E512" s="590">
        <f>C512*11</f>
        <v>11</v>
      </c>
      <c r="F512" s="590"/>
      <c r="G512" s="591">
        <v>1</v>
      </c>
      <c r="H512" s="591"/>
      <c r="I512" s="590">
        <f>G512*11</f>
        <v>11</v>
      </c>
      <c r="J512" s="590"/>
      <c r="K512" s="590">
        <f>E512-I512</f>
        <v>0</v>
      </c>
      <c r="L512" s="590"/>
      <c r="M512" s="592">
        <f>IF(ISERROR(K512/E512),"",K512/E512)</f>
        <v>0</v>
      </c>
      <c r="N512" s="592"/>
      <c r="O512" s="588"/>
      <c r="P512" s="591" t="s">
        <v>231</v>
      </c>
      <c r="Q512" s="591"/>
      <c r="R512" s="593">
        <f>SUM(O479:U479)</f>
        <v>0</v>
      </c>
      <c r="S512" s="593"/>
      <c r="T512" s="594" t="str">
        <f>IF(ISERROR(R512/R516),"",R512/R516)</f>
        <v/>
      </c>
      <c r="U512" s="594"/>
      <c r="V512" s="591" t="s">
        <v>265</v>
      </c>
      <c r="W512" s="591"/>
      <c r="X512" s="595">
        <f>SUM(O374,O431,O466,O482,O493,O509)</f>
        <v>0</v>
      </c>
      <c r="Y512" s="595"/>
      <c r="Z512" s="594" t="str">
        <f>IF(ISERROR(X512/X516),"",X512/X516)</f>
        <v/>
      </c>
      <c r="AA512" s="594"/>
    </row>
    <row r="513" spans="1:27" ht="20.100000000000001" customHeight="1">
      <c r="A513" s="585"/>
      <c r="B513" s="222" t="s">
        <v>266</v>
      </c>
      <c r="C513" s="596">
        <f>SUM(C509:D512)</f>
        <v>1</v>
      </c>
      <c r="D513" s="597"/>
      <c r="E513" s="590">
        <f>SUM(E509:F512)</f>
        <v>11</v>
      </c>
      <c r="F513" s="590"/>
      <c r="G513" s="591">
        <f>SUM(G509:H512)</f>
        <v>1</v>
      </c>
      <c r="H513" s="591"/>
      <c r="I513" s="590">
        <f>SUM(I509:J512)</f>
        <v>11</v>
      </c>
      <c r="J513" s="590"/>
      <c r="K513" s="590">
        <f>SUM(K509:L512)</f>
        <v>0</v>
      </c>
      <c r="L513" s="590"/>
      <c r="M513" s="592">
        <f>IF(ISERROR(K513/E513),"",K513/E513)</f>
        <v>0</v>
      </c>
      <c r="N513" s="592"/>
      <c r="O513" s="588"/>
      <c r="P513" s="591" t="s">
        <v>234</v>
      </c>
      <c r="Q513" s="591"/>
      <c r="R513" s="593">
        <f>SUM(O490:U490)</f>
        <v>0</v>
      </c>
      <c r="S513" s="593"/>
      <c r="T513" s="594" t="str">
        <f>IF(ISERROR(R513/R516),"",R513/R516)</f>
        <v/>
      </c>
      <c r="U513" s="594"/>
      <c r="V513" s="591" t="s">
        <v>267</v>
      </c>
      <c r="W513" s="591"/>
      <c r="X513" s="595">
        <f>SUM(O375,O432,O467,O483,O494,O510)</f>
        <v>0</v>
      </c>
      <c r="Y513" s="595"/>
      <c r="Z513" s="594" t="str">
        <f>IF(ISERROR(X513/X516),"",X513/X516)</f>
        <v/>
      </c>
      <c r="AA513" s="594"/>
    </row>
    <row r="514" spans="1:27" ht="20.100000000000001" customHeight="1">
      <c r="A514" s="307" t="s">
        <v>477</v>
      </c>
      <c r="B514" s="222">
        <f>G507</f>
        <v>0</v>
      </c>
      <c r="C514" s="598" t="s">
        <v>269</v>
      </c>
      <c r="D514" s="599"/>
      <c r="E514" s="591">
        <f>H507</f>
        <v>0</v>
      </c>
      <c r="F514" s="591"/>
      <c r="G514" s="591" t="s">
        <v>270</v>
      </c>
      <c r="H514" s="591"/>
      <c r="I514" s="600" t="str">
        <f>L507</f>
        <v/>
      </c>
      <c r="J514" s="600"/>
      <c r="K514" s="588" t="s">
        <v>271</v>
      </c>
      <c r="L514" s="588"/>
      <c r="M514" s="600" t="str">
        <f>J507</f>
        <v/>
      </c>
      <c r="N514" s="600"/>
      <c r="O514" s="588"/>
      <c r="P514" s="591" t="s">
        <v>244</v>
      </c>
      <c r="Q514" s="591"/>
      <c r="R514" s="593">
        <f>SUM(O506:U506)</f>
        <v>0</v>
      </c>
      <c r="S514" s="593"/>
      <c r="T514" s="594" t="str">
        <f>IF(ISERROR(R514/R516),"",R514/R516)</f>
        <v/>
      </c>
      <c r="U514" s="594"/>
      <c r="V514" s="591" t="s">
        <v>272</v>
      </c>
      <c r="W514" s="591"/>
      <c r="X514" s="595">
        <f>SUM(O376,O433,O468,O484,O495,O511)</f>
        <v>0</v>
      </c>
      <c r="Y514" s="595"/>
      <c r="Z514" s="594" t="str">
        <f>IF(ISERROR(X514/X516),"",X514/X516)</f>
        <v/>
      </c>
      <c r="AA514" s="594"/>
    </row>
    <row r="515" spans="1:27" ht="20.100000000000001" customHeight="1">
      <c r="A515" s="308" t="s">
        <v>478</v>
      </c>
      <c r="B515" s="222">
        <f>I507+C513</f>
        <v>1</v>
      </c>
      <c r="C515" s="601" t="s">
        <v>251</v>
      </c>
      <c r="D515" s="602"/>
      <c r="E515" s="603">
        <f>K507+I513</f>
        <v>11</v>
      </c>
      <c r="F515" s="603"/>
      <c r="G515" s="591" t="s">
        <v>274</v>
      </c>
      <c r="H515" s="591"/>
      <c r="I515" s="600">
        <f>B515-E515</f>
        <v>-10</v>
      </c>
      <c r="J515" s="600"/>
      <c r="K515" s="588" t="s">
        <v>275</v>
      </c>
      <c r="L515" s="588"/>
      <c r="M515" s="592">
        <f>IF(ISERROR(I515/E515),"",I515/E515)</f>
        <v>-0.90909090909090906</v>
      </c>
      <c r="N515" s="592"/>
      <c r="O515" s="588"/>
      <c r="P515" s="591" t="s">
        <v>245</v>
      </c>
      <c r="Q515" s="591"/>
      <c r="R515" s="593"/>
      <c r="S515" s="593"/>
      <c r="T515" s="594" t="str">
        <f>IF(ISERROR(R515/R516),"",R515/R516)</f>
        <v/>
      </c>
      <c r="U515" s="594"/>
      <c r="V515" s="591" t="s">
        <v>264</v>
      </c>
      <c r="W515" s="591"/>
      <c r="X515" s="595">
        <f>SUM(O377,O434,O469,O489,O496,O512)</f>
        <v>0</v>
      </c>
      <c r="Y515" s="595"/>
      <c r="Z515" s="594" t="str">
        <f>IF(ISERROR(X515/X516),"",X515/X516)</f>
        <v/>
      </c>
      <c r="AA515" s="594"/>
    </row>
    <row r="516" spans="1:27" ht="20.100000000000001" customHeight="1">
      <c r="A516" s="308" t="s">
        <v>479</v>
      </c>
      <c r="B516" s="222">
        <f>N507</f>
        <v>0</v>
      </c>
      <c r="C516" s="601" t="s">
        <v>277</v>
      </c>
      <c r="D516" s="602"/>
      <c r="E516" s="594">
        <f>IF(ISERROR(B516/B515),"",B516/B515)</f>
        <v>0</v>
      </c>
      <c r="F516" s="594"/>
      <c r="G516" s="591" t="s">
        <v>278</v>
      </c>
      <c r="H516" s="591"/>
      <c r="I516" s="588">
        <f>V507</f>
        <v>0</v>
      </c>
      <c r="J516" s="588"/>
      <c r="K516" s="588" t="s">
        <v>279</v>
      </c>
      <c r="L516" s="588"/>
      <c r="M516" s="592" t="str">
        <f t="array" ref="M516">IF(ISERROR(I516/B514),"",I516/B514)</f>
        <v/>
      </c>
      <c r="N516" s="592"/>
      <c r="O516" s="588"/>
      <c r="P516" s="591" t="s">
        <v>266</v>
      </c>
      <c r="Q516" s="591"/>
      <c r="R516" s="593">
        <f>SUM(R509:S515)</f>
        <v>0</v>
      </c>
      <c r="S516" s="593"/>
      <c r="T516" s="594"/>
      <c r="U516" s="594"/>
      <c r="V516" s="591" t="s">
        <v>266</v>
      </c>
      <c r="W516" s="591"/>
      <c r="X516" s="595">
        <f>SUM(X509:Y515)</f>
        <v>0</v>
      </c>
      <c r="Y516" s="595"/>
      <c r="Z516" s="594"/>
      <c r="AA516" s="594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630" t="str">
        <f>IF(ISERROR(#REF!/#REF!),"",#REF!/#REF!)</f>
        <v/>
      </c>
      <c r="H517" s="630"/>
      <c r="I517" s="630"/>
      <c r="J517" s="125"/>
      <c r="K517" s="160"/>
      <c r="L517" s="122"/>
      <c r="M517" s="122"/>
      <c r="N517" s="630" t="str">
        <f>IF(ISERROR(G517/#REF!),"",G517/#REF!)</f>
        <v/>
      </c>
      <c r="O517" s="630"/>
      <c r="P517" s="630"/>
      <c r="Q517" s="630"/>
      <c r="R517" s="630"/>
      <c r="S517" s="225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6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633" t="s">
        <v>268</v>
      </c>
      <c r="B519" s="633"/>
      <c r="C519" s="586">
        <f>SUM(B171,B342,B514)</f>
        <v>0</v>
      </c>
      <c r="D519" s="587"/>
      <c r="E519" s="633" t="s">
        <v>269</v>
      </c>
      <c r="F519" s="633"/>
      <c r="G519" s="603">
        <f>SUM(E171,E342,E514)</f>
        <v>0</v>
      </c>
      <c r="H519" s="603"/>
      <c r="I519" s="591" t="s">
        <v>270</v>
      </c>
      <c r="J519" s="633"/>
      <c r="K519" s="586">
        <f>IF(ISERROR(C519/G520),"",C519/G520)</f>
        <v>0</v>
      </c>
      <c r="L519" s="587"/>
      <c r="M519" s="591" t="s">
        <v>271</v>
      </c>
      <c r="N519" s="591"/>
      <c r="O519" s="628">
        <f t="array" ref="O519">IF(ISERROR(C519/C520),"",C519/C520)</f>
        <v>0</v>
      </c>
      <c r="P519" s="629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591" t="s">
        <v>273</v>
      </c>
      <c r="B520" s="591"/>
      <c r="C520" s="586">
        <f>SUM(B172,B343,B515)</f>
        <v>7</v>
      </c>
      <c r="D520" s="587"/>
      <c r="E520" s="591" t="s">
        <v>251</v>
      </c>
      <c r="F520" s="591"/>
      <c r="G520" s="603">
        <f>SUM(E172,E343,E515)</f>
        <v>82</v>
      </c>
      <c r="H520" s="603"/>
      <c r="I520" s="601" t="s">
        <v>274</v>
      </c>
      <c r="J520" s="602"/>
      <c r="K520" s="598">
        <f>C520-G520</f>
        <v>-75</v>
      </c>
      <c r="L520" s="599"/>
      <c r="M520" s="598" t="s">
        <v>275</v>
      </c>
      <c r="N520" s="599"/>
      <c r="O520" s="631">
        <f>IF(ISERROR(K520/C520),"",K520/C520)</f>
        <v>-10.714285714285714</v>
      </c>
      <c r="P520" s="632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601" t="s">
        <v>276</v>
      </c>
      <c r="B521" s="602"/>
      <c r="C521" s="586">
        <f>SUM(B173,B344,B516)</f>
        <v>0</v>
      </c>
      <c r="D521" s="587"/>
      <c r="E521" s="601" t="s">
        <v>277</v>
      </c>
      <c r="F521" s="602"/>
      <c r="G521" s="594">
        <f>IF(ISERROR(C521/C520),"",C521/C520)</f>
        <v>0</v>
      </c>
      <c r="H521" s="594"/>
      <c r="I521" s="591" t="s">
        <v>278</v>
      </c>
      <c r="J521" s="633"/>
      <c r="K521" s="603">
        <f>SUM(I173,I344,I516)</f>
        <v>0</v>
      </c>
      <c r="L521" s="603"/>
      <c r="M521" s="633" t="s">
        <v>279</v>
      </c>
      <c r="N521" s="633"/>
      <c r="O521" s="631" t="str">
        <f t="array" ref="O521">IF(ISERROR(K521/C519),"",K521/C519)</f>
        <v/>
      </c>
      <c r="P521" s="632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167"/>
      <c r="H522" s="168"/>
      <c r="I522" s="225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601" t="s">
        <v>298</v>
      </c>
      <c r="B523" s="602"/>
      <c r="C523" s="601" t="s">
        <v>299</v>
      </c>
      <c r="D523" s="602"/>
      <c r="E523" s="601" t="s">
        <v>256</v>
      </c>
      <c r="F523" s="602"/>
      <c r="G523" s="634" t="s">
        <v>254</v>
      </c>
      <c r="H523" s="635"/>
      <c r="I523" s="601" t="s">
        <v>255</v>
      </c>
      <c r="J523" s="599"/>
      <c r="K523" s="601" t="s">
        <v>300</v>
      </c>
      <c r="L523" s="602"/>
      <c r="M523" s="601" t="s">
        <v>256</v>
      </c>
      <c r="N523" s="602"/>
      <c r="O523" s="591" t="s">
        <v>257</v>
      </c>
      <c r="P523" s="591"/>
      <c r="Q523" s="601" t="s">
        <v>300</v>
      </c>
      <c r="R523" s="602"/>
      <c r="S523" s="601" t="s">
        <v>256</v>
      </c>
      <c r="T523" s="602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640" t="s">
        <v>201</v>
      </c>
      <c r="B524" s="602"/>
      <c r="C524" s="601">
        <f>SUM(G28,G199,G370)</f>
        <v>0</v>
      </c>
      <c r="D524" s="602"/>
      <c r="E524" s="641" t="str">
        <f>IF(ISERROR(C524/C530),"",C524/C530)</f>
        <v/>
      </c>
      <c r="F524" s="642"/>
      <c r="G524" s="636"/>
      <c r="H524" s="637"/>
      <c r="I524" s="643" t="s">
        <v>301</v>
      </c>
      <c r="J524" s="644"/>
      <c r="K524" s="598">
        <f t="shared" ref="K524:K529" si="236">SUM(R166,U337,U509)</f>
        <v>0</v>
      </c>
      <c r="L524" s="599"/>
      <c r="M524" s="641" t="str">
        <f t="array" ref="M524">IF(ISERROR(K524/K530),"",K524/K530)</f>
        <v/>
      </c>
      <c r="N524" s="642"/>
      <c r="O524" s="591" t="s">
        <v>259</v>
      </c>
      <c r="P524" s="591"/>
      <c r="Q524" s="628">
        <f t="shared" ref="Q524:Q529" si="237">SUM(X166,AA337,AA509)</f>
        <v>0</v>
      </c>
      <c r="R524" s="629"/>
      <c r="S524" s="641" t="str">
        <f t="array" ref="S524">IF(ISERROR(Q524/Q530),"",Q524/Q530)</f>
        <v/>
      </c>
      <c r="T524" s="642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640" t="s">
        <v>216</v>
      </c>
      <c r="B525" s="602"/>
      <c r="C525" s="601">
        <f>SUM(G86,G257,G428)</f>
        <v>0</v>
      </c>
      <c r="D525" s="602"/>
      <c r="E525" s="641" t="str">
        <f>IF(ISERROR(C525/C530),"",C525/C530)</f>
        <v/>
      </c>
      <c r="F525" s="642"/>
      <c r="G525" s="636"/>
      <c r="H525" s="637"/>
      <c r="I525" s="643" t="s">
        <v>302</v>
      </c>
      <c r="J525" s="644"/>
      <c r="K525" s="598">
        <f t="shared" si="236"/>
        <v>0</v>
      </c>
      <c r="L525" s="599"/>
      <c r="M525" s="641" t="str">
        <f>IF(ISERROR(K525/K530),"",K525/K530)</f>
        <v/>
      </c>
      <c r="N525" s="642"/>
      <c r="O525" s="591" t="s">
        <v>261</v>
      </c>
      <c r="P525" s="591"/>
      <c r="Q525" s="628">
        <f t="shared" si="237"/>
        <v>0</v>
      </c>
      <c r="R525" s="629"/>
      <c r="S525" s="641" t="str">
        <f>IF(ISERROR(Q525/Q530),"",Q525/Q530)</f>
        <v/>
      </c>
      <c r="T525" s="642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640" t="s">
        <v>224</v>
      </c>
      <c r="B526" s="602"/>
      <c r="C526" s="601">
        <f>SUM(G121,G292,G463)</f>
        <v>0</v>
      </c>
      <c r="D526" s="602"/>
      <c r="E526" s="641" t="str">
        <f>IF(ISERROR(C526/C530),"",C526/C530)</f>
        <v/>
      </c>
      <c r="F526" s="642"/>
      <c r="G526" s="636"/>
      <c r="H526" s="637"/>
      <c r="I526" s="643" t="s">
        <v>303</v>
      </c>
      <c r="J526" s="644"/>
      <c r="K526" s="598">
        <f t="shared" si="236"/>
        <v>0</v>
      </c>
      <c r="L526" s="599"/>
      <c r="M526" s="641" t="str">
        <f>IF(ISERROR(K526/K530),"",K526/K530)</f>
        <v/>
      </c>
      <c r="N526" s="642"/>
      <c r="O526" s="591" t="s">
        <v>263</v>
      </c>
      <c r="P526" s="591"/>
      <c r="Q526" s="628">
        <f t="shared" si="237"/>
        <v>0</v>
      </c>
      <c r="R526" s="629"/>
      <c r="S526" s="641" t="str">
        <f>IF(ISERROR(Q526/Q530),"",Q526/Q530)</f>
        <v/>
      </c>
      <c r="T526" s="642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640" t="s">
        <v>231</v>
      </c>
      <c r="B527" s="602"/>
      <c r="C527" s="601">
        <f>SUM(G137,G308,G479)</f>
        <v>0</v>
      </c>
      <c r="D527" s="602"/>
      <c r="E527" s="641" t="str">
        <f>IF(ISERROR(C527/C530),"",C527/C530)</f>
        <v/>
      </c>
      <c r="F527" s="642"/>
      <c r="G527" s="636"/>
      <c r="H527" s="637"/>
      <c r="I527" s="643" t="s">
        <v>304</v>
      </c>
      <c r="J527" s="644"/>
      <c r="K527" s="598">
        <f t="shared" si="236"/>
        <v>0</v>
      </c>
      <c r="L527" s="599"/>
      <c r="M527" s="641" t="str">
        <f>IF(ISERROR(K527/K530),"",K527/K530)</f>
        <v/>
      </c>
      <c r="N527" s="642"/>
      <c r="O527" s="591" t="s">
        <v>305</v>
      </c>
      <c r="P527" s="591"/>
      <c r="Q527" s="628">
        <f t="shared" si="237"/>
        <v>0</v>
      </c>
      <c r="R527" s="629"/>
      <c r="S527" s="641" t="str">
        <f>IF(ISERROR(Q527/Q530),"",Q527/Q530)</f>
        <v/>
      </c>
      <c r="T527" s="642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640" t="s">
        <v>234</v>
      </c>
      <c r="B528" s="602"/>
      <c r="C528" s="601">
        <f>SUM(G148,G319,G490)</f>
        <v>0</v>
      </c>
      <c r="D528" s="602"/>
      <c r="E528" s="641" t="str">
        <f>IF(ISERROR(C528/C530),"",C528/C530)</f>
        <v/>
      </c>
      <c r="F528" s="642"/>
      <c r="G528" s="636"/>
      <c r="H528" s="637"/>
      <c r="I528" s="643" t="s">
        <v>306</v>
      </c>
      <c r="J528" s="644"/>
      <c r="K528" s="598">
        <f t="shared" si="236"/>
        <v>0</v>
      </c>
      <c r="L528" s="599"/>
      <c r="M528" s="641" t="str">
        <f>IF(ISERROR(K528/K530),"",K528/K530)</f>
        <v/>
      </c>
      <c r="N528" s="642"/>
      <c r="O528" s="591" t="s">
        <v>267</v>
      </c>
      <c r="P528" s="591"/>
      <c r="Q528" s="628">
        <f t="shared" si="237"/>
        <v>0</v>
      </c>
      <c r="R528" s="629"/>
      <c r="S528" s="641" t="str">
        <f>IF(ISERROR(Q528/Q530),"",Q528/Q530)</f>
        <v/>
      </c>
      <c r="T528" s="642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640" t="s">
        <v>244</v>
      </c>
      <c r="B529" s="602"/>
      <c r="C529" s="601">
        <f>SUM(G163,G334,G506)</f>
        <v>0</v>
      </c>
      <c r="D529" s="602"/>
      <c r="E529" s="641" t="str">
        <f>IF(ISERROR(C529/C530),"",C529/C530)</f>
        <v/>
      </c>
      <c r="F529" s="642"/>
      <c r="G529" s="636"/>
      <c r="H529" s="637"/>
      <c r="I529" s="643" t="s">
        <v>307</v>
      </c>
      <c r="J529" s="644"/>
      <c r="K529" s="598">
        <f t="shared" si="236"/>
        <v>0</v>
      </c>
      <c r="L529" s="599"/>
      <c r="M529" s="641" t="str">
        <f>IF(ISERROR(K529/K530),"",K529/K530)</f>
        <v/>
      </c>
      <c r="N529" s="642"/>
      <c r="O529" s="591" t="s">
        <v>272</v>
      </c>
      <c r="P529" s="591"/>
      <c r="Q529" s="628">
        <f t="shared" si="237"/>
        <v>0</v>
      </c>
      <c r="R529" s="629"/>
      <c r="S529" s="641" t="str">
        <f>IF(ISERROR(Q529/Q530),"",Q529/Q530)</f>
        <v/>
      </c>
      <c r="T529" s="642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601" t="s">
        <v>266</v>
      </c>
      <c r="B530" s="602"/>
      <c r="C530" s="601">
        <f>SUM(C524:C529)</f>
        <v>0</v>
      </c>
      <c r="D530" s="602"/>
      <c r="E530" s="641">
        <f>SUM(E524:F529)</f>
        <v>0</v>
      </c>
      <c r="F530" s="642"/>
      <c r="G530" s="638"/>
      <c r="H530" s="639"/>
      <c r="I530" s="601" t="s">
        <v>266</v>
      </c>
      <c r="J530" s="599"/>
      <c r="K530" s="598">
        <f>SUM(R173,U344,U516)</f>
        <v>0</v>
      </c>
      <c r="L530" s="599"/>
      <c r="M530" s="641"/>
      <c r="N530" s="642"/>
      <c r="O530" s="591" t="s">
        <v>266</v>
      </c>
      <c r="P530" s="591"/>
      <c r="Q530" s="628">
        <f>SUM(Q524:R529)</f>
        <v>0</v>
      </c>
      <c r="R530" s="629"/>
      <c r="S530" s="641">
        <f>SUM(S524:T529)</f>
        <v>0</v>
      </c>
      <c r="T530" s="642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172"/>
      <c r="D531" s="172"/>
      <c r="E531" s="172"/>
      <c r="F531" s="172"/>
      <c r="G531" s="173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643" t="s">
        <v>308</v>
      </c>
      <c r="B532" s="597"/>
      <c r="C532" s="217" t="s">
        <v>309</v>
      </c>
      <c r="D532" s="217" t="s">
        <v>310</v>
      </c>
      <c r="E532" s="217" t="s">
        <v>311</v>
      </c>
      <c r="F532" s="217" t="s">
        <v>312</v>
      </c>
      <c r="G532" s="157" t="s">
        <v>313</v>
      </c>
      <c r="H532" s="129" t="s">
        <v>314</v>
      </c>
      <c r="I532" s="129" t="s">
        <v>315</v>
      </c>
      <c r="J532" s="129" t="s">
        <v>316</v>
      </c>
      <c r="K532" s="219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226" t="s">
        <v>322</v>
      </c>
      <c r="Q532" s="129" t="s">
        <v>323</v>
      </c>
      <c r="R532" s="109" t="s">
        <v>324</v>
      </c>
      <c r="S532" s="217" t="s">
        <v>325</v>
      </c>
      <c r="T532" s="217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645" t="s">
        <v>327</v>
      </c>
      <c r="B533" s="646"/>
      <c r="C533" s="106">
        <f>D533+E533+F533-G533-O533-P533</f>
        <v>0</v>
      </c>
      <c r="D533" s="106"/>
      <c r="E533" s="106"/>
      <c r="F533" s="106"/>
      <c r="G533" s="107"/>
      <c r="H533" s="106"/>
      <c r="I533" s="106"/>
      <c r="J533" s="106">
        <f>C533-H533-I533</f>
        <v>0</v>
      </c>
      <c r="K533" s="106"/>
      <c r="L533" s="106"/>
      <c r="M533" s="106"/>
      <c r="N533" s="106"/>
      <c r="O533" s="106"/>
      <c r="P533" s="108"/>
      <c r="Q533" s="106">
        <f>J533-K533-L533</f>
        <v>0</v>
      </c>
      <c r="R533" s="109">
        <f>Q533*11-M533-N533</f>
        <v>0</v>
      </c>
      <c r="S533" s="220" t="str">
        <f t="array" ref="S533">IF(ISERROR(Q533/J533),"",Q533/J533)</f>
        <v/>
      </c>
      <c r="T533" s="220" t="str">
        <f t="array" ref="T533">IF(ISERROR((O533:P533)/C533),"",SUM(O533:P533)/C533)</f>
        <v/>
      </c>
      <c r="X533" s="116"/>
      <c r="Y533" s="116"/>
      <c r="Z533" s="159"/>
      <c r="AA533" s="159"/>
    </row>
    <row r="534" spans="1:27" ht="20.100000000000001" customHeight="1">
      <c r="A534" s="645" t="s">
        <v>328</v>
      </c>
      <c r="B534" s="646"/>
      <c r="C534" s="106">
        <f>D534+E534+F534-G534-O534-P534</f>
        <v>0</v>
      </c>
      <c r="D534" s="110"/>
      <c r="E534" s="110"/>
      <c r="F534" s="110"/>
      <c r="G534" s="107"/>
      <c r="H534" s="106"/>
      <c r="I534" s="106"/>
      <c r="J534" s="106">
        <f>C534-H534-I534</f>
        <v>0</v>
      </c>
      <c r="K534" s="106"/>
      <c r="L534" s="106"/>
      <c r="M534" s="106"/>
      <c r="N534" s="106"/>
      <c r="O534" s="110"/>
      <c r="P534" s="111"/>
      <c r="Q534" s="106">
        <f>J534-K534-L534</f>
        <v>0</v>
      </c>
      <c r="R534" s="109">
        <f>Q534*11-M534-N534</f>
        <v>0</v>
      </c>
      <c r="S534" s="220" t="str">
        <f t="array" ref="S534">IF(ISERROR(Q534/J534),"",Q534/J534)</f>
        <v/>
      </c>
      <c r="T534" s="220" t="str">
        <f t="array" ref="T534">IF(ISERROR((O534:P534)/C534),"",SUM(O534:P534)/C534)</f>
        <v/>
      </c>
      <c r="X534" s="116"/>
      <c r="Y534" s="116"/>
      <c r="Z534" s="159"/>
      <c r="AA534" s="159"/>
    </row>
    <row r="535" spans="1:27" ht="20.100000000000001" customHeight="1">
      <c r="A535" s="645" t="s">
        <v>329</v>
      </c>
      <c r="B535" s="646"/>
      <c r="C535" s="106">
        <f>D535+E535+F535-G535-O535-P535</f>
        <v>0</v>
      </c>
      <c r="D535" s="110"/>
      <c r="E535" s="110"/>
      <c r="F535" s="110"/>
      <c r="G535" s="107"/>
      <c r="H535" s="106"/>
      <c r="I535" s="106"/>
      <c r="J535" s="106">
        <f>C535-H535-I535</f>
        <v>0</v>
      </c>
      <c r="K535" s="106"/>
      <c r="L535" s="106"/>
      <c r="M535" s="106"/>
      <c r="N535" s="106"/>
      <c r="O535" s="110"/>
      <c r="P535" s="111"/>
      <c r="Q535" s="106">
        <f>J535-K535-L535</f>
        <v>0</v>
      </c>
      <c r="R535" s="109">
        <f>Q535*11-M535-N535</f>
        <v>0</v>
      </c>
      <c r="S535" s="220" t="str">
        <f t="array" ref="S535">IF(ISERROR(Q535/J535),"",Q535/J535)</f>
        <v/>
      </c>
      <c r="T535" s="220" t="str">
        <f t="array" ref="T535">IF(ISERROR((O535:P535)/C535),"",SUM(O535:P535)/C535)</f>
        <v/>
      </c>
      <c r="V535" s="179"/>
      <c r="X535" s="116"/>
      <c r="Y535" s="116"/>
      <c r="Z535" s="159"/>
      <c r="AA535" s="159"/>
    </row>
    <row r="536" spans="1:27" ht="20.100000000000001" customHeight="1">
      <c r="A536" s="647" t="s">
        <v>330</v>
      </c>
      <c r="B536" s="648"/>
      <c r="C536" s="112">
        <f>SUM(C533:C535)</f>
        <v>0</v>
      </c>
      <c r="D536" s="112">
        <f t="shared" ref="D536:N536" si="238">SUM(D533:D535)</f>
        <v>0</v>
      </c>
      <c r="E536" s="112">
        <f t="shared" si="238"/>
        <v>0</v>
      </c>
      <c r="F536" s="112">
        <f t="shared" si="238"/>
        <v>0</v>
      </c>
      <c r="G536" s="113">
        <f t="shared" si="238"/>
        <v>0</v>
      </c>
      <c r="H536" s="112">
        <f t="shared" si="238"/>
        <v>0</v>
      </c>
      <c r="I536" s="112">
        <f t="shared" si="238"/>
        <v>0</v>
      </c>
      <c r="J536" s="112">
        <f t="shared" si="238"/>
        <v>0</v>
      </c>
      <c r="K536" s="112">
        <f t="shared" si="238"/>
        <v>0</v>
      </c>
      <c r="L536" s="112">
        <f t="shared" si="238"/>
        <v>0</v>
      </c>
      <c r="M536" s="112">
        <f t="shared" si="238"/>
        <v>0</v>
      </c>
      <c r="N536" s="112">
        <f t="shared" si="238"/>
        <v>0</v>
      </c>
      <c r="O536" s="112">
        <f>SUM(O533:O535)</f>
        <v>0</v>
      </c>
      <c r="P536" s="112">
        <f>SUM(P533:P535)</f>
        <v>0</v>
      </c>
      <c r="Q536" s="112">
        <f>SUM(Q533:Q535)</f>
        <v>0</v>
      </c>
      <c r="R536" s="114">
        <f>SUM(R533:R535)</f>
        <v>0</v>
      </c>
      <c r="S536" s="115" t="str">
        <f t="array" ref="S536">IF(ISERROR(Q536/J536),"",Q536/J536)</f>
        <v/>
      </c>
      <c r="T536" s="115" t="str">
        <f t="array" ref="T536">IF(ISERROR((O536:P536)/C536),"",SUM(O536:P536)/C536)</f>
        <v/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7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7"/>
      <c r="H538" s="116"/>
      <c r="I538" s="118" t="s">
        <v>332</v>
      </c>
      <c r="J538" s="198" t="s">
        <v>448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54" spans="2:7">
      <c r="B554" s="121"/>
      <c r="G554" s="121"/>
    </row>
  </sheetData>
  <mergeCells count="541">
    <mergeCell ref="A536:B536"/>
    <mergeCell ref="Q530:R530"/>
    <mergeCell ref="S530:T530"/>
    <mergeCell ref="A532:B532"/>
    <mergeCell ref="A533:B533"/>
    <mergeCell ref="A534:B534"/>
    <mergeCell ref="A535:B535"/>
    <mergeCell ref="A530:B530"/>
    <mergeCell ref="C530:D530"/>
    <mergeCell ref="E530:F530"/>
    <mergeCell ref="I530:J530"/>
    <mergeCell ref="K530:L530"/>
    <mergeCell ref="M530:N530"/>
    <mergeCell ref="O530:P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C513:D513"/>
    <mergeCell ref="E513:F513"/>
    <mergeCell ref="G513:H513"/>
    <mergeCell ref="I513:J513"/>
    <mergeCell ref="K513:L513"/>
    <mergeCell ref="M513:N513"/>
    <mergeCell ref="P513:Q513"/>
    <mergeCell ref="R513:S513"/>
    <mergeCell ref="T513:U513"/>
    <mergeCell ref="C511:D511"/>
    <mergeCell ref="E511:F511"/>
    <mergeCell ref="G511:H511"/>
    <mergeCell ref="I511:J511"/>
    <mergeCell ref="K511:L511"/>
    <mergeCell ref="Z511:AA511"/>
    <mergeCell ref="C512:D512"/>
    <mergeCell ref="E512:F512"/>
    <mergeCell ref="G512:H512"/>
    <mergeCell ref="I512:J512"/>
    <mergeCell ref="K512:L512"/>
    <mergeCell ref="M512:N512"/>
    <mergeCell ref="P512:Q512"/>
    <mergeCell ref="R512:S512"/>
    <mergeCell ref="T512:U512"/>
    <mergeCell ref="M511:N511"/>
    <mergeCell ref="P511:Q511"/>
    <mergeCell ref="R511:S511"/>
    <mergeCell ref="T511:U511"/>
    <mergeCell ref="V511:W511"/>
    <mergeCell ref="X511:Y511"/>
    <mergeCell ref="V512:W512"/>
    <mergeCell ref="X512:Y512"/>
    <mergeCell ref="Z512:AA512"/>
    <mergeCell ref="Z509:AA509"/>
    <mergeCell ref="C510:D510"/>
    <mergeCell ref="E510:F510"/>
    <mergeCell ref="G510:H510"/>
    <mergeCell ref="I510:J510"/>
    <mergeCell ref="K510:L510"/>
    <mergeCell ref="R510:S510"/>
    <mergeCell ref="T510:U510"/>
    <mergeCell ref="V510:W510"/>
    <mergeCell ref="X510:Y510"/>
    <mergeCell ref="Z510:AA510"/>
    <mergeCell ref="R508:S508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G508:H508"/>
    <mergeCell ref="I508:J508"/>
    <mergeCell ref="K508:L508"/>
    <mergeCell ref="M508:N508"/>
    <mergeCell ref="O508:O516"/>
    <mergeCell ref="P508:Q508"/>
    <mergeCell ref="M509:N509"/>
    <mergeCell ref="P509:Q509"/>
    <mergeCell ref="M510:N510"/>
    <mergeCell ref="P510:Q510"/>
    <mergeCell ref="R509:S509"/>
    <mergeCell ref="T509:U509"/>
    <mergeCell ref="V509:W509"/>
    <mergeCell ref="X509:Y509"/>
    <mergeCell ref="A506:B506"/>
    <mergeCell ref="A507:F507"/>
    <mergeCell ref="A508:A513"/>
    <mergeCell ref="C508:D508"/>
    <mergeCell ref="E508:F508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A346:A348"/>
    <mergeCell ref="B346:B348"/>
    <mergeCell ref="C346:C348"/>
    <mergeCell ref="D346:D348"/>
    <mergeCell ref="E346:E348"/>
    <mergeCell ref="X346:AA346"/>
    <mergeCell ref="O347:O348"/>
    <mergeCell ref="P347:P348"/>
    <mergeCell ref="Q347:Q348"/>
    <mergeCell ref="R347:R348"/>
    <mergeCell ref="F346:F348"/>
    <mergeCell ref="G346:H347"/>
    <mergeCell ref="I346:I348"/>
    <mergeCell ref="J346:J348"/>
    <mergeCell ref="K346:K348"/>
    <mergeCell ref="L346:L348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V343:W343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C339:D339"/>
    <mergeCell ref="E339:F339"/>
    <mergeCell ref="G339:H339"/>
    <mergeCell ref="I339:J339"/>
    <mergeCell ref="K339:L339"/>
    <mergeCell ref="M339:N339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A308:B308"/>
    <mergeCell ref="A319:B319"/>
    <mergeCell ref="A334:B334"/>
    <mergeCell ref="U176:U177"/>
    <mergeCell ref="X176:X177"/>
    <mergeCell ref="Y176:Y177"/>
    <mergeCell ref="A199:B199"/>
    <mergeCell ref="I175:I177"/>
    <mergeCell ref="J175:J177"/>
    <mergeCell ref="K175:K177"/>
    <mergeCell ref="L175:L177"/>
    <mergeCell ref="M175:M177"/>
    <mergeCell ref="N175:N177"/>
    <mergeCell ref="X175:AA175"/>
    <mergeCell ref="O176:O177"/>
    <mergeCell ref="P176:P177"/>
    <mergeCell ref="Q176:Q177"/>
    <mergeCell ref="R176:R177"/>
    <mergeCell ref="S176:S177"/>
    <mergeCell ref="T176:T177"/>
    <mergeCell ref="A257:B257"/>
    <mergeCell ref="A292:B292"/>
    <mergeCell ref="V173:W173"/>
    <mergeCell ref="X173:Y173"/>
    <mergeCell ref="Z173:AA173"/>
    <mergeCell ref="A175:A177"/>
    <mergeCell ref="B175:B177"/>
    <mergeCell ref="C175:C177"/>
    <mergeCell ref="D175:D177"/>
    <mergeCell ref="E175:E177"/>
    <mergeCell ref="F175:F177"/>
    <mergeCell ref="G175:H176"/>
    <mergeCell ref="Z176:Z177"/>
    <mergeCell ref="AA176:AA177"/>
    <mergeCell ref="C173:D173"/>
    <mergeCell ref="E173:F173"/>
    <mergeCell ref="G173:H173"/>
    <mergeCell ref="I173:J173"/>
    <mergeCell ref="K173:L173"/>
    <mergeCell ref="M173:N173"/>
    <mergeCell ref="P173:Q173"/>
    <mergeCell ref="R173:S173"/>
    <mergeCell ref="T173:U173"/>
    <mergeCell ref="O175:U175"/>
    <mergeCell ref="V175:V177"/>
    <mergeCell ref="W175:W177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Z172:AA172"/>
    <mergeCell ref="M172:N172"/>
    <mergeCell ref="P172:Q172"/>
    <mergeCell ref="R172:S172"/>
    <mergeCell ref="T172:U172"/>
    <mergeCell ref="V172:W172"/>
    <mergeCell ref="X172:Y172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T171:U171"/>
    <mergeCell ref="K169:L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M169:N169"/>
    <mergeCell ref="P169:Q169"/>
    <mergeCell ref="R169:S169"/>
    <mergeCell ref="T169:U169"/>
    <mergeCell ref="V169:W169"/>
    <mergeCell ref="X169:Y169"/>
    <mergeCell ref="V170:W170"/>
    <mergeCell ref="X170:Y170"/>
    <mergeCell ref="Z170:AA170"/>
    <mergeCell ref="K167:L167"/>
    <mergeCell ref="M167:N167"/>
    <mergeCell ref="P167:Q167"/>
    <mergeCell ref="V167:W167"/>
    <mergeCell ref="X167:Y167"/>
    <mergeCell ref="Z167:AA167"/>
    <mergeCell ref="C168:D168"/>
    <mergeCell ref="E168:F168"/>
    <mergeCell ref="G168:H168"/>
    <mergeCell ref="I168:J168"/>
    <mergeCell ref="K168:L168"/>
    <mergeCell ref="M168:N168"/>
    <mergeCell ref="P168:Q168"/>
    <mergeCell ref="R168:S168"/>
    <mergeCell ref="T168:U168"/>
    <mergeCell ref="V168:W168"/>
    <mergeCell ref="X168:Y168"/>
    <mergeCell ref="Z168:AA168"/>
    <mergeCell ref="V165:W165"/>
    <mergeCell ref="X165:Y165"/>
    <mergeCell ref="Z165:AA165"/>
    <mergeCell ref="C166:D166"/>
    <mergeCell ref="E166:F166"/>
    <mergeCell ref="G166:H166"/>
    <mergeCell ref="I166:J166"/>
    <mergeCell ref="K166:L166"/>
    <mergeCell ref="M166:N166"/>
    <mergeCell ref="P166:Q166"/>
    <mergeCell ref="K165:L165"/>
    <mergeCell ref="M165:N165"/>
    <mergeCell ref="O165:O173"/>
    <mergeCell ref="P165:Q165"/>
    <mergeCell ref="R165:S165"/>
    <mergeCell ref="T165:U165"/>
    <mergeCell ref="R166:S166"/>
    <mergeCell ref="T166:U166"/>
    <mergeCell ref="R167:S167"/>
    <mergeCell ref="T167:U167"/>
    <mergeCell ref="V166:W166"/>
    <mergeCell ref="X166:Y166"/>
    <mergeCell ref="Z166:AA166"/>
    <mergeCell ref="C167:D167"/>
    <mergeCell ref="A164:F164"/>
    <mergeCell ref="A165:A170"/>
    <mergeCell ref="C165:D165"/>
    <mergeCell ref="E165:F165"/>
    <mergeCell ref="G165:H165"/>
    <mergeCell ref="I165:J165"/>
    <mergeCell ref="A121:B121"/>
    <mergeCell ref="A137:B137"/>
    <mergeCell ref="A148:B148"/>
    <mergeCell ref="A163:B163"/>
    <mergeCell ref="E167:F167"/>
    <mergeCell ref="G167:H167"/>
    <mergeCell ref="I167:J167"/>
    <mergeCell ref="C169:D169"/>
    <mergeCell ref="E169:F169"/>
    <mergeCell ref="G169:H169"/>
    <mergeCell ref="I169:J169"/>
    <mergeCell ref="A28:B28"/>
    <mergeCell ref="A86:B86"/>
    <mergeCell ref="V4:V6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X5:X6"/>
    <mergeCell ref="Y5:Y6"/>
    <mergeCell ref="Z5:Z6"/>
    <mergeCell ref="AA5:AA6"/>
  </mergeCells>
  <phoneticPr fontId="4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70"/>
  <sheetViews>
    <sheetView topLeftCell="A76" zoomScaleNormal="100" workbookViewId="0">
      <selection activeCell="E487" sqref="E487"/>
    </sheetView>
  </sheetViews>
  <sheetFormatPr defaultRowHeight="15.75"/>
  <cols>
    <col min="1" max="1" width="9.75" style="121" customWidth="1"/>
    <col min="2" max="2" width="26.75" style="69" customWidth="1"/>
    <col min="3" max="3" width="9.375" customWidth="1"/>
    <col min="5" max="5" width="13.25" customWidth="1"/>
    <col min="6" max="7" width="14" customWidth="1"/>
    <col min="8" max="8" width="12.125" customWidth="1"/>
    <col min="9" max="9" width="9.75" bestFit="1" customWidth="1"/>
    <col min="10" max="10" width="11.125" style="46" customWidth="1"/>
    <col min="11" max="11" width="10.5" style="50" bestFit="1" customWidth="1"/>
    <col min="12" max="12" width="9.125" bestFit="1" customWidth="1"/>
    <col min="13" max="13" width="9.5" bestFit="1" customWidth="1"/>
    <col min="14" max="14" width="11.125" customWidth="1"/>
    <col min="15" max="17" width="9.125" bestFit="1" customWidth="1"/>
    <col min="18" max="18" width="13.25" customWidth="1"/>
    <col min="19" max="19" width="10.5" customWidth="1"/>
    <col min="20" max="20" width="11.625" customWidth="1"/>
    <col min="21" max="21" width="9.125" bestFit="1" customWidth="1"/>
    <col min="22" max="22" width="9.875" style="214" bestFit="1" customWidth="1"/>
    <col min="23" max="27" width="9.125" bestFit="1" customWidth="1"/>
    <col min="30" max="30" width="9" style="59"/>
    <col min="35" max="53" width="9" style="59"/>
  </cols>
  <sheetData>
    <row r="1" spans="1:106" ht="17.25">
      <c r="A1" s="328" t="s">
        <v>500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203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725" t="s">
        <v>23</v>
      </c>
      <c r="B2" s="725"/>
      <c r="C2" s="725"/>
      <c r="D2" s="725"/>
      <c r="E2" s="725"/>
      <c r="F2" s="725"/>
      <c r="G2" s="725"/>
      <c r="H2" s="725"/>
      <c r="I2" s="725"/>
      <c r="J2" s="725"/>
      <c r="K2" s="725"/>
      <c r="L2" s="725"/>
      <c r="M2" s="725"/>
      <c r="N2" s="725"/>
      <c r="O2" s="725"/>
      <c r="P2" s="725"/>
      <c r="Q2" s="725"/>
      <c r="R2" s="725"/>
      <c r="S2" s="725"/>
      <c r="T2" s="725"/>
      <c r="U2" s="725"/>
      <c r="V2" s="725"/>
      <c r="W2" s="725"/>
      <c r="X2" s="725"/>
      <c r="Y2" s="725"/>
      <c r="Z2" s="725"/>
      <c r="AA2" s="725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329" t="s">
        <v>501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204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604" t="s">
        <v>502</v>
      </c>
      <c r="B4" s="705" t="s">
        <v>25</v>
      </c>
      <c r="C4" s="705" t="s">
        <v>26</v>
      </c>
      <c r="D4" s="705" t="s">
        <v>27</v>
      </c>
      <c r="E4" s="717" t="s">
        <v>28</v>
      </c>
      <c r="F4" s="720" t="s">
        <v>29</v>
      </c>
      <c r="G4" s="684" t="s">
        <v>30</v>
      </c>
      <c r="H4" s="684"/>
      <c r="I4" s="705" t="s">
        <v>31</v>
      </c>
      <c r="J4" s="708" t="s">
        <v>32</v>
      </c>
      <c r="K4" s="711" t="s">
        <v>33</v>
      </c>
      <c r="L4" s="705" t="s">
        <v>34</v>
      </c>
      <c r="M4" s="714" t="s">
        <v>35</v>
      </c>
      <c r="N4" s="702" t="s">
        <v>36</v>
      </c>
      <c r="O4" s="684" t="s">
        <v>37</v>
      </c>
      <c r="P4" s="684"/>
      <c r="Q4" s="684"/>
      <c r="R4" s="684"/>
      <c r="S4" s="684"/>
      <c r="T4" s="684"/>
      <c r="U4" s="684"/>
      <c r="V4" s="703" t="s">
        <v>38</v>
      </c>
      <c r="W4" s="702" t="s">
        <v>39</v>
      </c>
      <c r="X4" s="684" t="s">
        <v>40</v>
      </c>
      <c r="Y4" s="684"/>
      <c r="Z4" s="684"/>
      <c r="AA4" s="684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605"/>
      <c r="B5" s="706"/>
      <c r="C5" s="706"/>
      <c r="D5" s="706"/>
      <c r="E5" s="718"/>
      <c r="F5" s="721"/>
      <c r="G5" s="684"/>
      <c r="H5" s="684"/>
      <c r="I5" s="706"/>
      <c r="J5" s="709"/>
      <c r="K5" s="712"/>
      <c r="L5" s="706"/>
      <c r="M5" s="715"/>
      <c r="N5" s="702"/>
      <c r="O5" s="684" t="s">
        <v>41</v>
      </c>
      <c r="P5" s="684" t="s">
        <v>42</v>
      </c>
      <c r="Q5" s="684" t="s">
        <v>43</v>
      </c>
      <c r="R5" s="701" t="s">
        <v>44</v>
      </c>
      <c r="S5" s="654" t="s">
        <v>45</v>
      </c>
      <c r="T5" s="684" t="s">
        <v>46</v>
      </c>
      <c r="U5" s="684" t="s">
        <v>47</v>
      </c>
      <c r="V5" s="703"/>
      <c r="W5" s="702"/>
      <c r="X5" s="684" t="s">
        <v>13</v>
      </c>
      <c r="Y5" s="684" t="s">
        <v>48</v>
      </c>
      <c r="Z5" s="684" t="s">
        <v>49</v>
      </c>
      <c r="AA5" s="684" t="s">
        <v>47</v>
      </c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>
      <c r="A6" s="606"/>
      <c r="B6" s="707"/>
      <c r="C6" s="707"/>
      <c r="D6" s="707"/>
      <c r="E6" s="719"/>
      <c r="F6" s="722"/>
      <c r="G6" s="358" t="s">
        <v>50</v>
      </c>
      <c r="H6" s="358" t="s">
        <v>51</v>
      </c>
      <c r="I6" s="707"/>
      <c r="J6" s="710"/>
      <c r="K6" s="713"/>
      <c r="L6" s="707"/>
      <c r="M6" s="715"/>
      <c r="N6" s="702"/>
      <c r="O6" s="684"/>
      <c r="P6" s="684"/>
      <c r="Q6" s="684"/>
      <c r="R6" s="701"/>
      <c r="S6" s="654"/>
      <c r="T6" s="684"/>
      <c r="U6" s="684"/>
      <c r="V6" s="703"/>
      <c r="W6" s="702"/>
      <c r="X6" s="684"/>
      <c r="Y6" s="684"/>
      <c r="Z6" s="684"/>
      <c r="AA6" s="684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>
      <c r="A7" s="315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93">
        <f>SUM('1:2'!G7)</f>
        <v>0</v>
      </c>
      <c r="H7" s="95">
        <f t="shared" ref="H7:H24" si="0">D7*G7</f>
        <v>0</v>
      </c>
      <c r="I7" s="93">
        <f>SUM('1:2'!I7)</f>
        <v>0</v>
      </c>
      <c r="J7" s="31" t="str">
        <f>IF(ISERROR(G7/I7),"",G7/I7)</f>
        <v/>
      </c>
      <c r="K7" s="96">
        <f t="array" ref="K7">IF(ISERROR(G7/L7),"",G7/L7)</f>
        <v>0</v>
      </c>
      <c r="L7" s="84">
        <v>16</v>
      </c>
      <c r="M7" s="97">
        <f t="shared" ref="M7:M16" si="1">IF(ISERROR(I7-K7),"",I7-K7)</f>
        <v>0</v>
      </c>
      <c r="N7" s="93">
        <f>SUM('1:2'!N7)</f>
        <v>0</v>
      </c>
      <c r="O7" s="93">
        <f>SUM('1:2'!O7)</f>
        <v>0</v>
      </c>
      <c r="P7" s="93">
        <f>SUM('1:2'!P7)</f>
        <v>0</v>
      </c>
      <c r="Q7" s="93">
        <f>SUM('1:2'!Q7)</f>
        <v>0</v>
      </c>
      <c r="R7" s="93">
        <f>SUM('1:2'!R7)</f>
        <v>0</v>
      </c>
      <c r="S7" s="93">
        <f>SUM('1:2'!S7)</f>
        <v>0</v>
      </c>
      <c r="T7" s="93">
        <f>SUM('1:2'!T7)</f>
        <v>0</v>
      </c>
      <c r="U7" s="93">
        <f>SUM('1:2'!U7)</f>
        <v>0</v>
      </c>
      <c r="V7" s="205">
        <f t="shared" ref="V7:V27" si="2">SUM(X7:AA7)</f>
        <v>0</v>
      </c>
      <c r="W7" s="33" t="str">
        <f t="shared" ref="W7:W16" si="3">IF(ISERROR(V7/G7),"",V7/G7)</f>
        <v/>
      </c>
      <c r="X7" s="93">
        <f>SUM('1:2'!X7)</f>
        <v>0</v>
      </c>
      <c r="Y7" s="93">
        <f>SUM('1:2'!Y7)</f>
        <v>0</v>
      </c>
      <c r="Z7" s="93">
        <f>SUM('1:2'!Z7)</f>
        <v>0</v>
      </c>
      <c r="AA7" s="93">
        <f>SUM('1:2'!AA7)</f>
        <v>0</v>
      </c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>
      <c r="A8" s="300"/>
      <c r="B8" s="62" t="s">
        <v>54</v>
      </c>
      <c r="C8" s="16" t="s">
        <v>53</v>
      </c>
      <c r="D8" s="17">
        <v>5.03</v>
      </c>
      <c r="E8" s="17"/>
      <c r="F8" s="6"/>
      <c r="G8" s="93">
        <f>SUM('1:2'!G8)</f>
        <v>0</v>
      </c>
      <c r="H8" s="95">
        <f t="shared" si="0"/>
        <v>0</v>
      </c>
      <c r="I8" s="93">
        <f>SUM('1:2'!I8)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87">
        <v>19</v>
      </c>
      <c r="M8" s="36">
        <f t="shared" si="1"/>
        <v>0</v>
      </c>
      <c r="N8" s="93">
        <f>SUM('1:2'!N8)</f>
        <v>0</v>
      </c>
      <c r="O8" s="93">
        <f>SUM('1:2'!O8)</f>
        <v>0</v>
      </c>
      <c r="P8" s="93">
        <f>SUM('1:2'!P8)</f>
        <v>0</v>
      </c>
      <c r="Q8" s="93">
        <f>SUM('1:2'!Q8)</f>
        <v>0</v>
      </c>
      <c r="R8" s="93">
        <f>SUM('1:2'!R8)</f>
        <v>0</v>
      </c>
      <c r="S8" s="93">
        <f>SUM('1:2'!S8)</f>
        <v>0</v>
      </c>
      <c r="T8" s="93">
        <f>SUM('1:2'!T8)</f>
        <v>0</v>
      </c>
      <c r="U8" s="93">
        <f>SUM('1:2'!U8)</f>
        <v>0</v>
      </c>
      <c r="V8" s="205">
        <f t="shared" si="2"/>
        <v>0</v>
      </c>
      <c r="W8" s="33" t="str">
        <f t="shared" si="3"/>
        <v/>
      </c>
      <c r="X8" s="93">
        <f>SUM('1:2'!X8)</f>
        <v>0</v>
      </c>
      <c r="Y8" s="93">
        <f>SUM('1:2'!Y8)</f>
        <v>0</v>
      </c>
      <c r="Z8" s="93">
        <f>SUM('1:2'!Z8)</f>
        <v>0</v>
      </c>
      <c r="AA8" s="93">
        <f>SUM('1:2'!AA8)</f>
        <v>0</v>
      </c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>
      <c r="A9" s="301"/>
      <c r="B9" s="62" t="s">
        <v>54</v>
      </c>
      <c r="C9" s="16" t="s">
        <v>55</v>
      </c>
      <c r="D9" s="17">
        <v>5.03</v>
      </c>
      <c r="E9" s="17"/>
      <c r="F9" s="6"/>
      <c r="G9" s="93">
        <f>SUM('1:2'!G9)</f>
        <v>0</v>
      </c>
      <c r="H9" s="95">
        <f t="shared" si="0"/>
        <v>0</v>
      </c>
      <c r="I9" s="93">
        <f>SUM('1:2'!I9)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87">
        <v>19</v>
      </c>
      <c r="M9" s="36">
        <f t="shared" si="1"/>
        <v>0</v>
      </c>
      <c r="N9" s="93">
        <f>SUM('1:2'!N9)</f>
        <v>0</v>
      </c>
      <c r="O9" s="93">
        <f>SUM('1:2'!O9)</f>
        <v>0</v>
      </c>
      <c r="P9" s="93">
        <f>SUM('1:2'!P9)</f>
        <v>0</v>
      </c>
      <c r="Q9" s="93">
        <f>SUM('1:2'!Q9)</f>
        <v>0</v>
      </c>
      <c r="R9" s="93">
        <f>SUM('1:2'!R9)</f>
        <v>0</v>
      </c>
      <c r="S9" s="93">
        <f>SUM('1:2'!S9)</f>
        <v>0</v>
      </c>
      <c r="T9" s="93">
        <f>SUM('1:2'!T9)</f>
        <v>0</v>
      </c>
      <c r="U9" s="93">
        <f>SUM('1:2'!U9)</f>
        <v>0</v>
      </c>
      <c r="V9" s="205">
        <f t="shared" si="2"/>
        <v>0</v>
      </c>
      <c r="W9" s="33" t="str">
        <f t="shared" si="3"/>
        <v/>
      </c>
      <c r="X9" s="93">
        <f>SUM('1:2'!X9)</f>
        <v>0</v>
      </c>
      <c r="Y9" s="93">
        <f>SUM('1:2'!Y9)</f>
        <v>0</v>
      </c>
      <c r="Z9" s="93">
        <f>SUM('1:2'!Z9)</f>
        <v>0</v>
      </c>
      <c r="AA9" s="93">
        <f>SUM('1:2'!AA9)</f>
        <v>0</v>
      </c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>
      <c r="A10" s="315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93">
        <f>SUM('1:2'!G10)</f>
        <v>504</v>
      </c>
      <c r="H10" s="95">
        <f t="shared" si="0"/>
        <v>2535.1200000000003</v>
      </c>
      <c r="I10" s="93">
        <f>SUM('1:2'!I10)</f>
        <v>36</v>
      </c>
      <c r="J10" s="31">
        <f t="array" ref="J10">IF(ISERROR(G10/I10),"",G10/I10)</f>
        <v>14</v>
      </c>
      <c r="K10" s="35">
        <f t="array" ref="K10">IF(ISERROR(G10/L10),"",G10/L10)</f>
        <v>26.526315789473685</v>
      </c>
      <c r="L10" s="87">
        <v>19</v>
      </c>
      <c r="M10" s="36">
        <f t="shared" si="1"/>
        <v>9.473684210526315</v>
      </c>
      <c r="N10" s="93">
        <f>SUM('1:2'!N10)</f>
        <v>0</v>
      </c>
      <c r="O10" s="93">
        <f>SUM('1:2'!O10)</f>
        <v>0</v>
      </c>
      <c r="P10" s="93">
        <f>SUM('1:2'!P10)</f>
        <v>0</v>
      </c>
      <c r="Q10" s="93">
        <f>SUM('1:2'!Q10)</f>
        <v>0</v>
      </c>
      <c r="R10" s="93">
        <f>SUM('1:2'!R10)</f>
        <v>0</v>
      </c>
      <c r="S10" s="93">
        <f>SUM('1:2'!S10)</f>
        <v>0</v>
      </c>
      <c r="T10" s="93">
        <f>SUM('1:2'!T10)</f>
        <v>0</v>
      </c>
      <c r="U10" s="93">
        <f>SUM('1:2'!U10)</f>
        <v>0</v>
      </c>
      <c r="V10" s="205">
        <f t="shared" si="2"/>
        <v>0</v>
      </c>
      <c r="W10" s="33">
        <f t="shared" si="3"/>
        <v>0</v>
      </c>
      <c r="X10" s="93">
        <f>SUM('1:2'!X10)</f>
        <v>0</v>
      </c>
      <c r="Y10" s="93">
        <f>SUM('1:2'!Y10)</f>
        <v>0</v>
      </c>
      <c r="Z10" s="93">
        <f>SUM('1:2'!Z10)</f>
        <v>0</v>
      </c>
      <c r="AA10" s="93">
        <f>SUM('1:2'!AA10)</f>
        <v>0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>
      <c r="A11" s="315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93">
        <f>SUM('1:2'!G11)</f>
        <v>258</v>
      </c>
      <c r="H11" s="95">
        <f t="shared" si="0"/>
        <v>1297.74</v>
      </c>
      <c r="I11" s="93">
        <f>SUM('1:2'!I11)</f>
        <v>24</v>
      </c>
      <c r="J11" s="31">
        <f t="array" ref="J11">IF(ISERROR(G11/I11),"",G11/I11)</f>
        <v>10.75</v>
      </c>
      <c r="K11" s="35">
        <f t="array" ref="K11">IF(ISERROR(G11/L11),"",G11/L11)</f>
        <v>12.9</v>
      </c>
      <c r="L11" s="87">
        <v>20</v>
      </c>
      <c r="M11" s="36">
        <f t="shared" si="1"/>
        <v>11.1</v>
      </c>
      <c r="N11" s="93">
        <f>SUM('1:2'!N11)</f>
        <v>0</v>
      </c>
      <c r="O11" s="93">
        <f>SUM('1:2'!O11)</f>
        <v>0</v>
      </c>
      <c r="P11" s="93">
        <f>SUM('1:2'!P11)</f>
        <v>0</v>
      </c>
      <c r="Q11" s="93">
        <f>SUM('1:2'!Q11)</f>
        <v>0</v>
      </c>
      <c r="R11" s="93">
        <f>SUM('1:2'!R11)</f>
        <v>0</v>
      </c>
      <c r="S11" s="93">
        <f>SUM('1:2'!S11)</f>
        <v>0</v>
      </c>
      <c r="T11" s="93">
        <f>SUM('1:2'!T11)</f>
        <v>0</v>
      </c>
      <c r="U11" s="93">
        <f>SUM('1:2'!U11)</f>
        <v>0</v>
      </c>
      <c r="V11" s="205">
        <f t="shared" si="2"/>
        <v>0</v>
      </c>
      <c r="W11" s="33">
        <f t="shared" si="3"/>
        <v>0</v>
      </c>
      <c r="X11" s="93">
        <f>SUM('1:2'!X11)</f>
        <v>0</v>
      </c>
      <c r="Y11" s="93">
        <f>SUM('1:2'!Y11)</f>
        <v>0</v>
      </c>
      <c r="Z11" s="93">
        <f>SUM('1:2'!Z11)</f>
        <v>0</v>
      </c>
      <c r="AA11" s="93">
        <f>SUM('1:2'!AA11)</f>
        <v>0</v>
      </c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>
      <c r="A12" s="315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93">
        <f>SUM('1:2'!G12)</f>
        <v>0</v>
      </c>
      <c r="H12" s="95">
        <f t="shared" si="0"/>
        <v>0</v>
      </c>
      <c r="I12" s="93">
        <f>SUM('1:2'!I12)</f>
        <v>0</v>
      </c>
      <c r="J12" s="31" t="str">
        <f t="array" ref="J12">IF(ISERROR(G12/I12),"",G12/I12)</f>
        <v/>
      </c>
      <c r="K12" s="35">
        <f t="array" ref="K12">IF(ISERROR(G12/L12),"",G12/L12)</f>
        <v>0</v>
      </c>
      <c r="L12" s="87">
        <v>19</v>
      </c>
      <c r="M12" s="36">
        <f t="shared" si="1"/>
        <v>0</v>
      </c>
      <c r="N12" s="93">
        <f>SUM('1:2'!N12)</f>
        <v>0</v>
      </c>
      <c r="O12" s="93">
        <f>SUM('1:2'!O12)</f>
        <v>0</v>
      </c>
      <c r="P12" s="93">
        <f>SUM('1:2'!P12)</f>
        <v>0</v>
      </c>
      <c r="Q12" s="93">
        <f>SUM('1:2'!Q12)</f>
        <v>0</v>
      </c>
      <c r="R12" s="93">
        <f>SUM('1:2'!R12)</f>
        <v>0</v>
      </c>
      <c r="S12" s="93">
        <f>SUM('1:2'!S12)</f>
        <v>0</v>
      </c>
      <c r="T12" s="93">
        <f>SUM('1:2'!T12)</f>
        <v>0</v>
      </c>
      <c r="U12" s="93">
        <f>SUM('1:2'!U12)</f>
        <v>0</v>
      </c>
      <c r="V12" s="205">
        <f t="shared" si="2"/>
        <v>0</v>
      </c>
      <c r="W12" s="33" t="str">
        <f t="shared" si="3"/>
        <v/>
      </c>
      <c r="X12" s="93">
        <f>SUM('1:2'!X12)</f>
        <v>0</v>
      </c>
      <c r="Y12" s="93">
        <f>SUM('1:2'!Y12)</f>
        <v>0</v>
      </c>
      <c r="Z12" s="93">
        <f>SUM('1:2'!Z12)</f>
        <v>0</v>
      </c>
      <c r="AA12" s="93">
        <f>SUM('1:2'!AA12)</f>
        <v>0</v>
      </c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>
      <c r="A13" s="332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93">
        <f>SUM('1:2'!G13)</f>
        <v>0</v>
      </c>
      <c r="H13" s="95">
        <f t="shared" si="0"/>
        <v>0</v>
      </c>
      <c r="I13" s="93">
        <f>SUM('1:2'!I13)</f>
        <v>0</v>
      </c>
      <c r="J13" s="31" t="str">
        <f t="array" ref="J13">IF(ISERROR(G13/I13),"",G13/I13)</f>
        <v/>
      </c>
      <c r="K13" s="35">
        <f t="array" ref="K13">IF(ISERROR(G13/L13),"",G13/L13)</f>
        <v>0</v>
      </c>
      <c r="L13" s="87">
        <v>3</v>
      </c>
      <c r="M13" s="36">
        <f t="shared" si="1"/>
        <v>0</v>
      </c>
      <c r="N13" s="93">
        <f>SUM('1:2'!N13)</f>
        <v>0</v>
      </c>
      <c r="O13" s="93">
        <f>SUM('1:2'!O13)</f>
        <v>0</v>
      </c>
      <c r="P13" s="93">
        <f>SUM('1:2'!P13)</f>
        <v>0</v>
      </c>
      <c r="Q13" s="93">
        <f>SUM('1:2'!Q13)</f>
        <v>0</v>
      </c>
      <c r="R13" s="93">
        <f>SUM('1:2'!R13)</f>
        <v>0</v>
      </c>
      <c r="S13" s="93">
        <f>SUM('1:2'!S13)</f>
        <v>0</v>
      </c>
      <c r="T13" s="93">
        <f>SUM('1:2'!T13)</f>
        <v>0</v>
      </c>
      <c r="U13" s="93">
        <f>SUM('1:2'!U13)</f>
        <v>0</v>
      </c>
      <c r="V13" s="205">
        <f t="shared" si="2"/>
        <v>0</v>
      </c>
      <c r="W13" s="33" t="str">
        <f t="shared" si="3"/>
        <v/>
      </c>
      <c r="X13" s="93">
        <f>SUM('1:2'!X13)</f>
        <v>0</v>
      </c>
      <c r="Y13" s="93">
        <f>SUM('1:2'!Y13)</f>
        <v>0</v>
      </c>
      <c r="Z13" s="93">
        <f>SUM('1:2'!Z13)</f>
        <v>0</v>
      </c>
      <c r="AA13" s="93">
        <f>SUM('1:2'!AA13)</f>
        <v>0</v>
      </c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>
      <c r="A14" s="302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93">
        <f>SUM('1:2'!G14)</f>
        <v>0</v>
      </c>
      <c r="H14" s="95">
        <f t="shared" si="0"/>
        <v>0</v>
      </c>
      <c r="I14" s="93">
        <f>SUM('1:2'!I14)</f>
        <v>0</v>
      </c>
      <c r="J14" s="31" t="str">
        <f t="array" ref="J14">IF(ISERROR(G14/I14),"",G14/I14)</f>
        <v/>
      </c>
      <c r="K14" s="35">
        <f t="array" ref="K14">IF(ISERROR(G14/L14),"",G14/L14)</f>
        <v>0</v>
      </c>
      <c r="L14" s="87">
        <v>3</v>
      </c>
      <c r="M14" s="36">
        <f t="shared" si="1"/>
        <v>0</v>
      </c>
      <c r="N14" s="93">
        <f>SUM('1:2'!N14)</f>
        <v>0</v>
      </c>
      <c r="O14" s="93">
        <f>SUM('1:2'!O14)</f>
        <v>0</v>
      </c>
      <c r="P14" s="93">
        <f>SUM('1:2'!P14)</f>
        <v>0</v>
      </c>
      <c r="Q14" s="93">
        <f>SUM('1:2'!Q14)</f>
        <v>0</v>
      </c>
      <c r="R14" s="93">
        <f>SUM('1:2'!R14)</f>
        <v>0</v>
      </c>
      <c r="S14" s="93">
        <f>SUM('1:2'!S14)</f>
        <v>0</v>
      </c>
      <c r="T14" s="93">
        <f>SUM('1:2'!T14)</f>
        <v>0</v>
      </c>
      <c r="U14" s="93">
        <f>SUM('1:2'!U14)</f>
        <v>0</v>
      </c>
      <c r="V14" s="205">
        <f t="shared" si="2"/>
        <v>0</v>
      </c>
      <c r="W14" s="33" t="str">
        <f t="shared" si="3"/>
        <v/>
      </c>
      <c r="X14" s="93">
        <f>SUM('1:2'!X14)</f>
        <v>0</v>
      </c>
      <c r="Y14" s="93">
        <f>SUM('1:2'!Y14)</f>
        <v>0</v>
      </c>
      <c r="Z14" s="93">
        <f>SUM('1:2'!Z14)</f>
        <v>0</v>
      </c>
      <c r="AA14" s="93">
        <f>SUM('1:2'!AA14)</f>
        <v>0</v>
      </c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>
      <c r="A15" s="300">
        <v>30200006</v>
      </c>
      <c r="B15" s="265" t="s">
        <v>62</v>
      </c>
      <c r="C15" s="16" t="s">
        <v>63</v>
      </c>
      <c r="D15" s="17">
        <v>5.04</v>
      </c>
      <c r="E15" s="17"/>
      <c r="F15" s="79"/>
      <c r="G15" s="93">
        <f>SUM('1:2'!G15)</f>
        <v>0</v>
      </c>
      <c r="H15" s="95">
        <f t="shared" si="0"/>
        <v>0</v>
      </c>
      <c r="I15" s="93">
        <f>SUM('1:2'!I15)</f>
        <v>0</v>
      </c>
      <c r="J15" s="31" t="str">
        <f t="array" ref="J15">IF(ISERROR(G15/I15),"",G15/I15)</f>
        <v/>
      </c>
      <c r="K15" s="35">
        <f t="array" ref="K15">IF(ISERROR(G15/L15),"",G15/L15)</f>
        <v>0</v>
      </c>
      <c r="L15" s="87">
        <v>17</v>
      </c>
      <c r="M15" s="36">
        <f t="shared" si="1"/>
        <v>0</v>
      </c>
      <c r="N15" s="93">
        <f>SUM('1:2'!N15)</f>
        <v>0</v>
      </c>
      <c r="O15" s="93">
        <f>SUM('1:2'!O15)</f>
        <v>0</v>
      </c>
      <c r="P15" s="93">
        <f>SUM('1:2'!P15)</f>
        <v>0</v>
      </c>
      <c r="Q15" s="93">
        <f>SUM('1:2'!Q15)</f>
        <v>0</v>
      </c>
      <c r="R15" s="93">
        <f>SUM('1:2'!R15)</f>
        <v>0</v>
      </c>
      <c r="S15" s="93">
        <f>SUM('1:2'!S15)</f>
        <v>0</v>
      </c>
      <c r="T15" s="93">
        <f>SUM('1:2'!T15)</f>
        <v>0</v>
      </c>
      <c r="U15" s="93">
        <f>SUM('1:2'!U15)</f>
        <v>0</v>
      </c>
      <c r="V15" s="205">
        <f t="shared" si="2"/>
        <v>0</v>
      </c>
      <c r="W15" s="33" t="str">
        <f t="shared" si="3"/>
        <v/>
      </c>
      <c r="X15" s="93">
        <f>SUM('1:2'!X15)</f>
        <v>0</v>
      </c>
      <c r="Y15" s="93">
        <f>SUM('1:2'!Y15)</f>
        <v>0</v>
      </c>
      <c r="Z15" s="93">
        <f>SUM('1:2'!Z15)</f>
        <v>0</v>
      </c>
      <c r="AA15" s="93">
        <f>SUM('1:2'!AA15)</f>
        <v>0</v>
      </c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>
      <c r="A16" s="300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93">
        <f>SUM('1:2'!G16)</f>
        <v>140</v>
      </c>
      <c r="H16" s="95">
        <f t="shared" si="0"/>
        <v>705.6</v>
      </c>
      <c r="I16" s="93">
        <f>SUM('1:2'!I16)</f>
        <v>10</v>
      </c>
      <c r="J16" s="31">
        <f t="array" ref="J16">IF(ISERROR(G16/I16),"",G16/I16)</f>
        <v>14</v>
      </c>
      <c r="K16" s="35">
        <f t="array" ref="K16">IF(ISERROR(G16/L16),"",G16/L16)</f>
        <v>8.235294117647058</v>
      </c>
      <c r="L16" s="87">
        <v>17</v>
      </c>
      <c r="M16" s="36">
        <f t="shared" si="1"/>
        <v>1.764705882352942</v>
      </c>
      <c r="N16" s="93">
        <f>SUM('1:2'!N16)</f>
        <v>0</v>
      </c>
      <c r="O16" s="93">
        <f>SUM('1:2'!O16)</f>
        <v>0</v>
      </c>
      <c r="P16" s="93">
        <f>SUM('1:2'!P16)</f>
        <v>0</v>
      </c>
      <c r="Q16" s="93">
        <f>SUM('1:2'!Q16)</f>
        <v>0</v>
      </c>
      <c r="R16" s="93">
        <f>SUM('1:2'!R16)</f>
        <v>0</v>
      </c>
      <c r="S16" s="93">
        <f>SUM('1:2'!S16)</f>
        <v>0</v>
      </c>
      <c r="T16" s="93">
        <f>SUM('1:2'!T16)</f>
        <v>0</v>
      </c>
      <c r="U16" s="93">
        <f>SUM('1:2'!U16)</f>
        <v>0</v>
      </c>
      <c r="V16" s="205">
        <f t="shared" si="2"/>
        <v>0</v>
      </c>
      <c r="W16" s="33">
        <f t="shared" si="3"/>
        <v>0</v>
      </c>
      <c r="X16" s="93">
        <f>SUM('1:2'!X16)</f>
        <v>0</v>
      </c>
      <c r="Y16" s="93">
        <f>SUM('1:2'!Y16)</f>
        <v>0</v>
      </c>
      <c r="Z16" s="93">
        <f>SUM('1:2'!Z16)</f>
        <v>0</v>
      </c>
      <c r="AA16" s="93">
        <f>SUM('1:2'!AA16)</f>
        <v>0</v>
      </c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>
      <c r="A17" s="302">
        <v>30100063</v>
      </c>
      <c r="B17" s="192" t="s">
        <v>191</v>
      </c>
      <c r="C17" s="16" t="s">
        <v>172</v>
      </c>
      <c r="D17" s="17"/>
      <c r="E17" s="17"/>
      <c r="F17" s="6"/>
      <c r="G17" s="93">
        <f>SUM('1:2'!G17)</f>
        <v>0</v>
      </c>
      <c r="H17" s="95">
        <f t="shared" si="0"/>
        <v>0</v>
      </c>
      <c r="I17" s="93">
        <f>SUM('1:2'!I17)</f>
        <v>0</v>
      </c>
      <c r="J17" s="31" t="str">
        <f t="array" ref="J17">IF(ISERROR(G17/I17),"",G17/I17)</f>
        <v/>
      </c>
      <c r="K17" s="35">
        <f t="array" ref="K17">IF(ISERROR(G17/L17),"",G17/L17)</f>
        <v>0</v>
      </c>
      <c r="L17" s="87">
        <v>17</v>
      </c>
      <c r="M17" s="36">
        <f>IF(ISERROR(I17-K17),"",I17-K17)</f>
        <v>0</v>
      </c>
      <c r="N17" s="93">
        <f>SUM('1:2'!N17)</f>
        <v>0</v>
      </c>
      <c r="O17" s="93">
        <f>SUM('1:2'!O17)</f>
        <v>0</v>
      </c>
      <c r="P17" s="93">
        <f>SUM('1:2'!P17)</f>
        <v>0</v>
      </c>
      <c r="Q17" s="93">
        <f>SUM('1:2'!Q17)</f>
        <v>0</v>
      </c>
      <c r="R17" s="93">
        <f>SUM('1:2'!R17)</f>
        <v>0</v>
      </c>
      <c r="S17" s="93">
        <f>SUM('1:2'!S17)</f>
        <v>0</v>
      </c>
      <c r="T17" s="93">
        <f>SUM('1:2'!T17)</f>
        <v>0</v>
      </c>
      <c r="U17" s="93">
        <f>SUM('1:2'!U17)</f>
        <v>0</v>
      </c>
      <c r="V17" s="205">
        <f t="shared" si="2"/>
        <v>0</v>
      </c>
      <c r="W17" s="33" t="str">
        <f>IF(ISERROR(V17/G17),"",V17/G17)</f>
        <v/>
      </c>
      <c r="X17" s="93">
        <f>SUM('1:2'!X17)</f>
        <v>0</v>
      </c>
      <c r="Y17" s="93">
        <f>SUM('1:2'!Y17)</f>
        <v>0</v>
      </c>
      <c r="Z17" s="93">
        <f>SUM('1:2'!Z17)</f>
        <v>0</v>
      </c>
      <c r="AA17" s="93">
        <f>SUM('1:2'!AA17)</f>
        <v>0</v>
      </c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>
      <c r="A18" s="302">
        <v>30100061</v>
      </c>
      <c r="B18" s="62" t="s">
        <v>171</v>
      </c>
      <c r="C18" s="16" t="s">
        <v>173</v>
      </c>
      <c r="D18" s="17"/>
      <c r="E18" s="17"/>
      <c r="F18" s="6"/>
      <c r="G18" s="93">
        <f>SUM('1:2'!G18)</f>
        <v>0</v>
      </c>
      <c r="H18" s="95">
        <f t="shared" si="0"/>
        <v>0</v>
      </c>
      <c r="I18" s="93">
        <f>SUM('1:2'!I18)</f>
        <v>0</v>
      </c>
      <c r="J18" s="31" t="str">
        <f t="array" ref="J18">IF(ISERROR(G18/I18),"",G18/I18)</f>
        <v/>
      </c>
      <c r="K18" s="35">
        <f t="array" ref="K18">IF(ISERROR(G18/L18),"",G18/L18)</f>
        <v>0</v>
      </c>
      <c r="L18" s="87">
        <v>17</v>
      </c>
      <c r="M18" s="36">
        <f>IF(ISERROR(I18-K18),"",I18-K18)</f>
        <v>0</v>
      </c>
      <c r="N18" s="93">
        <f>SUM('1:2'!N18)</f>
        <v>0</v>
      </c>
      <c r="O18" s="93">
        <f>SUM('1:2'!O18)</f>
        <v>0</v>
      </c>
      <c r="P18" s="93">
        <f>SUM('1:2'!P18)</f>
        <v>0</v>
      </c>
      <c r="Q18" s="93">
        <f>SUM('1:2'!Q18)</f>
        <v>0</v>
      </c>
      <c r="R18" s="93">
        <f>SUM('1:2'!R18)</f>
        <v>0</v>
      </c>
      <c r="S18" s="93">
        <f>SUM('1:2'!S18)</f>
        <v>0</v>
      </c>
      <c r="T18" s="93">
        <f>SUM('1:2'!T18)</f>
        <v>0</v>
      </c>
      <c r="U18" s="93">
        <f>SUM('1:2'!U18)</f>
        <v>0</v>
      </c>
      <c r="V18" s="205">
        <f t="shared" si="2"/>
        <v>0</v>
      </c>
      <c r="W18" s="33" t="str">
        <f>IF(ISERROR(V18/G18),"",V18/G18)</f>
        <v/>
      </c>
      <c r="X18" s="93">
        <f>SUM('1:2'!X18)</f>
        <v>0</v>
      </c>
      <c r="Y18" s="93">
        <f>SUM('1:2'!Y18)</f>
        <v>0</v>
      </c>
      <c r="Z18" s="93">
        <f>SUM('1:2'!Z18)</f>
        <v>0</v>
      </c>
      <c r="AA18" s="93">
        <f>SUM('1:2'!AA18)</f>
        <v>0</v>
      </c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>
      <c r="A19" s="300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93">
        <f>SUM('1:2'!G19)</f>
        <v>704</v>
      </c>
      <c r="H19" s="95">
        <f t="shared" si="0"/>
        <v>3562.24</v>
      </c>
      <c r="I19" s="93">
        <f>SUM('1:2'!I19)</f>
        <v>42.5</v>
      </c>
      <c r="J19" s="31">
        <f t="array" ref="J19">IF(ISERROR(G19/I19),"",G19/I19)</f>
        <v>16.564705882352943</v>
      </c>
      <c r="K19" s="35">
        <f t="array" ref="K19">IF(ISERROR(G19/L19),"",G19/L19)</f>
        <v>37.05263157894737</v>
      </c>
      <c r="L19" s="87">
        <v>19</v>
      </c>
      <c r="M19" s="36">
        <f t="shared" ref="M19:M21" si="4">IF(ISERROR(I19-K19),"",I19-K19)</f>
        <v>5.4473684210526301</v>
      </c>
      <c r="N19" s="93">
        <f>SUM('1:2'!N19)</f>
        <v>0</v>
      </c>
      <c r="O19" s="93">
        <f>SUM('1:2'!O19)</f>
        <v>0</v>
      </c>
      <c r="P19" s="93">
        <f>SUM('1:2'!P19)</f>
        <v>0</v>
      </c>
      <c r="Q19" s="93">
        <f>SUM('1:2'!Q19)</f>
        <v>0</v>
      </c>
      <c r="R19" s="93">
        <f>SUM('1:2'!R19)</f>
        <v>0</v>
      </c>
      <c r="S19" s="93">
        <f>SUM('1:2'!S19)</f>
        <v>0</v>
      </c>
      <c r="T19" s="93">
        <f>SUM('1:2'!T19)</f>
        <v>0</v>
      </c>
      <c r="U19" s="93">
        <f>SUM('1:2'!U19)</f>
        <v>0</v>
      </c>
      <c r="V19" s="205">
        <f t="shared" si="2"/>
        <v>0</v>
      </c>
      <c r="W19" s="33">
        <f t="shared" ref="W19:W21" si="5">IF(ISERROR(V19/G19),"",V19/G19)</f>
        <v>0</v>
      </c>
      <c r="X19" s="93">
        <f>SUM('1:2'!X19)</f>
        <v>0</v>
      </c>
      <c r="Y19" s="93">
        <f>SUM('1:2'!Y19)</f>
        <v>0</v>
      </c>
      <c r="Z19" s="93">
        <f>SUM('1:2'!Z19)</f>
        <v>0</v>
      </c>
      <c r="AA19" s="93">
        <f>SUM('1:2'!AA19)</f>
        <v>0</v>
      </c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>
      <c r="A20" s="300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93">
        <f>SUM('1:2'!G20)</f>
        <v>490</v>
      </c>
      <c r="H20" s="95">
        <f t="shared" si="0"/>
        <v>2494.1</v>
      </c>
      <c r="I20" s="93">
        <f>SUM('1:2'!I20)</f>
        <v>27.5</v>
      </c>
      <c r="J20" s="31">
        <f t="array" ref="J20">IF(ISERROR(G20/I20),"",G20/I20)</f>
        <v>17.818181818181817</v>
      </c>
      <c r="K20" s="35">
        <f t="array" ref="K20">IF(ISERROR(G20/L20),"",G20/L20)</f>
        <v>21.304347826086957</v>
      </c>
      <c r="L20" s="87">
        <v>23</v>
      </c>
      <c r="M20" s="36">
        <f t="shared" si="4"/>
        <v>6.195652173913043</v>
      </c>
      <c r="N20" s="93">
        <f>SUM('1:2'!N20)</f>
        <v>0</v>
      </c>
      <c r="O20" s="93">
        <f>SUM('1:2'!O20)</f>
        <v>0</v>
      </c>
      <c r="P20" s="93">
        <f>SUM('1:2'!P20)</f>
        <v>0</v>
      </c>
      <c r="Q20" s="93">
        <f>SUM('1:2'!Q20)</f>
        <v>0</v>
      </c>
      <c r="R20" s="93">
        <f>SUM('1:2'!R20)</f>
        <v>0</v>
      </c>
      <c r="S20" s="93">
        <f>SUM('1:2'!S20)</f>
        <v>0</v>
      </c>
      <c r="T20" s="93">
        <f>SUM('1:2'!T20)</f>
        <v>0</v>
      </c>
      <c r="U20" s="93">
        <f>SUM('1:2'!U20)</f>
        <v>0</v>
      </c>
      <c r="V20" s="205">
        <f t="shared" si="2"/>
        <v>0</v>
      </c>
      <c r="W20" s="33">
        <f t="shared" si="5"/>
        <v>0</v>
      </c>
      <c r="X20" s="93">
        <f>SUM('1:2'!X20)</f>
        <v>0</v>
      </c>
      <c r="Y20" s="93">
        <f>SUM('1:2'!Y20)</f>
        <v>0</v>
      </c>
      <c r="Z20" s="93">
        <f>SUM('1:2'!Z20)</f>
        <v>0</v>
      </c>
      <c r="AA20" s="93">
        <f>SUM('1:2'!AA20)</f>
        <v>0</v>
      </c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>
      <c r="A21" s="300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93">
        <f>SUM('1:2'!G21)</f>
        <v>1190</v>
      </c>
      <c r="H21" s="95">
        <f t="shared" si="0"/>
        <v>6057.0999999999995</v>
      </c>
      <c r="I21" s="93">
        <f>SUM('1:2'!I21)</f>
        <v>72.5</v>
      </c>
      <c r="J21" s="31">
        <f t="array" ref="J21">IF(ISERROR(G21/I21),"",G21/I21)</f>
        <v>16.413793103448278</v>
      </c>
      <c r="K21" s="35">
        <f t="array" ref="K21">IF(ISERROR(G21/L21),"",G21/L21)</f>
        <v>51.739130434782609</v>
      </c>
      <c r="L21" s="87">
        <v>23</v>
      </c>
      <c r="M21" s="36">
        <f t="shared" si="4"/>
        <v>20.760869565217391</v>
      </c>
      <c r="N21" s="93">
        <f>SUM('1:2'!N21)</f>
        <v>0</v>
      </c>
      <c r="O21" s="93">
        <f>SUM('1:2'!O21)</f>
        <v>0</v>
      </c>
      <c r="P21" s="93">
        <f>SUM('1:2'!P21)</f>
        <v>0</v>
      </c>
      <c r="Q21" s="93">
        <f>SUM('1:2'!Q21)</f>
        <v>0</v>
      </c>
      <c r="R21" s="93">
        <f>SUM('1:2'!R21)</f>
        <v>0</v>
      </c>
      <c r="S21" s="93">
        <f>SUM('1:2'!S21)</f>
        <v>0</v>
      </c>
      <c r="T21" s="93">
        <f>SUM('1:2'!T21)</f>
        <v>0</v>
      </c>
      <c r="U21" s="93">
        <f>SUM('1:2'!U21)</f>
        <v>0</v>
      </c>
      <c r="V21" s="205">
        <f t="shared" si="2"/>
        <v>0</v>
      </c>
      <c r="W21" s="33">
        <f t="shared" si="5"/>
        <v>0</v>
      </c>
      <c r="X21" s="93">
        <f>SUM('1:2'!X21)</f>
        <v>0</v>
      </c>
      <c r="Y21" s="93">
        <f>SUM('1:2'!Y21)</f>
        <v>0</v>
      </c>
      <c r="Z21" s="93">
        <f>SUM('1:2'!Z21)</f>
        <v>0</v>
      </c>
      <c r="AA21" s="93">
        <f>SUM('1:2'!AA21)</f>
        <v>0</v>
      </c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>
      <c r="A22" s="300">
        <v>30100003</v>
      </c>
      <c r="B22" s="64" t="s">
        <v>161</v>
      </c>
      <c r="C22" s="358" t="s">
        <v>64</v>
      </c>
      <c r="D22" s="17">
        <v>4.8</v>
      </c>
      <c r="E22" s="17"/>
      <c r="F22" s="6"/>
      <c r="G22" s="93">
        <f>SUM('1:2'!G22)</f>
        <v>0</v>
      </c>
      <c r="H22" s="95">
        <f t="shared" si="0"/>
        <v>0</v>
      </c>
      <c r="I22" s="93">
        <f>SUM('1:2'!I22)</f>
        <v>0</v>
      </c>
      <c r="J22" s="31"/>
      <c r="K22" s="35">
        <f t="array" ref="K22">IF(ISERROR(G22/L22),"",G22/L22)</f>
        <v>0</v>
      </c>
      <c r="L22" s="87">
        <v>4</v>
      </c>
      <c r="M22" s="36">
        <f>IF(ISERROR(I22-K22),"",I22-K22)</f>
        <v>0</v>
      </c>
      <c r="N22" s="93">
        <f>SUM('1:2'!N22)</f>
        <v>0</v>
      </c>
      <c r="O22" s="93">
        <f>SUM('1:2'!O22)</f>
        <v>0</v>
      </c>
      <c r="P22" s="93">
        <f>SUM('1:2'!P22)</f>
        <v>0</v>
      </c>
      <c r="Q22" s="93">
        <f>SUM('1:2'!Q22)</f>
        <v>0</v>
      </c>
      <c r="R22" s="93">
        <f>SUM('1:2'!R22)</f>
        <v>0</v>
      </c>
      <c r="S22" s="93">
        <f>SUM('1:2'!S22)</f>
        <v>0</v>
      </c>
      <c r="T22" s="93">
        <f>SUM('1:2'!T22)</f>
        <v>0</v>
      </c>
      <c r="U22" s="93">
        <f>SUM('1:2'!U22)</f>
        <v>0</v>
      </c>
      <c r="V22" s="205">
        <f t="shared" si="2"/>
        <v>0</v>
      </c>
      <c r="W22" s="33"/>
      <c r="X22" s="93">
        <f>SUM('1:2'!X22)</f>
        <v>0</v>
      </c>
      <c r="Y22" s="93">
        <f>SUM('1:2'!Y22)</f>
        <v>0</v>
      </c>
      <c r="Z22" s="93">
        <f>SUM('1:2'!Z22)</f>
        <v>0</v>
      </c>
      <c r="AA22" s="93">
        <f>SUM('1:2'!AA22)</f>
        <v>0</v>
      </c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>
      <c r="A23" s="300">
        <v>30100004</v>
      </c>
      <c r="B23" s="64" t="s">
        <v>161</v>
      </c>
      <c r="C23" s="358" t="s">
        <v>61</v>
      </c>
      <c r="D23" s="17">
        <v>4.8</v>
      </c>
      <c r="E23" s="17"/>
      <c r="F23" s="6"/>
      <c r="G23" s="93">
        <f>SUM('1:2'!G23)</f>
        <v>0</v>
      </c>
      <c r="H23" s="95">
        <f t="shared" si="0"/>
        <v>0</v>
      </c>
      <c r="I23" s="93">
        <f>SUM('1:2'!I23)</f>
        <v>0</v>
      </c>
      <c r="J23" s="31"/>
      <c r="K23" s="35">
        <f t="array" ref="K23">IF(ISERROR(G23/L23),"",G23/L23)</f>
        <v>0</v>
      </c>
      <c r="L23" s="87">
        <v>4</v>
      </c>
      <c r="M23" s="36">
        <f>IF(ISERROR(I23-K23),"",I23-K23)</f>
        <v>0</v>
      </c>
      <c r="N23" s="93">
        <f>SUM('1:2'!N23)</f>
        <v>0</v>
      </c>
      <c r="O23" s="93">
        <f>SUM('1:2'!O23)</f>
        <v>0</v>
      </c>
      <c r="P23" s="93">
        <f>SUM('1:2'!P23)</f>
        <v>0</v>
      </c>
      <c r="Q23" s="93">
        <f>SUM('1:2'!Q23)</f>
        <v>0</v>
      </c>
      <c r="R23" s="93">
        <f>SUM('1:2'!R23)</f>
        <v>0</v>
      </c>
      <c r="S23" s="93">
        <f>SUM('1:2'!S23)</f>
        <v>0</v>
      </c>
      <c r="T23" s="93">
        <f>SUM('1:2'!T23)</f>
        <v>0</v>
      </c>
      <c r="U23" s="93">
        <f>SUM('1:2'!U23)</f>
        <v>0</v>
      </c>
      <c r="V23" s="205">
        <f t="shared" si="2"/>
        <v>0</v>
      </c>
      <c r="W23" s="33"/>
      <c r="X23" s="93">
        <f>SUM('1:2'!X23)</f>
        <v>0</v>
      </c>
      <c r="Y23" s="93">
        <f>SUM('1:2'!Y23)</f>
        <v>0</v>
      </c>
      <c r="Z23" s="93">
        <f>SUM('1:2'!Z23)</f>
        <v>0</v>
      </c>
      <c r="AA23" s="93">
        <f>SUM('1:2'!AA23)</f>
        <v>0</v>
      </c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>
      <c r="A24" s="300">
        <v>30100006</v>
      </c>
      <c r="B24" s="64" t="s">
        <v>161</v>
      </c>
      <c r="C24" s="358" t="s">
        <v>53</v>
      </c>
      <c r="D24" s="17">
        <v>4.8</v>
      </c>
      <c r="E24" s="17"/>
      <c r="F24" s="6"/>
      <c r="G24" s="93">
        <f>SUM('1:2'!G24)</f>
        <v>0</v>
      </c>
      <c r="H24" s="95">
        <f t="shared" si="0"/>
        <v>0</v>
      </c>
      <c r="I24" s="93">
        <f>SUM('1:2'!I24)</f>
        <v>0</v>
      </c>
      <c r="J24" s="31"/>
      <c r="K24" s="35">
        <f t="array" ref="K24">IF(ISERROR(G24/L24),"",G24/L24)</f>
        <v>0</v>
      </c>
      <c r="L24" s="87">
        <v>4</v>
      </c>
      <c r="M24" s="36">
        <f>IF(ISERROR(I24-K24),"",I24-K24)</f>
        <v>0</v>
      </c>
      <c r="N24" s="93">
        <f>SUM('1:2'!N24)</f>
        <v>0</v>
      </c>
      <c r="O24" s="93">
        <f>SUM('1:2'!O24)</f>
        <v>0</v>
      </c>
      <c r="P24" s="93">
        <f>SUM('1:2'!P24)</f>
        <v>0</v>
      </c>
      <c r="Q24" s="93">
        <f>SUM('1:2'!Q24)</f>
        <v>0</v>
      </c>
      <c r="R24" s="93">
        <f>SUM('1:2'!R24)</f>
        <v>0</v>
      </c>
      <c r="S24" s="93">
        <f>SUM('1:2'!S24)</f>
        <v>0</v>
      </c>
      <c r="T24" s="93">
        <f>SUM('1:2'!T24)</f>
        <v>0</v>
      </c>
      <c r="U24" s="93">
        <f>SUM('1:2'!U24)</f>
        <v>0</v>
      </c>
      <c r="V24" s="205">
        <f t="shared" si="2"/>
        <v>0</v>
      </c>
      <c r="W24" s="33"/>
      <c r="X24" s="93">
        <f>SUM('1:2'!X24)</f>
        <v>0</v>
      </c>
      <c r="Y24" s="93">
        <f>SUM('1:2'!Y24)</f>
        <v>0</v>
      </c>
      <c r="Z24" s="93">
        <f>SUM('1:2'!Z24)</f>
        <v>0</v>
      </c>
      <c r="AA24" s="93">
        <f>SUM('1:2'!AA24)</f>
        <v>0</v>
      </c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>
      <c r="A25" s="300">
        <v>30100005</v>
      </c>
      <c r="B25" s="64" t="s">
        <v>161</v>
      </c>
      <c r="C25" s="358" t="s">
        <v>73</v>
      </c>
      <c r="D25" s="17">
        <v>4.8</v>
      </c>
      <c r="E25" s="17"/>
      <c r="F25" s="6"/>
      <c r="G25" s="93">
        <f>SUM('1:2'!G25)</f>
        <v>0</v>
      </c>
      <c r="H25" s="95">
        <f>D25*G25</f>
        <v>0</v>
      </c>
      <c r="I25" s="93">
        <f>SUM('1:2'!I25)</f>
        <v>0</v>
      </c>
      <c r="J25" s="31"/>
      <c r="K25" s="35">
        <f t="array" ref="K25">IF(ISERROR(G25/L25),"",G25/L25)</f>
        <v>0</v>
      </c>
      <c r="L25" s="87">
        <v>4</v>
      </c>
      <c r="M25" s="36">
        <f>IF(ISERROR(I25-K25),"",I25-K25)</f>
        <v>0</v>
      </c>
      <c r="N25" s="93">
        <f>SUM('1:2'!N25)</f>
        <v>0</v>
      </c>
      <c r="O25" s="93">
        <f>SUM('1:2'!O25)</f>
        <v>0</v>
      </c>
      <c r="P25" s="93">
        <f>SUM('1:2'!P25)</f>
        <v>0</v>
      </c>
      <c r="Q25" s="93">
        <f>SUM('1:2'!Q25)</f>
        <v>0</v>
      </c>
      <c r="R25" s="93">
        <f>SUM('1:2'!R25)</f>
        <v>0</v>
      </c>
      <c r="S25" s="93">
        <f>SUM('1:2'!S25)</f>
        <v>0</v>
      </c>
      <c r="T25" s="93">
        <f>SUM('1:2'!T25)</f>
        <v>0</v>
      </c>
      <c r="U25" s="93">
        <f>SUM('1:2'!U25)</f>
        <v>0</v>
      </c>
      <c r="V25" s="205">
        <f t="shared" si="2"/>
        <v>0</v>
      </c>
      <c r="W25" s="33"/>
      <c r="X25" s="93">
        <f>SUM('1:2'!X25)</f>
        <v>0</v>
      </c>
      <c r="Y25" s="93">
        <f>SUM('1:2'!Y25)</f>
        <v>0</v>
      </c>
      <c r="Z25" s="93">
        <f>SUM('1:2'!Z25)</f>
        <v>0</v>
      </c>
      <c r="AA25" s="93">
        <f>SUM('1:2'!AA25)</f>
        <v>0</v>
      </c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>
      <c r="A26" s="300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93">
        <f>SUM('1:2'!G26)</f>
        <v>0</v>
      </c>
      <c r="H26" s="95">
        <f t="shared" ref="H26:H27" si="6">D26*G26</f>
        <v>0</v>
      </c>
      <c r="I26" s="93">
        <f>SUM('1:2'!I26)</f>
        <v>0</v>
      </c>
      <c r="J26" s="31" t="str">
        <f t="array" ref="J26">IF(ISERROR(G26/I26),"",G26/I26)</f>
        <v/>
      </c>
      <c r="K26" s="35">
        <f t="array" ref="K26">IF(ISERROR(G26/L26),"",G26/L26)</f>
        <v>0</v>
      </c>
      <c r="L26" s="87">
        <v>23.5</v>
      </c>
      <c r="M26" s="36">
        <f t="shared" ref="M26:M27" si="7">IF(ISERROR(I26-K26),"",I26-K26)</f>
        <v>0</v>
      </c>
      <c r="N26" s="93">
        <f>SUM('1:2'!N26)</f>
        <v>0</v>
      </c>
      <c r="O26" s="93">
        <f>SUM('1:2'!O26)</f>
        <v>0</v>
      </c>
      <c r="P26" s="93">
        <f>SUM('1:2'!P26)</f>
        <v>0</v>
      </c>
      <c r="Q26" s="93">
        <f>SUM('1:2'!Q26)</f>
        <v>0</v>
      </c>
      <c r="R26" s="93">
        <f>SUM('1:2'!R26)</f>
        <v>0</v>
      </c>
      <c r="S26" s="93">
        <f>SUM('1:2'!S26)</f>
        <v>0</v>
      </c>
      <c r="T26" s="93">
        <f>SUM('1:2'!T26)</f>
        <v>0</v>
      </c>
      <c r="U26" s="93">
        <f>SUM('1:2'!U26)</f>
        <v>0</v>
      </c>
      <c r="V26" s="205">
        <f t="shared" si="2"/>
        <v>0</v>
      </c>
      <c r="W26" s="33" t="str">
        <f t="shared" ref="W26:W27" si="8">IF(ISERROR(V26/G26),"",V26/G26)</f>
        <v/>
      </c>
      <c r="X26" s="93">
        <f>SUM('1:2'!X26)</f>
        <v>0</v>
      </c>
      <c r="Y26" s="93">
        <f>SUM('1:2'!Y26)</f>
        <v>0</v>
      </c>
      <c r="Z26" s="93">
        <f>SUM('1:2'!Z26)</f>
        <v>0</v>
      </c>
      <c r="AA26" s="93">
        <f>SUM('1:2'!AA26)</f>
        <v>0</v>
      </c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>
      <c r="A27" s="299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93">
        <f>SUM('1:2'!G27)</f>
        <v>0</v>
      </c>
      <c r="H27" s="95">
        <f t="shared" si="6"/>
        <v>0</v>
      </c>
      <c r="I27" s="93">
        <f>SUM('1:2'!I27)</f>
        <v>0</v>
      </c>
      <c r="J27" s="31" t="str">
        <f t="array" ref="J27">IF(ISERROR(G27/I27),"",G27/I27)</f>
        <v/>
      </c>
      <c r="K27" s="35">
        <f t="array" ref="K27">IF(ISERROR(G27/L27),"",G27/L27)</f>
        <v>0</v>
      </c>
      <c r="L27" s="87">
        <v>23.5</v>
      </c>
      <c r="M27" s="36">
        <f t="shared" si="7"/>
        <v>0</v>
      </c>
      <c r="N27" s="93">
        <f>SUM('1:2'!N27)</f>
        <v>0</v>
      </c>
      <c r="O27" s="93">
        <f>SUM('1:2'!O27)</f>
        <v>0</v>
      </c>
      <c r="P27" s="93">
        <f>SUM('1:2'!P27)</f>
        <v>0</v>
      </c>
      <c r="Q27" s="93">
        <f>SUM('1:2'!Q27)</f>
        <v>0</v>
      </c>
      <c r="R27" s="93">
        <f>SUM('1:2'!R27)</f>
        <v>0</v>
      </c>
      <c r="S27" s="93">
        <f>SUM('1:2'!S27)</f>
        <v>0</v>
      </c>
      <c r="T27" s="93">
        <f>SUM('1:2'!T27)</f>
        <v>0</v>
      </c>
      <c r="U27" s="93">
        <f>SUM('1:2'!U27)</f>
        <v>0</v>
      </c>
      <c r="V27" s="205">
        <f t="shared" si="2"/>
        <v>0</v>
      </c>
      <c r="W27" s="33" t="str">
        <f t="shared" si="8"/>
        <v/>
      </c>
      <c r="X27" s="93">
        <f>SUM('1:2'!X27)</f>
        <v>0</v>
      </c>
      <c r="Y27" s="93">
        <f>SUM('1:2'!Y27)</f>
        <v>0</v>
      </c>
      <c r="Z27" s="93">
        <f>SUM('1:2'!Z27)</f>
        <v>0</v>
      </c>
      <c r="AA27" s="93">
        <f>SUM('1:2'!AA27)</f>
        <v>0</v>
      </c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>
      <c r="A28" s="697" t="s">
        <v>70</v>
      </c>
      <c r="B28" s="698"/>
      <c r="C28" s="31" t="s">
        <v>71</v>
      </c>
      <c r="D28" s="30"/>
      <c r="E28" s="30"/>
      <c r="F28" s="30"/>
      <c r="G28" s="94">
        <f>SUM(G7:G27)</f>
        <v>3286</v>
      </c>
      <c r="H28" s="30">
        <f>SUM(H7:H27)</f>
        <v>16651.900000000001</v>
      </c>
      <c r="I28" s="30">
        <f>SUM(I7:I27)</f>
        <v>212.5</v>
      </c>
      <c r="J28" s="31">
        <f t="array" ref="J28">IF(ISERROR(G28/I28),"",G28/I28)</f>
        <v>15.463529411764705</v>
      </c>
      <c r="K28" s="30">
        <f>SUM(K7:K27)</f>
        <v>157.75771974693768</v>
      </c>
      <c r="L28" s="98"/>
      <c r="M28" s="89">
        <f t="shared" ref="M28:AA28" si="9">SUM(M7:M27)</f>
        <v>54.742280253062319</v>
      </c>
      <c r="N28" s="30">
        <f t="shared" si="9"/>
        <v>0</v>
      </c>
      <c r="O28" s="34">
        <f t="shared" si="9"/>
        <v>0</v>
      </c>
      <c r="P28" s="34">
        <f t="shared" si="9"/>
        <v>0</v>
      </c>
      <c r="Q28" s="34">
        <f t="shared" si="9"/>
        <v>0</v>
      </c>
      <c r="R28" s="34">
        <f t="shared" si="9"/>
        <v>0</v>
      </c>
      <c r="S28" s="34">
        <f t="shared" si="9"/>
        <v>0</v>
      </c>
      <c r="T28" s="34">
        <f t="shared" si="9"/>
        <v>0</v>
      </c>
      <c r="U28" s="34">
        <f t="shared" si="9"/>
        <v>0</v>
      </c>
      <c r="V28" s="206">
        <f t="shared" si="9"/>
        <v>0</v>
      </c>
      <c r="W28" s="33">
        <f t="shared" si="9"/>
        <v>0</v>
      </c>
      <c r="X28" s="92">
        <f t="shared" si="9"/>
        <v>0</v>
      </c>
      <c r="Y28" s="92">
        <f t="shared" si="9"/>
        <v>0</v>
      </c>
      <c r="Z28" s="92">
        <f t="shared" si="9"/>
        <v>0</v>
      </c>
      <c r="AA28" s="92">
        <f t="shared" si="9"/>
        <v>0</v>
      </c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</row>
    <row r="29" spans="1:106" ht="17.25" customHeight="1">
      <c r="A29" s="300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93">
        <f>SUM('1:2'!G29)</f>
        <v>0</v>
      </c>
      <c r="H29" s="364">
        <f t="shared" ref="H29:H85" si="10">D29*G29</f>
        <v>0</v>
      </c>
      <c r="I29" s="93">
        <f>SUM('1:2'!I29)</f>
        <v>0</v>
      </c>
      <c r="J29" s="31" t="str">
        <f t="array" ref="J29">IF(ISERROR(G29/I29),"",G29/I29)</f>
        <v/>
      </c>
      <c r="K29" s="35">
        <f t="array" ref="K29">IF(ISERROR(G29/L29),"",G29/L29)</f>
        <v>0</v>
      </c>
      <c r="L29" s="87">
        <v>52</v>
      </c>
      <c r="M29" s="36">
        <f t="shared" ref="M29" si="11">IF(ISERROR(I29-K29),"",I29-K29)</f>
        <v>0</v>
      </c>
      <c r="N29" s="93">
        <f>SUM('1:2'!N29)</f>
        <v>0</v>
      </c>
      <c r="O29" s="93">
        <f>SUM('1:2'!O29)</f>
        <v>0</v>
      </c>
      <c r="P29" s="93">
        <f>SUM('1:2'!P29)</f>
        <v>0</v>
      </c>
      <c r="Q29" s="93">
        <f>SUM('1:2'!Q29)</f>
        <v>0</v>
      </c>
      <c r="R29" s="93">
        <f>SUM('1:2'!R29)</f>
        <v>0</v>
      </c>
      <c r="S29" s="93">
        <f>SUM('1:2'!S29)</f>
        <v>0</v>
      </c>
      <c r="T29" s="93">
        <f>SUM('1:2'!T29)</f>
        <v>0</v>
      </c>
      <c r="U29" s="93">
        <f>SUM('1:2'!U29)</f>
        <v>0</v>
      </c>
      <c r="V29" s="206">
        <f t="shared" ref="V29" si="12">SUM(X29:AA29)</f>
        <v>0</v>
      </c>
      <c r="W29" s="33" t="str">
        <f t="shared" ref="W29" si="13">IF(ISERROR(V29/G29),"",V29/G29)</f>
        <v/>
      </c>
      <c r="X29" s="93">
        <f>SUM('1:2'!X29)</f>
        <v>0</v>
      </c>
      <c r="Y29" s="93">
        <f>SUM('1:2'!Y29)</f>
        <v>0</v>
      </c>
      <c r="Z29" s="93">
        <f>SUM('1:2'!Z29)</f>
        <v>0</v>
      </c>
      <c r="AA29" s="93">
        <f>SUM('1:2'!AA29)</f>
        <v>0</v>
      </c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300">
        <v>30100011</v>
      </c>
      <c r="B30" s="190" t="s">
        <v>425</v>
      </c>
      <c r="C30" s="187" t="s">
        <v>427</v>
      </c>
      <c r="D30" s="17">
        <v>5.03</v>
      </c>
      <c r="E30" s="17"/>
      <c r="F30" s="6"/>
      <c r="G30" s="93">
        <f>SUM('1:2'!G30)</f>
        <v>0</v>
      </c>
      <c r="H30" s="364">
        <f t="shared" si="10"/>
        <v>0</v>
      </c>
      <c r="I30" s="93">
        <f>SUM('1:2'!I30)</f>
        <v>0</v>
      </c>
      <c r="J30" s="31"/>
      <c r="K30" s="35">
        <f t="array" ref="K30">IF(ISERROR(G30/L30),"",G30/L30)</f>
        <v>0</v>
      </c>
      <c r="L30" s="87">
        <v>52</v>
      </c>
      <c r="M30" s="36"/>
      <c r="N30" s="93"/>
      <c r="O30" s="93"/>
      <c r="P30" s="93"/>
      <c r="Q30" s="93"/>
      <c r="R30" s="93"/>
      <c r="S30" s="93"/>
      <c r="T30" s="93"/>
      <c r="U30" s="93"/>
      <c r="V30" s="206"/>
      <c r="W30" s="33"/>
      <c r="X30" s="93"/>
      <c r="Y30" s="93"/>
      <c r="Z30" s="93"/>
      <c r="AA30" s="93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>
      <c r="A31" s="300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93">
        <f>SUM('1:2'!G31)</f>
        <v>0</v>
      </c>
      <c r="H31" s="364">
        <f t="shared" si="10"/>
        <v>0</v>
      </c>
      <c r="I31" s="93">
        <f>SUM('1:2'!I31)</f>
        <v>0</v>
      </c>
      <c r="J31" s="31" t="str">
        <f t="array" ref="J31">IF(ISERROR(G31/I31),"",G31/I31)</f>
        <v/>
      </c>
      <c r="K31" s="35">
        <f t="array" ref="K31">IF(ISERROR(G31/L31),"",G31/L31)</f>
        <v>0</v>
      </c>
      <c r="L31" s="87">
        <v>52</v>
      </c>
      <c r="M31" s="36">
        <f t="shared" ref="M31:M33" si="14">IF(ISERROR(I31-K31),"",I31-K31)</f>
        <v>0</v>
      </c>
      <c r="N31" s="93">
        <f>SUM('1:2'!N31)</f>
        <v>0</v>
      </c>
      <c r="O31" s="93">
        <f>SUM('1:2'!O31)</f>
        <v>0</v>
      </c>
      <c r="P31" s="93">
        <f>SUM('1:2'!P31)</f>
        <v>0</v>
      </c>
      <c r="Q31" s="93">
        <f>SUM('1:2'!Q31)</f>
        <v>0</v>
      </c>
      <c r="R31" s="93">
        <f>SUM('1:2'!R31)</f>
        <v>0</v>
      </c>
      <c r="S31" s="93">
        <f>SUM('1:2'!S31)</f>
        <v>0</v>
      </c>
      <c r="T31" s="93">
        <f>SUM('1:2'!T31)</f>
        <v>0</v>
      </c>
      <c r="U31" s="93">
        <f>SUM('1:2'!U31)</f>
        <v>0</v>
      </c>
      <c r="V31" s="206">
        <f t="shared" ref="V31:V33" si="15">SUM(X31:AA31)</f>
        <v>0</v>
      </c>
      <c r="W31" s="33" t="str">
        <f t="shared" ref="W31:W33" si="16">IF(ISERROR(V31/G31),"",V31/G31)</f>
        <v/>
      </c>
      <c r="X31" s="93">
        <f>SUM('1:2'!X31)</f>
        <v>0</v>
      </c>
      <c r="Y31" s="93">
        <f>SUM('1:2'!Y31)</f>
        <v>0</v>
      </c>
      <c r="Z31" s="93">
        <f>SUM('1:2'!Z31)</f>
        <v>0</v>
      </c>
      <c r="AA31" s="93">
        <f>SUM('1:2'!AA31)</f>
        <v>0</v>
      </c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>
      <c r="A32" s="300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93">
        <f>SUM('1:2'!G32)</f>
        <v>0</v>
      </c>
      <c r="H32" s="364">
        <f t="shared" si="10"/>
        <v>0</v>
      </c>
      <c r="I32" s="93">
        <f>SUM('1:2'!I32)</f>
        <v>0</v>
      </c>
      <c r="J32" s="31" t="str">
        <f t="array" ref="J32">IF(ISERROR(G32/I32),"",G32/I32)</f>
        <v/>
      </c>
      <c r="K32" s="35">
        <f t="array" ref="K32">IF(ISERROR(G32/L32),"",G32/L32)</f>
        <v>0</v>
      </c>
      <c r="L32" s="87">
        <v>52</v>
      </c>
      <c r="M32" s="36">
        <f t="shared" si="14"/>
        <v>0</v>
      </c>
      <c r="N32" s="93">
        <f>SUM('1:2'!N32)</f>
        <v>0</v>
      </c>
      <c r="O32" s="93">
        <f>SUM('1:2'!O32)</f>
        <v>0</v>
      </c>
      <c r="P32" s="93">
        <f>SUM('1:2'!P32)</f>
        <v>0</v>
      </c>
      <c r="Q32" s="93">
        <f>SUM('1:2'!Q32)</f>
        <v>0</v>
      </c>
      <c r="R32" s="93">
        <f>SUM('1:2'!R32)</f>
        <v>0</v>
      </c>
      <c r="S32" s="93">
        <f>SUM('1:2'!S32)</f>
        <v>0</v>
      </c>
      <c r="T32" s="93">
        <f>SUM('1:2'!T32)</f>
        <v>0</v>
      </c>
      <c r="U32" s="93">
        <f>SUM('1:2'!U32)</f>
        <v>0</v>
      </c>
      <c r="V32" s="206">
        <f t="shared" si="15"/>
        <v>0</v>
      </c>
      <c r="W32" s="33" t="str">
        <f t="shared" si="16"/>
        <v/>
      </c>
      <c r="X32" s="93">
        <f>SUM('1:2'!X32)</f>
        <v>0</v>
      </c>
      <c r="Y32" s="93">
        <f>SUM('1:2'!Y32)</f>
        <v>0</v>
      </c>
      <c r="Z32" s="93">
        <f>SUM('1:2'!Z32)</f>
        <v>0</v>
      </c>
      <c r="AA32" s="93">
        <f>SUM('1:2'!AA32)</f>
        <v>0</v>
      </c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>
      <c r="A33" s="300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93">
        <f>SUM('1:2'!G33)</f>
        <v>0</v>
      </c>
      <c r="H33" s="364">
        <f t="shared" si="10"/>
        <v>0</v>
      </c>
      <c r="I33" s="93">
        <f>SUM('1:2'!I33)</f>
        <v>0</v>
      </c>
      <c r="J33" s="31" t="str">
        <f t="array" ref="J33">IF(ISERROR(G33/I33),"",G33/I33)</f>
        <v/>
      </c>
      <c r="K33" s="35">
        <f t="array" ref="K33">IF(ISERROR(G33/L33),"",G33/L33)</f>
        <v>0</v>
      </c>
      <c r="L33" s="87">
        <v>52</v>
      </c>
      <c r="M33" s="36">
        <f t="shared" si="14"/>
        <v>0</v>
      </c>
      <c r="N33" s="93">
        <f>SUM('1:2'!N33)</f>
        <v>0</v>
      </c>
      <c r="O33" s="93">
        <f>SUM('1:2'!O33)</f>
        <v>0</v>
      </c>
      <c r="P33" s="93">
        <f>SUM('1:2'!P33)</f>
        <v>0</v>
      </c>
      <c r="Q33" s="93">
        <f>SUM('1:2'!Q33)</f>
        <v>0</v>
      </c>
      <c r="R33" s="93">
        <f>SUM('1:2'!R33)</f>
        <v>0</v>
      </c>
      <c r="S33" s="93">
        <f>SUM('1:2'!S33)</f>
        <v>0</v>
      </c>
      <c r="T33" s="93">
        <f>SUM('1:2'!T33)</f>
        <v>0</v>
      </c>
      <c r="U33" s="93">
        <f>SUM('1:2'!U33)</f>
        <v>0</v>
      </c>
      <c r="V33" s="206">
        <f t="shared" si="15"/>
        <v>0</v>
      </c>
      <c r="W33" s="33" t="str">
        <f t="shared" si="16"/>
        <v/>
      </c>
      <c r="X33" s="93">
        <f>SUM('1:2'!X33)</f>
        <v>0</v>
      </c>
      <c r="Y33" s="93">
        <f>SUM('1:2'!Y33)</f>
        <v>0</v>
      </c>
      <c r="Z33" s="93">
        <f>SUM('1:2'!Z33)</f>
        <v>0</v>
      </c>
      <c r="AA33" s="93">
        <f>SUM('1:2'!AA33)</f>
        <v>0</v>
      </c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>
      <c r="A34" s="300">
        <v>30100016</v>
      </c>
      <c r="B34" s="355" t="s">
        <v>414</v>
      </c>
      <c r="C34" s="187" t="s">
        <v>415</v>
      </c>
      <c r="D34" s="17"/>
      <c r="E34" s="17"/>
      <c r="F34" s="6"/>
      <c r="G34" s="93">
        <f>SUM('1:2'!G34)</f>
        <v>0</v>
      </c>
      <c r="H34" s="364">
        <f t="shared" si="10"/>
        <v>0</v>
      </c>
      <c r="I34" s="93">
        <f>SUM('1:2'!I34)</f>
        <v>0</v>
      </c>
      <c r="J34" s="31"/>
      <c r="K34" s="35"/>
      <c r="L34" s="87">
        <v>52</v>
      </c>
      <c r="M34" s="36"/>
      <c r="N34" s="93"/>
      <c r="O34" s="93"/>
      <c r="P34" s="93"/>
      <c r="Q34" s="93"/>
      <c r="R34" s="93"/>
      <c r="S34" s="93"/>
      <c r="T34" s="93"/>
      <c r="U34" s="93"/>
      <c r="V34" s="206"/>
      <c r="W34" s="33"/>
      <c r="X34" s="93"/>
      <c r="Y34" s="93"/>
      <c r="Z34" s="93"/>
      <c r="AA34" s="93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>
      <c r="A35" s="300">
        <v>30100017</v>
      </c>
      <c r="B35" s="355" t="s">
        <v>414</v>
      </c>
      <c r="C35" s="187" t="s">
        <v>416</v>
      </c>
      <c r="D35" s="17"/>
      <c r="E35" s="17"/>
      <c r="F35" s="6"/>
      <c r="G35" s="93">
        <f>SUM('1:2'!G35)</f>
        <v>0</v>
      </c>
      <c r="H35" s="364">
        <f t="shared" si="10"/>
        <v>0</v>
      </c>
      <c r="I35" s="93">
        <f>SUM('1:2'!I35)</f>
        <v>0</v>
      </c>
      <c r="J35" s="31"/>
      <c r="K35" s="35"/>
      <c r="L35" s="87">
        <v>52</v>
      </c>
      <c r="M35" s="36"/>
      <c r="N35" s="93"/>
      <c r="O35" s="93"/>
      <c r="P35" s="93"/>
      <c r="Q35" s="93"/>
      <c r="R35" s="93"/>
      <c r="S35" s="93"/>
      <c r="T35" s="93"/>
      <c r="U35" s="93"/>
      <c r="V35" s="206"/>
      <c r="W35" s="33"/>
      <c r="X35" s="93"/>
      <c r="Y35" s="93"/>
      <c r="Z35" s="93"/>
      <c r="AA35" s="93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>
      <c r="A36" s="300">
        <v>30100015</v>
      </c>
      <c r="B36" s="355" t="s">
        <v>414</v>
      </c>
      <c r="C36" s="187" t="s">
        <v>61</v>
      </c>
      <c r="D36" s="17"/>
      <c r="E36" s="17"/>
      <c r="F36" s="6"/>
      <c r="G36" s="93">
        <f>SUM('1:2'!G36)</f>
        <v>0</v>
      </c>
      <c r="H36" s="364">
        <f t="shared" si="10"/>
        <v>0</v>
      </c>
      <c r="I36" s="93">
        <f>SUM('1:2'!I36)</f>
        <v>0</v>
      </c>
      <c r="J36" s="31"/>
      <c r="K36" s="35"/>
      <c r="L36" s="87">
        <v>52</v>
      </c>
      <c r="M36" s="36"/>
      <c r="N36" s="93"/>
      <c r="O36" s="93"/>
      <c r="P36" s="93"/>
      <c r="Q36" s="93"/>
      <c r="R36" s="93"/>
      <c r="S36" s="93"/>
      <c r="T36" s="93"/>
      <c r="U36" s="93"/>
      <c r="V36" s="206"/>
      <c r="W36" s="33"/>
      <c r="X36" s="93"/>
      <c r="Y36" s="93"/>
      <c r="Z36" s="93"/>
      <c r="AA36" s="93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>
      <c r="A37" s="300">
        <v>30100027</v>
      </c>
      <c r="B37" s="263" t="s">
        <v>78</v>
      </c>
      <c r="C37" s="16" t="s">
        <v>53</v>
      </c>
      <c r="D37" s="17">
        <v>5.08</v>
      </c>
      <c r="E37" s="17"/>
      <c r="F37" s="6"/>
      <c r="G37" s="93">
        <f>SUM('1:2'!G37)</f>
        <v>633</v>
      </c>
      <c r="H37" s="364">
        <f t="shared" si="10"/>
        <v>3215.64</v>
      </c>
      <c r="I37" s="93">
        <f>SUM('1:2'!I37)</f>
        <v>33</v>
      </c>
      <c r="J37" s="31">
        <f t="array" ref="J37">IF(ISERROR(G37/I37),"",G37/I37)</f>
        <v>19.181818181818183</v>
      </c>
      <c r="K37" s="35">
        <f t="array" ref="K37">IF(ISERROR(G37/L37),"",G37/L37)</f>
        <v>30.142857142857142</v>
      </c>
      <c r="L37" s="87">
        <v>21</v>
      </c>
      <c r="M37" s="36">
        <f t="shared" ref="M37:M66" si="17">IF(ISERROR(I37-K37),"",I37-K37)</f>
        <v>2.8571428571428577</v>
      </c>
      <c r="N37" s="93">
        <f>SUM('1:2'!N37)</f>
        <v>0</v>
      </c>
      <c r="O37" s="93">
        <f>SUM('1:2'!O37)</f>
        <v>0</v>
      </c>
      <c r="P37" s="93">
        <f>SUM('1:2'!P37)</f>
        <v>0</v>
      </c>
      <c r="Q37" s="93">
        <f>SUM('1:2'!Q37)</f>
        <v>0</v>
      </c>
      <c r="R37" s="93">
        <f>SUM('1:2'!R37)</f>
        <v>0</v>
      </c>
      <c r="S37" s="93">
        <f>SUM('1:2'!S37)</f>
        <v>0</v>
      </c>
      <c r="T37" s="93">
        <f>SUM('1:2'!T37)</f>
        <v>0</v>
      </c>
      <c r="U37" s="93">
        <f>SUM('1:2'!U37)</f>
        <v>0</v>
      </c>
      <c r="V37" s="206">
        <f t="shared" ref="V37:V48" si="18">SUM(X37:AA37)</f>
        <v>0</v>
      </c>
      <c r="W37" s="33">
        <f t="shared" ref="W37:W48" si="19">IF(ISERROR(V37/G37),"",V37/G37)</f>
        <v>0</v>
      </c>
      <c r="X37" s="93">
        <f>SUM('1:2'!X37)</f>
        <v>0</v>
      </c>
      <c r="Y37" s="93">
        <f>SUM('1:2'!Y37)</f>
        <v>0</v>
      </c>
      <c r="Z37" s="93">
        <f>SUM('1:2'!Z37)</f>
        <v>0</v>
      </c>
      <c r="AA37" s="93">
        <f>SUM('1:2'!AA37)</f>
        <v>0</v>
      </c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>
      <c r="A38" s="300">
        <v>30100023</v>
      </c>
      <c r="B38" s="263" t="s">
        <v>78</v>
      </c>
      <c r="C38" s="16" t="s">
        <v>74</v>
      </c>
      <c r="D38" s="17">
        <v>5.08</v>
      </c>
      <c r="E38" s="17"/>
      <c r="F38" s="6"/>
      <c r="G38" s="93">
        <f>SUM('1:2'!G38)</f>
        <v>648</v>
      </c>
      <c r="H38" s="364">
        <f t="shared" si="10"/>
        <v>3291.84</v>
      </c>
      <c r="I38" s="93">
        <f>SUM('1:2'!I38)</f>
        <v>33</v>
      </c>
      <c r="J38" s="31">
        <f t="array" ref="J38">IF(ISERROR(G38/I38),"",G38/I38)</f>
        <v>19.636363636363637</v>
      </c>
      <c r="K38" s="35">
        <f t="array" ref="K38">IF(ISERROR(G38/L38),"",G38/L38)</f>
        <v>30.857142857142858</v>
      </c>
      <c r="L38" s="87">
        <v>21</v>
      </c>
      <c r="M38" s="36">
        <f t="shared" si="17"/>
        <v>2.1428571428571423</v>
      </c>
      <c r="N38" s="93">
        <f>SUM('1:2'!N38)</f>
        <v>0</v>
      </c>
      <c r="O38" s="93">
        <f>SUM('1:2'!O38)</f>
        <v>0</v>
      </c>
      <c r="P38" s="93">
        <f>SUM('1:2'!P38)</f>
        <v>0</v>
      </c>
      <c r="Q38" s="93">
        <f>SUM('1:2'!Q38)</f>
        <v>0</v>
      </c>
      <c r="R38" s="93">
        <f>SUM('1:2'!R38)</f>
        <v>0</v>
      </c>
      <c r="S38" s="93">
        <f>SUM('1:2'!S38)</f>
        <v>0</v>
      </c>
      <c r="T38" s="93">
        <f>SUM('1:2'!T38)</f>
        <v>0</v>
      </c>
      <c r="U38" s="93">
        <f>SUM('1:2'!U38)</f>
        <v>0</v>
      </c>
      <c r="V38" s="206">
        <f t="shared" si="18"/>
        <v>0</v>
      </c>
      <c r="W38" s="33">
        <f t="shared" si="19"/>
        <v>0</v>
      </c>
      <c r="X38" s="93">
        <f>SUM('1:2'!X38)</f>
        <v>0</v>
      </c>
      <c r="Y38" s="93">
        <f>SUM('1:2'!Y38)</f>
        <v>0</v>
      </c>
      <c r="Z38" s="93">
        <f>SUM('1:2'!Z38)</f>
        <v>0</v>
      </c>
      <c r="AA38" s="93">
        <f>SUM('1:2'!AA38)</f>
        <v>0</v>
      </c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>
      <c r="A39" s="300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93">
        <f>SUM('1:2'!G39)</f>
        <v>0</v>
      </c>
      <c r="H39" s="364">
        <f t="shared" si="10"/>
        <v>0</v>
      </c>
      <c r="I39" s="93">
        <f>SUM('1:2'!I39)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87">
        <v>21</v>
      </c>
      <c r="M39" s="36">
        <f t="shared" si="17"/>
        <v>0</v>
      </c>
      <c r="N39" s="93">
        <f>SUM('1:2'!N39)</f>
        <v>0</v>
      </c>
      <c r="O39" s="93">
        <f>SUM('1:2'!O39)</f>
        <v>0</v>
      </c>
      <c r="P39" s="93">
        <f>SUM('1:2'!P39)</f>
        <v>0</v>
      </c>
      <c r="Q39" s="93">
        <f>SUM('1:2'!Q39)</f>
        <v>0</v>
      </c>
      <c r="R39" s="93">
        <f>SUM('1:2'!R39)</f>
        <v>0</v>
      </c>
      <c r="S39" s="93">
        <f>SUM('1:2'!S39)</f>
        <v>0</v>
      </c>
      <c r="T39" s="93">
        <f>SUM('1:2'!T39)</f>
        <v>0</v>
      </c>
      <c r="U39" s="93">
        <f>SUM('1:2'!U39)</f>
        <v>0</v>
      </c>
      <c r="V39" s="206">
        <f t="shared" si="18"/>
        <v>0</v>
      </c>
      <c r="W39" s="33" t="str">
        <f t="shared" si="19"/>
        <v/>
      </c>
      <c r="X39" s="93">
        <f>SUM('1:2'!X39)</f>
        <v>0</v>
      </c>
      <c r="Y39" s="93">
        <f>SUM('1:2'!Y39)</f>
        <v>0</v>
      </c>
      <c r="Z39" s="93">
        <f>SUM('1:2'!Z39)</f>
        <v>0</v>
      </c>
      <c r="AA39" s="93">
        <f>SUM('1:2'!AA39)</f>
        <v>0</v>
      </c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>
      <c r="A40" s="300">
        <v>30100022</v>
      </c>
      <c r="B40" s="263" t="s">
        <v>78</v>
      </c>
      <c r="C40" s="16" t="s">
        <v>60</v>
      </c>
      <c r="D40" s="17">
        <v>5.08</v>
      </c>
      <c r="E40" s="17"/>
      <c r="F40" s="6"/>
      <c r="G40" s="93">
        <f>SUM('1:2'!G40)</f>
        <v>0</v>
      </c>
      <c r="H40" s="364">
        <f t="shared" si="10"/>
        <v>0</v>
      </c>
      <c r="I40" s="93">
        <f>SUM('1:2'!I40)</f>
        <v>0</v>
      </c>
      <c r="J40" s="31" t="str">
        <f t="array" ref="J40">IF(ISERROR(G40/I40),"",G40/I40)</f>
        <v/>
      </c>
      <c r="K40" s="35">
        <f t="array" ref="K40">IF(ISERROR(G40/L40),"",G40/L40)</f>
        <v>0</v>
      </c>
      <c r="L40" s="87">
        <v>21</v>
      </c>
      <c r="M40" s="36">
        <f t="shared" si="17"/>
        <v>0</v>
      </c>
      <c r="N40" s="93">
        <f>SUM('1:2'!N40)</f>
        <v>0</v>
      </c>
      <c r="O40" s="93">
        <f>SUM('1:2'!O40)</f>
        <v>0</v>
      </c>
      <c r="P40" s="93">
        <f>SUM('1:2'!P40)</f>
        <v>0</v>
      </c>
      <c r="Q40" s="93">
        <f>SUM('1:2'!Q40)</f>
        <v>0</v>
      </c>
      <c r="R40" s="93">
        <f>SUM('1:2'!R40)</f>
        <v>0</v>
      </c>
      <c r="S40" s="93">
        <f>SUM('1:2'!S40)</f>
        <v>0</v>
      </c>
      <c r="T40" s="93">
        <f>SUM('1:2'!T40)</f>
        <v>0</v>
      </c>
      <c r="U40" s="93">
        <f>SUM('1:2'!U40)</f>
        <v>0</v>
      </c>
      <c r="V40" s="206">
        <f t="shared" si="18"/>
        <v>0</v>
      </c>
      <c r="W40" s="33" t="str">
        <f t="shared" si="19"/>
        <v/>
      </c>
      <c r="X40" s="93">
        <f>SUM('1:2'!X40)</f>
        <v>0</v>
      </c>
      <c r="Y40" s="93">
        <f>SUM('1:2'!Y40)</f>
        <v>0</v>
      </c>
      <c r="Z40" s="93">
        <f>SUM('1:2'!Z40)</f>
        <v>0</v>
      </c>
      <c r="AA40" s="93">
        <f>SUM('1:2'!AA40)</f>
        <v>0</v>
      </c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>
      <c r="A41" s="300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93">
        <f>SUM('1:2'!G41)</f>
        <v>0</v>
      </c>
      <c r="H41" s="364">
        <f t="shared" si="10"/>
        <v>0</v>
      </c>
      <c r="I41" s="93">
        <f>SUM('1:2'!I41)</f>
        <v>0</v>
      </c>
      <c r="J41" s="31" t="str">
        <f t="array" ref="J41">IF(ISERROR(G41/I41),"",G41/I41)</f>
        <v/>
      </c>
      <c r="K41" s="35">
        <f t="array" ref="K41">IF(ISERROR(G41/L41),"",G41/L41)</f>
        <v>0</v>
      </c>
      <c r="L41" s="87">
        <v>21</v>
      </c>
      <c r="M41" s="36">
        <f t="shared" si="17"/>
        <v>0</v>
      </c>
      <c r="N41" s="93">
        <f>SUM('1:2'!N41)</f>
        <v>0</v>
      </c>
      <c r="O41" s="93">
        <f>SUM('1:2'!O41)</f>
        <v>0</v>
      </c>
      <c r="P41" s="93">
        <f>SUM('1:2'!P41)</f>
        <v>0</v>
      </c>
      <c r="Q41" s="93">
        <f>SUM('1:2'!Q41)</f>
        <v>0</v>
      </c>
      <c r="R41" s="93">
        <f>SUM('1:2'!R41)</f>
        <v>0</v>
      </c>
      <c r="S41" s="93">
        <f>SUM('1:2'!S41)</f>
        <v>0</v>
      </c>
      <c r="T41" s="93">
        <f>SUM('1:2'!T41)</f>
        <v>0</v>
      </c>
      <c r="U41" s="93">
        <f>SUM('1:2'!U41)</f>
        <v>0</v>
      </c>
      <c r="V41" s="206">
        <f t="shared" si="18"/>
        <v>0</v>
      </c>
      <c r="W41" s="33" t="str">
        <f t="shared" si="19"/>
        <v/>
      </c>
      <c r="X41" s="93">
        <f>SUM('1:2'!X41)</f>
        <v>0</v>
      </c>
      <c r="Y41" s="93">
        <f>SUM('1:2'!Y41)</f>
        <v>0</v>
      </c>
      <c r="Z41" s="93">
        <f>SUM('1:2'!Z41)</f>
        <v>0</v>
      </c>
      <c r="AA41" s="93">
        <f>SUM('1:2'!AA41)</f>
        <v>0</v>
      </c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>
      <c r="A42" s="300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93">
        <f>SUM('1:2'!G42)</f>
        <v>0</v>
      </c>
      <c r="H42" s="364">
        <f t="shared" si="10"/>
        <v>0</v>
      </c>
      <c r="I42" s="93">
        <f>SUM('1:2'!I42)</f>
        <v>0</v>
      </c>
      <c r="J42" s="31" t="str">
        <f t="array" ref="J42">IF(ISERROR(G42/I42),"",G42/I42)</f>
        <v/>
      </c>
      <c r="K42" s="35">
        <f t="array" ref="K42">IF(ISERROR(G42/L42),"",G42/L42)</f>
        <v>0</v>
      </c>
      <c r="L42" s="87">
        <v>21</v>
      </c>
      <c r="M42" s="36">
        <f t="shared" si="17"/>
        <v>0</v>
      </c>
      <c r="N42" s="93">
        <f>SUM('1:2'!N42)</f>
        <v>0</v>
      </c>
      <c r="O42" s="93">
        <f>SUM('1:2'!O42)</f>
        <v>0</v>
      </c>
      <c r="P42" s="93">
        <f>SUM('1:2'!P42)</f>
        <v>0</v>
      </c>
      <c r="Q42" s="93">
        <f>SUM('1:2'!Q42)</f>
        <v>0</v>
      </c>
      <c r="R42" s="93">
        <f>SUM('1:2'!R42)</f>
        <v>0</v>
      </c>
      <c r="S42" s="93">
        <f>SUM('1:2'!S42)</f>
        <v>0</v>
      </c>
      <c r="T42" s="93">
        <f>SUM('1:2'!T42)</f>
        <v>0</v>
      </c>
      <c r="U42" s="93">
        <f>SUM('1:2'!U42)</f>
        <v>0</v>
      </c>
      <c r="V42" s="206">
        <f t="shared" si="18"/>
        <v>0</v>
      </c>
      <c r="W42" s="33" t="str">
        <f t="shared" si="19"/>
        <v/>
      </c>
      <c r="X42" s="93">
        <f>SUM('1:2'!X42)</f>
        <v>0</v>
      </c>
      <c r="Y42" s="93">
        <f>SUM('1:2'!Y42)</f>
        <v>0</v>
      </c>
      <c r="Z42" s="93">
        <f>SUM('1:2'!Z42)</f>
        <v>0</v>
      </c>
      <c r="AA42" s="93">
        <f>SUM('1:2'!AA42)</f>
        <v>0</v>
      </c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>
      <c r="A43" s="300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93">
        <f>SUM('1:2'!G43)</f>
        <v>0</v>
      </c>
      <c r="H43" s="364">
        <f t="shared" si="10"/>
        <v>0</v>
      </c>
      <c r="I43" s="93">
        <f>SUM('1:2'!I43)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87">
        <v>21</v>
      </c>
      <c r="M43" s="36">
        <f t="shared" si="17"/>
        <v>0</v>
      </c>
      <c r="N43" s="93">
        <f>SUM('1:2'!N43)</f>
        <v>0</v>
      </c>
      <c r="O43" s="93">
        <f>SUM('1:2'!O43)</f>
        <v>0</v>
      </c>
      <c r="P43" s="93">
        <f>SUM('1:2'!P43)</f>
        <v>0</v>
      </c>
      <c r="Q43" s="93">
        <f>SUM('1:2'!Q43)</f>
        <v>0</v>
      </c>
      <c r="R43" s="93">
        <f>SUM('1:2'!R43)</f>
        <v>0</v>
      </c>
      <c r="S43" s="93">
        <f>SUM('1:2'!S43)</f>
        <v>0</v>
      </c>
      <c r="T43" s="93">
        <f>SUM('1:2'!T43)</f>
        <v>0</v>
      </c>
      <c r="U43" s="93">
        <f>SUM('1:2'!U43)</f>
        <v>0</v>
      </c>
      <c r="V43" s="206">
        <f t="shared" si="18"/>
        <v>0</v>
      </c>
      <c r="W43" s="33" t="str">
        <f t="shared" si="19"/>
        <v/>
      </c>
      <c r="X43" s="93">
        <f>SUM('1:2'!X43)</f>
        <v>0</v>
      </c>
      <c r="Y43" s="93">
        <f>SUM('1:2'!Y43)</f>
        <v>0</v>
      </c>
      <c r="Z43" s="93">
        <f>SUM('1:2'!Z43)</f>
        <v>0</v>
      </c>
      <c r="AA43" s="93">
        <f>SUM('1:2'!AA43)</f>
        <v>0</v>
      </c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>
      <c r="A44" s="300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93">
        <f>SUM('1:2'!G44)</f>
        <v>0</v>
      </c>
      <c r="H44" s="364">
        <f t="shared" si="10"/>
        <v>0</v>
      </c>
      <c r="I44" s="93">
        <f>SUM('1:2'!I44)</f>
        <v>0</v>
      </c>
      <c r="J44" s="31" t="str">
        <f t="array" ref="J44">IF(ISERROR(G44/I44),"",G44/I44)</f>
        <v/>
      </c>
      <c r="K44" s="35">
        <f t="array" ref="K44">IF(ISERROR(G44/L44),"",G44/L44)</f>
        <v>0</v>
      </c>
      <c r="L44" s="87">
        <v>21</v>
      </c>
      <c r="M44" s="36">
        <f t="shared" si="17"/>
        <v>0</v>
      </c>
      <c r="N44" s="93">
        <f>SUM('1:2'!N44)</f>
        <v>0</v>
      </c>
      <c r="O44" s="93">
        <f>SUM('1:2'!O44)</f>
        <v>0</v>
      </c>
      <c r="P44" s="93">
        <f>SUM('1:2'!P44)</f>
        <v>0</v>
      </c>
      <c r="Q44" s="93">
        <f>SUM('1:2'!Q44)</f>
        <v>0</v>
      </c>
      <c r="R44" s="93">
        <f>SUM('1:2'!R44)</f>
        <v>0</v>
      </c>
      <c r="S44" s="93">
        <f>SUM('1:2'!S44)</f>
        <v>0</v>
      </c>
      <c r="T44" s="93">
        <f>SUM('1:2'!T44)</f>
        <v>0</v>
      </c>
      <c r="U44" s="93">
        <f>SUM('1:2'!U44)</f>
        <v>0</v>
      </c>
      <c r="V44" s="206">
        <f t="shared" si="18"/>
        <v>0</v>
      </c>
      <c r="W44" s="33" t="str">
        <f t="shared" si="19"/>
        <v/>
      </c>
      <c r="X44" s="93">
        <f>SUM('1:2'!X44)</f>
        <v>0</v>
      </c>
      <c r="Y44" s="93">
        <f>SUM('1:2'!Y44)</f>
        <v>0</v>
      </c>
      <c r="Z44" s="93">
        <f>SUM('1:2'!Z44)</f>
        <v>0</v>
      </c>
      <c r="AA44" s="93">
        <f>SUM('1:2'!AA44)</f>
        <v>0</v>
      </c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>
      <c r="A45" s="300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93">
        <f>SUM('1:2'!G45)</f>
        <v>423</v>
      </c>
      <c r="H45" s="364">
        <f t="shared" si="10"/>
        <v>2127.69</v>
      </c>
      <c r="I45" s="93">
        <f>SUM('1:2'!I45)</f>
        <v>6</v>
      </c>
      <c r="J45" s="31">
        <f t="array" ref="J45">IF(ISERROR(G45/I45),"",G45/I45)</f>
        <v>70.5</v>
      </c>
      <c r="K45" s="35">
        <f t="array" ref="K45">IF(ISERROR(G45/L45),"",G45/L45)</f>
        <v>7.5535714285714288</v>
      </c>
      <c r="L45" s="87">
        <v>56</v>
      </c>
      <c r="M45" s="36">
        <f t="shared" si="17"/>
        <v>-1.5535714285714288</v>
      </c>
      <c r="N45" s="93">
        <f>SUM('1:2'!N45)</f>
        <v>0</v>
      </c>
      <c r="O45" s="93">
        <f>SUM('1:2'!O45)</f>
        <v>0</v>
      </c>
      <c r="P45" s="93">
        <f>SUM('1:2'!P45)</f>
        <v>0</v>
      </c>
      <c r="Q45" s="93">
        <f>SUM('1:2'!Q45)</f>
        <v>0</v>
      </c>
      <c r="R45" s="93">
        <f>SUM('1:2'!R45)</f>
        <v>0</v>
      </c>
      <c r="S45" s="93">
        <f>SUM('1:2'!S45)</f>
        <v>0</v>
      </c>
      <c r="T45" s="93">
        <f>SUM('1:2'!T45)</f>
        <v>0</v>
      </c>
      <c r="U45" s="93">
        <f>SUM('1:2'!U45)</f>
        <v>0</v>
      </c>
      <c r="V45" s="206">
        <f t="shared" si="18"/>
        <v>0</v>
      </c>
      <c r="W45" s="33">
        <f t="shared" si="19"/>
        <v>0</v>
      </c>
      <c r="X45" s="93">
        <f>SUM('1:2'!X45)</f>
        <v>0</v>
      </c>
      <c r="Y45" s="93">
        <f>SUM('1:2'!Y45)</f>
        <v>0</v>
      </c>
      <c r="Z45" s="93">
        <f>SUM('1:2'!Z45)</f>
        <v>0</v>
      </c>
      <c r="AA45" s="93">
        <f>SUM('1:2'!AA45)</f>
        <v>0</v>
      </c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>
      <c r="A46" s="300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93">
        <f>SUM('1:2'!G46)</f>
        <v>1649</v>
      </c>
      <c r="H46" s="364">
        <f t="shared" si="10"/>
        <v>8294.4700000000012</v>
      </c>
      <c r="I46" s="93">
        <f>SUM('1:2'!I46)</f>
        <v>22</v>
      </c>
      <c r="J46" s="31">
        <f t="array" ref="J46">IF(ISERROR(G46/I46),"",G46/I46)</f>
        <v>74.954545454545453</v>
      </c>
      <c r="K46" s="35">
        <f t="array" ref="K46">IF(ISERROR(G46/L46),"",G46/L46)</f>
        <v>29.446428571428573</v>
      </c>
      <c r="L46" s="87">
        <v>56</v>
      </c>
      <c r="M46" s="36">
        <f t="shared" si="17"/>
        <v>-7.446428571428573</v>
      </c>
      <c r="N46" s="93">
        <f>SUM('1:2'!N46)</f>
        <v>0</v>
      </c>
      <c r="O46" s="93">
        <f>SUM('1:2'!O46)</f>
        <v>0</v>
      </c>
      <c r="P46" s="93">
        <f>SUM('1:2'!P46)</f>
        <v>0</v>
      </c>
      <c r="Q46" s="93">
        <f>SUM('1:2'!Q46)</f>
        <v>0</v>
      </c>
      <c r="R46" s="93">
        <f>SUM('1:2'!R46)</f>
        <v>0</v>
      </c>
      <c r="S46" s="93">
        <f>SUM('1:2'!S46)</f>
        <v>0</v>
      </c>
      <c r="T46" s="93">
        <f>SUM('1:2'!T46)</f>
        <v>0</v>
      </c>
      <c r="U46" s="93">
        <f>SUM('1:2'!U46)</f>
        <v>0</v>
      </c>
      <c r="V46" s="206">
        <f t="shared" si="18"/>
        <v>0</v>
      </c>
      <c r="W46" s="33">
        <f t="shared" si="19"/>
        <v>0</v>
      </c>
      <c r="X46" s="93">
        <f>SUM('1:2'!X46)</f>
        <v>0</v>
      </c>
      <c r="Y46" s="93">
        <f>SUM('1:2'!Y46)</f>
        <v>0</v>
      </c>
      <c r="Z46" s="93">
        <f>SUM('1:2'!Z46)</f>
        <v>0</v>
      </c>
      <c r="AA46" s="93">
        <f>SUM('1:2'!AA46)</f>
        <v>0</v>
      </c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>
      <c r="A47" s="300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93">
        <f>SUM('1:2'!G47)</f>
        <v>0</v>
      </c>
      <c r="H47" s="364">
        <f t="shared" si="10"/>
        <v>0</v>
      </c>
      <c r="I47" s="93">
        <f>SUM('1:2'!I47)</f>
        <v>0</v>
      </c>
      <c r="J47" s="31" t="str">
        <f t="array" ref="J47">IF(ISERROR(G47/I47),"",G47/I47)</f>
        <v/>
      </c>
      <c r="K47" s="35">
        <f t="array" ref="K47">IF(ISERROR(G47/L47),"",G47/L47)</f>
        <v>0</v>
      </c>
      <c r="L47" s="87">
        <v>56</v>
      </c>
      <c r="M47" s="36">
        <f t="shared" si="17"/>
        <v>0</v>
      </c>
      <c r="N47" s="93">
        <f>SUM('1:2'!N47)</f>
        <v>0</v>
      </c>
      <c r="O47" s="93">
        <f>SUM('1:2'!O47)</f>
        <v>0</v>
      </c>
      <c r="P47" s="93">
        <f>SUM('1:2'!P47)</f>
        <v>0</v>
      </c>
      <c r="Q47" s="93">
        <f>SUM('1:2'!Q47)</f>
        <v>0</v>
      </c>
      <c r="R47" s="93">
        <f>SUM('1:2'!R47)</f>
        <v>0</v>
      </c>
      <c r="S47" s="93">
        <f>SUM('1:2'!S47)</f>
        <v>0</v>
      </c>
      <c r="T47" s="93">
        <f>SUM('1:2'!T47)</f>
        <v>0</v>
      </c>
      <c r="U47" s="93">
        <f>SUM('1:2'!U47)</f>
        <v>0</v>
      </c>
      <c r="V47" s="206">
        <f t="shared" si="18"/>
        <v>0</v>
      </c>
      <c r="W47" s="33" t="str">
        <f t="shared" si="19"/>
        <v/>
      </c>
      <c r="X47" s="93">
        <f>SUM('1:2'!X47)</f>
        <v>0</v>
      </c>
      <c r="Y47" s="93">
        <f>SUM('1:2'!Y47)</f>
        <v>0</v>
      </c>
      <c r="Z47" s="93">
        <f>SUM('1:2'!Z47)</f>
        <v>0</v>
      </c>
      <c r="AA47" s="93">
        <f>SUM('1:2'!AA47)</f>
        <v>0</v>
      </c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>
      <c r="A48" s="300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93">
        <f>SUM('1:2'!G48)</f>
        <v>897</v>
      </c>
      <c r="H48" s="364">
        <f t="shared" si="10"/>
        <v>4511.91</v>
      </c>
      <c r="I48" s="93">
        <f>SUM('1:2'!I48)</f>
        <v>11</v>
      </c>
      <c r="J48" s="31">
        <f t="array" ref="J48">IF(ISERROR(G48/I48),"",G48/I48)</f>
        <v>81.545454545454547</v>
      </c>
      <c r="K48" s="35">
        <f t="array" ref="K48">IF(ISERROR(G48/L48),"",G48/L48)</f>
        <v>16.017857142857142</v>
      </c>
      <c r="L48" s="87">
        <v>56</v>
      </c>
      <c r="M48" s="36">
        <f t="shared" si="17"/>
        <v>-5.0178571428571423</v>
      </c>
      <c r="N48" s="93">
        <f>SUM('1:2'!N48)</f>
        <v>0</v>
      </c>
      <c r="O48" s="93">
        <f>SUM('1:2'!O48)</f>
        <v>0</v>
      </c>
      <c r="P48" s="93">
        <f>SUM('1:2'!P48)</f>
        <v>0</v>
      </c>
      <c r="Q48" s="93">
        <f>SUM('1:2'!Q48)</f>
        <v>0</v>
      </c>
      <c r="R48" s="93">
        <f>SUM('1:2'!R48)</f>
        <v>0</v>
      </c>
      <c r="S48" s="93">
        <f>SUM('1:2'!S48)</f>
        <v>0</v>
      </c>
      <c r="T48" s="93">
        <f>SUM('1:2'!T48)</f>
        <v>0</v>
      </c>
      <c r="U48" s="93">
        <f>SUM('1:2'!U48)</f>
        <v>0</v>
      </c>
      <c r="V48" s="206">
        <f t="shared" si="18"/>
        <v>0</v>
      </c>
      <c r="W48" s="33">
        <f t="shared" si="19"/>
        <v>0</v>
      </c>
      <c r="X48" s="93">
        <f>SUM('1:2'!X48)</f>
        <v>0</v>
      </c>
      <c r="Y48" s="93">
        <f>SUM('1:2'!Y48)</f>
        <v>0</v>
      </c>
      <c r="Z48" s="93">
        <f>SUM('1:2'!Z48)</f>
        <v>0</v>
      </c>
      <c r="AA48" s="93">
        <f>SUM('1:2'!AA48)</f>
        <v>0</v>
      </c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>
      <c r="A49" s="300">
        <v>30100019</v>
      </c>
      <c r="B49" s="61" t="s">
        <v>385</v>
      </c>
      <c r="C49" s="16" t="s">
        <v>386</v>
      </c>
      <c r="D49" s="17">
        <v>5.03</v>
      </c>
      <c r="E49" s="17"/>
      <c r="F49" s="6"/>
      <c r="G49" s="93">
        <f>SUM('1:2'!G49)</f>
        <v>0</v>
      </c>
      <c r="H49" s="364">
        <f t="shared" si="10"/>
        <v>0</v>
      </c>
      <c r="I49" s="93">
        <f>SUM('1:2'!I49)</f>
        <v>0</v>
      </c>
      <c r="J49" s="31"/>
      <c r="K49" s="35">
        <f t="array" ref="K49">IF(ISERROR(G49/L49),"",G49/L49)</f>
        <v>0</v>
      </c>
      <c r="L49" s="87">
        <v>54</v>
      </c>
      <c r="M49" s="36">
        <f t="shared" si="17"/>
        <v>0</v>
      </c>
      <c r="N49" s="93">
        <f>SUM('1:2'!N49)</f>
        <v>0</v>
      </c>
      <c r="O49" s="93">
        <f>SUM('1:2'!O49)</f>
        <v>0</v>
      </c>
      <c r="P49" s="93">
        <f>SUM('1:2'!P49)</f>
        <v>0</v>
      </c>
      <c r="Q49" s="93">
        <f>SUM('1:2'!Q49)</f>
        <v>0</v>
      </c>
      <c r="R49" s="93">
        <f>SUM('1:2'!R49)</f>
        <v>0</v>
      </c>
      <c r="S49" s="93">
        <f>SUM('1:2'!S49)</f>
        <v>0</v>
      </c>
      <c r="T49" s="93">
        <f>SUM('1:2'!T49)</f>
        <v>0</v>
      </c>
      <c r="U49" s="93">
        <f>SUM('1:2'!U49)</f>
        <v>0</v>
      </c>
      <c r="V49" s="206"/>
      <c r="W49" s="33"/>
      <c r="X49" s="93">
        <f>SUM('1:2'!X49)</f>
        <v>0</v>
      </c>
      <c r="Y49" s="93">
        <f>SUM('1:2'!Y49)</f>
        <v>0</v>
      </c>
      <c r="Z49" s="93">
        <f>SUM('1:2'!Z49)</f>
        <v>0</v>
      </c>
      <c r="AA49" s="93">
        <f>SUM('1:2'!AA49)</f>
        <v>0</v>
      </c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>
      <c r="A50" s="300">
        <v>30100020</v>
      </c>
      <c r="B50" s="61" t="s">
        <v>385</v>
      </c>
      <c r="C50" s="16" t="s">
        <v>387</v>
      </c>
      <c r="D50" s="17">
        <v>5.03</v>
      </c>
      <c r="E50" s="17"/>
      <c r="F50" s="6"/>
      <c r="G50" s="93">
        <f>SUM('1:2'!G50)</f>
        <v>0</v>
      </c>
      <c r="H50" s="364">
        <f t="shared" si="10"/>
        <v>0</v>
      </c>
      <c r="I50" s="93">
        <f>SUM('1:2'!I50)</f>
        <v>0</v>
      </c>
      <c r="J50" s="31"/>
      <c r="K50" s="35">
        <f t="array" ref="K50">IF(ISERROR(G50/L50),"",G50/L50)</f>
        <v>0</v>
      </c>
      <c r="L50" s="87">
        <v>54</v>
      </c>
      <c r="M50" s="36">
        <f t="shared" si="17"/>
        <v>0</v>
      </c>
      <c r="N50" s="93">
        <f>SUM('1:2'!N50)</f>
        <v>0</v>
      </c>
      <c r="O50" s="93">
        <f>SUM('1:2'!O50)</f>
        <v>0</v>
      </c>
      <c r="P50" s="93">
        <f>SUM('1:2'!P50)</f>
        <v>0</v>
      </c>
      <c r="Q50" s="93">
        <f>SUM('1:2'!Q50)</f>
        <v>0</v>
      </c>
      <c r="R50" s="93">
        <f>SUM('1:2'!R50)</f>
        <v>0</v>
      </c>
      <c r="S50" s="93">
        <f>SUM('1:2'!S50)</f>
        <v>0</v>
      </c>
      <c r="T50" s="93">
        <f>SUM('1:2'!T50)</f>
        <v>0</v>
      </c>
      <c r="U50" s="93">
        <f>SUM('1:2'!U50)</f>
        <v>0</v>
      </c>
      <c r="V50" s="206"/>
      <c r="W50" s="33"/>
      <c r="X50" s="93">
        <f>SUM('1:2'!X50)</f>
        <v>0</v>
      </c>
      <c r="Y50" s="93">
        <f>SUM('1:2'!Y50)</f>
        <v>0</v>
      </c>
      <c r="Z50" s="93">
        <f>SUM('1:2'!Z50)</f>
        <v>0</v>
      </c>
      <c r="AA50" s="93">
        <f>SUM('1:2'!AA50)</f>
        <v>0</v>
      </c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>
      <c r="A51" s="300">
        <v>30100021</v>
      </c>
      <c r="B51" s="190" t="s">
        <v>382</v>
      </c>
      <c r="C51" s="16" t="s">
        <v>389</v>
      </c>
      <c r="D51" s="17">
        <v>5.03</v>
      </c>
      <c r="E51" s="17"/>
      <c r="F51" s="6"/>
      <c r="G51" s="93">
        <f>SUM('1:2'!G51)</f>
        <v>0</v>
      </c>
      <c r="H51" s="364">
        <f t="shared" si="10"/>
        <v>0</v>
      </c>
      <c r="I51" s="93">
        <f>SUM('1:2'!I51)</f>
        <v>0</v>
      </c>
      <c r="J51" s="31"/>
      <c r="K51" s="35">
        <f t="array" ref="K51">IF(ISERROR(G51/L51),"",G51/L51)</f>
        <v>0</v>
      </c>
      <c r="L51" s="87">
        <v>54</v>
      </c>
      <c r="M51" s="36">
        <f t="shared" si="17"/>
        <v>0</v>
      </c>
      <c r="N51" s="93">
        <f>SUM('1:2'!N51)</f>
        <v>0</v>
      </c>
      <c r="O51" s="93">
        <f>SUM('1:2'!O51)</f>
        <v>0</v>
      </c>
      <c r="P51" s="93">
        <f>SUM('1:2'!P51)</f>
        <v>0</v>
      </c>
      <c r="Q51" s="93">
        <f>SUM('1:2'!Q51)</f>
        <v>0</v>
      </c>
      <c r="R51" s="93">
        <f>SUM('1:2'!R51)</f>
        <v>0</v>
      </c>
      <c r="S51" s="93">
        <f>SUM('1:2'!S51)</f>
        <v>0</v>
      </c>
      <c r="T51" s="93">
        <f>SUM('1:2'!T51)</f>
        <v>0</v>
      </c>
      <c r="U51" s="93">
        <f>SUM('1:2'!U51)</f>
        <v>0</v>
      </c>
      <c r="V51" s="206"/>
      <c r="W51" s="33"/>
      <c r="X51" s="93">
        <f>SUM('1:2'!X51)</f>
        <v>0</v>
      </c>
      <c r="Y51" s="93">
        <f>SUM('1:2'!Y51)</f>
        <v>0</v>
      </c>
      <c r="Z51" s="93">
        <f>SUM('1:2'!Z51)</f>
        <v>0</v>
      </c>
      <c r="AA51" s="93">
        <f>SUM('1:2'!AA51)</f>
        <v>0</v>
      </c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>
      <c r="A52" s="300">
        <v>30100018</v>
      </c>
      <c r="B52" s="190" t="s">
        <v>382</v>
      </c>
      <c r="C52" s="16" t="s">
        <v>391</v>
      </c>
      <c r="D52" s="17">
        <v>5.03</v>
      </c>
      <c r="E52" s="17"/>
      <c r="F52" s="6"/>
      <c r="G52" s="93">
        <f>SUM('1:2'!G52)</f>
        <v>0</v>
      </c>
      <c r="H52" s="364">
        <f t="shared" si="10"/>
        <v>0</v>
      </c>
      <c r="I52" s="93">
        <f>SUM('1:2'!I52)</f>
        <v>0</v>
      </c>
      <c r="J52" s="31"/>
      <c r="K52" s="35">
        <f t="array" ref="K52">IF(ISERROR(G52/L52),"",G52/L52)</f>
        <v>0</v>
      </c>
      <c r="L52" s="87">
        <v>54</v>
      </c>
      <c r="M52" s="36">
        <f t="shared" si="17"/>
        <v>0</v>
      </c>
      <c r="N52" s="93">
        <f>SUM('1:2'!N52)</f>
        <v>0</v>
      </c>
      <c r="O52" s="93">
        <f>SUM('1:2'!O52)</f>
        <v>0</v>
      </c>
      <c r="P52" s="93">
        <f>SUM('1:2'!P52)</f>
        <v>0</v>
      </c>
      <c r="Q52" s="93">
        <f>SUM('1:2'!Q52)</f>
        <v>0</v>
      </c>
      <c r="R52" s="93">
        <f>SUM('1:2'!R52)</f>
        <v>0</v>
      </c>
      <c r="S52" s="93">
        <f>SUM('1:2'!S52)</f>
        <v>0</v>
      </c>
      <c r="T52" s="93">
        <f>SUM('1:2'!T52)</f>
        <v>0</v>
      </c>
      <c r="U52" s="93">
        <f>SUM('1:2'!U52)</f>
        <v>0</v>
      </c>
      <c r="V52" s="206"/>
      <c r="W52" s="33"/>
      <c r="X52" s="93">
        <f>SUM('1:2'!X52)</f>
        <v>0</v>
      </c>
      <c r="Y52" s="93">
        <f>SUM('1:2'!Y52)</f>
        <v>0</v>
      </c>
      <c r="Z52" s="93">
        <f>SUM('1:2'!Z52)</f>
        <v>0</v>
      </c>
      <c r="AA52" s="93">
        <f>SUM('1:2'!AA52)</f>
        <v>0</v>
      </c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>
      <c r="A53" s="303">
        <v>30700007</v>
      </c>
      <c r="B53" s="190" t="s">
        <v>418</v>
      </c>
      <c r="C53" s="187" t="s">
        <v>364</v>
      </c>
      <c r="D53" s="17"/>
      <c r="E53" s="17"/>
      <c r="F53" s="6"/>
      <c r="G53" s="93">
        <f>SUM('1:2'!G53)</f>
        <v>0</v>
      </c>
      <c r="H53" s="364">
        <f t="shared" si="10"/>
        <v>0</v>
      </c>
      <c r="I53" s="93">
        <f>SUM('1:2'!I53)</f>
        <v>0</v>
      </c>
      <c r="J53" s="31"/>
      <c r="K53" s="35">
        <f t="array" ref="K53">IF(ISERROR(G53/L53),"",G53/L53)</f>
        <v>0</v>
      </c>
      <c r="L53" s="87">
        <v>3</v>
      </c>
      <c r="M53" s="36">
        <f t="shared" si="17"/>
        <v>0</v>
      </c>
      <c r="N53" s="93">
        <f>SUM('1:2'!N53)</f>
        <v>0</v>
      </c>
      <c r="O53" s="93">
        <f>SUM('1:2'!O53)</f>
        <v>0</v>
      </c>
      <c r="P53" s="93">
        <f>SUM('1:2'!P53)</f>
        <v>0</v>
      </c>
      <c r="Q53" s="93">
        <f>SUM('1:2'!Q53)</f>
        <v>0</v>
      </c>
      <c r="R53" s="93">
        <f>SUM('1:2'!R53)</f>
        <v>0</v>
      </c>
      <c r="S53" s="93">
        <f>SUM('1:2'!S53)</f>
        <v>0</v>
      </c>
      <c r="T53" s="93">
        <f>SUM('1:2'!T53)</f>
        <v>0</v>
      </c>
      <c r="U53" s="93">
        <f>SUM('1:2'!U53)</f>
        <v>0</v>
      </c>
      <c r="V53" s="206"/>
      <c r="W53" s="33"/>
      <c r="X53" s="93">
        <f>SUM('1:2'!X53)</f>
        <v>0</v>
      </c>
      <c r="Y53" s="93">
        <f>SUM('1:2'!Y53)</f>
        <v>0</v>
      </c>
      <c r="Z53" s="93">
        <f>SUM('1:2'!Z53)</f>
        <v>0</v>
      </c>
      <c r="AA53" s="93">
        <f>SUM('1:2'!AA53)</f>
        <v>0</v>
      </c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>
      <c r="A54" s="303">
        <v>30700006</v>
      </c>
      <c r="B54" s="190" t="s">
        <v>418</v>
      </c>
      <c r="C54" s="187" t="s">
        <v>365</v>
      </c>
      <c r="D54" s="17"/>
      <c r="E54" s="17"/>
      <c r="F54" s="6"/>
      <c r="G54" s="93">
        <f>SUM('1:2'!G54)</f>
        <v>0</v>
      </c>
      <c r="H54" s="364">
        <f t="shared" si="10"/>
        <v>0</v>
      </c>
      <c r="I54" s="93">
        <f>SUM('1:2'!I54)</f>
        <v>0</v>
      </c>
      <c r="J54" s="31"/>
      <c r="K54" s="35">
        <f t="array" ref="K54">IF(ISERROR(G54/L54),"",G54/L54)</f>
        <v>0</v>
      </c>
      <c r="L54" s="87">
        <v>3</v>
      </c>
      <c r="M54" s="36">
        <f t="shared" si="17"/>
        <v>0</v>
      </c>
      <c r="N54" s="93">
        <f>SUM('1:2'!N54)</f>
        <v>0</v>
      </c>
      <c r="O54" s="93">
        <f>SUM('1:2'!O54)</f>
        <v>0</v>
      </c>
      <c r="P54" s="93">
        <f>SUM('1:2'!P54)</f>
        <v>0</v>
      </c>
      <c r="Q54" s="93">
        <f>SUM('1:2'!Q54)</f>
        <v>0</v>
      </c>
      <c r="R54" s="93">
        <f>SUM('1:2'!R54)</f>
        <v>0</v>
      </c>
      <c r="S54" s="93">
        <f>SUM('1:2'!S54)</f>
        <v>0</v>
      </c>
      <c r="T54" s="93">
        <f>SUM('1:2'!T54)</f>
        <v>0</v>
      </c>
      <c r="U54" s="93">
        <f>SUM('1:2'!U54)</f>
        <v>0</v>
      </c>
      <c r="V54" s="206"/>
      <c r="W54" s="33"/>
      <c r="X54" s="93">
        <f>SUM('1:2'!X54)</f>
        <v>0</v>
      </c>
      <c r="Y54" s="93">
        <f>SUM('1:2'!Y54)</f>
        <v>0</v>
      </c>
      <c r="Z54" s="93">
        <f>SUM('1:2'!Z54)</f>
        <v>0</v>
      </c>
      <c r="AA54" s="93">
        <f>SUM('1:2'!AA54)</f>
        <v>0</v>
      </c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>
      <c r="A55" s="303">
        <v>30700008</v>
      </c>
      <c r="B55" s="190" t="s">
        <v>418</v>
      </c>
      <c r="C55" s="187" t="s">
        <v>366</v>
      </c>
      <c r="D55" s="17"/>
      <c r="E55" s="17"/>
      <c r="F55" s="6"/>
      <c r="G55" s="93">
        <f>SUM('1:2'!G55)</f>
        <v>0</v>
      </c>
      <c r="H55" s="364">
        <f t="shared" si="10"/>
        <v>0</v>
      </c>
      <c r="I55" s="93">
        <f>SUM('1:2'!I55)</f>
        <v>0</v>
      </c>
      <c r="J55" s="31"/>
      <c r="K55" s="35">
        <f t="array" ref="K55">IF(ISERROR(G55/L55),"",G55/L55)</f>
        <v>0</v>
      </c>
      <c r="L55" s="87">
        <v>3</v>
      </c>
      <c r="M55" s="36">
        <f t="shared" si="17"/>
        <v>0</v>
      </c>
      <c r="N55" s="93">
        <f>SUM('1:2'!N55)</f>
        <v>0</v>
      </c>
      <c r="O55" s="93">
        <f>SUM('1:2'!O55)</f>
        <v>0</v>
      </c>
      <c r="P55" s="93">
        <f>SUM('1:2'!P55)</f>
        <v>0</v>
      </c>
      <c r="Q55" s="93">
        <f>SUM('1:2'!Q55)</f>
        <v>0</v>
      </c>
      <c r="R55" s="93">
        <f>SUM('1:2'!R55)</f>
        <v>0</v>
      </c>
      <c r="S55" s="93">
        <f>SUM('1:2'!S55)</f>
        <v>0</v>
      </c>
      <c r="T55" s="93">
        <f>SUM('1:2'!T55)</f>
        <v>0</v>
      </c>
      <c r="U55" s="93">
        <f>SUM('1:2'!U55)</f>
        <v>0</v>
      </c>
      <c r="V55" s="206"/>
      <c r="W55" s="33"/>
      <c r="X55" s="93">
        <f>SUM('1:2'!X55)</f>
        <v>0</v>
      </c>
      <c r="Y55" s="93">
        <f>SUM('1:2'!Y55)</f>
        <v>0</v>
      </c>
      <c r="Z55" s="93">
        <f>SUM('1:2'!Z55)</f>
        <v>0</v>
      </c>
      <c r="AA55" s="93">
        <f>SUM('1:2'!AA55)</f>
        <v>0</v>
      </c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>
      <c r="A56" s="303">
        <v>30700009</v>
      </c>
      <c r="B56" s="190" t="s">
        <v>418</v>
      </c>
      <c r="C56" s="187" t="s">
        <v>367</v>
      </c>
      <c r="D56" s="17"/>
      <c r="E56" s="17"/>
      <c r="F56" s="6"/>
      <c r="G56" s="93">
        <f>SUM('1:2'!G56)</f>
        <v>0</v>
      </c>
      <c r="H56" s="364">
        <f t="shared" si="10"/>
        <v>0</v>
      </c>
      <c r="I56" s="93">
        <f>SUM('1:2'!I56)</f>
        <v>0</v>
      </c>
      <c r="J56" s="31"/>
      <c r="K56" s="35">
        <f t="array" ref="K56">IF(ISERROR(G56/L56),"",G56/L56)</f>
        <v>0</v>
      </c>
      <c r="L56" s="87">
        <v>3</v>
      </c>
      <c r="M56" s="36">
        <f t="shared" si="17"/>
        <v>0</v>
      </c>
      <c r="N56" s="93">
        <f>SUM('1:2'!N56)</f>
        <v>0</v>
      </c>
      <c r="O56" s="93">
        <f>SUM('1:2'!O56)</f>
        <v>0</v>
      </c>
      <c r="P56" s="93">
        <f>SUM('1:2'!P56)</f>
        <v>0</v>
      </c>
      <c r="Q56" s="93">
        <f>SUM('1:2'!Q56)</f>
        <v>0</v>
      </c>
      <c r="R56" s="93">
        <f>SUM('1:2'!R56)</f>
        <v>0</v>
      </c>
      <c r="S56" s="93">
        <f>SUM('1:2'!S56)</f>
        <v>0</v>
      </c>
      <c r="T56" s="93">
        <f>SUM('1:2'!T56)</f>
        <v>0</v>
      </c>
      <c r="U56" s="93">
        <f>SUM('1:2'!U56)</f>
        <v>0</v>
      </c>
      <c r="V56" s="206"/>
      <c r="W56" s="33"/>
      <c r="X56" s="93">
        <f>SUM('1:2'!X56)</f>
        <v>0</v>
      </c>
      <c r="Y56" s="93">
        <f>SUM('1:2'!Y56)</f>
        <v>0</v>
      </c>
      <c r="Z56" s="93">
        <f>SUM('1:2'!Z56)</f>
        <v>0</v>
      </c>
      <c r="AA56" s="93">
        <f>SUM('1:2'!AA56)</f>
        <v>0</v>
      </c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>
      <c r="A57" s="300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93">
        <f>SUM('1:2'!G57)</f>
        <v>0</v>
      </c>
      <c r="H57" s="364">
        <f t="shared" si="10"/>
        <v>0</v>
      </c>
      <c r="I57" s="93">
        <f>SUM('1:2'!I57)</f>
        <v>0</v>
      </c>
      <c r="J57" s="31" t="str">
        <f t="array" ref="J57">IF(ISERROR(G57/I57),"",G57/I57)</f>
        <v/>
      </c>
      <c r="K57" s="35">
        <f t="array" ref="K57">IF(ISERROR(G57/L57),"",G57/L57)</f>
        <v>0</v>
      </c>
      <c r="L57" s="87">
        <v>40</v>
      </c>
      <c r="M57" s="36">
        <f t="shared" si="17"/>
        <v>0</v>
      </c>
      <c r="N57" s="93">
        <f>SUM('1:2'!N57)</f>
        <v>0</v>
      </c>
      <c r="O57" s="93">
        <f>SUM('1:2'!O57)</f>
        <v>0</v>
      </c>
      <c r="P57" s="93">
        <f>SUM('1:2'!P57)</f>
        <v>0</v>
      </c>
      <c r="Q57" s="93">
        <f>SUM('1:2'!Q57)</f>
        <v>0</v>
      </c>
      <c r="R57" s="93">
        <f>SUM('1:2'!R57)</f>
        <v>0</v>
      </c>
      <c r="S57" s="93">
        <f>SUM('1:2'!S57)</f>
        <v>0</v>
      </c>
      <c r="T57" s="93">
        <f>SUM('1:2'!T57)</f>
        <v>0</v>
      </c>
      <c r="U57" s="93">
        <f>SUM('1:2'!U57)</f>
        <v>0</v>
      </c>
      <c r="V57" s="206">
        <f t="shared" ref="V57:V66" si="20">SUM(X57:AA57)</f>
        <v>0</v>
      </c>
      <c r="W57" s="33" t="str">
        <f t="shared" ref="W57:W66" si="21">IF(ISERROR(V57/G57),"",V57/G57)</f>
        <v/>
      </c>
      <c r="X57" s="93">
        <f>SUM('1:2'!X57)</f>
        <v>0</v>
      </c>
      <c r="Y57" s="93">
        <f>SUM('1:2'!Y57)</f>
        <v>0</v>
      </c>
      <c r="Z57" s="93">
        <f>SUM('1:2'!Z57)</f>
        <v>0</v>
      </c>
      <c r="AA57" s="93">
        <f>SUM('1:2'!AA57)</f>
        <v>0</v>
      </c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>
      <c r="A58" s="300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93">
        <f>SUM('1:2'!G58)</f>
        <v>0</v>
      </c>
      <c r="H58" s="364">
        <f t="shared" si="10"/>
        <v>0</v>
      </c>
      <c r="I58" s="93">
        <f>SUM('1:2'!I58)</f>
        <v>0</v>
      </c>
      <c r="J58" s="31" t="str">
        <f t="array" ref="J58">IF(ISERROR(G58/I58),"",G58/I58)</f>
        <v/>
      </c>
      <c r="K58" s="35">
        <f t="array" ref="K58">IF(ISERROR(G58/L58),"",G58/L58)</f>
        <v>0</v>
      </c>
      <c r="L58" s="87">
        <v>40</v>
      </c>
      <c r="M58" s="36">
        <f t="shared" si="17"/>
        <v>0</v>
      </c>
      <c r="N58" s="93">
        <f>SUM('1:2'!N58)</f>
        <v>0</v>
      </c>
      <c r="O58" s="93">
        <f>SUM('1:2'!O58)</f>
        <v>0</v>
      </c>
      <c r="P58" s="93">
        <f>SUM('1:2'!P58)</f>
        <v>0</v>
      </c>
      <c r="Q58" s="93">
        <f>SUM('1:2'!Q58)</f>
        <v>0</v>
      </c>
      <c r="R58" s="93">
        <f>SUM('1:2'!R58)</f>
        <v>0</v>
      </c>
      <c r="S58" s="93">
        <f>SUM('1:2'!S58)</f>
        <v>0</v>
      </c>
      <c r="T58" s="93">
        <f>SUM('1:2'!T58)</f>
        <v>0</v>
      </c>
      <c r="U58" s="93">
        <f>SUM('1:2'!U58)</f>
        <v>0</v>
      </c>
      <c r="V58" s="206">
        <f t="shared" si="20"/>
        <v>0</v>
      </c>
      <c r="W58" s="33" t="str">
        <f t="shared" si="21"/>
        <v/>
      </c>
      <c r="X58" s="93">
        <f>SUM('1:2'!X58)</f>
        <v>0</v>
      </c>
      <c r="Y58" s="93">
        <f>SUM('1:2'!Y58)</f>
        <v>0</v>
      </c>
      <c r="Z58" s="93">
        <f>SUM('1:2'!Z58)</f>
        <v>0</v>
      </c>
      <c r="AA58" s="93">
        <f>SUM('1:2'!AA58)</f>
        <v>0</v>
      </c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>
      <c r="A59" s="300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93">
        <f>SUM('1:2'!G59)</f>
        <v>0</v>
      </c>
      <c r="H59" s="364">
        <f t="shared" si="10"/>
        <v>0</v>
      </c>
      <c r="I59" s="93">
        <f>SUM('1:2'!I59)</f>
        <v>0</v>
      </c>
      <c r="J59" s="31" t="str">
        <f t="array" ref="J59">IF(ISERROR(G59/I59),"",G59/I59)</f>
        <v/>
      </c>
      <c r="K59" s="35">
        <f t="array" ref="K59">IF(ISERROR(G59/L59),"",G59/L59)</f>
        <v>0</v>
      </c>
      <c r="L59" s="87">
        <v>40</v>
      </c>
      <c r="M59" s="36">
        <f t="shared" si="17"/>
        <v>0</v>
      </c>
      <c r="N59" s="93">
        <f>SUM('1:2'!N59)</f>
        <v>0</v>
      </c>
      <c r="O59" s="93">
        <f>SUM('1:2'!O59)</f>
        <v>0</v>
      </c>
      <c r="P59" s="93">
        <f>SUM('1:2'!P59)</f>
        <v>0</v>
      </c>
      <c r="Q59" s="93">
        <f>SUM('1:2'!Q59)</f>
        <v>0</v>
      </c>
      <c r="R59" s="93">
        <f>SUM('1:2'!R59)</f>
        <v>0</v>
      </c>
      <c r="S59" s="93">
        <f>SUM('1:2'!S59)</f>
        <v>0</v>
      </c>
      <c r="T59" s="93">
        <f>SUM('1:2'!T59)</f>
        <v>0</v>
      </c>
      <c r="U59" s="93">
        <f>SUM('1:2'!U59)</f>
        <v>0</v>
      </c>
      <c r="V59" s="206">
        <f t="shared" si="20"/>
        <v>0</v>
      </c>
      <c r="W59" s="33" t="str">
        <f t="shared" si="21"/>
        <v/>
      </c>
      <c r="X59" s="93">
        <f>SUM('1:2'!X59)</f>
        <v>0</v>
      </c>
      <c r="Y59" s="93">
        <f>SUM('1:2'!Y59)</f>
        <v>0</v>
      </c>
      <c r="Z59" s="93">
        <f>SUM('1:2'!Z59)</f>
        <v>0</v>
      </c>
      <c r="AA59" s="93">
        <f>SUM('1:2'!AA59)</f>
        <v>0</v>
      </c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>
      <c r="A60" s="300">
        <v>30100040</v>
      </c>
      <c r="B60" s="62" t="s">
        <v>81</v>
      </c>
      <c r="C60" s="16" t="s">
        <v>82</v>
      </c>
      <c r="D60" s="17">
        <v>5.03</v>
      </c>
      <c r="E60" s="17"/>
      <c r="F60" s="6"/>
      <c r="G60" s="93">
        <f>SUM('1:2'!G60)</f>
        <v>0</v>
      </c>
      <c r="H60" s="364">
        <f t="shared" si="10"/>
        <v>0</v>
      </c>
      <c r="I60" s="93">
        <f>SUM('1:2'!I60)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87">
        <v>50</v>
      </c>
      <c r="M60" s="36">
        <f t="shared" si="17"/>
        <v>0</v>
      </c>
      <c r="N60" s="93">
        <f>SUM('1:2'!N60)</f>
        <v>0</v>
      </c>
      <c r="O60" s="93">
        <f>SUM('1:2'!O60)</f>
        <v>0</v>
      </c>
      <c r="P60" s="93">
        <f>SUM('1:2'!P60)</f>
        <v>0</v>
      </c>
      <c r="Q60" s="93">
        <f>SUM('1:2'!Q60)</f>
        <v>0</v>
      </c>
      <c r="R60" s="93">
        <f>SUM('1:2'!R60)</f>
        <v>0</v>
      </c>
      <c r="S60" s="93">
        <f>SUM('1:2'!S60)</f>
        <v>0</v>
      </c>
      <c r="T60" s="93">
        <f>SUM('1:2'!T60)</f>
        <v>0</v>
      </c>
      <c r="U60" s="93">
        <f>SUM('1:2'!U60)</f>
        <v>0</v>
      </c>
      <c r="V60" s="206">
        <f t="shared" si="20"/>
        <v>0</v>
      </c>
      <c r="W60" s="33" t="str">
        <f t="shared" si="21"/>
        <v/>
      </c>
      <c r="X60" s="93">
        <f>SUM('1:2'!X60)</f>
        <v>0</v>
      </c>
      <c r="Y60" s="93">
        <f>SUM('1:2'!Y60)</f>
        <v>0</v>
      </c>
      <c r="Z60" s="93">
        <f>SUM('1:2'!Z60)</f>
        <v>0</v>
      </c>
      <c r="AA60" s="93">
        <f>SUM('1:2'!AA60)</f>
        <v>0</v>
      </c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>
      <c r="A61" s="300">
        <v>30100039</v>
      </c>
      <c r="B61" s="62" t="s">
        <v>81</v>
      </c>
      <c r="C61" s="16" t="s">
        <v>60</v>
      </c>
      <c r="D61" s="17">
        <v>5.03</v>
      </c>
      <c r="E61" s="17"/>
      <c r="F61" s="6"/>
      <c r="G61" s="93">
        <f>SUM('1:2'!G61)</f>
        <v>0</v>
      </c>
      <c r="H61" s="364">
        <f t="shared" si="10"/>
        <v>0</v>
      </c>
      <c r="I61" s="93">
        <f>SUM('1:2'!I61)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87">
        <v>50</v>
      </c>
      <c r="M61" s="36">
        <f t="shared" si="17"/>
        <v>0</v>
      </c>
      <c r="N61" s="93">
        <f>SUM('1:2'!N61)</f>
        <v>0</v>
      </c>
      <c r="O61" s="93">
        <f>SUM('1:2'!O61)</f>
        <v>0</v>
      </c>
      <c r="P61" s="93">
        <f>SUM('1:2'!P61)</f>
        <v>0</v>
      </c>
      <c r="Q61" s="93">
        <f>SUM('1:2'!Q61)</f>
        <v>0</v>
      </c>
      <c r="R61" s="93">
        <f>SUM('1:2'!R61)</f>
        <v>0</v>
      </c>
      <c r="S61" s="93">
        <f>SUM('1:2'!S61)</f>
        <v>0</v>
      </c>
      <c r="T61" s="93">
        <f>SUM('1:2'!T61)</f>
        <v>0</v>
      </c>
      <c r="U61" s="93">
        <f>SUM('1:2'!U61)</f>
        <v>0</v>
      </c>
      <c r="V61" s="206">
        <f t="shared" si="20"/>
        <v>0</v>
      </c>
      <c r="W61" s="33" t="str">
        <f t="shared" si="21"/>
        <v/>
      </c>
      <c r="X61" s="93">
        <f>SUM('1:2'!X61)</f>
        <v>0</v>
      </c>
      <c r="Y61" s="93">
        <f>SUM('1:2'!Y61)</f>
        <v>0</v>
      </c>
      <c r="Z61" s="93">
        <f>SUM('1:2'!Z61)</f>
        <v>0</v>
      </c>
      <c r="AA61" s="93">
        <f>SUM('1:2'!AA61)</f>
        <v>0</v>
      </c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>
      <c r="A62" s="300">
        <v>30100042</v>
      </c>
      <c r="B62" s="62" t="s">
        <v>81</v>
      </c>
      <c r="C62" s="16" t="s">
        <v>61</v>
      </c>
      <c r="D62" s="17">
        <v>5.03</v>
      </c>
      <c r="E62" s="17"/>
      <c r="F62" s="6"/>
      <c r="G62" s="93">
        <f>SUM('1:2'!G62)</f>
        <v>0</v>
      </c>
      <c r="H62" s="364">
        <f t="shared" si="10"/>
        <v>0</v>
      </c>
      <c r="I62" s="93">
        <f>SUM('1:2'!I62)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87">
        <v>50</v>
      </c>
      <c r="M62" s="36">
        <f t="shared" si="17"/>
        <v>0</v>
      </c>
      <c r="N62" s="93">
        <f>SUM('1:2'!N62)</f>
        <v>0</v>
      </c>
      <c r="O62" s="93">
        <f>SUM('1:2'!O62)</f>
        <v>0</v>
      </c>
      <c r="P62" s="93">
        <f>SUM('1:2'!P62)</f>
        <v>0</v>
      </c>
      <c r="Q62" s="93">
        <f>SUM('1:2'!Q62)</f>
        <v>0</v>
      </c>
      <c r="R62" s="93">
        <f>SUM('1:2'!R62)</f>
        <v>0</v>
      </c>
      <c r="S62" s="93">
        <f>SUM('1:2'!S62)</f>
        <v>0</v>
      </c>
      <c r="T62" s="93">
        <f>SUM('1:2'!T62)</f>
        <v>0</v>
      </c>
      <c r="U62" s="93">
        <f>SUM('1:2'!U62)</f>
        <v>0</v>
      </c>
      <c r="V62" s="206">
        <f t="shared" si="20"/>
        <v>0</v>
      </c>
      <c r="W62" s="33" t="str">
        <f t="shared" si="21"/>
        <v/>
      </c>
      <c r="X62" s="93">
        <f>SUM('1:2'!X62)</f>
        <v>0</v>
      </c>
      <c r="Y62" s="93">
        <f>SUM('1:2'!Y62)</f>
        <v>0</v>
      </c>
      <c r="Z62" s="93">
        <f>SUM('1:2'!Z62)</f>
        <v>0</v>
      </c>
      <c r="AA62" s="93">
        <f>SUM('1:2'!AA62)</f>
        <v>0</v>
      </c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>
      <c r="A63" s="300">
        <v>30100041</v>
      </c>
      <c r="B63" s="62" t="s">
        <v>81</v>
      </c>
      <c r="C63" s="16" t="s">
        <v>65</v>
      </c>
      <c r="D63" s="17">
        <v>5.03</v>
      </c>
      <c r="E63" s="17"/>
      <c r="F63" s="6"/>
      <c r="G63" s="93">
        <f>SUM('1:2'!G63)</f>
        <v>0</v>
      </c>
      <c r="H63" s="364">
        <f t="shared" si="10"/>
        <v>0</v>
      </c>
      <c r="I63" s="93">
        <f>SUM('1:2'!I63)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87">
        <v>50</v>
      </c>
      <c r="M63" s="36">
        <f t="shared" si="17"/>
        <v>0</v>
      </c>
      <c r="N63" s="93">
        <f>SUM('1:2'!N63)</f>
        <v>0</v>
      </c>
      <c r="O63" s="93">
        <f>SUM('1:2'!O63)</f>
        <v>0</v>
      </c>
      <c r="P63" s="93">
        <f>SUM('1:2'!P63)</f>
        <v>0</v>
      </c>
      <c r="Q63" s="93">
        <f>SUM('1:2'!Q63)</f>
        <v>0</v>
      </c>
      <c r="R63" s="93">
        <f>SUM('1:2'!R63)</f>
        <v>0</v>
      </c>
      <c r="S63" s="93">
        <f>SUM('1:2'!S63)</f>
        <v>0</v>
      </c>
      <c r="T63" s="93">
        <f>SUM('1:2'!T63)</f>
        <v>0</v>
      </c>
      <c r="U63" s="93">
        <f>SUM('1:2'!U63)</f>
        <v>0</v>
      </c>
      <c r="V63" s="206">
        <f t="shared" si="20"/>
        <v>0</v>
      </c>
      <c r="W63" s="33" t="str">
        <f t="shared" si="21"/>
        <v/>
      </c>
      <c r="X63" s="93">
        <f>SUM('1:2'!X63)</f>
        <v>0</v>
      </c>
      <c r="Y63" s="93">
        <f>SUM('1:2'!Y63)</f>
        <v>0</v>
      </c>
      <c r="Z63" s="93">
        <f>SUM('1:2'!Z63)</f>
        <v>0</v>
      </c>
      <c r="AA63" s="93">
        <f>SUM('1:2'!AA63)</f>
        <v>0</v>
      </c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>
      <c r="A64" s="300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93">
        <f>SUM('1:2'!G64)</f>
        <v>0</v>
      </c>
      <c r="H64" s="364">
        <f t="shared" si="10"/>
        <v>0</v>
      </c>
      <c r="I64" s="93">
        <f>SUM('1:2'!I64)</f>
        <v>0</v>
      </c>
      <c r="J64" s="31" t="str">
        <f t="array" ref="J64">IF(ISERROR(G64/I64),"",G64/I64)</f>
        <v/>
      </c>
      <c r="K64" s="35">
        <f t="array" ref="K64">IF(ISERROR(G64/L64),"",G64/L64)</f>
        <v>0</v>
      </c>
      <c r="L64" s="87">
        <v>50</v>
      </c>
      <c r="M64" s="36">
        <f t="shared" si="17"/>
        <v>0</v>
      </c>
      <c r="N64" s="93">
        <f>SUM('1:2'!N64)</f>
        <v>0</v>
      </c>
      <c r="O64" s="93">
        <f>SUM('1:2'!O64)</f>
        <v>0</v>
      </c>
      <c r="P64" s="93">
        <f>SUM('1:2'!P64)</f>
        <v>0</v>
      </c>
      <c r="Q64" s="93">
        <f>SUM('1:2'!Q64)</f>
        <v>0</v>
      </c>
      <c r="R64" s="93">
        <f>SUM('1:2'!R64)</f>
        <v>0</v>
      </c>
      <c r="S64" s="93">
        <f>SUM('1:2'!S64)</f>
        <v>0</v>
      </c>
      <c r="T64" s="93">
        <f>SUM('1:2'!T64)</f>
        <v>0</v>
      </c>
      <c r="U64" s="93">
        <f>SUM('1:2'!U64)</f>
        <v>0</v>
      </c>
      <c r="V64" s="206">
        <f t="shared" si="20"/>
        <v>0</v>
      </c>
      <c r="W64" s="33" t="str">
        <f t="shared" si="21"/>
        <v/>
      </c>
      <c r="X64" s="93">
        <f>SUM('1:2'!X64)</f>
        <v>0</v>
      </c>
      <c r="Y64" s="93">
        <f>SUM('1:2'!Y64)</f>
        <v>0</v>
      </c>
      <c r="Z64" s="93">
        <f>SUM('1:2'!Z64)</f>
        <v>0</v>
      </c>
      <c r="AA64" s="93">
        <f>SUM('1:2'!AA64)</f>
        <v>0</v>
      </c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>
      <c r="A65" s="300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93">
        <f>SUM('1:2'!G65)</f>
        <v>0</v>
      </c>
      <c r="H65" s="364">
        <f t="shared" si="10"/>
        <v>0</v>
      </c>
      <c r="I65" s="93">
        <f>SUM('1:2'!I65)</f>
        <v>0</v>
      </c>
      <c r="J65" s="31" t="str">
        <f t="array" ref="J65">IF(ISERROR(G65/I65),"",G65/I65)</f>
        <v/>
      </c>
      <c r="K65" s="35">
        <f t="array" ref="K65">IF(ISERROR(G65/L65),"",G65/L65)</f>
        <v>0</v>
      </c>
      <c r="L65" s="87">
        <v>50</v>
      </c>
      <c r="M65" s="36">
        <f t="shared" si="17"/>
        <v>0</v>
      </c>
      <c r="N65" s="93">
        <f>SUM('1:2'!N65)</f>
        <v>0</v>
      </c>
      <c r="O65" s="93">
        <f>SUM('1:2'!O65)</f>
        <v>0</v>
      </c>
      <c r="P65" s="93">
        <f>SUM('1:2'!P65)</f>
        <v>0</v>
      </c>
      <c r="Q65" s="93">
        <f>SUM('1:2'!Q65)</f>
        <v>0</v>
      </c>
      <c r="R65" s="93">
        <f>SUM('1:2'!R65)</f>
        <v>0</v>
      </c>
      <c r="S65" s="93">
        <f>SUM('1:2'!S65)</f>
        <v>0</v>
      </c>
      <c r="T65" s="93">
        <f>SUM('1:2'!T65)</f>
        <v>0</v>
      </c>
      <c r="U65" s="93">
        <f>SUM('1:2'!U65)</f>
        <v>0</v>
      </c>
      <c r="V65" s="206">
        <f t="shared" si="20"/>
        <v>0</v>
      </c>
      <c r="W65" s="33" t="str">
        <f t="shared" si="21"/>
        <v/>
      </c>
      <c r="X65" s="93">
        <f>SUM('1:2'!X65)</f>
        <v>0</v>
      </c>
      <c r="Y65" s="93">
        <f>SUM('1:2'!Y65)</f>
        <v>0</v>
      </c>
      <c r="Z65" s="93">
        <f>SUM('1:2'!Z65)</f>
        <v>0</v>
      </c>
      <c r="AA65" s="93">
        <f>SUM('1:2'!AA65)</f>
        <v>0</v>
      </c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>
      <c r="A66" s="300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93">
        <f>SUM('1:2'!G66)</f>
        <v>0</v>
      </c>
      <c r="H66" s="364">
        <f t="shared" si="10"/>
        <v>0</v>
      </c>
      <c r="I66" s="93">
        <f>SUM('1:2'!I66)</f>
        <v>0</v>
      </c>
      <c r="J66" s="31" t="str">
        <f t="array" ref="J66">IF(ISERROR(G66/I66),"",G66/I66)</f>
        <v/>
      </c>
      <c r="K66" s="35">
        <f t="array" ref="K66">IF(ISERROR(G66/L66),"",G66/L66)</f>
        <v>0</v>
      </c>
      <c r="L66" s="87">
        <v>50</v>
      </c>
      <c r="M66" s="36">
        <f t="shared" si="17"/>
        <v>0</v>
      </c>
      <c r="N66" s="93">
        <f>SUM('1:2'!N66)</f>
        <v>0</v>
      </c>
      <c r="O66" s="93">
        <f>SUM('1:2'!O66)</f>
        <v>0</v>
      </c>
      <c r="P66" s="93">
        <f>SUM('1:2'!P66)</f>
        <v>0</v>
      </c>
      <c r="Q66" s="93">
        <f>SUM('1:2'!Q66)</f>
        <v>0</v>
      </c>
      <c r="R66" s="93">
        <f>SUM('1:2'!R66)</f>
        <v>0</v>
      </c>
      <c r="S66" s="93">
        <f>SUM('1:2'!S66)</f>
        <v>0</v>
      </c>
      <c r="T66" s="93">
        <f>SUM('1:2'!T66)</f>
        <v>0</v>
      </c>
      <c r="U66" s="93">
        <f>SUM('1:2'!U66)</f>
        <v>0</v>
      </c>
      <c r="V66" s="206">
        <f t="shared" si="20"/>
        <v>0</v>
      </c>
      <c r="W66" s="33" t="str">
        <f t="shared" si="21"/>
        <v/>
      </c>
      <c r="X66" s="93">
        <f>SUM('1:2'!X66)</f>
        <v>0</v>
      </c>
      <c r="Y66" s="93">
        <f>SUM('1:2'!Y66)</f>
        <v>0</v>
      </c>
      <c r="Z66" s="93">
        <f>SUM('1:2'!Z66)</f>
        <v>0</v>
      </c>
      <c r="AA66" s="93">
        <f>SUM('1:2'!AA66)</f>
        <v>0</v>
      </c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>
      <c r="A67" s="300">
        <v>30100043</v>
      </c>
      <c r="B67" s="62" t="s">
        <v>429</v>
      </c>
      <c r="C67" s="297" t="s">
        <v>451</v>
      </c>
      <c r="D67" s="17">
        <v>5.03</v>
      </c>
      <c r="E67" s="17"/>
      <c r="F67" s="6"/>
      <c r="G67" s="93">
        <f>SUM('1:2'!G67)</f>
        <v>0</v>
      </c>
      <c r="H67" s="364">
        <f t="shared" si="10"/>
        <v>0</v>
      </c>
      <c r="I67" s="93">
        <f>SUM('1:2'!I67)</f>
        <v>0</v>
      </c>
      <c r="J67" s="31"/>
      <c r="K67" s="35">
        <f t="array" ref="K67">IF(ISERROR(G67/L67),"",G67/L67)</f>
        <v>0</v>
      </c>
      <c r="L67" s="87">
        <v>50</v>
      </c>
      <c r="M67" s="36"/>
      <c r="N67" s="93"/>
      <c r="O67" s="93"/>
      <c r="P67" s="93"/>
      <c r="Q67" s="93"/>
      <c r="R67" s="93"/>
      <c r="S67" s="93"/>
      <c r="T67" s="93"/>
      <c r="U67" s="93"/>
      <c r="V67" s="206"/>
      <c r="W67" s="33"/>
      <c r="X67" s="93"/>
      <c r="Y67" s="93"/>
      <c r="Z67" s="93"/>
      <c r="AA67" s="93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>
      <c r="A68" s="300">
        <v>30100064</v>
      </c>
      <c r="B68" s="192" t="s">
        <v>397</v>
      </c>
      <c r="C68" s="187" t="s">
        <v>398</v>
      </c>
      <c r="D68" s="17">
        <v>5</v>
      </c>
      <c r="E68" s="17"/>
      <c r="F68" s="6"/>
      <c r="G68" s="93">
        <f>SUM('1:2'!G68)</f>
        <v>185</v>
      </c>
      <c r="H68" s="364">
        <f t="shared" si="10"/>
        <v>925</v>
      </c>
      <c r="I68" s="93">
        <f>SUM('1:2'!I68)</f>
        <v>5</v>
      </c>
      <c r="J68" s="31"/>
      <c r="K68" s="35">
        <f t="array" ref="K68">IF(ISERROR(G68/L68),"",G68/L68)</f>
        <v>3.7</v>
      </c>
      <c r="L68" s="87">
        <v>50</v>
      </c>
      <c r="M68" s="36"/>
      <c r="N68" s="93">
        <f>SUM('1:2'!N68)</f>
        <v>0</v>
      </c>
      <c r="O68" s="93">
        <f>SUM('1:2'!O68)</f>
        <v>0</v>
      </c>
      <c r="P68" s="93">
        <f>SUM('1:2'!P68)</f>
        <v>0</v>
      </c>
      <c r="Q68" s="93">
        <f>SUM('1:2'!Q68)</f>
        <v>0</v>
      </c>
      <c r="R68" s="93">
        <f>SUM('1:2'!R68)</f>
        <v>0</v>
      </c>
      <c r="S68" s="93">
        <f>SUM('1:2'!S68)</f>
        <v>0</v>
      </c>
      <c r="T68" s="93">
        <f>SUM('1:2'!T68)</f>
        <v>0</v>
      </c>
      <c r="U68" s="93">
        <f>SUM('1:2'!U68)</f>
        <v>0</v>
      </c>
      <c r="V68" s="206"/>
      <c r="W68" s="33"/>
      <c r="X68" s="93">
        <f>SUM('1:2'!X68)</f>
        <v>0</v>
      </c>
      <c r="Y68" s="93">
        <f>SUM('1:2'!Y68)</f>
        <v>0</v>
      </c>
      <c r="Z68" s="93">
        <f>SUM('1:2'!Z68)</f>
        <v>0</v>
      </c>
      <c r="AA68" s="93">
        <f>SUM('1:2'!AA68)</f>
        <v>0</v>
      </c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>
      <c r="A69" s="300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93">
        <f>SUM('1:2'!G69)</f>
        <v>85</v>
      </c>
      <c r="H69" s="364">
        <f t="shared" si="10"/>
        <v>427.55</v>
      </c>
      <c r="I69" s="93">
        <f>SUM('1:2'!I69)</f>
        <v>4</v>
      </c>
      <c r="J69" s="31">
        <f t="array" ref="J69">IF(ISERROR(G69/I69),"",G69/I69)</f>
        <v>21.25</v>
      </c>
      <c r="K69" s="35">
        <f t="array" ref="K69">IF(ISERROR(G69/L69),"",G69/L69)</f>
        <v>3.9534883720930232</v>
      </c>
      <c r="L69" s="87">
        <v>21.5</v>
      </c>
      <c r="M69" s="36">
        <f t="shared" ref="M69:M70" si="22">IF(ISERROR(I69-K69),"",I69-K69)</f>
        <v>4.6511627906976827E-2</v>
      </c>
      <c r="N69" s="93">
        <f>SUM('1:2'!N69)</f>
        <v>0</v>
      </c>
      <c r="O69" s="93">
        <f>SUM('1:2'!O69)</f>
        <v>0</v>
      </c>
      <c r="P69" s="93">
        <f>SUM('1:2'!P69)</f>
        <v>0</v>
      </c>
      <c r="Q69" s="93">
        <f>SUM('1:2'!Q69)</f>
        <v>0</v>
      </c>
      <c r="R69" s="93">
        <f>SUM('1:2'!R69)</f>
        <v>0</v>
      </c>
      <c r="S69" s="93">
        <f>SUM('1:2'!S69)</f>
        <v>0</v>
      </c>
      <c r="T69" s="93">
        <f>SUM('1:2'!T69)</f>
        <v>0</v>
      </c>
      <c r="U69" s="93">
        <f>SUM('1:2'!U69)</f>
        <v>0</v>
      </c>
      <c r="V69" s="206">
        <f t="shared" ref="V69:V70" si="23">SUM(X69:AA69)</f>
        <v>0</v>
      </c>
      <c r="W69" s="33">
        <f t="shared" ref="W69:W70" si="24">IF(ISERROR(V69/G69),"",V69/G69)</f>
        <v>0</v>
      </c>
      <c r="X69" s="93">
        <f>SUM('1:2'!X69)</f>
        <v>0</v>
      </c>
      <c r="Y69" s="93">
        <f>SUM('1:2'!Y69)</f>
        <v>0</v>
      </c>
      <c r="Z69" s="93">
        <f>SUM('1:2'!Z69)</f>
        <v>0</v>
      </c>
      <c r="AA69" s="93">
        <f>SUM('1:2'!AA69)</f>
        <v>0</v>
      </c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>
      <c r="A70" s="300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93">
        <f>SUM('1:2'!G70)</f>
        <v>0</v>
      </c>
      <c r="H70" s="364">
        <f t="shared" si="10"/>
        <v>0</v>
      </c>
      <c r="I70" s="93">
        <f>SUM('1:2'!I70)</f>
        <v>0</v>
      </c>
      <c r="J70" s="31" t="str">
        <f t="array" ref="J70">IF(ISERROR(G70/I70),"",G70/I70)</f>
        <v/>
      </c>
      <c r="K70" s="35">
        <f t="array" ref="K70">IF(ISERROR(G70/L70),"",G70/L70)</f>
        <v>0</v>
      </c>
      <c r="L70" s="87">
        <v>21.5</v>
      </c>
      <c r="M70" s="36">
        <f t="shared" si="22"/>
        <v>0</v>
      </c>
      <c r="N70" s="93">
        <f>SUM('1:2'!N70)</f>
        <v>0</v>
      </c>
      <c r="O70" s="93">
        <f>SUM('1:2'!O70)</f>
        <v>0</v>
      </c>
      <c r="P70" s="93">
        <f>SUM('1:2'!P70)</f>
        <v>0</v>
      </c>
      <c r="Q70" s="93">
        <f>SUM('1:2'!Q70)</f>
        <v>0</v>
      </c>
      <c r="R70" s="93">
        <f>SUM('1:2'!R70)</f>
        <v>0</v>
      </c>
      <c r="S70" s="93">
        <f>SUM('1:2'!S70)</f>
        <v>0</v>
      </c>
      <c r="T70" s="93">
        <f>SUM('1:2'!T70)</f>
        <v>0</v>
      </c>
      <c r="U70" s="93">
        <f>SUM('1:2'!U70)</f>
        <v>0</v>
      </c>
      <c r="V70" s="206">
        <f t="shared" si="23"/>
        <v>0</v>
      </c>
      <c r="W70" s="33" t="str">
        <f t="shared" si="24"/>
        <v/>
      </c>
      <c r="X70" s="93">
        <f>SUM('1:2'!X70)</f>
        <v>0</v>
      </c>
      <c r="Y70" s="93">
        <f>SUM('1:2'!Y70)</f>
        <v>0</v>
      </c>
      <c r="Z70" s="93">
        <f>SUM('1:2'!Z70)</f>
        <v>0</v>
      </c>
      <c r="AA70" s="93">
        <f>SUM('1:2'!AA70)</f>
        <v>0</v>
      </c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>
      <c r="A71" s="300"/>
      <c r="B71" s="192" t="s">
        <v>360</v>
      </c>
      <c r="C71" s="187" t="s">
        <v>361</v>
      </c>
      <c r="D71" s="17"/>
      <c r="E71" s="17"/>
      <c r="F71" s="6"/>
      <c r="G71" s="93">
        <f>SUM('1:2'!G71)</f>
        <v>0</v>
      </c>
      <c r="H71" s="364">
        <f t="shared" si="10"/>
        <v>0</v>
      </c>
      <c r="I71" s="93">
        <f>SUM('1:2'!I71)</f>
        <v>0</v>
      </c>
      <c r="J71" s="31"/>
      <c r="K71" s="35"/>
      <c r="L71" s="87"/>
      <c r="M71" s="36"/>
      <c r="N71" s="93">
        <f>SUM('1:2'!N71)</f>
        <v>0</v>
      </c>
      <c r="O71" s="93">
        <f>SUM('1:2'!O71)</f>
        <v>0</v>
      </c>
      <c r="P71" s="93">
        <f>SUM('1:2'!P71)</f>
        <v>0</v>
      </c>
      <c r="Q71" s="93">
        <f>SUM('1:2'!Q71)</f>
        <v>0</v>
      </c>
      <c r="R71" s="93">
        <f>SUM('1:2'!R71)</f>
        <v>0</v>
      </c>
      <c r="S71" s="93">
        <f>SUM('1:2'!S71)</f>
        <v>0</v>
      </c>
      <c r="T71" s="93">
        <f>SUM('1:2'!T71)</f>
        <v>0</v>
      </c>
      <c r="U71" s="93">
        <f>SUM('1:2'!U71)</f>
        <v>0</v>
      </c>
      <c r="V71" s="206"/>
      <c r="W71" s="33"/>
      <c r="X71" s="93">
        <f>SUM('1:2'!X71)</f>
        <v>0</v>
      </c>
      <c r="Y71" s="93">
        <f>SUM('1:2'!Y71)</f>
        <v>0</v>
      </c>
      <c r="Z71" s="93">
        <f>SUM('1:2'!Z71)</f>
        <v>0</v>
      </c>
      <c r="AA71" s="93">
        <f>SUM('1:2'!AA71)</f>
        <v>0</v>
      </c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>
      <c r="A72" s="300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93">
        <f>SUM('1:2'!G72)</f>
        <v>0</v>
      </c>
      <c r="H72" s="364">
        <f t="shared" si="10"/>
        <v>0</v>
      </c>
      <c r="I72" s="93">
        <f>SUM('1:2'!I72)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87"/>
      <c r="M72" s="36" t="str">
        <f t="shared" ref="M72:M79" si="25">IF(ISERROR(I72-K72),"",I72-K72)</f>
        <v/>
      </c>
      <c r="N72" s="93">
        <f>SUM('1:2'!N72)</f>
        <v>0</v>
      </c>
      <c r="O72" s="93">
        <f>SUM('1:2'!O72)</f>
        <v>0</v>
      </c>
      <c r="P72" s="93">
        <f>SUM('1:2'!P72)</f>
        <v>0</v>
      </c>
      <c r="Q72" s="93">
        <f>SUM('1:2'!Q72)</f>
        <v>0</v>
      </c>
      <c r="R72" s="93">
        <f>SUM('1:2'!R72)</f>
        <v>0</v>
      </c>
      <c r="S72" s="93">
        <f>SUM('1:2'!S72)</f>
        <v>0</v>
      </c>
      <c r="T72" s="93">
        <f>SUM('1:2'!T72)</f>
        <v>0</v>
      </c>
      <c r="U72" s="93">
        <f>SUM('1:2'!U72)</f>
        <v>0</v>
      </c>
      <c r="V72" s="206">
        <f t="shared" ref="V72:V75" si="26">SUM(X72:AA72)</f>
        <v>0</v>
      </c>
      <c r="W72" s="33" t="str">
        <f t="shared" ref="W72:W75" si="27">IF(ISERROR(V72/G72),"",V72/G72)</f>
        <v/>
      </c>
      <c r="X72" s="93">
        <f>SUM('1:2'!X72)</f>
        <v>0</v>
      </c>
      <c r="Y72" s="93">
        <f>SUM('1:2'!Y72)</f>
        <v>0</v>
      </c>
      <c r="Z72" s="93">
        <f>SUM('1:2'!Z72)</f>
        <v>0</v>
      </c>
      <c r="AA72" s="93">
        <f>SUM('1:2'!AA72)</f>
        <v>0</v>
      </c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>
      <c r="A73" s="300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93">
        <f>SUM('1:2'!G73)</f>
        <v>0</v>
      </c>
      <c r="H73" s="364">
        <f t="shared" si="10"/>
        <v>0</v>
      </c>
      <c r="I73" s="93">
        <f>SUM('1:2'!I73)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87"/>
      <c r="M73" s="36" t="str">
        <f t="shared" si="25"/>
        <v/>
      </c>
      <c r="N73" s="93">
        <f>SUM('1:2'!N73)</f>
        <v>0</v>
      </c>
      <c r="O73" s="93">
        <f>SUM('1:2'!O73)</f>
        <v>0</v>
      </c>
      <c r="P73" s="93">
        <f>SUM('1:2'!P73)</f>
        <v>0</v>
      </c>
      <c r="Q73" s="93">
        <f>SUM('1:2'!Q73)</f>
        <v>0</v>
      </c>
      <c r="R73" s="93">
        <f>SUM('1:2'!R73)</f>
        <v>0</v>
      </c>
      <c r="S73" s="93">
        <f>SUM('1:2'!S73)</f>
        <v>0</v>
      </c>
      <c r="T73" s="93">
        <f>SUM('1:2'!T73)</f>
        <v>0</v>
      </c>
      <c r="U73" s="93">
        <f>SUM('1:2'!U73)</f>
        <v>0</v>
      </c>
      <c r="V73" s="206">
        <f t="shared" si="26"/>
        <v>0</v>
      </c>
      <c r="W73" s="33" t="str">
        <f t="shared" si="27"/>
        <v/>
      </c>
      <c r="X73" s="93">
        <f>SUM('1:2'!X73)</f>
        <v>0</v>
      </c>
      <c r="Y73" s="93">
        <f>SUM('1:2'!Y73)</f>
        <v>0</v>
      </c>
      <c r="Z73" s="93">
        <f>SUM('1:2'!Z73)</f>
        <v>0</v>
      </c>
      <c r="AA73" s="93">
        <f>SUM('1:2'!AA73)</f>
        <v>0</v>
      </c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300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93">
        <f>SUM('1:2'!G74)</f>
        <v>0</v>
      </c>
      <c r="H74" s="364">
        <f t="shared" si="10"/>
        <v>0</v>
      </c>
      <c r="I74" s="93">
        <f>SUM('1:2'!I74)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87"/>
      <c r="M74" s="36" t="str">
        <f t="shared" si="25"/>
        <v/>
      </c>
      <c r="N74" s="93">
        <f>SUM('1:2'!N74)</f>
        <v>0</v>
      </c>
      <c r="O74" s="93">
        <f>SUM('1:2'!O74)</f>
        <v>0</v>
      </c>
      <c r="P74" s="93">
        <f>SUM('1:2'!P74)</f>
        <v>0</v>
      </c>
      <c r="Q74" s="93">
        <f>SUM('1:2'!Q74)</f>
        <v>0</v>
      </c>
      <c r="R74" s="93">
        <f>SUM('1:2'!R74)</f>
        <v>0</v>
      </c>
      <c r="S74" s="93">
        <f>SUM('1:2'!S74)</f>
        <v>0</v>
      </c>
      <c r="T74" s="93">
        <f>SUM('1:2'!T74)</f>
        <v>0</v>
      </c>
      <c r="U74" s="93">
        <f>SUM('1:2'!U74)</f>
        <v>0</v>
      </c>
      <c r="V74" s="206">
        <f t="shared" si="26"/>
        <v>0</v>
      </c>
      <c r="W74" s="33" t="str">
        <f t="shared" si="27"/>
        <v/>
      </c>
      <c r="X74" s="93">
        <f>SUM('1:2'!X74)</f>
        <v>0</v>
      </c>
      <c r="Y74" s="93">
        <f>SUM('1:2'!Y74)</f>
        <v>0</v>
      </c>
      <c r="Z74" s="93">
        <f>SUM('1:2'!Z74)</f>
        <v>0</v>
      </c>
      <c r="AA74" s="93">
        <f>SUM('1:2'!AA74)</f>
        <v>0</v>
      </c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>
      <c r="A75" s="300">
        <v>30100058</v>
      </c>
      <c r="B75" s="189" t="s">
        <v>215</v>
      </c>
      <c r="C75" s="16" t="s">
        <v>61</v>
      </c>
      <c r="D75" s="17">
        <v>5.0599999999999996</v>
      </c>
      <c r="E75" s="17"/>
      <c r="F75" s="6"/>
      <c r="G75" s="93">
        <f>SUM('1:2'!G75)</f>
        <v>0</v>
      </c>
      <c r="H75" s="364">
        <f t="shared" si="10"/>
        <v>0</v>
      </c>
      <c r="I75" s="93">
        <f>SUM('1:2'!I75)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87"/>
      <c r="M75" s="36" t="str">
        <f t="shared" si="25"/>
        <v/>
      </c>
      <c r="N75" s="93">
        <f>SUM('1:2'!N75)</f>
        <v>0</v>
      </c>
      <c r="O75" s="93">
        <f>SUM('1:2'!O75)</f>
        <v>0</v>
      </c>
      <c r="P75" s="93">
        <f>SUM('1:2'!P75)</f>
        <v>0</v>
      </c>
      <c r="Q75" s="93">
        <f>SUM('1:2'!Q75)</f>
        <v>0</v>
      </c>
      <c r="R75" s="93">
        <f>SUM('1:2'!R75)</f>
        <v>0</v>
      </c>
      <c r="S75" s="93">
        <f>SUM('1:2'!S75)</f>
        <v>0</v>
      </c>
      <c r="T75" s="93">
        <f>SUM('1:2'!T75)</f>
        <v>0</v>
      </c>
      <c r="U75" s="93">
        <f>SUM('1:2'!U75)</f>
        <v>0</v>
      </c>
      <c r="V75" s="206">
        <f t="shared" si="26"/>
        <v>0</v>
      </c>
      <c r="W75" s="33" t="str">
        <f t="shared" si="27"/>
        <v/>
      </c>
      <c r="X75" s="93">
        <f>SUM('1:2'!X75)</f>
        <v>0</v>
      </c>
      <c r="Y75" s="93">
        <f>SUM('1:2'!Y75)</f>
        <v>0</v>
      </c>
      <c r="Z75" s="93">
        <f>SUM('1:2'!Z75)</f>
        <v>0</v>
      </c>
      <c r="AA75" s="93">
        <f>SUM('1:2'!AA75)</f>
        <v>0</v>
      </c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>
      <c r="A76" s="302">
        <v>30600013</v>
      </c>
      <c r="B76" s="264" t="s">
        <v>377</v>
      </c>
      <c r="C76" s="187" t="s">
        <v>374</v>
      </c>
      <c r="D76" s="17"/>
      <c r="E76" s="17"/>
      <c r="F76" s="6"/>
      <c r="G76" s="93">
        <f>SUM('1:2'!G76)</f>
        <v>0</v>
      </c>
      <c r="H76" s="364">
        <f t="shared" si="10"/>
        <v>0</v>
      </c>
      <c r="I76" s="93">
        <f>SUM('1:2'!I76)</f>
        <v>0</v>
      </c>
      <c r="J76" s="31"/>
      <c r="K76" s="35">
        <f t="array" ref="K76">IF(ISERROR(G76/L76),"",G76/L76)</f>
        <v>0</v>
      </c>
      <c r="L76" s="87">
        <v>24</v>
      </c>
      <c r="M76" s="36">
        <f t="shared" si="25"/>
        <v>0</v>
      </c>
      <c r="N76" s="93">
        <f>SUM('1:2'!N76)</f>
        <v>0</v>
      </c>
      <c r="O76" s="93">
        <f>SUM('1:2'!O76)</f>
        <v>0</v>
      </c>
      <c r="P76" s="93">
        <f>SUM('1:2'!P76)</f>
        <v>0</v>
      </c>
      <c r="Q76" s="93">
        <f>SUM('1:2'!Q76)</f>
        <v>0</v>
      </c>
      <c r="R76" s="93">
        <f>SUM('1:2'!R76)</f>
        <v>0</v>
      </c>
      <c r="S76" s="93">
        <f>SUM('1:2'!S76)</f>
        <v>0</v>
      </c>
      <c r="T76" s="93">
        <f>SUM('1:2'!T76)</f>
        <v>0</v>
      </c>
      <c r="U76" s="93">
        <f>SUM('1:2'!U76)</f>
        <v>0</v>
      </c>
      <c r="V76" s="206"/>
      <c r="W76" s="33"/>
      <c r="X76" s="93">
        <f>SUM('1:2'!X76)</f>
        <v>0</v>
      </c>
      <c r="Y76" s="93">
        <f>SUM('1:2'!Y76)</f>
        <v>0</v>
      </c>
      <c r="Z76" s="93">
        <f>SUM('1:2'!Z76)</f>
        <v>0</v>
      </c>
      <c r="AA76" s="93">
        <f>SUM('1:2'!AA76)</f>
        <v>0</v>
      </c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>
      <c r="A77" s="302">
        <v>30600014</v>
      </c>
      <c r="B77" s="264" t="s">
        <v>377</v>
      </c>
      <c r="C77" s="187" t="s">
        <v>369</v>
      </c>
      <c r="D77" s="17"/>
      <c r="E77" s="17"/>
      <c r="F77" s="6"/>
      <c r="G77" s="93">
        <f>SUM('1:2'!G77)</f>
        <v>0</v>
      </c>
      <c r="H77" s="364">
        <f t="shared" si="10"/>
        <v>0</v>
      </c>
      <c r="I77" s="93">
        <f>SUM('1:2'!I77)</f>
        <v>0</v>
      </c>
      <c r="J77" s="31"/>
      <c r="K77" s="35">
        <f t="array" ref="K77">IF(ISERROR(G77/L77),"",G77/L77)</f>
        <v>0</v>
      </c>
      <c r="L77" s="87">
        <v>24</v>
      </c>
      <c r="M77" s="36">
        <f t="shared" si="25"/>
        <v>0</v>
      </c>
      <c r="N77" s="93">
        <f>SUM('1:2'!N77)</f>
        <v>0</v>
      </c>
      <c r="O77" s="93">
        <f>SUM('1:2'!O77)</f>
        <v>0</v>
      </c>
      <c r="P77" s="93">
        <f>SUM('1:2'!P77)</f>
        <v>0</v>
      </c>
      <c r="Q77" s="93">
        <f>SUM('1:2'!Q77)</f>
        <v>0</v>
      </c>
      <c r="R77" s="93">
        <f>SUM('1:2'!R77)</f>
        <v>0</v>
      </c>
      <c r="S77" s="93">
        <f>SUM('1:2'!S77)</f>
        <v>0</v>
      </c>
      <c r="T77" s="93">
        <f>SUM('1:2'!T77)</f>
        <v>0</v>
      </c>
      <c r="U77" s="93">
        <f>SUM('1:2'!U77)</f>
        <v>0</v>
      </c>
      <c r="V77" s="206"/>
      <c r="W77" s="33"/>
      <c r="X77" s="93">
        <f>SUM('1:2'!X77)</f>
        <v>0</v>
      </c>
      <c r="Y77" s="93">
        <f>SUM('1:2'!Y77)</f>
        <v>0</v>
      </c>
      <c r="Z77" s="93">
        <f>SUM('1:2'!Z77)</f>
        <v>0</v>
      </c>
      <c r="AA77" s="93">
        <f>SUM('1:2'!AA77)</f>
        <v>0</v>
      </c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>
      <c r="A78" s="302">
        <v>30600012</v>
      </c>
      <c r="B78" s="197" t="s">
        <v>377</v>
      </c>
      <c r="C78" s="187" t="s">
        <v>370</v>
      </c>
      <c r="D78" s="17"/>
      <c r="E78" s="17"/>
      <c r="F78" s="6"/>
      <c r="G78" s="93">
        <f>SUM('1:2'!G78)</f>
        <v>0</v>
      </c>
      <c r="H78" s="364">
        <f t="shared" si="10"/>
        <v>0</v>
      </c>
      <c r="I78" s="93">
        <f>SUM('1:2'!I78)</f>
        <v>0</v>
      </c>
      <c r="J78" s="31"/>
      <c r="K78" s="35">
        <f t="array" ref="K78">IF(ISERROR(G78/L78),"",G78/L78)</f>
        <v>0</v>
      </c>
      <c r="L78" s="87">
        <v>24</v>
      </c>
      <c r="M78" s="36">
        <f t="shared" si="25"/>
        <v>0</v>
      </c>
      <c r="N78" s="93">
        <f>SUM('1:2'!N78)</f>
        <v>0</v>
      </c>
      <c r="O78" s="93">
        <f>SUM('1:2'!O78)</f>
        <v>0</v>
      </c>
      <c r="P78" s="93">
        <f>SUM('1:2'!P78)</f>
        <v>0</v>
      </c>
      <c r="Q78" s="93">
        <f>SUM('1:2'!Q78)</f>
        <v>0</v>
      </c>
      <c r="R78" s="93">
        <f>SUM('1:2'!R78)</f>
        <v>0</v>
      </c>
      <c r="S78" s="93">
        <f>SUM('1:2'!S78)</f>
        <v>0</v>
      </c>
      <c r="T78" s="93">
        <f>SUM('1:2'!T78)</f>
        <v>0</v>
      </c>
      <c r="U78" s="93">
        <f>SUM('1:2'!U78)</f>
        <v>0</v>
      </c>
      <c r="V78" s="206"/>
      <c r="W78" s="33"/>
      <c r="X78" s="93">
        <f>SUM('1:2'!X78)</f>
        <v>0</v>
      </c>
      <c r="Y78" s="93">
        <f>SUM('1:2'!Y78)</f>
        <v>0</v>
      </c>
      <c r="Z78" s="93">
        <f>SUM('1:2'!Z78)</f>
        <v>0</v>
      </c>
      <c r="AA78" s="93">
        <f>SUM('1:2'!AA78)</f>
        <v>0</v>
      </c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>
      <c r="A79" s="302">
        <v>30600011</v>
      </c>
      <c r="B79" s="197" t="s">
        <v>377</v>
      </c>
      <c r="C79" s="187" t="s">
        <v>371</v>
      </c>
      <c r="D79" s="17"/>
      <c r="E79" s="17"/>
      <c r="F79" s="6"/>
      <c r="G79" s="93">
        <f>SUM('1:2'!G79)</f>
        <v>0</v>
      </c>
      <c r="H79" s="364">
        <f t="shared" si="10"/>
        <v>0</v>
      </c>
      <c r="I79" s="93">
        <f>SUM('1:2'!I79)</f>
        <v>0</v>
      </c>
      <c r="J79" s="31"/>
      <c r="K79" s="35">
        <f t="array" ref="K79">IF(ISERROR(G79/L79),"",G79/L79)</f>
        <v>0</v>
      </c>
      <c r="L79" s="87">
        <v>24</v>
      </c>
      <c r="M79" s="36">
        <f t="shared" si="25"/>
        <v>0</v>
      </c>
      <c r="N79" s="93">
        <f>SUM('1:2'!N79)</f>
        <v>0</v>
      </c>
      <c r="O79" s="93">
        <f>SUM('1:2'!O79)</f>
        <v>0</v>
      </c>
      <c r="P79" s="93">
        <f>SUM('1:2'!P79)</f>
        <v>0</v>
      </c>
      <c r="Q79" s="93">
        <f>SUM('1:2'!Q79)</f>
        <v>0</v>
      </c>
      <c r="R79" s="93">
        <f>SUM('1:2'!R79)</f>
        <v>0</v>
      </c>
      <c r="S79" s="93">
        <f>SUM('1:2'!S79)</f>
        <v>0</v>
      </c>
      <c r="T79" s="93">
        <f>SUM('1:2'!T79)</f>
        <v>0</v>
      </c>
      <c r="U79" s="93">
        <f>SUM('1:2'!U79)</f>
        <v>0</v>
      </c>
      <c r="V79" s="206"/>
      <c r="W79" s="33"/>
      <c r="X79" s="93">
        <f>SUM('1:2'!X79)</f>
        <v>0</v>
      </c>
      <c r="Y79" s="93">
        <f>SUM('1:2'!Y79)</f>
        <v>0</v>
      </c>
      <c r="Z79" s="93">
        <f>SUM('1:2'!Z79)</f>
        <v>0</v>
      </c>
      <c r="AA79" s="93">
        <f>SUM('1:2'!AA79)</f>
        <v>0</v>
      </c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>
      <c r="A80" s="302">
        <v>30300002</v>
      </c>
      <c r="B80" s="197" t="s">
        <v>407</v>
      </c>
      <c r="C80" s="187" t="s">
        <v>408</v>
      </c>
      <c r="D80" s="17"/>
      <c r="E80" s="17"/>
      <c r="F80" s="6"/>
      <c r="G80" s="93">
        <f>SUM('1:2'!G80)</f>
        <v>0</v>
      </c>
      <c r="H80" s="364">
        <f t="shared" si="10"/>
        <v>0</v>
      </c>
      <c r="I80" s="93">
        <f>SUM('1:2'!I80)</f>
        <v>0</v>
      </c>
      <c r="J80" s="31"/>
      <c r="K80" s="35"/>
      <c r="L80" s="87">
        <v>4</v>
      </c>
      <c r="M80" s="36"/>
      <c r="N80" s="93">
        <f>SUM('1:2'!N80)</f>
        <v>0</v>
      </c>
      <c r="O80" s="93"/>
      <c r="P80" s="93"/>
      <c r="Q80" s="93"/>
      <c r="R80" s="93"/>
      <c r="S80" s="93"/>
      <c r="T80" s="93"/>
      <c r="U80" s="93"/>
      <c r="V80" s="206"/>
      <c r="W80" s="33"/>
      <c r="X80" s="93"/>
      <c r="Y80" s="93"/>
      <c r="Z80" s="93"/>
      <c r="AA80" s="93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>
      <c r="A81" s="302">
        <v>30300001</v>
      </c>
      <c r="B81" s="197" t="s">
        <v>407</v>
      </c>
      <c r="C81" s="187" t="s">
        <v>409</v>
      </c>
      <c r="D81" s="17"/>
      <c r="E81" s="17"/>
      <c r="F81" s="6"/>
      <c r="G81" s="93">
        <f>SUM('1:2'!G81)</f>
        <v>0</v>
      </c>
      <c r="H81" s="364">
        <f t="shared" si="10"/>
        <v>0</v>
      </c>
      <c r="I81" s="93">
        <f>SUM('1:2'!I81)</f>
        <v>0</v>
      </c>
      <c r="J81" s="31"/>
      <c r="K81" s="35"/>
      <c r="L81" s="87">
        <v>4</v>
      </c>
      <c r="M81" s="36"/>
      <c r="N81" s="93">
        <f>SUM('1:2'!N81)</f>
        <v>0</v>
      </c>
      <c r="O81" s="93"/>
      <c r="P81" s="93"/>
      <c r="Q81" s="93"/>
      <c r="R81" s="93"/>
      <c r="S81" s="93"/>
      <c r="T81" s="93"/>
      <c r="U81" s="93"/>
      <c r="V81" s="206"/>
      <c r="W81" s="33"/>
      <c r="X81" s="93"/>
      <c r="Y81" s="93"/>
      <c r="Z81" s="93"/>
      <c r="AA81" s="93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>
      <c r="A82" s="302">
        <v>30300003</v>
      </c>
      <c r="B82" s="197" t="s">
        <v>407</v>
      </c>
      <c r="C82" s="187" t="s">
        <v>410</v>
      </c>
      <c r="D82" s="17"/>
      <c r="E82" s="17"/>
      <c r="F82" s="6"/>
      <c r="G82" s="93">
        <f>SUM('1:2'!G82)</f>
        <v>0</v>
      </c>
      <c r="H82" s="364">
        <f t="shared" si="10"/>
        <v>0</v>
      </c>
      <c r="I82" s="93">
        <f>SUM('1:2'!I82)</f>
        <v>0</v>
      </c>
      <c r="J82" s="31"/>
      <c r="K82" s="35"/>
      <c r="L82" s="87">
        <v>4</v>
      </c>
      <c r="M82" s="36"/>
      <c r="N82" s="93">
        <f>SUM('1:2'!N82)</f>
        <v>0</v>
      </c>
      <c r="O82" s="93"/>
      <c r="P82" s="93"/>
      <c r="Q82" s="93"/>
      <c r="R82" s="93"/>
      <c r="S82" s="93"/>
      <c r="T82" s="93"/>
      <c r="U82" s="93"/>
      <c r="V82" s="206"/>
      <c r="W82" s="33"/>
      <c r="X82" s="93"/>
      <c r="Y82" s="93"/>
      <c r="Z82" s="93"/>
      <c r="AA82" s="93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>
      <c r="A83" s="302">
        <v>30300005</v>
      </c>
      <c r="B83" s="63" t="s">
        <v>362</v>
      </c>
      <c r="C83" s="16" t="s">
        <v>337</v>
      </c>
      <c r="D83" s="17"/>
      <c r="E83" s="17"/>
      <c r="F83" s="6"/>
      <c r="G83" s="93">
        <f>SUM('1:2'!G83)</f>
        <v>0</v>
      </c>
      <c r="H83" s="364">
        <f t="shared" si="10"/>
        <v>0</v>
      </c>
      <c r="I83" s="93">
        <f>SUM('1:2'!I83)</f>
        <v>0</v>
      </c>
      <c r="J83" s="31"/>
      <c r="K83" s="35"/>
      <c r="L83" s="87">
        <v>4</v>
      </c>
      <c r="M83" s="36"/>
      <c r="N83" s="93">
        <f>SUM('1:2'!N83)</f>
        <v>0</v>
      </c>
      <c r="O83" s="93">
        <f>SUM('1:2'!O83)</f>
        <v>0</v>
      </c>
      <c r="P83" s="93">
        <f>SUM('1:2'!P83)</f>
        <v>0</v>
      </c>
      <c r="Q83" s="93">
        <f>SUM('1:2'!Q83)</f>
        <v>0</v>
      </c>
      <c r="R83" s="93">
        <f>SUM('1:2'!R83)</f>
        <v>0</v>
      </c>
      <c r="S83" s="93">
        <f>SUM('1:2'!S83)</f>
        <v>0</v>
      </c>
      <c r="T83" s="93">
        <f>SUM('1:2'!T83)</f>
        <v>0</v>
      </c>
      <c r="U83" s="93">
        <f>SUM('1:2'!U83)</f>
        <v>0</v>
      </c>
      <c r="V83" s="206"/>
      <c r="W83" s="33"/>
      <c r="X83" s="93">
        <f>SUM('1:2'!X83)</f>
        <v>0</v>
      </c>
      <c r="Y83" s="93">
        <f>SUM('1:2'!Y83)</f>
        <v>0</v>
      </c>
      <c r="Z83" s="93">
        <f>SUM('1:2'!Z83)</f>
        <v>0</v>
      </c>
      <c r="AA83" s="93">
        <f>SUM('1:2'!AA83)</f>
        <v>0</v>
      </c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>
      <c r="A84" s="302">
        <v>30300004</v>
      </c>
      <c r="B84" s="63" t="s">
        <v>362</v>
      </c>
      <c r="C84" s="16" t="s">
        <v>339</v>
      </c>
      <c r="D84" s="17"/>
      <c r="E84" s="17"/>
      <c r="F84" s="6"/>
      <c r="G84" s="93">
        <f>SUM('1:2'!G84)</f>
        <v>0</v>
      </c>
      <c r="H84" s="364">
        <f t="shared" si="10"/>
        <v>0</v>
      </c>
      <c r="I84" s="93">
        <f>SUM('1:2'!I84)</f>
        <v>0</v>
      </c>
      <c r="J84" s="31"/>
      <c r="K84" s="35"/>
      <c r="L84" s="87">
        <v>4</v>
      </c>
      <c r="M84" s="36"/>
      <c r="N84" s="93">
        <f>SUM('1:2'!N84)</f>
        <v>0</v>
      </c>
      <c r="O84" s="93">
        <f>SUM('1:2'!O84)</f>
        <v>0</v>
      </c>
      <c r="P84" s="93">
        <f>SUM('1:2'!P84)</f>
        <v>0</v>
      </c>
      <c r="Q84" s="93">
        <f>SUM('1:2'!Q84)</f>
        <v>0</v>
      </c>
      <c r="R84" s="93">
        <f>SUM('1:2'!R84)</f>
        <v>0</v>
      </c>
      <c r="S84" s="93">
        <f>SUM('1:2'!S84)</f>
        <v>0</v>
      </c>
      <c r="T84" s="93">
        <f>SUM('1:2'!T84)</f>
        <v>0</v>
      </c>
      <c r="U84" s="93">
        <f>SUM('1:2'!U84)</f>
        <v>0</v>
      </c>
      <c r="V84" s="206"/>
      <c r="W84" s="33"/>
      <c r="X84" s="93">
        <f>SUM('1:2'!X84)</f>
        <v>0</v>
      </c>
      <c r="Y84" s="93">
        <f>SUM('1:2'!Y84)</f>
        <v>0</v>
      </c>
      <c r="Z84" s="93">
        <f>SUM('1:2'!Z84)</f>
        <v>0</v>
      </c>
      <c r="AA84" s="93">
        <f>SUM('1:2'!AA84)</f>
        <v>0</v>
      </c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>
      <c r="A85" s="302">
        <v>30300006</v>
      </c>
      <c r="B85" s="63" t="s">
        <v>362</v>
      </c>
      <c r="C85" s="16" t="s">
        <v>341</v>
      </c>
      <c r="D85" s="17"/>
      <c r="E85" s="17"/>
      <c r="F85" s="6"/>
      <c r="G85" s="93">
        <f>SUM('1:2'!G85)</f>
        <v>0</v>
      </c>
      <c r="H85" s="364">
        <f t="shared" si="10"/>
        <v>0</v>
      </c>
      <c r="I85" s="93">
        <f>SUM('1:2'!I85)</f>
        <v>0</v>
      </c>
      <c r="J85" s="31"/>
      <c r="K85" s="35"/>
      <c r="L85" s="87">
        <v>4</v>
      </c>
      <c r="M85" s="36"/>
      <c r="N85" s="93">
        <f>SUM('1:2'!N85)</f>
        <v>0</v>
      </c>
      <c r="O85" s="93">
        <f>SUM('1:2'!O85)</f>
        <v>0</v>
      </c>
      <c r="P85" s="93">
        <f>SUM('1:2'!P85)</f>
        <v>0</v>
      </c>
      <c r="Q85" s="93">
        <f>SUM('1:2'!Q85)</f>
        <v>0</v>
      </c>
      <c r="R85" s="93">
        <f>SUM('1:2'!R85)</f>
        <v>0</v>
      </c>
      <c r="S85" s="93">
        <f>SUM('1:2'!S85)</f>
        <v>0</v>
      </c>
      <c r="T85" s="93">
        <f>SUM('1:2'!T85)</f>
        <v>0</v>
      </c>
      <c r="U85" s="93">
        <f>SUM('1:2'!U85)</f>
        <v>0</v>
      </c>
      <c r="V85" s="206"/>
      <c r="W85" s="33"/>
      <c r="X85" s="93">
        <f>SUM('1:2'!X85)</f>
        <v>0</v>
      </c>
      <c r="Y85" s="93">
        <f>SUM('1:2'!Y85)</f>
        <v>0</v>
      </c>
      <c r="Z85" s="93">
        <f>SUM('1:2'!Z85)</f>
        <v>0</v>
      </c>
      <c r="AA85" s="93">
        <f>SUM('1:2'!AA85)</f>
        <v>0</v>
      </c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>
      <c r="A86" s="699" t="s">
        <v>86</v>
      </c>
      <c r="B86" s="699"/>
      <c r="C86" s="359" t="s">
        <v>71</v>
      </c>
      <c r="D86" s="20"/>
      <c r="E86" s="20"/>
      <c r="F86" s="32"/>
      <c r="G86" s="94">
        <f>SUM(G29:G85)</f>
        <v>4520</v>
      </c>
      <c r="H86" s="30">
        <f>SUM(H29:H85)</f>
        <v>22794.1</v>
      </c>
      <c r="I86" s="30">
        <f>SUM(I29:I85)</f>
        <v>114</v>
      </c>
      <c r="J86" s="31">
        <f t="array" ref="J86">IF(ISERROR(G86/I86),"",G86/I86)</f>
        <v>39.649122807017541</v>
      </c>
      <c r="K86" s="30">
        <f>SUM(K29:K85)</f>
        <v>121.67134551495016</v>
      </c>
      <c r="L86" s="98"/>
      <c r="M86" s="89">
        <f t="shared" ref="M86:V86" si="28">SUM(M29:M85)</f>
        <v>-8.9713455149501673</v>
      </c>
      <c r="N86" s="30">
        <f t="shared" si="28"/>
        <v>0</v>
      </c>
      <c r="O86" s="91">
        <f t="shared" si="28"/>
        <v>0</v>
      </c>
      <c r="P86" s="91">
        <f t="shared" si="28"/>
        <v>0</v>
      </c>
      <c r="Q86" s="91">
        <f t="shared" si="28"/>
        <v>0</v>
      </c>
      <c r="R86" s="91">
        <f t="shared" si="28"/>
        <v>0</v>
      </c>
      <c r="S86" s="92">
        <f t="shared" si="28"/>
        <v>0</v>
      </c>
      <c r="T86" s="91">
        <f t="shared" si="28"/>
        <v>0</v>
      </c>
      <c r="U86" s="91">
        <f t="shared" si="28"/>
        <v>0</v>
      </c>
      <c r="V86" s="206">
        <f t="shared" si="28"/>
        <v>0</v>
      </c>
      <c r="W86" s="33">
        <f t="shared" ref="W86:W93" si="29">IF(ISERROR(V86/G86),"",V86/G86)</f>
        <v>0</v>
      </c>
      <c r="X86" s="92">
        <f>SUM(X29:X85)</f>
        <v>0</v>
      </c>
      <c r="Y86" s="92">
        <f>SUM(Y29:Y85)</f>
        <v>0</v>
      </c>
      <c r="Z86" s="92">
        <f>SUM(Z29:Z85)</f>
        <v>0</v>
      </c>
      <c r="AA86" s="92">
        <f>SUM(AA29:AA85)</f>
        <v>0</v>
      </c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>
      <c r="A87" s="299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93">
        <f>SUM('1:2'!G87)</f>
        <v>0</v>
      </c>
      <c r="H87" s="93">
        <f>SUM('1:2'!H87)</f>
        <v>0</v>
      </c>
      <c r="I87" s="93">
        <f>SUM('1:2'!I87)</f>
        <v>0</v>
      </c>
      <c r="J87" s="31" t="str">
        <f>IF(ISERROR(G87/I87),"",G87/I87)</f>
        <v/>
      </c>
      <c r="K87" s="35">
        <f t="array" ref="K87">IF(ISERROR(G87/L87),"",G87/L87)</f>
        <v>0</v>
      </c>
      <c r="L87" s="87">
        <v>8.8000000000000007</v>
      </c>
      <c r="M87" s="36">
        <f t="shared" ref="M87:M94" si="30">IF(ISERROR(I87-K87),"",I87-K87)</f>
        <v>0</v>
      </c>
      <c r="N87" s="93">
        <f>SUM('1:2'!N87)</f>
        <v>0</v>
      </c>
      <c r="O87" s="93">
        <f>SUM('1:2'!O87)</f>
        <v>0</v>
      </c>
      <c r="P87" s="93">
        <f>SUM('1:2'!P87)</f>
        <v>0</v>
      </c>
      <c r="Q87" s="93">
        <f>SUM('1:2'!Q87)</f>
        <v>0</v>
      </c>
      <c r="R87" s="93">
        <f>SUM('1:2'!R87)</f>
        <v>0</v>
      </c>
      <c r="S87" s="93">
        <f>SUM('1:2'!S87)</f>
        <v>0</v>
      </c>
      <c r="T87" s="93">
        <f>SUM('1:2'!T87)</f>
        <v>0</v>
      </c>
      <c r="U87" s="93">
        <f>SUM('1:2'!U87)</f>
        <v>0</v>
      </c>
      <c r="V87" s="206">
        <f t="shared" ref="V87:V93" si="31">SUM(X87:AA87)</f>
        <v>0</v>
      </c>
      <c r="W87" s="33" t="str">
        <f t="shared" si="29"/>
        <v/>
      </c>
      <c r="X87" s="93">
        <f>SUM('1:2'!X87)</f>
        <v>0</v>
      </c>
      <c r="Y87" s="93">
        <f>SUM('1:2'!Y87)</f>
        <v>0</v>
      </c>
      <c r="Z87" s="93">
        <f>SUM('1:2'!Z87)</f>
        <v>0</v>
      </c>
      <c r="AA87" s="93">
        <f>SUM('1:2'!AA87)</f>
        <v>0</v>
      </c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>
      <c r="A88" s="299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93">
        <f>SUM('1:2'!G88)</f>
        <v>0</v>
      </c>
      <c r="H88" s="93">
        <f>SUM('1:2'!H88)</f>
        <v>0</v>
      </c>
      <c r="I88" s="93">
        <f>SUM('1:2'!I88)</f>
        <v>0</v>
      </c>
      <c r="J88" s="31" t="str">
        <f t="array" ref="J88">IF(ISERROR(G88/I88),"",G88/I88)</f>
        <v/>
      </c>
      <c r="K88" s="35">
        <f t="array" ref="K88">IF(ISERROR(G88/L88),"",G88/L88)</f>
        <v>0</v>
      </c>
      <c r="L88" s="87">
        <v>8.8000000000000007</v>
      </c>
      <c r="M88" s="36">
        <f t="shared" si="30"/>
        <v>0</v>
      </c>
      <c r="N88" s="93">
        <f>SUM('1:2'!N88)</f>
        <v>0</v>
      </c>
      <c r="O88" s="93">
        <f>SUM('1:2'!O88)</f>
        <v>0</v>
      </c>
      <c r="P88" s="93">
        <f>SUM('1:2'!P88)</f>
        <v>0</v>
      </c>
      <c r="Q88" s="93">
        <f>SUM('1:2'!Q88)</f>
        <v>0</v>
      </c>
      <c r="R88" s="93">
        <f>SUM('1:2'!R88)</f>
        <v>0</v>
      </c>
      <c r="S88" s="93">
        <f>SUM('1:2'!S88)</f>
        <v>0</v>
      </c>
      <c r="T88" s="93">
        <f>SUM('1:2'!T88)</f>
        <v>0</v>
      </c>
      <c r="U88" s="93">
        <f>SUM('1:2'!U88)</f>
        <v>0</v>
      </c>
      <c r="V88" s="206">
        <f t="shared" si="31"/>
        <v>0</v>
      </c>
      <c r="W88" s="33" t="str">
        <f t="shared" si="29"/>
        <v/>
      </c>
      <c r="X88" s="93">
        <f>SUM('1:2'!X88)</f>
        <v>0</v>
      </c>
      <c r="Y88" s="93">
        <f>SUM('1:2'!Y88)</f>
        <v>0</v>
      </c>
      <c r="Z88" s="93">
        <f>SUM('1:2'!Z88)</f>
        <v>0</v>
      </c>
      <c r="AA88" s="93">
        <f>SUM('1:2'!AA88)</f>
        <v>0</v>
      </c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>
      <c r="A89" s="299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93">
        <f>SUM('1:2'!G89)</f>
        <v>0</v>
      </c>
      <c r="H89" s="93">
        <f>SUM('1:2'!H89)</f>
        <v>0</v>
      </c>
      <c r="I89" s="93">
        <f>SUM('1:2'!I89)</f>
        <v>0</v>
      </c>
      <c r="J89" s="31" t="str">
        <f t="array" ref="J89">IF(ISERROR(G89/I89),"",G89/I89)</f>
        <v/>
      </c>
      <c r="K89" s="35">
        <f t="array" ref="K89">IF(ISERROR(G89/L89),"",G89/L89)</f>
        <v>0</v>
      </c>
      <c r="L89" s="87">
        <v>8.8000000000000007</v>
      </c>
      <c r="M89" s="36">
        <f t="shared" si="30"/>
        <v>0</v>
      </c>
      <c r="N89" s="93">
        <f>SUM('1:2'!N89)</f>
        <v>0</v>
      </c>
      <c r="O89" s="93">
        <f>SUM('1:2'!O89)</f>
        <v>0</v>
      </c>
      <c r="P89" s="93">
        <f>SUM('1:2'!P89)</f>
        <v>0</v>
      </c>
      <c r="Q89" s="93">
        <f>SUM('1:2'!Q89)</f>
        <v>0</v>
      </c>
      <c r="R89" s="93">
        <f>SUM('1:2'!R89)</f>
        <v>0</v>
      </c>
      <c r="S89" s="93">
        <f>SUM('1:2'!S89)</f>
        <v>0</v>
      </c>
      <c r="T89" s="93">
        <f>SUM('1:2'!T89)</f>
        <v>0</v>
      </c>
      <c r="U89" s="93">
        <f>SUM('1:2'!U89)</f>
        <v>0</v>
      </c>
      <c r="V89" s="206">
        <f t="shared" si="31"/>
        <v>0</v>
      </c>
      <c r="W89" s="33" t="str">
        <f t="shared" si="29"/>
        <v/>
      </c>
      <c r="X89" s="93">
        <f>SUM('1:2'!X89)</f>
        <v>0</v>
      </c>
      <c r="Y89" s="93">
        <f>SUM('1:2'!Y89)</f>
        <v>0</v>
      </c>
      <c r="Z89" s="93">
        <f>SUM('1:2'!Z89)</f>
        <v>0</v>
      </c>
      <c r="AA89" s="93">
        <f>SUM('1:2'!AA89)</f>
        <v>0</v>
      </c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>
      <c r="A90" s="299">
        <v>30400014</v>
      </c>
      <c r="B90" s="215" t="s">
        <v>513</v>
      </c>
      <c r="C90" s="16" t="s">
        <v>53</v>
      </c>
      <c r="D90" s="17">
        <v>5.03</v>
      </c>
      <c r="E90" s="17"/>
      <c r="F90" s="6"/>
      <c r="G90" s="93">
        <f>SUM('1:2'!G90)</f>
        <v>0</v>
      </c>
      <c r="H90" s="93">
        <f>SUM('1:2'!H90)</f>
        <v>0</v>
      </c>
      <c r="I90" s="93">
        <f>SUM('1:2'!I90)</f>
        <v>0</v>
      </c>
      <c r="J90" s="31" t="str">
        <f t="array" ref="J90">IF(ISERROR(G90/I90),"",G90/I90)</f>
        <v/>
      </c>
      <c r="K90" s="35">
        <f t="array" ref="K90">IF(ISERROR(G90/L90),"",G90/L90)</f>
        <v>0</v>
      </c>
      <c r="L90" s="87">
        <v>9.3000000000000007</v>
      </c>
      <c r="M90" s="36">
        <f t="shared" si="30"/>
        <v>0</v>
      </c>
      <c r="N90" s="93">
        <f>SUM('1:2'!N90)</f>
        <v>0</v>
      </c>
      <c r="O90" s="93">
        <f>SUM('1:2'!O90)</f>
        <v>0</v>
      </c>
      <c r="P90" s="93">
        <f>SUM('1:2'!P90)</f>
        <v>0</v>
      </c>
      <c r="Q90" s="93">
        <f>SUM('1:2'!Q90)</f>
        <v>0</v>
      </c>
      <c r="R90" s="93">
        <f>SUM('1:2'!R90)</f>
        <v>0</v>
      </c>
      <c r="S90" s="93">
        <f>SUM('1:2'!S90)</f>
        <v>0</v>
      </c>
      <c r="T90" s="93">
        <f>SUM('1:2'!T90)</f>
        <v>0</v>
      </c>
      <c r="U90" s="93">
        <f>SUM('1:2'!U90)</f>
        <v>0</v>
      </c>
      <c r="V90" s="206">
        <f t="shared" si="31"/>
        <v>0</v>
      </c>
      <c r="W90" s="33" t="str">
        <f t="shared" si="29"/>
        <v/>
      </c>
      <c r="X90" s="93">
        <f>SUM('1:2'!X90)</f>
        <v>0</v>
      </c>
      <c r="Y90" s="93">
        <f>SUM('1:2'!Y90)</f>
        <v>0</v>
      </c>
      <c r="Z90" s="93">
        <f>SUM('1:2'!Z90)</f>
        <v>0</v>
      </c>
      <c r="AA90" s="93">
        <f>SUM('1:2'!AA90)</f>
        <v>0</v>
      </c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>
      <c r="A91" s="299">
        <v>30400013</v>
      </c>
      <c r="B91" s="215" t="s">
        <v>473</v>
      </c>
      <c r="C91" s="16" t="s">
        <v>72</v>
      </c>
      <c r="D91" s="17">
        <v>5.03</v>
      </c>
      <c r="E91" s="17"/>
      <c r="F91" s="6"/>
      <c r="G91" s="93">
        <f>SUM('1:2'!G91)</f>
        <v>15</v>
      </c>
      <c r="H91" s="93">
        <f>SUM('1:2'!H91)</f>
        <v>75.45</v>
      </c>
      <c r="I91" s="93">
        <f>SUM('1:2'!I91)</f>
        <v>2</v>
      </c>
      <c r="J91" s="31">
        <f t="array" ref="J91">IF(ISERROR(G91/I91),"",G91/I91)</f>
        <v>7.5</v>
      </c>
      <c r="K91" s="35">
        <f t="array" ref="K91">IF(ISERROR(G91/L91),"",G91/L91)</f>
        <v>1.6129032258064515</v>
      </c>
      <c r="L91" s="87">
        <v>9.3000000000000007</v>
      </c>
      <c r="M91" s="36">
        <f t="shared" si="30"/>
        <v>0.38709677419354849</v>
      </c>
      <c r="N91" s="93">
        <f>SUM('1:2'!N91)</f>
        <v>0</v>
      </c>
      <c r="O91" s="93">
        <f>SUM('1:2'!O91)</f>
        <v>0</v>
      </c>
      <c r="P91" s="93">
        <f>SUM('1:2'!P91)</f>
        <v>0</v>
      </c>
      <c r="Q91" s="93">
        <f>SUM('1:2'!Q91)</f>
        <v>0</v>
      </c>
      <c r="R91" s="93">
        <f>SUM('1:2'!R91)</f>
        <v>0</v>
      </c>
      <c r="S91" s="93">
        <f>SUM('1:2'!S91)</f>
        <v>0</v>
      </c>
      <c r="T91" s="93">
        <f>SUM('1:2'!T91)</f>
        <v>0</v>
      </c>
      <c r="U91" s="93">
        <f>SUM('1:2'!U91)</f>
        <v>0</v>
      </c>
      <c r="V91" s="206">
        <f t="shared" si="31"/>
        <v>0</v>
      </c>
      <c r="W91" s="33">
        <f t="shared" si="29"/>
        <v>0</v>
      </c>
      <c r="X91" s="93">
        <f>SUM('1:2'!X91)</f>
        <v>0</v>
      </c>
      <c r="Y91" s="93">
        <f>SUM('1:2'!Y91)</f>
        <v>0</v>
      </c>
      <c r="Z91" s="93">
        <f>SUM('1:2'!Z91)</f>
        <v>0</v>
      </c>
      <c r="AA91" s="93">
        <f>SUM('1:2'!AA91)</f>
        <v>0</v>
      </c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>
      <c r="A92" s="299">
        <v>30400016</v>
      </c>
      <c r="B92" s="215" t="s">
        <v>513</v>
      </c>
      <c r="C92" s="16" t="s">
        <v>60</v>
      </c>
      <c r="D92" s="17">
        <v>5.03</v>
      </c>
      <c r="E92" s="17"/>
      <c r="F92" s="6"/>
      <c r="G92" s="93">
        <f>SUM('1:2'!G92)</f>
        <v>436</v>
      </c>
      <c r="H92" s="93">
        <f>SUM('1:2'!H92)</f>
        <v>2193.08</v>
      </c>
      <c r="I92" s="93">
        <f>SUM('1:2'!I92)</f>
        <v>44</v>
      </c>
      <c r="J92" s="31">
        <f t="array" ref="J92">IF(ISERROR(G92/I92),"",G92/I92)</f>
        <v>9.9090909090909083</v>
      </c>
      <c r="K92" s="35">
        <f t="array" ref="K92">IF(ISERROR(G92/L92),"",G92/L92)</f>
        <v>46.881720430107521</v>
      </c>
      <c r="L92" s="87">
        <v>9.3000000000000007</v>
      </c>
      <c r="M92" s="36">
        <f t="shared" si="30"/>
        <v>-2.8817204301075208</v>
      </c>
      <c r="N92" s="93">
        <f>SUM('1:2'!N92)</f>
        <v>0</v>
      </c>
      <c r="O92" s="93">
        <f>SUM('1:2'!O92)</f>
        <v>0</v>
      </c>
      <c r="P92" s="93">
        <f>SUM('1:2'!P92)</f>
        <v>0</v>
      </c>
      <c r="Q92" s="93">
        <f>SUM('1:2'!Q92)</f>
        <v>0</v>
      </c>
      <c r="R92" s="93">
        <f>SUM('1:2'!R92)</f>
        <v>0</v>
      </c>
      <c r="S92" s="93">
        <f>SUM('1:2'!S92)</f>
        <v>0</v>
      </c>
      <c r="T92" s="93">
        <f>SUM('1:2'!T92)</f>
        <v>0</v>
      </c>
      <c r="U92" s="93">
        <f>SUM('1:2'!U92)</f>
        <v>0</v>
      </c>
      <c r="V92" s="206">
        <f t="shared" si="31"/>
        <v>0</v>
      </c>
      <c r="W92" s="33">
        <f t="shared" si="29"/>
        <v>0</v>
      </c>
      <c r="X92" s="93">
        <f>SUM('1:2'!X92)</f>
        <v>0</v>
      </c>
      <c r="Y92" s="93">
        <f>SUM('1:2'!Y92)</f>
        <v>0</v>
      </c>
      <c r="Z92" s="93">
        <f>SUM('1:2'!Z92)</f>
        <v>0</v>
      </c>
      <c r="AA92" s="93">
        <f>SUM('1:2'!AA92)</f>
        <v>0</v>
      </c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>
      <c r="A93" s="299">
        <v>30400017</v>
      </c>
      <c r="B93" s="215" t="s">
        <v>513</v>
      </c>
      <c r="C93" s="16" t="s">
        <v>66</v>
      </c>
      <c r="D93" s="17">
        <v>5.03</v>
      </c>
      <c r="E93" s="17"/>
      <c r="F93" s="6"/>
      <c r="G93" s="93">
        <f>SUM('1:2'!G93)</f>
        <v>0</v>
      </c>
      <c r="H93" s="93">
        <f>SUM('1:2'!H93)</f>
        <v>0</v>
      </c>
      <c r="I93" s="93">
        <f>SUM('1:2'!I93)</f>
        <v>0</v>
      </c>
      <c r="J93" s="31" t="str">
        <f t="array" ref="J93">IF(ISERROR(G93/I93),"",G93/I93)</f>
        <v/>
      </c>
      <c r="K93" s="35">
        <f t="array" ref="K93">IF(ISERROR(G93/L93),"",G93/L93)</f>
        <v>0</v>
      </c>
      <c r="L93" s="87">
        <v>9.3000000000000007</v>
      </c>
      <c r="M93" s="36">
        <f t="shared" si="30"/>
        <v>0</v>
      </c>
      <c r="N93" s="93">
        <f>SUM('1:2'!N93)</f>
        <v>0</v>
      </c>
      <c r="O93" s="93">
        <f>SUM('1:2'!O93)</f>
        <v>0</v>
      </c>
      <c r="P93" s="93">
        <f>SUM('1:2'!P93)</f>
        <v>0</v>
      </c>
      <c r="Q93" s="93">
        <f>SUM('1:2'!Q93)</f>
        <v>0</v>
      </c>
      <c r="R93" s="93">
        <f>SUM('1:2'!R93)</f>
        <v>0</v>
      </c>
      <c r="S93" s="93">
        <f>SUM('1:2'!S93)</f>
        <v>0</v>
      </c>
      <c r="T93" s="93">
        <f>SUM('1:2'!T93)</f>
        <v>0</v>
      </c>
      <c r="U93" s="93">
        <f>SUM('1:2'!U93)</f>
        <v>0</v>
      </c>
      <c r="V93" s="206">
        <f t="shared" si="31"/>
        <v>0</v>
      </c>
      <c r="W93" s="33" t="str">
        <f t="shared" si="29"/>
        <v/>
      </c>
      <c r="X93" s="93">
        <f>SUM('1:2'!X93)</f>
        <v>0</v>
      </c>
      <c r="Y93" s="93">
        <f>SUM('1:2'!Y93)</f>
        <v>0</v>
      </c>
      <c r="Z93" s="93">
        <f>SUM('1:2'!Z93)</f>
        <v>0</v>
      </c>
      <c r="AA93" s="93">
        <f>SUM('1:2'!AA93)</f>
        <v>0</v>
      </c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>
      <c r="A94" s="299">
        <v>30400015</v>
      </c>
      <c r="B94" s="65" t="s">
        <v>512</v>
      </c>
      <c r="C94" s="16" t="s">
        <v>177</v>
      </c>
      <c r="D94" s="17">
        <v>5.03</v>
      </c>
      <c r="E94" s="17"/>
      <c r="F94" s="6"/>
      <c r="G94" s="93">
        <f>SUM('1:2'!G94)</f>
        <v>81</v>
      </c>
      <c r="H94" s="93">
        <f>SUM('1:2'!H94)</f>
        <v>407.43</v>
      </c>
      <c r="I94" s="93">
        <f>SUM('1:2'!I94)</f>
        <v>11</v>
      </c>
      <c r="J94" s="31"/>
      <c r="K94" s="35">
        <f t="array" ref="K94">IF(ISERROR(G94/L94),"",G94/L94)</f>
        <v>8.7096774193548381</v>
      </c>
      <c r="L94" s="87">
        <v>9.3000000000000007</v>
      </c>
      <c r="M94" s="36">
        <f t="shared" si="30"/>
        <v>2.2903225806451619</v>
      </c>
      <c r="N94" s="93">
        <f>SUM('1:2'!N94)</f>
        <v>0</v>
      </c>
      <c r="O94" s="93">
        <f>SUM('1:2'!O94)</f>
        <v>0</v>
      </c>
      <c r="P94" s="93">
        <f>SUM('1:2'!P94)</f>
        <v>0</v>
      </c>
      <c r="Q94" s="93">
        <f>SUM('1:2'!Q94)</f>
        <v>0</v>
      </c>
      <c r="R94" s="93">
        <f>SUM('1:2'!R94)</f>
        <v>0</v>
      </c>
      <c r="S94" s="93">
        <f>SUM('1:2'!S94)</f>
        <v>0</v>
      </c>
      <c r="T94" s="93">
        <f>SUM('1:2'!T94)</f>
        <v>0</v>
      </c>
      <c r="U94" s="93">
        <f>SUM('1:2'!U94)</f>
        <v>0</v>
      </c>
      <c r="V94" s="207"/>
      <c r="W94" s="33"/>
      <c r="X94" s="93">
        <f>SUM('1:2'!X94)</f>
        <v>0</v>
      </c>
      <c r="Y94" s="93">
        <f>SUM('1:2'!Y94)</f>
        <v>0</v>
      </c>
      <c r="Z94" s="93">
        <f>SUM('1:2'!Z94)</f>
        <v>0</v>
      </c>
      <c r="AA94" s="93">
        <f>SUM('1:2'!AA94)</f>
        <v>0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>
      <c r="A95" s="304">
        <v>30600004</v>
      </c>
      <c r="B95" s="65" t="s">
        <v>162</v>
      </c>
      <c r="C95" s="16" t="s">
        <v>53</v>
      </c>
      <c r="D95" s="17">
        <v>5.03</v>
      </c>
      <c r="E95" s="17"/>
      <c r="F95" s="6"/>
      <c r="G95" s="93">
        <f>SUM('1:2'!G95)</f>
        <v>0</v>
      </c>
      <c r="H95" s="93">
        <f>SUM('1:2'!H95)</f>
        <v>0</v>
      </c>
      <c r="I95" s="93">
        <f>SUM('1:2'!I95)</f>
        <v>0</v>
      </c>
      <c r="J95" s="31" t="str">
        <f t="array" ref="J95">IF(ISERROR(G95/I95),"",G95/I95)</f>
        <v/>
      </c>
      <c r="K95" s="35">
        <f t="array" ref="K95">IF(ISERROR(G95/L95),"",G95/L95)</f>
        <v>0</v>
      </c>
      <c r="L95" s="87">
        <v>8</v>
      </c>
      <c r="M95" s="36">
        <f>IF(ISERROR(I95-K95),"",I95-K95)</f>
        <v>0</v>
      </c>
      <c r="N95" s="93">
        <f>SUM('1:2'!N95)</f>
        <v>0</v>
      </c>
      <c r="O95" s="93">
        <f>SUM('1:2'!O95)</f>
        <v>0</v>
      </c>
      <c r="P95" s="93">
        <f>SUM('1:2'!P95)</f>
        <v>0</v>
      </c>
      <c r="Q95" s="93">
        <f>SUM('1:2'!Q95)</f>
        <v>0</v>
      </c>
      <c r="R95" s="93">
        <f>SUM('1:2'!R95)</f>
        <v>0</v>
      </c>
      <c r="S95" s="93">
        <f>SUM('1:2'!S95)</f>
        <v>0</v>
      </c>
      <c r="T95" s="93">
        <f>SUM('1:2'!T95)</f>
        <v>0</v>
      </c>
      <c r="U95" s="93">
        <f>SUM('1:2'!U95)</f>
        <v>0</v>
      </c>
      <c r="V95" s="207">
        <f>SUM(X95:AA95)</f>
        <v>0</v>
      </c>
      <c r="W95" s="33" t="str">
        <f>IF(ISERROR(V95/G95),"",V95/G95)</f>
        <v/>
      </c>
      <c r="X95" s="93">
        <f>SUM('1:2'!X95)</f>
        <v>0</v>
      </c>
      <c r="Y95" s="93">
        <f>SUM('1:2'!Y95)</f>
        <v>0</v>
      </c>
      <c r="Z95" s="93">
        <f>SUM('1:2'!Z95)</f>
        <v>0</v>
      </c>
      <c r="AA95" s="93">
        <f>SUM('1:2'!AA95)</f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>
      <c r="A96" s="304">
        <v>30600001</v>
      </c>
      <c r="B96" s="65" t="s">
        <v>162</v>
      </c>
      <c r="C96" s="16" t="s">
        <v>55</v>
      </c>
      <c r="D96" s="17">
        <v>5.03</v>
      </c>
      <c r="E96" s="17"/>
      <c r="F96" s="6"/>
      <c r="G96" s="93">
        <f>SUM('1:2'!G96)</f>
        <v>0</v>
      </c>
      <c r="H96" s="93">
        <f>SUM('1:2'!H96)</f>
        <v>0</v>
      </c>
      <c r="I96" s="93">
        <f>SUM('1:2'!I96)</f>
        <v>0</v>
      </c>
      <c r="J96" s="31" t="str">
        <f t="array" ref="J96">IF(ISERROR(G96/I96),"",G96/I96)</f>
        <v/>
      </c>
      <c r="K96" s="35">
        <f t="array" ref="K96">IF(ISERROR(G96/L96),"",G96/L96)</f>
        <v>0</v>
      </c>
      <c r="L96" s="87">
        <v>8</v>
      </c>
      <c r="M96" s="36">
        <f>IF(ISERROR(I96-K96),"",I96-K96)</f>
        <v>0</v>
      </c>
      <c r="N96" s="93">
        <f>SUM('1:2'!N96)</f>
        <v>0</v>
      </c>
      <c r="O96" s="93">
        <f>SUM('1:2'!O96)</f>
        <v>0</v>
      </c>
      <c r="P96" s="93">
        <f>SUM('1:2'!P96)</f>
        <v>0</v>
      </c>
      <c r="Q96" s="93">
        <f>SUM('1:2'!Q96)</f>
        <v>0</v>
      </c>
      <c r="R96" s="93">
        <f>SUM('1:2'!R96)</f>
        <v>0</v>
      </c>
      <c r="S96" s="93">
        <f>SUM('1:2'!S96)</f>
        <v>0</v>
      </c>
      <c r="T96" s="93">
        <f>SUM('1:2'!T96)</f>
        <v>0</v>
      </c>
      <c r="U96" s="93">
        <f>SUM('1:2'!U96)</f>
        <v>0</v>
      </c>
      <c r="V96" s="207">
        <f>SUM(X96:AA96)</f>
        <v>0</v>
      </c>
      <c r="W96" s="33" t="str">
        <f>IF(ISERROR(V96/G96),"",V96/G96)</f>
        <v/>
      </c>
      <c r="X96" s="93">
        <f>SUM('1:2'!X96)</f>
        <v>0</v>
      </c>
      <c r="Y96" s="93">
        <f>SUM('1:2'!Y96)</f>
        <v>0</v>
      </c>
      <c r="Z96" s="93">
        <f>SUM('1:2'!Z96)</f>
        <v>0</v>
      </c>
      <c r="AA96" s="93">
        <f>SUM('1:2'!AA96)</f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>
      <c r="A97" s="304">
        <v>30600002</v>
      </c>
      <c r="B97" s="65" t="s">
        <v>162</v>
      </c>
      <c r="C97" s="16" t="s">
        <v>60</v>
      </c>
      <c r="D97" s="17">
        <v>5.03</v>
      </c>
      <c r="E97" s="17"/>
      <c r="F97" s="6"/>
      <c r="G97" s="93">
        <f>SUM('1:2'!G97)</f>
        <v>0</v>
      </c>
      <c r="H97" s="93">
        <f>SUM('1:2'!H97)</f>
        <v>0</v>
      </c>
      <c r="I97" s="93">
        <f>SUM('1:2'!I97)</f>
        <v>0</v>
      </c>
      <c r="J97" s="31" t="str">
        <f t="array" ref="J97">IF(ISERROR(G97/I97),"",G97/I97)</f>
        <v/>
      </c>
      <c r="K97" s="35">
        <f t="array" ref="K97">IF(ISERROR(G97/L97),"",G97/L97)</f>
        <v>0</v>
      </c>
      <c r="L97" s="87">
        <v>8</v>
      </c>
      <c r="M97" s="36">
        <f>IF(ISERROR(I97-K97),"",I97-K97)</f>
        <v>0</v>
      </c>
      <c r="N97" s="93">
        <f>SUM('1:2'!N97)</f>
        <v>0</v>
      </c>
      <c r="O97" s="93">
        <f>SUM('1:2'!O97)</f>
        <v>0</v>
      </c>
      <c r="P97" s="93">
        <f>SUM('1:2'!P97)</f>
        <v>0</v>
      </c>
      <c r="Q97" s="93">
        <f>SUM('1:2'!Q97)</f>
        <v>0</v>
      </c>
      <c r="R97" s="93">
        <f>SUM('1:2'!R97)</f>
        <v>0</v>
      </c>
      <c r="S97" s="93">
        <f>SUM('1:2'!S97)</f>
        <v>0</v>
      </c>
      <c r="T97" s="93">
        <f>SUM('1:2'!T97)</f>
        <v>0</v>
      </c>
      <c r="U97" s="93">
        <f>SUM('1:2'!U97)</f>
        <v>0</v>
      </c>
      <c r="V97" s="207">
        <f>SUM(X97:AA97)</f>
        <v>0</v>
      </c>
      <c r="W97" s="33" t="str">
        <f>IF(ISERROR(V97/G97),"",V97/G97)</f>
        <v/>
      </c>
      <c r="X97" s="93">
        <f>SUM('1:2'!X97)</f>
        <v>0</v>
      </c>
      <c r="Y97" s="93">
        <f>SUM('1:2'!Y97)</f>
        <v>0</v>
      </c>
      <c r="Z97" s="93">
        <f>SUM('1:2'!Z97)</f>
        <v>0</v>
      </c>
      <c r="AA97" s="93">
        <f>SUM('1:2'!AA97)</f>
        <v>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>
      <c r="A98" s="304">
        <v>30600003</v>
      </c>
      <c r="B98" s="65" t="s">
        <v>162</v>
      </c>
      <c r="C98" s="195" t="s">
        <v>89</v>
      </c>
      <c r="D98" s="17">
        <v>5.03</v>
      </c>
      <c r="E98" s="17"/>
      <c r="F98" s="6"/>
      <c r="G98" s="93">
        <f>SUM('1:2'!G98)</f>
        <v>0</v>
      </c>
      <c r="H98" s="93">
        <f>SUM('1:2'!H98)</f>
        <v>0</v>
      </c>
      <c r="I98" s="93">
        <f>SUM('1:2'!I98)</f>
        <v>0</v>
      </c>
      <c r="J98" s="31" t="str">
        <f t="array" ref="J98">IF(ISERROR(G98/I98),"",G98/I98)</f>
        <v/>
      </c>
      <c r="K98" s="35">
        <f t="array" ref="K98">IF(ISERROR(G98/L98),"",G98/L98)</f>
        <v>0</v>
      </c>
      <c r="L98" s="87">
        <v>8</v>
      </c>
      <c r="M98" s="36">
        <f>IF(ISERROR(I98-K98),"",I98-K98)</f>
        <v>0</v>
      </c>
      <c r="N98" s="93">
        <f>SUM('1:2'!N98)</f>
        <v>0</v>
      </c>
      <c r="O98" s="93">
        <f>SUM('1:2'!O98)</f>
        <v>0</v>
      </c>
      <c r="P98" s="93">
        <f>SUM('1:2'!P98)</f>
        <v>0</v>
      </c>
      <c r="Q98" s="93">
        <f>SUM('1:2'!Q98)</f>
        <v>0</v>
      </c>
      <c r="R98" s="93">
        <f>SUM('1:2'!R98)</f>
        <v>0</v>
      </c>
      <c r="S98" s="93">
        <f>SUM('1:2'!S98)</f>
        <v>0</v>
      </c>
      <c r="T98" s="93">
        <f>SUM('1:2'!T98)</f>
        <v>0</v>
      </c>
      <c r="U98" s="93">
        <f>SUM('1:2'!U98)</f>
        <v>0</v>
      </c>
      <c r="V98" s="207">
        <f>SUM(X98:AA98)</f>
        <v>0</v>
      </c>
      <c r="W98" s="33" t="str">
        <f>IF(ISERROR(V98/G98),"",V98/G98)</f>
        <v/>
      </c>
      <c r="X98" s="93">
        <f>SUM('1:2'!X98)</f>
        <v>0</v>
      </c>
      <c r="Y98" s="93">
        <f>SUM('1:2'!Y98)</f>
        <v>0</v>
      </c>
      <c r="Z98" s="93">
        <f>SUM('1:2'!Z98)</f>
        <v>0</v>
      </c>
      <c r="AA98" s="93">
        <f>SUM('1:2'!AA98)</f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>
      <c r="A99" s="304">
        <v>30400030</v>
      </c>
      <c r="B99" s="215" t="s">
        <v>220</v>
      </c>
      <c r="C99" s="16" t="s">
        <v>53</v>
      </c>
      <c r="D99" s="17">
        <v>5.03</v>
      </c>
      <c r="E99" s="17"/>
      <c r="F99" s="6"/>
      <c r="G99" s="93">
        <f>SUM('1:2'!G99)</f>
        <v>0</v>
      </c>
      <c r="H99" s="93">
        <f>SUM('1:2'!H99)</f>
        <v>0</v>
      </c>
      <c r="I99" s="93">
        <f>SUM('1:2'!I99)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87">
        <v>10</v>
      </c>
      <c r="M99" s="36">
        <f t="shared" ref="M99:M114" si="32">IF(ISERROR(I99-K99),"",I99-K99)</f>
        <v>0</v>
      </c>
      <c r="N99" s="93">
        <f>SUM('1:2'!N99)</f>
        <v>0</v>
      </c>
      <c r="O99" s="93">
        <f>SUM('1:2'!O99)</f>
        <v>0</v>
      </c>
      <c r="P99" s="93">
        <f>SUM('1:2'!P99)</f>
        <v>0</v>
      </c>
      <c r="Q99" s="93">
        <f>SUM('1:2'!Q99)</f>
        <v>0</v>
      </c>
      <c r="R99" s="93">
        <f>SUM('1:2'!R99)</f>
        <v>0</v>
      </c>
      <c r="S99" s="93">
        <f>SUM('1:2'!S99)</f>
        <v>0</v>
      </c>
      <c r="T99" s="93">
        <f>SUM('1:2'!T99)</f>
        <v>0</v>
      </c>
      <c r="U99" s="93">
        <f>SUM('1:2'!U99)</f>
        <v>0</v>
      </c>
      <c r="V99" s="206">
        <f t="shared" ref="V99:V106" si="33">SUM(X99:AA99)</f>
        <v>0</v>
      </c>
      <c r="W99" s="33" t="str">
        <f t="shared" ref="W99:W106" si="34">IF(ISERROR(V99/G99),"",V99/G99)</f>
        <v/>
      </c>
      <c r="X99" s="93">
        <f>SUM('1:2'!X99)</f>
        <v>0</v>
      </c>
      <c r="Y99" s="93">
        <f>SUM('1:2'!Y99)</f>
        <v>0</v>
      </c>
      <c r="Z99" s="93">
        <f>SUM('1:2'!Z99)</f>
        <v>0</v>
      </c>
      <c r="AA99" s="93">
        <f>SUM('1:2'!AA99)</f>
        <v>0</v>
      </c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>
      <c r="A100" s="304"/>
      <c r="B100" s="65" t="s">
        <v>88</v>
      </c>
      <c r="C100" s="16" t="s">
        <v>72</v>
      </c>
      <c r="D100" s="17">
        <v>5.03</v>
      </c>
      <c r="E100" s="17"/>
      <c r="F100" s="6"/>
      <c r="G100" s="93">
        <f>SUM('1:2'!G100)</f>
        <v>0</v>
      </c>
      <c r="H100" s="93">
        <f>SUM('1:2'!H100)</f>
        <v>0</v>
      </c>
      <c r="I100" s="93">
        <f>SUM('1:2'!I100)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87"/>
      <c r="M100" s="36" t="str">
        <f t="shared" si="32"/>
        <v/>
      </c>
      <c r="N100" s="93">
        <f>SUM('1:2'!N100)</f>
        <v>0</v>
      </c>
      <c r="O100" s="93">
        <f>SUM('1:2'!O100)</f>
        <v>0</v>
      </c>
      <c r="P100" s="93">
        <f>SUM('1:2'!P100)</f>
        <v>0</v>
      </c>
      <c r="Q100" s="93">
        <f>SUM('1:2'!Q100)</f>
        <v>0</v>
      </c>
      <c r="R100" s="93">
        <f>SUM('1:2'!R100)</f>
        <v>0</v>
      </c>
      <c r="S100" s="93">
        <f>SUM('1:2'!S100)</f>
        <v>0</v>
      </c>
      <c r="T100" s="93">
        <f>SUM('1:2'!T100)</f>
        <v>0</v>
      </c>
      <c r="U100" s="93">
        <f>SUM('1:2'!U100)</f>
        <v>0</v>
      </c>
      <c r="V100" s="206">
        <f t="shared" si="33"/>
        <v>0</v>
      </c>
      <c r="W100" s="33" t="str">
        <f t="shared" si="34"/>
        <v/>
      </c>
      <c r="X100" s="93">
        <f>SUM('1:2'!X100)</f>
        <v>0</v>
      </c>
      <c r="Y100" s="93">
        <f>SUM('1:2'!Y100)</f>
        <v>0</v>
      </c>
      <c r="Z100" s="93">
        <f>SUM('1:2'!Z100)</f>
        <v>0</v>
      </c>
      <c r="AA100" s="93">
        <f>SUM('1:2'!AA100)</f>
        <v>0</v>
      </c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>
      <c r="A101" s="304"/>
      <c r="B101" s="65" t="s">
        <v>88</v>
      </c>
      <c r="C101" s="16" t="s">
        <v>60</v>
      </c>
      <c r="D101" s="17">
        <v>5.03</v>
      </c>
      <c r="E101" s="17"/>
      <c r="F101" s="6"/>
      <c r="G101" s="93">
        <f>SUM('1:2'!G101)</f>
        <v>0</v>
      </c>
      <c r="H101" s="93">
        <f>SUM('1:2'!H101)</f>
        <v>0</v>
      </c>
      <c r="I101" s="93">
        <f>SUM('1:2'!I101)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87"/>
      <c r="M101" s="36" t="str">
        <f t="shared" si="32"/>
        <v/>
      </c>
      <c r="N101" s="93">
        <f>SUM('1:2'!N101)</f>
        <v>0</v>
      </c>
      <c r="O101" s="93">
        <f>SUM('1:2'!O101)</f>
        <v>0</v>
      </c>
      <c r="P101" s="93">
        <f>SUM('1:2'!P101)</f>
        <v>0</v>
      </c>
      <c r="Q101" s="93">
        <f>SUM('1:2'!Q101)</f>
        <v>0</v>
      </c>
      <c r="R101" s="93">
        <f>SUM('1:2'!R101)</f>
        <v>0</v>
      </c>
      <c r="S101" s="93">
        <f>SUM('1:2'!S101)</f>
        <v>0</v>
      </c>
      <c r="T101" s="93">
        <f>SUM('1:2'!T101)</f>
        <v>0</v>
      </c>
      <c r="U101" s="93">
        <f>SUM('1:2'!U101)</f>
        <v>0</v>
      </c>
      <c r="V101" s="206">
        <f t="shared" si="33"/>
        <v>0</v>
      </c>
      <c r="W101" s="33" t="str">
        <f t="shared" si="34"/>
        <v/>
      </c>
      <c r="X101" s="93">
        <f>SUM('1:2'!X101)</f>
        <v>0</v>
      </c>
      <c r="Y101" s="93">
        <f>SUM('1:2'!Y101)</f>
        <v>0</v>
      </c>
      <c r="Z101" s="93">
        <f>SUM('1:2'!Z101)</f>
        <v>0</v>
      </c>
      <c r="AA101" s="93">
        <f>SUM('1:2'!AA101)</f>
        <v>0</v>
      </c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>
      <c r="A102" s="304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93">
        <f>SUM('1:2'!G102)</f>
        <v>0</v>
      </c>
      <c r="H102" s="93">
        <f>SUM('1:2'!H102)</f>
        <v>0</v>
      </c>
      <c r="I102" s="93">
        <f>SUM('1:2'!I102)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87"/>
      <c r="M102" s="36" t="str">
        <f t="shared" si="32"/>
        <v/>
      </c>
      <c r="N102" s="93">
        <f>SUM('1:2'!N102)</f>
        <v>0</v>
      </c>
      <c r="O102" s="93">
        <f>SUM('1:2'!O102)</f>
        <v>0</v>
      </c>
      <c r="P102" s="93">
        <f>SUM('1:2'!P102)</f>
        <v>0</v>
      </c>
      <c r="Q102" s="93">
        <f>SUM('1:2'!Q102)</f>
        <v>0</v>
      </c>
      <c r="R102" s="93">
        <f>SUM('1:2'!R102)</f>
        <v>0</v>
      </c>
      <c r="S102" s="93">
        <f>SUM('1:2'!S102)</f>
        <v>0</v>
      </c>
      <c r="T102" s="93">
        <f>SUM('1:2'!T102)</f>
        <v>0</v>
      </c>
      <c r="U102" s="93">
        <f>SUM('1:2'!U102)</f>
        <v>0</v>
      </c>
      <c r="V102" s="206">
        <f t="shared" si="33"/>
        <v>0</v>
      </c>
      <c r="W102" s="33" t="str">
        <f t="shared" si="34"/>
        <v/>
      </c>
      <c r="X102" s="93">
        <f>SUM('1:2'!X102)</f>
        <v>0</v>
      </c>
      <c r="Y102" s="93">
        <f>SUM('1:2'!Y102)</f>
        <v>0</v>
      </c>
      <c r="Z102" s="93">
        <f>SUM('1:2'!Z102)</f>
        <v>0</v>
      </c>
      <c r="AA102" s="93">
        <f>SUM('1:2'!AA102)</f>
        <v>0</v>
      </c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>
      <c r="A103" s="304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93">
        <f>SUM('1:2'!G103)</f>
        <v>0</v>
      </c>
      <c r="H103" s="93">
        <f>SUM('1:2'!H103)</f>
        <v>0</v>
      </c>
      <c r="I103" s="93">
        <f>SUM('1:2'!I103)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87">
        <v>6</v>
      </c>
      <c r="M103" s="36">
        <f t="shared" si="32"/>
        <v>0</v>
      </c>
      <c r="N103" s="93">
        <f>SUM('1:2'!N103)</f>
        <v>0</v>
      </c>
      <c r="O103" s="93">
        <f>SUM('1:2'!O103)</f>
        <v>0</v>
      </c>
      <c r="P103" s="93">
        <f>SUM('1:2'!P103)</f>
        <v>0</v>
      </c>
      <c r="Q103" s="93">
        <f>SUM('1:2'!Q103)</f>
        <v>0</v>
      </c>
      <c r="R103" s="93">
        <f>SUM('1:2'!R103)</f>
        <v>0</v>
      </c>
      <c r="S103" s="93">
        <f>SUM('1:2'!S103)</f>
        <v>0</v>
      </c>
      <c r="T103" s="93">
        <f>SUM('1:2'!T103)</f>
        <v>0</v>
      </c>
      <c r="U103" s="93">
        <f>SUM('1:2'!U103)</f>
        <v>0</v>
      </c>
      <c r="V103" s="206">
        <f t="shared" si="33"/>
        <v>0</v>
      </c>
      <c r="W103" s="33" t="str">
        <f t="shared" si="34"/>
        <v/>
      </c>
      <c r="X103" s="93">
        <f>SUM('1:2'!X103)</f>
        <v>0</v>
      </c>
      <c r="Y103" s="93">
        <f>SUM('1:2'!Y103)</f>
        <v>0</v>
      </c>
      <c r="Z103" s="93">
        <f>SUM('1:2'!Z103)</f>
        <v>0</v>
      </c>
      <c r="AA103" s="93">
        <f>SUM('1:2'!AA103)</f>
        <v>0</v>
      </c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>
      <c r="A104" s="304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93">
        <f>SUM('1:2'!G104)</f>
        <v>0</v>
      </c>
      <c r="H104" s="93">
        <f>SUM('1:2'!H104)</f>
        <v>0</v>
      </c>
      <c r="I104" s="93">
        <f>SUM('1:2'!I104)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87">
        <v>6</v>
      </c>
      <c r="M104" s="36">
        <f t="shared" si="32"/>
        <v>0</v>
      </c>
      <c r="N104" s="93">
        <f>SUM('1:2'!N104)</f>
        <v>0</v>
      </c>
      <c r="O104" s="93">
        <f>SUM('1:2'!O104)</f>
        <v>0</v>
      </c>
      <c r="P104" s="93">
        <f>SUM('1:2'!P104)</f>
        <v>0</v>
      </c>
      <c r="Q104" s="93">
        <f>SUM('1:2'!Q104)</f>
        <v>0</v>
      </c>
      <c r="R104" s="93">
        <f>SUM('1:2'!R104)</f>
        <v>0</v>
      </c>
      <c r="S104" s="93">
        <f>SUM('1:2'!S104)</f>
        <v>0</v>
      </c>
      <c r="T104" s="93">
        <f>SUM('1:2'!T104)</f>
        <v>0</v>
      </c>
      <c r="U104" s="93">
        <f>SUM('1:2'!U104)</f>
        <v>0</v>
      </c>
      <c r="V104" s="206">
        <f t="shared" si="33"/>
        <v>0</v>
      </c>
      <c r="W104" s="33" t="str">
        <f t="shared" si="34"/>
        <v/>
      </c>
      <c r="X104" s="93">
        <f>SUM('1:2'!X104)</f>
        <v>0</v>
      </c>
      <c r="Y104" s="93">
        <f>SUM('1:2'!Y104)</f>
        <v>0</v>
      </c>
      <c r="Z104" s="93">
        <f>SUM('1:2'!Z104)</f>
        <v>0</v>
      </c>
      <c r="AA104" s="93">
        <f>SUM('1:2'!AA104)</f>
        <v>0</v>
      </c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>
      <c r="A105" s="304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93">
        <f>SUM('1:2'!G105)</f>
        <v>0</v>
      </c>
      <c r="H105" s="93">
        <f>SUM('1:2'!H105)</f>
        <v>0</v>
      </c>
      <c r="I105" s="93">
        <f>SUM('1:2'!I105)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87">
        <v>6</v>
      </c>
      <c r="M105" s="36">
        <f t="shared" si="32"/>
        <v>0</v>
      </c>
      <c r="N105" s="93">
        <f>SUM('1:2'!N105)</f>
        <v>0</v>
      </c>
      <c r="O105" s="93">
        <f>SUM('1:2'!O105)</f>
        <v>0</v>
      </c>
      <c r="P105" s="93">
        <f>SUM('1:2'!P105)</f>
        <v>0</v>
      </c>
      <c r="Q105" s="93">
        <f>SUM('1:2'!Q105)</f>
        <v>0</v>
      </c>
      <c r="R105" s="93">
        <f>SUM('1:2'!R105)</f>
        <v>0</v>
      </c>
      <c r="S105" s="93">
        <f>SUM('1:2'!S105)</f>
        <v>0</v>
      </c>
      <c r="T105" s="93">
        <f>SUM('1:2'!T105)</f>
        <v>0</v>
      </c>
      <c r="U105" s="93">
        <f>SUM('1:2'!U105)</f>
        <v>0</v>
      </c>
      <c r="V105" s="206">
        <f t="shared" si="33"/>
        <v>0</v>
      </c>
      <c r="W105" s="33" t="str">
        <f t="shared" si="34"/>
        <v/>
      </c>
      <c r="X105" s="93">
        <f>SUM('1:2'!X105)</f>
        <v>0</v>
      </c>
      <c r="Y105" s="93">
        <f>SUM('1:2'!Y105)</f>
        <v>0</v>
      </c>
      <c r="Z105" s="93">
        <f>SUM('1:2'!Z105)</f>
        <v>0</v>
      </c>
      <c r="AA105" s="93">
        <f>SUM('1:2'!AA105)</f>
        <v>0</v>
      </c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>
      <c r="A106" s="304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93">
        <f>SUM('1:2'!G106)</f>
        <v>0</v>
      </c>
      <c r="H106" s="93">
        <f>SUM('1:2'!H106)</f>
        <v>0</v>
      </c>
      <c r="I106" s="93">
        <f>SUM('1:2'!I106)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87">
        <v>6</v>
      </c>
      <c r="M106" s="36">
        <f t="shared" si="32"/>
        <v>0</v>
      </c>
      <c r="N106" s="93">
        <f>SUM('1:2'!N106)</f>
        <v>0</v>
      </c>
      <c r="O106" s="93">
        <f>SUM('1:2'!O106)</f>
        <v>0</v>
      </c>
      <c r="P106" s="93">
        <f>SUM('1:2'!P106)</f>
        <v>0</v>
      </c>
      <c r="Q106" s="93">
        <f>SUM('1:2'!Q106)</f>
        <v>0</v>
      </c>
      <c r="R106" s="93">
        <f>SUM('1:2'!R106)</f>
        <v>0</v>
      </c>
      <c r="S106" s="93">
        <f>SUM('1:2'!S106)</f>
        <v>0</v>
      </c>
      <c r="T106" s="93">
        <f>SUM('1:2'!T106)</f>
        <v>0</v>
      </c>
      <c r="U106" s="93">
        <f>SUM('1:2'!U106)</f>
        <v>0</v>
      </c>
      <c r="V106" s="206">
        <f t="shared" si="33"/>
        <v>0</v>
      </c>
      <c r="W106" s="33" t="str">
        <f t="shared" si="34"/>
        <v/>
      </c>
      <c r="X106" s="93">
        <f>SUM('1:2'!X106)</f>
        <v>0</v>
      </c>
      <c r="Y106" s="93">
        <f>SUM('1:2'!Y106)</f>
        <v>0</v>
      </c>
      <c r="Z106" s="93">
        <f>SUM('1:2'!Z106)</f>
        <v>0</v>
      </c>
      <c r="AA106" s="93">
        <f>SUM('1:2'!AA106)</f>
        <v>0</v>
      </c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>
      <c r="A107" s="299">
        <v>30400026</v>
      </c>
      <c r="B107" s="190" t="s">
        <v>393</v>
      </c>
      <c r="C107" s="187" t="s">
        <v>395</v>
      </c>
      <c r="D107" s="17">
        <v>5</v>
      </c>
      <c r="E107" s="17"/>
      <c r="F107" s="6"/>
      <c r="G107" s="93">
        <f>SUM('1:2'!G107)</f>
        <v>0</v>
      </c>
      <c r="H107" s="93">
        <f>SUM('1:2'!H107)</f>
        <v>0</v>
      </c>
      <c r="I107" s="93">
        <f>SUM('1:2'!I107)</f>
        <v>0</v>
      </c>
      <c r="J107" s="31"/>
      <c r="K107" s="35">
        <f t="array" ref="K107">IF(ISERROR(G107/L107),"",G107/L107)</f>
        <v>0</v>
      </c>
      <c r="L107" s="87">
        <v>5</v>
      </c>
      <c r="M107" s="36">
        <f t="shared" si="32"/>
        <v>0</v>
      </c>
      <c r="N107" s="93">
        <f>SUM('1:2'!N107)</f>
        <v>0</v>
      </c>
      <c r="O107" s="93">
        <f>SUM('1:2'!O107)</f>
        <v>0</v>
      </c>
      <c r="P107" s="93">
        <f>SUM('1:2'!P107)</f>
        <v>0</v>
      </c>
      <c r="Q107" s="93">
        <f>SUM('1:2'!Q107)</f>
        <v>0</v>
      </c>
      <c r="R107" s="93">
        <f>SUM('1:2'!R107)</f>
        <v>0</v>
      </c>
      <c r="S107" s="93">
        <f>SUM('1:2'!S107)</f>
        <v>0</v>
      </c>
      <c r="T107" s="93">
        <f>SUM('1:2'!T107)</f>
        <v>0</v>
      </c>
      <c r="U107" s="93">
        <f>SUM('1:2'!U107)</f>
        <v>0</v>
      </c>
      <c r="V107" s="206"/>
      <c r="W107" s="33"/>
      <c r="X107" s="93">
        <f>SUM('1:2'!X107)</f>
        <v>0</v>
      </c>
      <c r="Y107" s="93">
        <f>SUM('1:2'!Y107)</f>
        <v>0</v>
      </c>
      <c r="Z107" s="93">
        <f>SUM('1:2'!Z107)</f>
        <v>0</v>
      </c>
      <c r="AA107" s="93">
        <f>SUM('1:2'!AA107)</f>
        <v>0</v>
      </c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>
      <c r="A108" s="299">
        <v>30400028</v>
      </c>
      <c r="B108" s="190" t="s">
        <v>393</v>
      </c>
      <c r="C108" s="187" t="s">
        <v>402</v>
      </c>
      <c r="D108" s="17">
        <v>5</v>
      </c>
      <c r="E108" s="17"/>
      <c r="F108" s="6"/>
      <c r="G108" s="93">
        <f>SUM('1:2'!G108)</f>
        <v>0</v>
      </c>
      <c r="H108" s="93">
        <f>SUM('1:2'!H108)</f>
        <v>0</v>
      </c>
      <c r="I108" s="93">
        <f>SUM('1:2'!I108)</f>
        <v>0</v>
      </c>
      <c r="J108" s="31"/>
      <c r="K108" s="35">
        <f t="array" ref="K108">IF(ISERROR(G108/L108),"",G108/L108)</f>
        <v>0</v>
      </c>
      <c r="L108" s="87">
        <v>5</v>
      </c>
      <c r="M108" s="36">
        <f t="shared" si="32"/>
        <v>0</v>
      </c>
      <c r="N108" s="93">
        <f>SUM('1:2'!N108)</f>
        <v>0</v>
      </c>
      <c r="O108" s="93">
        <f>SUM('1:2'!O108)</f>
        <v>0</v>
      </c>
      <c r="P108" s="93">
        <f>SUM('1:2'!P108)</f>
        <v>0</v>
      </c>
      <c r="Q108" s="93">
        <f>SUM('1:2'!Q108)</f>
        <v>0</v>
      </c>
      <c r="R108" s="93">
        <f>SUM('1:2'!R108)</f>
        <v>0</v>
      </c>
      <c r="S108" s="93">
        <f>SUM('1:2'!S108)</f>
        <v>0</v>
      </c>
      <c r="T108" s="93">
        <f>SUM('1:2'!T108)</f>
        <v>0</v>
      </c>
      <c r="U108" s="93">
        <f>SUM('1:2'!U108)</f>
        <v>0</v>
      </c>
      <c r="V108" s="206"/>
      <c r="W108" s="33"/>
      <c r="X108" s="93">
        <f>SUM('1:2'!X108)</f>
        <v>0</v>
      </c>
      <c r="Y108" s="93">
        <f>SUM('1:2'!Y108)</f>
        <v>0</v>
      </c>
      <c r="Z108" s="93">
        <f>SUM('1:2'!Z108)</f>
        <v>0</v>
      </c>
      <c r="AA108" s="93">
        <f>SUM('1:2'!AA108)</f>
        <v>0</v>
      </c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>
      <c r="A109" s="299">
        <v>30400027</v>
      </c>
      <c r="B109" s="190" t="s">
        <v>404</v>
      </c>
      <c r="C109" s="187" t="s">
        <v>405</v>
      </c>
      <c r="D109" s="17">
        <v>5</v>
      </c>
      <c r="E109" s="17"/>
      <c r="F109" s="6"/>
      <c r="G109" s="93">
        <f>SUM('1:2'!G109)</f>
        <v>0</v>
      </c>
      <c r="H109" s="93">
        <f>SUM('1:2'!H109)</f>
        <v>0</v>
      </c>
      <c r="I109" s="93">
        <f>SUM('1:2'!I109)</f>
        <v>0</v>
      </c>
      <c r="J109" s="31"/>
      <c r="K109" s="35">
        <f t="array" ref="K109">IF(ISERROR(G109/L109),"",G109/L109)</f>
        <v>0</v>
      </c>
      <c r="L109" s="87">
        <v>5</v>
      </c>
      <c r="M109" s="36">
        <f t="shared" si="32"/>
        <v>0</v>
      </c>
      <c r="N109" s="93">
        <f>SUM('1:2'!N109)</f>
        <v>0</v>
      </c>
      <c r="O109" s="93">
        <f>SUM('1:2'!O109)</f>
        <v>0</v>
      </c>
      <c r="P109" s="93">
        <f>SUM('1:2'!P109)</f>
        <v>0</v>
      </c>
      <c r="Q109" s="93">
        <f>SUM('1:2'!Q109)</f>
        <v>0</v>
      </c>
      <c r="R109" s="93">
        <f>SUM('1:2'!R109)</f>
        <v>0</v>
      </c>
      <c r="S109" s="93">
        <f>SUM('1:2'!S109)</f>
        <v>0</v>
      </c>
      <c r="T109" s="93">
        <f>SUM('1:2'!T109)</f>
        <v>0</v>
      </c>
      <c r="U109" s="93">
        <f>SUM('1:2'!U109)</f>
        <v>0</v>
      </c>
      <c r="V109" s="206"/>
      <c r="W109" s="33"/>
      <c r="X109" s="93">
        <f>SUM('1:2'!X109)</f>
        <v>0</v>
      </c>
      <c r="Y109" s="93">
        <f>SUM('1:2'!Y109)</f>
        <v>0</v>
      </c>
      <c r="Z109" s="93">
        <f>SUM('1:2'!Z109)</f>
        <v>0</v>
      </c>
      <c r="AA109" s="93">
        <f>SUM('1:2'!AA109)</f>
        <v>0</v>
      </c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>
      <c r="A110" s="299"/>
      <c r="B110" s="190" t="s">
        <v>492</v>
      </c>
      <c r="C110" s="187" t="s">
        <v>372</v>
      </c>
      <c r="D110" s="17">
        <v>5</v>
      </c>
      <c r="E110" s="17"/>
      <c r="F110" s="6"/>
      <c r="G110" s="93">
        <f>SUM('1:2'!G110)</f>
        <v>0</v>
      </c>
      <c r="H110" s="93">
        <f>SUM('1:2'!H110)</f>
        <v>0</v>
      </c>
      <c r="I110" s="93">
        <f>SUM('1:2'!I110)</f>
        <v>0</v>
      </c>
      <c r="J110" s="31"/>
      <c r="K110" s="35">
        <f t="array" ref="K110">IF(ISERROR(G110/L110),"",G110/L110)</f>
        <v>0</v>
      </c>
      <c r="L110" s="87">
        <v>5</v>
      </c>
      <c r="M110" s="36">
        <f t="shared" si="32"/>
        <v>0</v>
      </c>
      <c r="N110" s="93">
        <f>SUM('1:2'!N110)</f>
        <v>0</v>
      </c>
      <c r="O110" s="93">
        <f>SUM('1:2'!O110)</f>
        <v>0</v>
      </c>
      <c r="P110" s="93">
        <f>SUM('1:2'!P110)</f>
        <v>0</v>
      </c>
      <c r="Q110" s="93">
        <f>SUM('1:2'!Q110)</f>
        <v>0</v>
      </c>
      <c r="R110" s="93">
        <f>SUM('1:2'!R110)</f>
        <v>0</v>
      </c>
      <c r="S110" s="93">
        <f>SUM('1:2'!S110)</f>
        <v>0</v>
      </c>
      <c r="T110" s="93">
        <f>SUM('1:2'!T110)</f>
        <v>0</v>
      </c>
      <c r="U110" s="93">
        <f>SUM('1:2'!U110)</f>
        <v>0</v>
      </c>
      <c r="V110" s="206"/>
      <c r="W110" s="33"/>
      <c r="X110" s="93">
        <f>SUM('1:2'!X110)</f>
        <v>0</v>
      </c>
      <c r="Y110" s="93">
        <f>SUM('1:2'!Y110)</f>
        <v>0</v>
      </c>
      <c r="Z110" s="93">
        <f>SUM('1:2'!Z110)</f>
        <v>0</v>
      </c>
      <c r="AA110" s="93">
        <f>SUM('1:2'!AA110)</f>
        <v>0</v>
      </c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>
      <c r="A111" s="299">
        <v>30600009</v>
      </c>
      <c r="B111" s="61" t="s">
        <v>343</v>
      </c>
      <c r="C111" s="16" t="s">
        <v>345</v>
      </c>
      <c r="D111" s="17">
        <v>5</v>
      </c>
      <c r="E111" s="17"/>
      <c r="F111" s="6"/>
      <c r="G111" s="93">
        <f>SUM('1:2'!G111)</f>
        <v>0</v>
      </c>
      <c r="H111" s="93">
        <f>SUM('1:2'!H111)</f>
        <v>0</v>
      </c>
      <c r="I111" s="93">
        <f>SUM('1:2'!I111)</f>
        <v>0</v>
      </c>
      <c r="J111" s="31"/>
      <c r="K111" s="35">
        <f t="array" ref="K111">IF(ISERROR(G111/L111),"",G111/L111)</f>
        <v>0</v>
      </c>
      <c r="L111" s="87">
        <v>5</v>
      </c>
      <c r="M111" s="36">
        <f t="shared" si="32"/>
        <v>0</v>
      </c>
      <c r="N111" s="93">
        <f>SUM('1:2'!N111)</f>
        <v>0</v>
      </c>
      <c r="O111" s="93">
        <f>SUM('1:2'!O111)</f>
        <v>0</v>
      </c>
      <c r="P111" s="93">
        <f>SUM('1:2'!P111)</f>
        <v>0</v>
      </c>
      <c r="Q111" s="93">
        <f>SUM('1:2'!Q111)</f>
        <v>0</v>
      </c>
      <c r="R111" s="93">
        <f>SUM('1:2'!R111)</f>
        <v>0</v>
      </c>
      <c r="S111" s="93">
        <f>SUM('1:2'!S111)</f>
        <v>0</v>
      </c>
      <c r="T111" s="93">
        <f>SUM('1:2'!T111)</f>
        <v>0</v>
      </c>
      <c r="U111" s="93">
        <f>SUM('1:2'!U111)</f>
        <v>0</v>
      </c>
      <c r="V111" s="206"/>
      <c r="W111" s="33"/>
      <c r="X111" s="93">
        <f>SUM('1:2'!X111)</f>
        <v>0</v>
      </c>
      <c r="Y111" s="93">
        <f>SUM('1:2'!Y111)</f>
        <v>0</v>
      </c>
      <c r="Z111" s="93">
        <f>SUM('1:2'!Z111)</f>
        <v>0</v>
      </c>
      <c r="AA111" s="93">
        <f>SUM('1:2'!AA111)</f>
        <v>0</v>
      </c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>
      <c r="A112" s="299">
        <v>30600010</v>
      </c>
      <c r="B112" s="61" t="s">
        <v>343</v>
      </c>
      <c r="C112" s="16" t="s">
        <v>347</v>
      </c>
      <c r="D112" s="17">
        <v>5</v>
      </c>
      <c r="E112" s="17"/>
      <c r="F112" s="6"/>
      <c r="G112" s="93">
        <f>SUM('1:2'!G112)</f>
        <v>0</v>
      </c>
      <c r="H112" s="93">
        <f>SUM('1:2'!H112)</f>
        <v>0</v>
      </c>
      <c r="I112" s="93">
        <f>SUM('1:2'!I112)</f>
        <v>0</v>
      </c>
      <c r="J112" s="31"/>
      <c r="K112" s="35">
        <f t="array" ref="K112">IF(ISERROR(G112/L112),"",G112/L112)</f>
        <v>0</v>
      </c>
      <c r="L112" s="87">
        <v>5</v>
      </c>
      <c r="M112" s="36">
        <f t="shared" si="32"/>
        <v>0</v>
      </c>
      <c r="N112" s="93">
        <f>SUM('1:2'!N112)</f>
        <v>0</v>
      </c>
      <c r="O112" s="93">
        <f>SUM('1:2'!O112)</f>
        <v>0</v>
      </c>
      <c r="P112" s="93">
        <f>SUM('1:2'!P112)</f>
        <v>0</v>
      </c>
      <c r="Q112" s="93">
        <f>SUM('1:2'!Q112)</f>
        <v>0</v>
      </c>
      <c r="R112" s="93">
        <f>SUM('1:2'!R112)</f>
        <v>0</v>
      </c>
      <c r="S112" s="93">
        <f>SUM('1:2'!S112)</f>
        <v>0</v>
      </c>
      <c r="T112" s="93">
        <f>SUM('1:2'!T112)</f>
        <v>0</v>
      </c>
      <c r="U112" s="93">
        <f>SUM('1:2'!U112)</f>
        <v>0</v>
      </c>
      <c r="V112" s="206"/>
      <c r="W112" s="33"/>
      <c r="X112" s="93">
        <f>SUM('1:2'!X112)</f>
        <v>0</v>
      </c>
      <c r="Y112" s="93">
        <f>SUM('1:2'!Y112)</f>
        <v>0</v>
      </c>
      <c r="Z112" s="93">
        <f>SUM('1:2'!Z112)</f>
        <v>0</v>
      </c>
      <c r="AA112" s="93">
        <f>SUM('1:2'!AA112)</f>
        <v>0</v>
      </c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>
      <c r="A113" s="299">
        <v>30400001</v>
      </c>
      <c r="B113" s="65" t="s">
        <v>514</v>
      </c>
      <c r="C113" s="16" t="s">
        <v>61</v>
      </c>
      <c r="D113" s="17">
        <v>5.0599999999999996</v>
      </c>
      <c r="E113" s="17"/>
      <c r="F113" s="6"/>
      <c r="G113" s="93">
        <f>SUM('1:2'!G113)</f>
        <v>0</v>
      </c>
      <c r="H113" s="93">
        <f>SUM('1:2'!H113)</f>
        <v>0</v>
      </c>
      <c r="I113" s="93">
        <f>SUM('1:2'!I113)</f>
        <v>0</v>
      </c>
      <c r="J113" s="31" t="str">
        <f t="array" ref="J113">IF(ISERROR(G113/I113),"",G113/I113)</f>
        <v/>
      </c>
      <c r="K113" s="35">
        <f t="array" ref="K113">IF(ISERROR(G113/L113),"",G113/L113)</f>
        <v>0</v>
      </c>
      <c r="L113" s="87">
        <v>15.5</v>
      </c>
      <c r="M113" s="36">
        <f t="shared" si="32"/>
        <v>0</v>
      </c>
      <c r="N113" s="93">
        <f>SUM('1:2'!N113)</f>
        <v>0</v>
      </c>
      <c r="O113" s="93">
        <f>SUM('1:2'!O113)</f>
        <v>0</v>
      </c>
      <c r="P113" s="93">
        <f>SUM('1:2'!P113)</f>
        <v>0</v>
      </c>
      <c r="Q113" s="93">
        <f>SUM('1:2'!Q113)</f>
        <v>0</v>
      </c>
      <c r="R113" s="93">
        <f>SUM('1:2'!R113)</f>
        <v>0</v>
      </c>
      <c r="S113" s="93">
        <f>SUM('1:2'!S113)</f>
        <v>0</v>
      </c>
      <c r="T113" s="93">
        <f>SUM('1:2'!T113)</f>
        <v>0</v>
      </c>
      <c r="U113" s="93">
        <f>SUM('1:2'!U113)</f>
        <v>0</v>
      </c>
      <c r="V113" s="206">
        <f t="shared" ref="V113:V114" si="35">SUM(X113:AA113)</f>
        <v>0</v>
      </c>
      <c r="W113" s="33" t="str">
        <f t="shared" ref="W113:W114" si="36">IF(ISERROR(V113/G113),"",V113/G113)</f>
        <v/>
      </c>
      <c r="X113" s="93">
        <f>SUM('1:2'!X113)</f>
        <v>0</v>
      </c>
      <c r="Y113" s="93">
        <f>SUM('1:2'!Y113)</f>
        <v>0</v>
      </c>
      <c r="Z113" s="93">
        <f>SUM('1:2'!Z113)</f>
        <v>0</v>
      </c>
      <c r="AA113" s="93">
        <f>SUM('1:2'!AA113)</f>
        <v>0</v>
      </c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>
      <c r="A114" s="299">
        <v>30400002</v>
      </c>
      <c r="B114" s="65" t="s">
        <v>514</v>
      </c>
      <c r="C114" s="16" t="s">
        <v>72</v>
      </c>
      <c r="D114" s="17">
        <v>5.0599999999999996</v>
      </c>
      <c r="E114" s="17"/>
      <c r="F114" s="6"/>
      <c r="G114" s="93">
        <f>SUM('1:2'!G114)</f>
        <v>0</v>
      </c>
      <c r="H114" s="93">
        <f>SUM('1:2'!H114)</f>
        <v>0</v>
      </c>
      <c r="I114" s="93">
        <f>SUM('1:2'!I114)</f>
        <v>0</v>
      </c>
      <c r="J114" s="31" t="str">
        <f t="array" ref="J114">IF(ISERROR(G114/I114),"",G114/I114)</f>
        <v/>
      </c>
      <c r="K114" s="35">
        <f t="array" ref="K114">IF(ISERROR(G114/L114),"",G114/L114)</f>
        <v>0</v>
      </c>
      <c r="L114" s="87">
        <v>15.5</v>
      </c>
      <c r="M114" s="36">
        <f t="shared" si="32"/>
        <v>0</v>
      </c>
      <c r="N114" s="93">
        <f>SUM('1:2'!N114)</f>
        <v>0</v>
      </c>
      <c r="O114" s="93">
        <f>SUM('1:2'!O114)</f>
        <v>0</v>
      </c>
      <c r="P114" s="93">
        <f>SUM('1:2'!P114)</f>
        <v>0</v>
      </c>
      <c r="Q114" s="93">
        <f>SUM('1:2'!Q114)</f>
        <v>0</v>
      </c>
      <c r="R114" s="93">
        <f>SUM('1:2'!R114)</f>
        <v>0</v>
      </c>
      <c r="S114" s="93">
        <f>SUM('1:2'!S114)</f>
        <v>0</v>
      </c>
      <c r="T114" s="93">
        <f>SUM('1:2'!T114)</f>
        <v>0</v>
      </c>
      <c r="U114" s="93">
        <f>SUM('1:2'!U114)</f>
        <v>0</v>
      </c>
      <c r="V114" s="206">
        <f t="shared" si="35"/>
        <v>0</v>
      </c>
      <c r="W114" s="33" t="str">
        <f t="shared" si="36"/>
        <v/>
      </c>
      <c r="X114" s="93">
        <f>SUM('1:2'!X114)</f>
        <v>0</v>
      </c>
      <c r="Y114" s="93">
        <f>SUM('1:2'!Y114)</f>
        <v>0</v>
      </c>
      <c r="Z114" s="93">
        <f>SUM('1:2'!Z114)</f>
        <v>0</v>
      </c>
      <c r="AA114" s="93">
        <f>SUM('1:2'!AA114)</f>
        <v>0</v>
      </c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>
      <c r="A115" s="299">
        <v>30400004</v>
      </c>
      <c r="B115" s="215" t="s">
        <v>419</v>
      </c>
      <c r="C115" s="187" t="s">
        <v>73</v>
      </c>
      <c r="D115" s="17"/>
      <c r="E115" s="17"/>
      <c r="F115" s="6"/>
      <c r="G115" s="93">
        <f>SUM('1:2'!G115)</f>
        <v>652</v>
      </c>
      <c r="H115" s="93">
        <f>SUM('1:2'!H115)</f>
        <v>3260</v>
      </c>
      <c r="I115" s="93">
        <f>SUM('1:2'!I115)</f>
        <v>28.5</v>
      </c>
      <c r="J115" s="31"/>
      <c r="K115" s="35">
        <f t="array" ref="K115">IF(ISERROR(G115/L115),"",G115/L115)</f>
        <v>27.166666666666668</v>
      </c>
      <c r="L115" s="87">
        <v>24</v>
      </c>
      <c r="M115" s="36"/>
      <c r="N115" s="93"/>
      <c r="O115" s="93"/>
      <c r="P115" s="93"/>
      <c r="Q115" s="93"/>
      <c r="R115" s="93"/>
      <c r="S115" s="93"/>
      <c r="T115" s="93"/>
      <c r="U115" s="93"/>
      <c r="V115" s="206"/>
      <c r="W115" s="33"/>
      <c r="X115" s="93"/>
      <c r="Y115" s="93"/>
      <c r="Z115" s="93"/>
      <c r="AA115" s="93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>
      <c r="A116" s="299">
        <v>30400003</v>
      </c>
      <c r="B116" s="215" t="s">
        <v>419</v>
      </c>
      <c r="C116" s="187" t="s">
        <v>60</v>
      </c>
      <c r="D116" s="17"/>
      <c r="E116" s="17"/>
      <c r="F116" s="6"/>
      <c r="G116" s="93">
        <f>SUM('1:2'!G116)</f>
        <v>0</v>
      </c>
      <c r="H116" s="93">
        <f>SUM('1:2'!H116)</f>
        <v>0</v>
      </c>
      <c r="I116" s="93">
        <f>SUM('1:2'!I116)</f>
        <v>0</v>
      </c>
      <c r="J116" s="31"/>
      <c r="K116" s="35">
        <f t="array" ref="K116">IF(ISERROR(G116/L116),"",G116/L116)</f>
        <v>0</v>
      </c>
      <c r="L116" s="87">
        <v>24</v>
      </c>
      <c r="M116" s="36"/>
      <c r="N116" s="93"/>
      <c r="O116" s="93"/>
      <c r="P116" s="93"/>
      <c r="Q116" s="93"/>
      <c r="R116" s="93"/>
      <c r="S116" s="93"/>
      <c r="T116" s="93"/>
      <c r="U116" s="93"/>
      <c r="V116" s="206"/>
      <c r="W116" s="33"/>
      <c r="X116" s="93"/>
      <c r="Y116" s="93"/>
      <c r="Z116" s="93"/>
      <c r="AA116" s="93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>
      <c r="A117" s="299">
        <v>30400005</v>
      </c>
      <c r="B117" s="215" t="s">
        <v>419</v>
      </c>
      <c r="C117" s="187" t="s">
        <v>422</v>
      </c>
      <c r="D117" s="17"/>
      <c r="E117" s="17"/>
      <c r="F117" s="6"/>
      <c r="G117" s="93">
        <f>SUM('1:2'!G117)</f>
        <v>269</v>
      </c>
      <c r="H117" s="93">
        <f>SUM('1:2'!H117)</f>
        <v>1345</v>
      </c>
      <c r="I117" s="93">
        <f>SUM('1:2'!I117)</f>
        <v>18.5</v>
      </c>
      <c r="J117" s="31"/>
      <c r="K117" s="35">
        <f t="array" ref="K117">IF(ISERROR(G117/L117),"",G117/L117)</f>
        <v>11.208333333333334</v>
      </c>
      <c r="L117" s="87">
        <v>24</v>
      </c>
      <c r="M117" s="36"/>
      <c r="N117" s="93"/>
      <c r="O117" s="93"/>
      <c r="P117" s="93"/>
      <c r="Q117" s="93"/>
      <c r="R117" s="93"/>
      <c r="S117" s="93"/>
      <c r="T117" s="93"/>
      <c r="U117" s="93"/>
      <c r="V117" s="206"/>
      <c r="W117" s="33"/>
      <c r="X117" s="93"/>
      <c r="Y117" s="93"/>
      <c r="Z117" s="93"/>
      <c r="AA117" s="93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>
      <c r="A118" s="299">
        <v>30400007</v>
      </c>
      <c r="B118" s="65" t="s">
        <v>91</v>
      </c>
      <c r="C118" s="16" t="s">
        <v>74</v>
      </c>
      <c r="D118" s="17">
        <v>5.07</v>
      </c>
      <c r="E118" s="17"/>
      <c r="F118" s="6"/>
      <c r="G118" s="93">
        <f>SUM('1:2'!G118)</f>
        <v>0</v>
      </c>
      <c r="H118" s="93">
        <f>SUM('1:2'!H118)</f>
        <v>0</v>
      </c>
      <c r="I118" s="93">
        <f>SUM('1:2'!I118)</f>
        <v>0</v>
      </c>
      <c r="J118" s="31" t="str">
        <f t="array" ref="J118">IF(ISERROR(G118/I118),"",G118/I118)</f>
        <v/>
      </c>
      <c r="K118" s="35">
        <f t="array" ref="K118">IF(ISERROR(G118/L118),"",G118/L118)</f>
        <v>0</v>
      </c>
      <c r="L118" s="87">
        <v>9</v>
      </c>
      <c r="M118" s="36">
        <f t="shared" ref="M118:M120" si="37">IF(ISERROR(I118-K118),"",I118-K118)</f>
        <v>0</v>
      </c>
      <c r="N118" s="93">
        <f>SUM('1:2'!N118)</f>
        <v>0</v>
      </c>
      <c r="O118" s="93">
        <f>SUM('1:2'!O118)</f>
        <v>0</v>
      </c>
      <c r="P118" s="93">
        <f>SUM('1:2'!P118)</f>
        <v>0</v>
      </c>
      <c r="Q118" s="93">
        <f>SUM('1:2'!Q118)</f>
        <v>0</v>
      </c>
      <c r="R118" s="93">
        <f>SUM('1:2'!R118)</f>
        <v>0</v>
      </c>
      <c r="S118" s="93">
        <f>SUM('1:2'!S118)</f>
        <v>0</v>
      </c>
      <c r="T118" s="93">
        <f>SUM('1:2'!T118)</f>
        <v>0</v>
      </c>
      <c r="U118" s="93">
        <f>SUM('1:2'!U118)</f>
        <v>0</v>
      </c>
      <c r="V118" s="206">
        <f t="shared" ref="V118:V120" si="38">SUM(X118:AA118)</f>
        <v>0</v>
      </c>
      <c r="W118" s="33" t="str">
        <f t="shared" ref="W118" si="39">IF(ISERROR(V118/G118),"",V118/G118)</f>
        <v/>
      </c>
      <c r="X118" s="93">
        <f>SUM('1:2'!X118)</f>
        <v>0</v>
      </c>
      <c r="Y118" s="93">
        <f>SUM('1:2'!Y118)</f>
        <v>0</v>
      </c>
      <c r="Z118" s="93">
        <f>SUM('1:2'!Z118)</f>
        <v>0</v>
      </c>
      <c r="AA118" s="93">
        <f>SUM('1:2'!AA118)</f>
        <v>0</v>
      </c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>
      <c r="A119" s="299">
        <v>30400006</v>
      </c>
      <c r="B119" s="65" t="s">
        <v>91</v>
      </c>
      <c r="C119" s="16" t="s">
        <v>53</v>
      </c>
      <c r="D119" s="17">
        <v>5.07</v>
      </c>
      <c r="E119" s="17"/>
      <c r="F119" s="6"/>
      <c r="G119" s="93">
        <f>SUM('1:2'!G119)</f>
        <v>0</v>
      </c>
      <c r="H119" s="93">
        <f>SUM('1:2'!H119)</f>
        <v>0</v>
      </c>
      <c r="I119" s="93">
        <f>SUM('1:2'!I119)</f>
        <v>0</v>
      </c>
      <c r="J119" s="31" t="str">
        <f t="array" ref="J119">IF(ISERROR(G119/I119),"",G119/I119)</f>
        <v/>
      </c>
      <c r="K119" s="35">
        <f t="array" ref="K119">IF(ISERROR(G119/L119),"",G119/L119)</f>
        <v>0</v>
      </c>
      <c r="L119" s="87">
        <v>9</v>
      </c>
      <c r="M119" s="36">
        <f t="shared" si="37"/>
        <v>0</v>
      </c>
      <c r="N119" s="93">
        <f>SUM('1:2'!N119)</f>
        <v>0</v>
      </c>
      <c r="O119" s="93">
        <f>SUM('1:2'!O119)</f>
        <v>0</v>
      </c>
      <c r="P119" s="93">
        <f>SUM('1:2'!P119)</f>
        <v>0</v>
      </c>
      <c r="Q119" s="93">
        <f>SUM('1:2'!Q119)</f>
        <v>0</v>
      </c>
      <c r="R119" s="93">
        <f>SUM('1:2'!R119)</f>
        <v>0</v>
      </c>
      <c r="S119" s="93">
        <f>SUM('1:2'!S119)</f>
        <v>0</v>
      </c>
      <c r="T119" s="93">
        <f>SUM('1:2'!T119)</f>
        <v>0</v>
      </c>
      <c r="U119" s="93">
        <f>SUM('1:2'!U119)</f>
        <v>0</v>
      </c>
      <c r="V119" s="206">
        <f t="shared" si="38"/>
        <v>0</v>
      </c>
      <c r="W119" s="33" t="str">
        <f>IF(ISERROR(V119/G119),"",V119/G119)</f>
        <v/>
      </c>
      <c r="X119" s="93">
        <f>SUM('1:2'!X119)</f>
        <v>0</v>
      </c>
      <c r="Y119" s="93">
        <f>SUM('1:2'!Y119)</f>
        <v>0</v>
      </c>
      <c r="Z119" s="93">
        <f>SUM('1:2'!Z119)</f>
        <v>0</v>
      </c>
      <c r="AA119" s="93">
        <f>SUM('1:2'!AA119)</f>
        <v>0</v>
      </c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>
      <c r="A120" s="299">
        <v>30400006</v>
      </c>
      <c r="B120" s="65" t="s">
        <v>91</v>
      </c>
      <c r="C120" s="16" t="s">
        <v>60</v>
      </c>
      <c r="D120" s="17">
        <v>5.0599999999999996</v>
      </c>
      <c r="E120" s="17"/>
      <c r="F120" s="53"/>
      <c r="G120" s="93">
        <f>SUM('1:2'!G120)</f>
        <v>0</v>
      </c>
      <c r="H120" s="93">
        <f>SUM('1:2'!H120)</f>
        <v>0</v>
      </c>
      <c r="I120" s="93">
        <f>SUM('1:2'!I120)</f>
        <v>0</v>
      </c>
      <c r="J120" s="31" t="str">
        <f t="array" ref="J120">IF(ISERROR(G120/I120),"",G120/I120)</f>
        <v/>
      </c>
      <c r="K120" s="364">
        <f t="array" ref="K120">IF(ISERROR(G120/L120),"",G120/L120)</f>
        <v>0</v>
      </c>
      <c r="L120" s="87">
        <v>9</v>
      </c>
      <c r="M120" s="36">
        <f t="shared" si="37"/>
        <v>0</v>
      </c>
      <c r="N120" s="93">
        <f>SUM('1:2'!N120)</f>
        <v>0</v>
      </c>
      <c r="O120" s="93">
        <f>SUM('1:2'!O120)</f>
        <v>0</v>
      </c>
      <c r="P120" s="93">
        <f>SUM('1:2'!P120)</f>
        <v>0</v>
      </c>
      <c r="Q120" s="93">
        <f>SUM('1:2'!Q120)</f>
        <v>0</v>
      </c>
      <c r="R120" s="93">
        <f>SUM('1:2'!R120)</f>
        <v>0</v>
      </c>
      <c r="S120" s="93">
        <f>SUM('1:2'!S120)</f>
        <v>0</v>
      </c>
      <c r="T120" s="93">
        <f>SUM('1:2'!T120)</f>
        <v>0</v>
      </c>
      <c r="U120" s="93">
        <f>SUM('1:2'!U120)</f>
        <v>0</v>
      </c>
      <c r="V120" s="206">
        <f t="shared" si="38"/>
        <v>0</v>
      </c>
      <c r="W120" s="33" t="str">
        <f>IF(ISERROR(V120/G120),"",V120/G120)</f>
        <v/>
      </c>
      <c r="X120" s="93">
        <f>SUM('1:2'!X120)</f>
        <v>0</v>
      </c>
      <c r="Y120" s="93">
        <f>SUM('1:2'!Y120)</f>
        <v>0</v>
      </c>
      <c r="Z120" s="93">
        <f>SUM('1:2'!Z120)</f>
        <v>0</v>
      </c>
      <c r="AA120" s="93">
        <f>SUM('1:2'!AA120)</f>
        <v>0</v>
      </c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>
      <c r="A121" s="691" t="s">
        <v>92</v>
      </c>
      <c r="B121" s="692"/>
      <c r="C121" s="359" t="s">
        <v>71</v>
      </c>
      <c r="D121" s="20"/>
      <c r="E121" s="20"/>
      <c r="F121" s="32"/>
      <c r="G121" s="99">
        <f>SUM(G87:G120)</f>
        <v>1453</v>
      </c>
      <c r="H121" s="30">
        <f>SUM(H87:H120)</f>
        <v>7280.9599999999991</v>
      </c>
      <c r="I121" s="30">
        <f>SUM(I87:I120)</f>
        <v>104</v>
      </c>
      <c r="J121" s="31">
        <f t="array" ref="J121">IF(ISERROR(G121/I121),"",G121/I121)</f>
        <v>13.971153846153847</v>
      </c>
      <c r="K121" s="30">
        <f>SUM(K87:K120)</f>
        <v>95.579301075268802</v>
      </c>
      <c r="L121" s="98"/>
      <c r="M121" s="89">
        <f t="shared" ref="M121:V121" si="40">SUM(M87:M120)</f>
        <v>-0.20430107526881036</v>
      </c>
      <c r="N121" s="30">
        <f t="shared" si="40"/>
        <v>0</v>
      </c>
      <c r="O121" s="91">
        <f t="shared" si="40"/>
        <v>0</v>
      </c>
      <c r="P121" s="91">
        <f t="shared" si="40"/>
        <v>0</v>
      </c>
      <c r="Q121" s="91">
        <f t="shared" si="40"/>
        <v>0</v>
      </c>
      <c r="R121" s="91">
        <f t="shared" si="40"/>
        <v>0</v>
      </c>
      <c r="S121" s="92">
        <f t="shared" si="40"/>
        <v>0</v>
      </c>
      <c r="T121" s="91">
        <f t="shared" si="40"/>
        <v>0</v>
      </c>
      <c r="U121" s="91">
        <f t="shared" si="40"/>
        <v>0</v>
      </c>
      <c r="V121" s="206">
        <f t="shared" si="40"/>
        <v>0</v>
      </c>
      <c r="W121" s="33">
        <f t="shared" ref="W121:W142" si="41">IF(ISERROR(V121/G121),"",V121/G121)</f>
        <v>0</v>
      </c>
      <c r="X121" s="92">
        <f>SUM(X87:X120)</f>
        <v>0</v>
      </c>
      <c r="Y121" s="92">
        <f>SUM(Y87:Y120)</f>
        <v>0</v>
      </c>
      <c r="Z121" s="92">
        <f>SUM(Z87:Z120)</f>
        <v>0</v>
      </c>
      <c r="AA121" s="92">
        <f>SUM(AA87:AA120)</f>
        <v>0</v>
      </c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>
      <c r="A122" s="299">
        <v>30100038</v>
      </c>
      <c r="B122" s="62" t="s">
        <v>93</v>
      </c>
      <c r="C122" s="16" t="s">
        <v>94</v>
      </c>
      <c r="D122" s="17">
        <v>5.03</v>
      </c>
      <c r="E122" s="17"/>
      <c r="F122" s="6"/>
      <c r="G122" s="93">
        <f>SUM('1:2'!G122)</f>
        <v>0</v>
      </c>
      <c r="H122" s="93">
        <f>SUM('1:2'!H122)</f>
        <v>0</v>
      </c>
      <c r="I122" s="93">
        <f>SUM('1:2'!I122)</f>
        <v>0</v>
      </c>
      <c r="J122" s="31" t="str">
        <f t="array" ref="J122">IF(ISERROR(G122/I122),"",G122/I122)</f>
        <v/>
      </c>
      <c r="K122" s="35">
        <f t="array" ref="K122">IF(ISERROR(G122/L122),"",G122/L122)</f>
        <v>0</v>
      </c>
      <c r="L122" s="87">
        <v>25</v>
      </c>
      <c r="M122" s="36">
        <f t="shared" ref="M122:M136" si="42">IF(ISERROR(I122-K122),"",I122-K122)</f>
        <v>0</v>
      </c>
      <c r="N122" s="93">
        <f>SUM('1:2'!N122)</f>
        <v>0</v>
      </c>
      <c r="O122" s="93">
        <f>SUM('1:2'!O122)</f>
        <v>0</v>
      </c>
      <c r="P122" s="93">
        <f>SUM('1:2'!P122)</f>
        <v>0</v>
      </c>
      <c r="Q122" s="93">
        <f>SUM('1:2'!Q122)</f>
        <v>0</v>
      </c>
      <c r="R122" s="93">
        <f>SUM('1:2'!R122)</f>
        <v>0</v>
      </c>
      <c r="S122" s="93">
        <f>SUM('1:2'!S122)</f>
        <v>0</v>
      </c>
      <c r="T122" s="93">
        <f>SUM('1:2'!T122)</f>
        <v>0</v>
      </c>
      <c r="U122" s="93">
        <f>SUM('1:2'!U122)</f>
        <v>0</v>
      </c>
      <c r="V122" s="206">
        <f t="shared" ref="V122:V136" si="43">SUM(X122:AA122)</f>
        <v>0</v>
      </c>
      <c r="W122" s="33" t="str">
        <f t="shared" si="41"/>
        <v/>
      </c>
      <c r="X122" s="93">
        <f>SUM('1:2'!X122)</f>
        <v>0</v>
      </c>
      <c r="Y122" s="93">
        <f>SUM('1:2'!Y122)</f>
        <v>0</v>
      </c>
      <c r="Z122" s="93">
        <f>SUM('1:2'!Z122)</f>
        <v>0</v>
      </c>
      <c r="AA122" s="93">
        <f>SUM('1:2'!AA122)</f>
        <v>0</v>
      </c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>
      <c r="A123" s="299">
        <v>30100037</v>
      </c>
      <c r="B123" s="62" t="s">
        <v>93</v>
      </c>
      <c r="C123" s="16" t="s">
        <v>74</v>
      </c>
      <c r="D123" s="17">
        <v>5.03</v>
      </c>
      <c r="E123" s="17"/>
      <c r="F123" s="6"/>
      <c r="G123" s="93">
        <f>SUM('1:2'!G123)</f>
        <v>0</v>
      </c>
      <c r="H123" s="93">
        <f>SUM('1:2'!H123)</f>
        <v>0</v>
      </c>
      <c r="I123" s="93">
        <f>SUM('1:2'!I123)</f>
        <v>0</v>
      </c>
      <c r="J123" s="31" t="str">
        <f t="array" ref="J123">IF(ISERROR(G123/I123),"",G123/I123)</f>
        <v/>
      </c>
      <c r="K123" s="35">
        <f t="array" ref="K123">IF(ISERROR(G123/L123),"",G123/L123)</f>
        <v>0</v>
      </c>
      <c r="L123" s="87">
        <v>25</v>
      </c>
      <c r="M123" s="36">
        <f t="shared" si="42"/>
        <v>0</v>
      </c>
      <c r="N123" s="93">
        <f>SUM('1:2'!N123)</f>
        <v>0</v>
      </c>
      <c r="O123" s="93">
        <f>SUM('1:2'!O123)</f>
        <v>0</v>
      </c>
      <c r="P123" s="93">
        <f>SUM('1:2'!P123)</f>
        <v>0</v>
      </c>
      <c r="Q123" s="93">
        <f>SUM('1:2'!Q123)</f>
        <v>0</v>
      </c>
      <c r="R123" s="93">
        <f>SUM('1:2'!R123)</f>
        <v>0</v>
      </c>
      <c r="S123" s="93">
        <f>SUM('1:2'!S123)</f>
        <v>0</v>
      </c>
      <c r="T123" s="93">
        <f>SUM('1:2'!T123)</f>
        <v>0</v>
      </c>
      <c r="U123" s="93">
        <f>SUM('1:2'!U123)</f>
        <v>0</v>
      </c>
      <c r="V123" s="206">
        <f t="shared" si="43"/>
        <v>0</v>
      </c>
      <c r="W123" s="33" t="str">
        <f t="shared" si="41"/>
        <v/>
      </c>
      <c r="X123" s="93">
        <f>SUM('1:2'!X123)</f>
        <v>0</v>
      </c>
      <c r="Y123" s="93">
        <f>SUM('1:2'!Y123)</f>
        <v>0</v>
      </c>
      <c r="Z123" s="93">
        <f>SUM('1:2'!Z123)</f>
        <v>0</v>
      </c>
      <c r="AA123" s="93">
        <f>SUM('1:2'!AA123)</f>
        <v>0</v>
      </c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>
      <c r="A124" s="299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93">
        <f>SUM('1:2'!G124)</f>
        <v>0</v>
      </c>
      <c r="H124" s="93">
        <f>SUM('1:2'!H124)</f>
        <v>0</v>
      </c>
      <c r="I124" s="93">
        <f>SUM('1:2'!I124)</f>
        <v>0</v>
      </c>
      <c r="J124" s="31" t="str">
        <f t="array" ref="J124">IF(ISERROR(G124/I124),"",G124/I124)</f>
        <v/>
      </c>
      <c r="K124" s="35">
        <f t="array" ref="K124">IF(ISERROR(G124/L124),"",G124/L124)</f>
        <v>0</v>
      </c>
      <c r="L124" s="87">
        <v>20</v>
      </c>
      <c r="M124" s="36">
        <f t="shared" si="42"/>
        <v>0</v>
      </c>
      <c r="N124" s="93">
        <f>SUM('1:2'!N124)</f>
        <v>0</v>
      </c>
      <c r="O124" s="93">
        <f>SUM('1:2'!O124)</f>
        <v>0</v>
      </c>
      <c r="P124" s="93">
        <f>SUM('1:2'!P124)</f>
        <v>0</v>
      </c>
      <c r="Q124" s="93">
        <f>SUM('1:2'!Q124)</f>
        <v>0</v>
      </c>
      <c r="R124" s="93">
        <f>SUM('1:2'!R124)</f>
        <v>0</v>
      </c>
      <c r="S124" s="93">
        <f>SUM('1:2'!S124)</f>
        <v>0</v>
      </c>
      <c r="T124" s="93">
        <f>SUM('1:2'!T124)</f>
        <v>0</v>
      </c>
      <c r="U124" s="93">
        <f>SUM('1:2'!U124)</f>
        <v>0</v>
      </c>
      <c r="V124" s="206">
        <f t="shared" si="43"/>
        <v>0</v>
      </c>
      <c r="W124" s="33" t="str">
        <f t="shared" si="41"/>
        <v/>
      </c>
      <c r="X124" s="93">
        <f>SUM('1:2'!X124)</f>
        <v>0</v>
      </c>
      <c r="Y124" s="93">
        <f>SUM('1:2'!Y124)</f>
        <v>0</v>
      </c>
      <c r="Z124" s="93">
        <f>SUM('1:2'!Z124)</f>
        <v>0</v>
      </c>
      <c r="AA124" s="93">
        <f>SUM('1:2'!AA124)</f>
        <v>0</v>
      </c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>
      <c r="A125" s="299"/>
      <c r="B125" s="189" t="s">
        <v>227</v>
      </c>
      <c r="C125" s="16" t="s">
        <v>82</v>
      </c>
      <c r="D125" s="17">
        <v>5.03</v>
      </c>
      <c r="E125" s="17"/>
      <c r="F125" s="6"/>
      <c r="G125" s="93">
        <f>SUM('1:2'!G125)</f>
        <v>0</v>
      </c>
      <c r="H125" s="93">
        <f>SUM('1:2'!H125)</f>
        <v>0</v>
      </c>
      <c r="I125" s="93">
        <f>SUM('1:2'!I125)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87">
        <v>4</v>
      </c>
      <c r="M125" s="36">
        <f t="shared" si="42"/>
        <v>0</v>
      </c>
      <c r="N125" s="93">
        <f>SUM('1:2'!N125)</f>
        <v>0</v>
      </c>
      <c r="O125" s="93">
        <f>SUM('1:2'!O125)</f>
        <v>0</v>
      </c>
      <c r="P125" s="93">
        <f>SUM('1:2'!P125)</f>
        <v>0</v>
      </c>
      <c r="Q125" s="93">
        <f>SUM('1:2'!Q125)</f>
        <v>0</v>
      </c>
      <c r="R125" s="93">
        <f>SUM('1:2'!R125)</f>
        <v>0</v>
      </c>
      <c r="S125" s="93">
        <f>SUM('1:2'!S125)</f>
        <v>0</v>
      </c>
      <c r="T125" s="93">
        <f>SUM('1:2'!T125)</f>
        <v>0</v>
      </c>
      <c r="U125" s="93">
        <f>SUM('1:2'!U125)</f>
        <v>0</v>
      </c>
      <c r="V125" s="206">
        <f t="shared" si="43"/>
        <v>0</v>
      </c>
      <c r="W125" s="33" t="str">
        <f t="shared" si="41"/>
        <v/>
      </c>
      <c r="X125" s="93">
        <f>SUM('1:2'!X125)</f>
        <v>0</v>
      </c>
      <c r="Y125" s="93">
        <f>SUM('1:2'!Y125)</f>
        <v>0</v>
      </c>
      <c r="Z125" s="93">
        <f>SUM('1:2'!Z125)</f>
        <v>0</v>
      </c>
      <c r="AA125" s="93">
        <f>SUM('1:2'!AA125)</f>
        <v>0</v>
      </c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>
      <c r="A126" s="299">
        <v>30100054</v>
      </c>
      <c r="B126" s="63" t="s">
        <v>95</v>
      </c>
      <c r="C126" s="365" t="s">
        <v>72</v>
      </c>
      <c r="D126" s="17">
        <v>5.03</v>
      </c>
      <c r="E126" s="17"/>
      <c r="F126" s="6"/>
      <c r="G126" s="93">
        <f>SUM('1:2'!G126)</f>
        <v>0</v>
      </c>
      <c r="H126" s="93">
        <f>SUM('1:2'!H126)</f>
        <v>0</v>
      </c>
      <c r="I126" s="93">
        <f>SUM('1:2'!I126)</f>
        <v>0</v>
      </c>
      <c r="J126" s="31" t="str">
        <f t="array" ref="J126">IF(ISERROR(G126/I126),"",G126/I126)</f>
        <v/>
      </c>
      <c r="K126" s="35">
        <f t="array" ref="K126">IF(ISERROR(G126/L126),"",G126/L126)</f>
        <v>0</v>
      </c>
      <c r="L126" s="87">
        <v>4</v>
      </c>
      <c r="M126" s="36">
        <f t="shared" si="42"/>
        <v>0</v>
      </c>
      <c r="N126" s="93">
        <f>SUM('1:2'!N126)</f>
        <v>0</v>
      </c>
      <c r="O126" s="93">
        <f>SUM('1:2'!O126)</f>
        <v>0</v>
      </c>
      <c r="P126" s="93">
        <f>SUM('1:2'!P126)</f>
        <v>0</v>
      </c>
      <c r="Q126" s="93">
        <f>SUM('1:2'!Q126)</f>
        <v>0</v>
      </c>
      <c r="R126" s="93">
        <f>SUM('1:2'!R126)</f>
        <v>0</v>
      </c>
      <c r="S126" s="93">
        <f>SUM('1:2'!S126)</f>
        <v>0</v>
      </c>
      <c r="T126" s="93">
        <f>SUM('1:2'!T126)</f>
        <v>0</v>
      </c>
      <c r="U126" s="93">
        <f>SUM('1:2'!U126)</f>
        <v>0</v>
      </c>
      <c r="V126" s="206">
        <f t="shared" si="43"/>
        <v>0</v>
      </c>
      <c r="W126" s="33" t="str">
        <f t="shared" si="41"/>
        <v/>
      </c>
      <c r="X126" s="93">
        <f>SUM('1:2'!X126)</f>
        <v>0</v>
      </c>
      <c r="Y126" s="93">
        <f>SUM('1:2'!Y126)</f>
        <v>0</v>
      </c>
      <c r="Z126" s="93">
        <f>SUM('1:2'!Z126)</f>
        <v>0</v>
      </c>
      <c r="AA126" s="93">
        <f>SUM('1:2'!AA126)</f>
        <v>0</v>
      </c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>
      <c r="A127" s="299">
        <v>30100053</v>
      </c>
      <c r="B127" s="63" t="s">
        <v>95</v>
      </c>
      <c r="C127" s="16" t="s">
        <v>73</v>
      </c>
      <c r="D127" s="17">
        <v>5.03</v>
      </c>
      <c r="E127" s="17"/>
      <c r="F127" s="6"/>
      <c r="G127" s="93">
        <f>SUM('1:2'!G127)</f>
        <v>0</v>
      </c>
      <c r="H127" s="93">
        <f>SUM('1:2'!H127)</f>
        <v>0</v>
      </c>
      <c r="I127" s="93">
        <f>SUM('1:2'!I127)</f>
        <v>0</v>
      </c>
      <c r="J127" s="31" t="str">
        <f t="array" ref="J127">IF(ISERROR(G127/I127),"",G127/I127)</f>
        <v/>
      </c>
      <c r="K127" s="35">
        <f t="array" ref="K127">IF(ISERROR(G127/L127),"",G127/L127)</f>
        <v>0</v>
      </c>
      <c r="L127" s="87">
        <v>4</v>
      </c>
      <c r="M127" s="36">
        <f t="shared" si="42"/>
        <v>0</v>
      </c>
      <c r="N127" s="93">
        <f>SUM('1:2'!N127)</f>
        <v>0</v>
      </c>
      <c r="O127" s="93">
        <f>SUM('1:2'!O127)</f>
        <v>0</v>
      </c>
      <c r="P127" s="93">
        <f>SUM('1:2'!P127)</f>
        <v>0</v>
      </c>
      <c r="Q127" s="93">
        <f>SUM('1:2'!Q127)</f>
        <v>0</v>
      </c>
      <c r="R127" s="93">
        <f>SUM('1:2'!R127)</f>
        <v>0</v>
      </c>
      <c r="S127" s="93">
        <f>SUM('1:2'!S127)</f>
        <v>0</v>
      </c>
      <c r="T127" s="93">
        <f>SUM('1:2'!T127)</f>
        <v>0</v>
      </c>
      <c r="U127" s="93">
        <f>SUM('1:2'!U127)</f>
        <v>0</v>
      </c>
      <c r="V127" s="206">
        <f t="shared" si="43"/>
        <v>0</v>
      </c>
      <c r="W127" s="33" t="str">
        <f t="shared" si="41"/>
        <v/>
      </c>
      <c r="X127" s="93">
        <f>SUM('1:2'!X127)</f>
        <v>0</v>
      </c>
      <c r="Y127" s="93">
        <f>SUM('1:2'!Y127)</f>
        <v>0</v>
      </c>
      <c r="Z127" s="93">
        <f>SUM('1:2'!Z127)</f>
        <v>0</v>
      </c>
      <c r="AA127" s="93">
        <f>SUM('1:2'!AA127)</f>
        <v>0</v>
      </c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>
      <c r="A128" s="299"/>
      <c r="B128" s="63" t="s">
        <v>95</v>
      </c>
      <c r="C128" s="16" t="s">
        <v>60</v>
      </c>
      <c r="D128" s="17">
        <v>5.03</v>
      </c>
      <c r="E128" s="17"/>
      <c r="F128" s="6"/>
      <c r="G128" s="93">
        <f>SUM('1:2'!G128)</f>
        <v>0</v>
      </c>
      <c r="H128" s="93">
        <f>SUM('1:2'!H128)</f>
        <v>0</v>
      </c>
      <c r="I128" s="93">
        <f>SUM('1:2'!I128)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87">
        <v>4</v>
      </c>
      <c r="M128" s="36">
        <f t="shared" si="42"/>
        <v>0</v>
      </c>
      <c r="N128" s="93">
        <f>SUM('1:2'!N128)</f>
        <v>0</v>
      </c>
      <c r="O128" s="93">
        <f>SUM('1:2'!O128)</f>
        <v>0</v>
      </c>
      <c r="P128" s="93">
        <f>SUM('1:2'!P128)</f>
        <v>0</v>
      </c>
      <c r="Q128" s="93">
        <f>SUM('1:2'!Q128)</f>
        <v>0</v>
      </c>
      <c r="R128" s="93">
        <f>SUM('1:2'!R128)</f>
        <v>0</v>
      </c>
      <c r="S128" s="93">
        <f>SUM('1:2'!S128)</f>
        <v>0</v>
      </c>
      <c r="T128" s="93">
        <f>SUM('1:2'!T128)</f>
        <v>0</v>
      </c>
      <c r="U128" s="93">
        <f>SUM('1:2'!U128)</f>
        <v>0</v>
      </c>
      <c r="V128" s="206">
        <f t="shared" si="43"/>
        <v>0</v>
      </c>
      <c r="W128" s="33" t="str">
        <f t="shared" si="41"/>
        <v/>
      </c>
      <c r="X128" s="93">
        <f>SUM('1:2'!X128)</f>
        <v>0</v>
      </c>
      <c r="Y128" s="93">
        <f>SUM('1:2'!Y128)</f>
        <v>0</v>
      </c>
      <c r="Z128" s="93">
        <f>SUM('1:2'!Z128)</f>
        <v>0</v>
      </c>
      <c r="AA128" s="93">
        <f>SUM('1:2'!AA128)</f>
        <v>0</v>
      </c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>
      <c r="A129" s="299"/>
      <c r="B129" s="63" t="s">
        <v>95</v>
      </c>
      <c r="C129" s="365" t="s">
        <v>96</v>
      </c>
      <c r="D129" s="17">
        <v>5.03</v>
      </c>
      <c r="E129" s="17"/>
      <c r="F129" s="6"/>
      <c r="G129" s="93">
        <f>SUM('1:2'!G129)</f>
        <v>0</v>
      </c>
      <c r="H129" s="93">
        <f>SUM('1:2'!H129)</f>
        <v>0</v>
      </c>
      <c r="I129" s="93">
        <f>SUM('1:2'!I129)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87">
        <v>4</v>
      </c>
      <c r="M129" s="36">
        <f t="shared" si="42"/>
        <v>0</v>
      </c>
      <c r="N129" s="93">
        <f>SUM('1:2'!N129)</f>
        <v>0</v>
      </c>
      <c r="O129" s="93">
        <f>SUM('1:2'!O129)</f>
        <v>0</v>
      </c>
      <c r="P129" s="93">
        <f>SUM('1:2'!P129)</f>
        <v>0</v>
      </c>
      <c r="Q129" s="93">
        <f>SUM('1:2'!Q129)</f>
        <v>0</v>
      </c>
      <c r="R129" s="93">
        <f>SUM('1:2'!R129)</f>
        <v>0</v>
      </c>
      <c r="S129" s="93">
        <f>SUM('1:2'!S129)</f>
        <v>0</v>
      </c>
      <c r="T129" s="93">
        <f>SUM('1:2'!T129)</f>
        <v>0</v>
      </c>
      <c r="U129" s="93">
        <f>SUM('1:2'!U129)</f>
        <v>0</v>
      </c>
      <c r="V129" s="206">
        <f t="shared" si="43"/>
        <v>0</v>
      </c>
      <c r="W129" s="33" t="str">
        <f t="shared" si="41"/>
        <v/>
      </c>
      <c r="X129" s="93">
        <f>SUM('1:2'!X129)</f>
        <v>0</v>
      </c>
      <c r="Y129" s="93">
        <f>SUM('1:2'!Y129)</f>
        <v>0</v>
      </c>
      <c r="Z129" s="93">
        <f>SUM('1:2'!Z129)</f>
        <v>0</v>
      </c>
      <c r="AA129" s="93">
        <f>SUM('1:2'!AA129)</f>
        <v>0</v>
      </c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>
      <c r="A130" s="299">
        <v>30101067</v>
      </c>
      <c r="B130" s="189" t="s">
        <v>229</v>
      </c>
      <c r="C130" s="365" t="s">
        <v>82</v>
      </c>
      <c r="D130" s="17">
        <v>5.03</v>
      </c>
      <c r="E130" s="17"/>
      <c r="F130" s="6"/>
      <c r="G130" s="93">
        <f>SUM('1:2'!G130)</f>
        <v>0</v>
      </c>
      <c r="H130" s="93">
        <f>SUM('1:2'!H130)</f>
        <v>0</v>
      </c>
      <c r="I130" s="93">
        <f>SUM('1:2'!I130)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87"/>
      <c r="M130" s="36" t="str">
        <f t="shared" si="42"/>
        <v/>
      </c>
      <c r="N130" s="93">
        <f>SUM('1:2'!N130)</f>
        <v>0</v>
      </c>
      <c r="O130" s="93">
        <f>SUM('1:2'!O130)</f>
        <v>0</v>
      </c>
      <c r="P130" s="93">
        <f>SUM('1:2'!P130)</f>
        <v>0</v>
      </c>
      <c r="Q130" s="93">
        <f>SUM('1:2'!Q130)</f>
        <v>0</v>
      </c>
      <c r="R130" s="93">
        <f>SUM('1:2'!R130)</f>
        <v>0</v>
      </c>
      <c r="S130" s="93">
        <f>SUM('1:2'!S130)</f>
        <v>0</v>
      </c>
      <c r="T130" s="93">
        <f>SUM('1:2'!T130)</f>
        <v>0</v>
      </c>
      <c r="U130" s="93">
        <f>SUM('1:2'!U130)</f>
        <v>0</v>
      </c>
      <c r="V130" s="206">
        <f t="shared" si="43"/>
        <v>0</v>
      </c>
      <c r="W130" s="33" t="str">
        <f t="shared" si="41"/>
        <v/>
      </c>
      <c r="X130" s="93">
        <f>SUM('1:2'!X130)</f>
        <v>0</v>
      </c>
      <c r="Y130" s="93">
        <f>SUM('1:2'!Y130)</f>
        <v>0</v>
      </c>
      <c r="Z130" s="93">
        <f>SUM('1:2'!Z130)</f>
        <v>0</v>
      </c>
      <c r="AA130" s="93">
        <f>SUM('1:2'!AA130)</f>
        <v>0</v>
      </c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>
      <c r="A131" s="299">
        <v>30101068</v>
      </c>
      <c r="B131" s="63" t="s">
        <v>97</v>
      </c>
      <c r="C131" s="365" t="s">
        <v>72</v>
      </c>
      <c r="D131" s="17">
        <v>5.03</v>
      </c>
      <c r="E131" s="17"/>
      <c r="F131" s="6"/>
      <c r="G131" s="93">
        <f>SUM('1:2'!G131)</f>
        <v>0</v>
      </c>
      <c r="H131" s="93">
        <f>SUM('1:2'!H131)</f>
        <v>0</v>
      </c>
      <c r="I131" s="93">
        <f>SUM('1:2'!I131)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87"/>
      <c r="M131" s="36" t="str">
        <f t="shared" si="42"/>
        <v/>
      </c>
      <c r="N131" s="93">
        <f>SUM('1:2'!N131)</f>
        <v>0</v>
      </c>
      <c r="O131" s="93">
        <f>SUM('1:2'!O131)</f>
        <v>0</v>
      </c>
      <c r="P131" s="93">
        <f>SUM('1:2'!P131)</f>
        <v>0</v>
      </c>
      <c r="Q131" s="93">
        <f>SUM('1:2'!Q131)</f>
        <v>0</v>
      </c>
      <c r="R131" s="93">
        <f>SUM('1:2'!R131)</f>
        <v>0</v>
      </c>
      <c r="S131" s="93">
        <f>SUM('1:2'!S131)</f>
        <v>0</v>
      </c>
      <c r="T131" s="93">
        <f>SUM('1:2'!T131)</f>
        <v>0</v>
      </c>
      <c r="U131" s="93">
        <f>SUM('1:2'!U131)</f>
        <v>0</v>
      </c>
      <c r="V131" s="206">
        <f t="shared" si="43"/>
        <v>0</v>
      </c>
      <c r="W131" s="33" t="str">
        <f t="shared" si="41"/>
        <v/>
      </c>
      <c r="X131" s="93">
        <f>SUM('1:2'!X131)</f>
        <v>0</v>
      </c>
      <c r="Y131" s="93">
        <f>SUM('1:2'!Y131)</f>
        <v>0</v>
      </c>
      <c r="Z131" s="93">
        <f>SUM('1:2'!Z131)</f>
        <v>0</v>
      </c>
      <c r="AA131" s="93">
        <f>SUM('1:2'!AA131)</f>
        <v>0</v>
      </c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>
      <c r="A132" s="299">
        <v>30101069</v>
      </c>
      <c r="B132" s="63" t="s">
        <v>97</v>
      </c>
      <c r="C132" s="365" t="s">
        <v>60</v>
      </c>
      <c r="D132" s="17">
        <v>5.03</v>
      </c>
      <c r="E132" s="17"/>
      <c r="F132" s="6"/>
      <c r="G132" s="93">
        <f>SUM('1:2'!G132)</f>
        <v>0</v>
      </c>
      <c r="H132" s="93">
        <f>SUM('1:2'!H132)</f>
        <v>0</v>
      </c>
      <c r="I132" s="93">
        <f>SUM('1:2'!I132)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87"/>
      <c r="M132" s="36" t="str">
        <f t="shared" si="42"/>
        <v/>
      </c>
      <c r="N132" s="93">
        <f>SUM('1:2'!N132)</f>
        <v>0</v>
      </c>
      <c r="O132" s="93">
        <f>SUM('1:2'!O132)</f>
        <v>0</v>
      </c>
      <c r="P132" s="93">
        <f>SUM('1:2'!P132)</f>
        <v>0</v>
      </c>
      <c r="Q132" s="93">
        <f>SUM('1:2'!Q132)</f>
        <v>0</v>
      </c>
      <c r="R132" s="93">
        <f>SUM('1:2'!R132)</f>
        <v>0</v>
      </c>
      <c r="S132" s="93">
        <f>SUM('1:2'!S132)</f>
        <v>0</v>
      </c>
      <c r="T132" s="93">
        <f>SUM('1:2'!T132)</f>
        <v>0</v>
      </c>
      <c r="U132" s="93">
        <f>SUM('1:2'!U132)</f>
        <v>0</v>
      </c>
      <c r="V132" s="206">
        <f t="shared" si="43"/>
        <v>0</v>
      </c>
      <c r="W132" s="33" t="str">
        <f t="shared" si="41"/>
        <v/>
      </c>
      <c r="X132" s="93">
        <f>SUM('1:2'!X132)</f>
        <v>0</v>
      </c>
      <c r="Y132" s="93">
        <f>SUM('1:2'!Y132)</f>
        <v>0</v>
      </c>
      <c r="Z132" s="93">
        <f>SUM('1:2'!Z132)</f>
        <v>0</v>
      </c>
      <c r="AA132" s="93">
        <f>SUM('1:2'!AA132)</f>
        <v>0</v>
      </c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>
      <c r="A133" s="299">
        <v>30101070</v>
      </c>
      <c r="B133" s="63" t="s">
        <v>97</v>
      </c>
      <c r="C133" s="365" t="s">
        <v>96</v>
      </c>
      <c r="D133" s="17">
        <v>5.03</v>
      </c>
      <c r="E133" s="17"/>
      <c r="F133" s="6"/>
      <c r="G133" s="93">
        <f>SUM('1:2'!G133)</f>
        <v>0</v>
      </c>
      <c r="H133" s="93">
        <f>SUM('1:2'!H133)</f>
        <v>0</v>
      </c>
      <c r="I133" s="93">
        <f>SUM('1:2'!I133)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87"/>
      <c r="M133" s="36" t="str">
        <f t="shared" si="42"/>
        <v/>
      </c>
      <c r="N133" s="93">
        <f>SUM('1:2'!N133)</f>
        <v>0</v>
      </c>
      <c r="O133" s="93">
        <f>SUM('1:2'!O133)</f>
        <v>0</v>
      </c>
      <c r="P133" s="93">
        <f>SUM('1:2'!P133)</f>
        <v>0</v>
      </c>
      <c r="Q133" s="93">
        <f>SUM('1:2'!Q133)</f>
        <v>0</v>
      </c>
      <c r="R133" s="93">
        <f>SUM('1:2'!R133)</f>
        <v>0</v>
      </c>
      <c r="S133" s="93">
        <f>SUM('1:2'!S133)</f>
        <v>0</v>
      </c>
      <c r="T133" s="93">
        <f>SUM('1:2'!T133)</f>
        <v>0</v>
      </c>
      <c r="U133" s="93">
        <f>SUM('1:2'!U133)</f>
        <v>0</v>
      </c>
      <c r="V133" s="206">
        <f t="shared" si="43"/>
        <v>0</v>
      </c>
      <c r="W133" s="33" t="str">
        <f t="shared" si="41"/>
        <v/>
      </c>
      <c r="X133" s="93">
        <f>SUM('1:2'!X133)</f>
        <v>0</v>
      </c>
      <c r="Y133" s="93">
        <f>SUM('1:2'!Y133)</f>
        <v>0</v>
      </c>
      <c r="Z133" s="93">
        <f>SUM('1:2'!Z133)</f>
        <v>0</v>
      </c>
      <c r="AA133" s="93">
        <f>SUM('1:2'!AA133)</f>
        <v>0</v>
      </c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>
      <c r="A134" s="299">
        <v>30101071</v>
      </c>
      <c r="B134" s="63" t="s">
        <v>97</v>
      </c>
      <c r="C134" s="365" t="s">
        <v>73</v>
      </c>
      <c r="D134" s="17">
        <v>5.03</v>
      </c>
      <c r="E134" s="17"/>
      <c r="F134" s="6"/>
      <c r="G134" s="93">
        <f>SUM('1:2'!G134)</f>
        <v>0</v>
      </c>
      <c r="H134" s="93">
        <f>SUM('1:2'!H134)</f>
        <v>0</v>
      </c>
      <c r="I134" s="93">
        <f>SUM('1:2'!I134)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87"/>
      <c r="M134" s="36" t="str">
        <f t="shared" si="42"/>
        <v/>
      </c>
      <c r="N134" s="93">
        <f>SUM('1:2'!N134)</f>
        <v>0</v>
      </c>
      <c r="O134" s="93">
        <f>SUM('1:2'!O134)</f>
        <v>0</v>
      </c>
      <c r="P134" s="93">
        <f>SUM('1:2'!P134)</f>
        <v>0</v>
      </c>
      <c r="Q134" s="93">
        <f>SUM('1:2'!Q134)</f>
        <v>0</v>
      </c>
      <c r="R134" s="93">
        <f>SUM('1:2'!R134)</f>
        <v>0</v>
      </c>
      <c r="S134" s="93">
        <f>SUM('1:2'!S134)</f>
        <v>0</v>
      </c>
      <c r="T134" s="93">
        <f>SUM('1:2'!T134)</f>
        <v>0</v>
      </c>
      <c r="U134" s="93">
        <f>SUM('1:2'!U134)</f>
        <v>0</v>
      </c>
      <c r="V134" s="206">
        <f t="shared" si="43"/>
        <v>0</v>
      </c>
      <c r="W134" s="33" t="str">
        <f t="shared" si="41"/>
        <v/>
      </c>
      <c r="X134" s="93">
        <f>SUM('1:2'!X134)</f>
        <v>0</v>
      </c>
      <c r="Y134" s="93">
        <f>SUM('1:2'!Y134)</f>
        <v>0</v>
      </c>
      <c r="Z134" s="93">
        <f>SUM('1:2'!Z134)</f>
        <v>0</v>
      </c>
      <c r="AA134" s="93">
        <f>SUM('1:2'!AA134)</f>
        <v>0</v>
      </c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>
      <c r="A135" s="300">
        <v>30100001</v>
      </c>
      <c r="B135" s="62" t="s">
        <v>98</v>
      </c>
      <c r="C135" s="16" t="s">
        <v>74</v>
      </c>
      <c r="D135" s="17">
        <v>5.0599999999999996</v>
      </c>
      <c r="E135" s="17"/>
      <c r="F135" s="6"/>
      <c r="G135" s="93">
        <f>SUM('1:2'!G135)</f>
        <v>881</v>
      </c>
      <c r="H135" s="93">
        <f>SUM('1:2'!H135)</f>
        <v>4457.8599999999997</v>
      </c>
      <c r="I135" s="93">
        <f>SUM('1:2'!I135)</f>
        <v>33</v>
      </c>
      <c r="J135" s="31">
        <f t="array" ref="J135">IF(ISERROR(G135/I135),"",G135/I135)</f>
        <v>26.696969696969695</v>
      </c>
      <c r="K135" s="35">
        <f t="array" ref="K135">IF(ISERROR(G135/L135),"",G135/L135)</f>
        <v>35.24</v>
      </c>
      <c r="L135" s="87">
        <v>25</v>
      </c>
      <c r="M135" s="36">
        <f t="shared" si="42"/>
        <v>-2.240000000000002</v>
      </c>
      <c r="N135" s="93">
        <f>SUM('1:2'!N135)</f>
        <v>0</v>
      </c>
      <c r="O135" s="93">
        <f>SUM('1:2'!O135)</f>
        <v>0</v>
      </c>
      <c r="P135" s="93">
        <f>SUM('1:2'!P135)</f>
        <v>0</v>
      </c>
      <c r="Q135" s="93">
        <f>SUM('1:2'!Q135)</f>
        <v>0</v>
      </c>
      <c r="R135" s="93">
        <f>SUM('1:2'!R135)</f>
        <v>0</v>
      </c>
      <c r="S135" s="93">
        <f>SUM('1:2'!S135)</f>
        <v>0</v>
      </c>
      <c r="T135" s="93">
        <f>SUM('1:2'!T135)</f>
        <v>0</v>
      </c>
      <c r="U135" s="93">
        <f>SUM('1:2'!U135)</f>
        <v>0</v>
      </c>
      <c r="V135" s="206">
        <f t="shared" si="43"/>
        <v>0</v>
      </c>
      <c r="W135" s="33">
        <f t="shared" si="41"/>
        <v>0</v>
      </c>
      <c r="X135" s="93">
        <f>SUM('1:2'!X135)</f>
        <v>0</v>
      </c>
      <c r="Y135" s="93">
        <f>SUM('1:2'!Y135)</f>
        <v>0</v>
      </c>
      <c r="Z135" s="93">
        <f>SUM('1:2'!Z135)</f>
        <v>0</v>
      </c>
      <c r="AA135" s="93">
        <f>SUM('1:2'!AA135)</f>
        <v>0</v>
      </c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>
      <c r="A136" s="300">
        <v>30100002</v>
      </c>
      <c r="B136" s="62" t="s">
        <v>98</v>
      </c>
      <c r="C136" s="16" t="s">
        <v>94</v>
      </c>
      <c r="D136" s="17">
        <v>5.0599999999999996</v>
      </c>
      <c r="E136" s="17"/>
      <c r="F136" s="6"/>
      <c r="G136" s="93">
        <f>SUM('1:2'!G136)</f>
        <v>757</v>
      </c>
      <c r="H136" s="93">
        <f>SUM('1:2'!H136)</f>
        <v>3830.4199999999996</v>
      </c>
      <c r="I136" s="93">
        <f>SUM('1:2'!I136)</f>
        <v>33</v>
      </c>
      <c r="J136" s="31">
        <f t="array" ref="J136">IF(ISERROR(G136/I136),"",G136/I136)</f>
        <v>22.939393939393938</v>
      </c>
      <c r="K136" s="35">
        <f t="array" ref="K136">IF(ISERROR(G136/L136),"",G136/L136)</f>
        <v>32.913043478260867</v>
      </c>
      <c r="L136" s="87">
        <v>23</v>
      </c>
      <c r="M136" s="36">
        <f t="shared" si="42"/>
        <v>8.6956521739132597E-2</v>
      </c>
      <c r="N136" s="93">
        <f>SUM('1:2'!N136)</f>
        <v>0</v>
      </c>
      <c r="O136" s="93">
        <f>SUM('1:2'!O136)</f>
        <v>0</v>
      </c>
      <c r="P136" s="93">
        <f>SUM('1:2'!P136)</f>
        <v>0</v>
      </c>
      <c r="Q136" s="93">
        <f>SUM('1:2'!Q136)</f>
        <v>0</v>
      </c>
      <c r="R136" s="93">
        <f>SUM('1:2'!R136)</f>
        <v>0</v>
      </c>
      <c r="S136" s="93">
        <f>SUM('1:2'!S136)</f>
        <v>0</v>
      </c>
      <c r="T136" s="93">
        <f>SUM('1:2'!T136)</f>
        <v>0</v>
      </c>
      <c r="U136" s="93">
        <f>SUM('1:2'!U136)</f>
        <v>0</v>
      </c>
      <c r="V136" s="206">
        <f t="shared" si="43"/>
        <v>0</v>
      </c>
      <c r="W136" s="33">
        <f t="shared" si="41"/>
        <v>0</v>
      </c>
      <c r="X136" s="93">
        <f>SUM('1:2'!X136)</f>
        <v>0</v>
      </c>
      <c r="Y136" s="93">
        <f>SUM('1:2'!Y136)</f>
        <v>0</v>
      </c>
      <c r="Z136" s="93">
        <f>SUM('1:2'!Z136)</f>
        <v>0</v>
      </c>
      <c r="AA136" s="93">
        <f>SUM('1:2'!AA136)</f>
        <v>0</v>
      </c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691" t="s">
        <v>99</v>
      </c>
      <c r="B137" s="692"/>
      <c r="C137" s="359" t="s">
        <v>71</v>
      </c>
      <c r="D137" s="20"/>
      <c r="E137" s="20"/>
      <c r="F137" s="32"/>
      <c r="G137" s="99">
        <f>SUM(G122:G136)</f>
        <v>1638</v>
      </c>
      <c r="H137" s="30">
        <f>SUM(H122:H136)</f>
        <v>8288.2799999999988</v>
      </c>
      <c r="I137" s="30">
        <f>SUM(I122:I136)</f>
        <v>66</v>
      </c>
      <c r="J137" s="31">
        <f t="array" ref="J137">IF(ISERROR(G137/I137),"",G137/I137)</f>
        <v>24.818181818181817</v>
      </c>
      <c r="K137" s="30">
        <f>SUM(K122:K136)</f>
        <v>68.153043478260869</v>
      </c>
      <c r="L137" s="98"/>
      <c r="M137" s="89">
        <f>SUM(M122:M136)</f>
        <v>-2.1530434782608694</v>
      </c>
      <c r="N137" s="30">
        <f>SUM(N122:N136)</f>
        <v>0</v>
      </c>
      <c r="O137" s="93">
        <f>SUM('1:2'!O137)</f>
        <v>0</v>
      </c>
      <c r="P137" s="93">
        <f>SUM('1:2'!P137)</f>
        <v>0</v>
      </c>
      <c r="Q137" s="93">
        <f>SUM('1:2'!Q137)</f>
        <v>0</v>
      </c>
      <c r="R137" s="93">
        <f>SUM('1:2'!R137)</f>
        <v>0</v>
      </c>
      <c r="S137" s="93">
        <f>SUM('1:2'!S137)</f>
        <v>0</v>
      </c>
      <c r="T137" s="93">
        <f>SUM('1:2'!T137)</f>
        <v>0</v>
      </c>
      <c r="U137" s="93">
        <f>SUM('1:2'!U137)</f>
        <v>0</v>
      </c>
      <c r="V137" s="208">
        <f t="shared" ref="V137" si="44">SUM(V122:V136)</f>
        <v>0</v>
      </c>
      <c r="W137" s="33">
        <f t="shared" si="41"/>
        <v>0</v>
      </c>
      <c r="X137" s="93">
        <f>SUM('1:2'!X137)</f>
        <v>0</v>
      </c>
      <c r="Y137" s="93">
        <f>SUM('1:2'!Y137)</f>
        <v>0</v>
      </c>
      <c r="Z137" s="93">
        <f>SUM('1:2'!Z137)</f>
        <v>0</v>
      </c>
      <c r="AA137" s="93">
        <f>SUM('1:2'!AA137)</f>
        <v>0</v>
      </c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>
      <c r="A138" s="300">
        <v>30400025</v>
      </c>
      <c r="B138" s="62" t="s">
        <v>100</v>
      </c>
      <c r="C138" s="16" t="s">
        <v>53</v>
      </c>
      <c r="D138" s="17">
        <v>5.04</v>
      </c>
      <c r="E138" s="17"/>
      <c r="F138" s="6"/>
      <c r="G138" s="93">
        <f>SUM('1:2'!G138)</f>
        <v>0</v>
      </c>
      <c r="H138" s="93">
        <f>SUM('1:2'!H138)</f>
        <v>0</v>
      </c>
      <c r="I138" s="93">
        <f>SUM('1:2'!I138)</f>
        <v>0</v>
      </c>
      <c r="J138" s="31" t="str">
        <f t="array" ref="J138">IF(ISERROR(G138/I138),"",G138/I138)</f>
        <v/>
      </c>
      <c r="K138" s="35">
        <f t="array" ref="K138">IF(ISERROR(G138/L138),"",G138/L138)</f>
        <v>0</v>
      </c>
      <c r="L138" s="87">
        <v>22</v>
      </c>
      <c r="M138" s="36">
        <f t="shared" ref="M138:M142" si="45">IF(ISERROR(I138-K138),"",I138-K138)</f>
        <v>0</v>
      </c>
      <c r="N138" s="93">
        <f>SUM('1:2'!N138)</f>
        <v>0</v>
      </c>
      <c r="O138" s="93">
        <f>SUM('1:2'!O138)</f>
        <v>0</v>
      </c>
      <c r="P138" s="93">
        <f>SUM('1:2'!P138)</f>
        <v>0</v>
      </c>
      <c r="Q138" s="93">
        <f>SUM('1:2'!Q138)</f>
        <v>0</v>
      </c>
      <c r="R138" s="93">
        <f>SUM('1:2'!R138)</f>
        <v>0</v>
      </c>
      <c r="S138" s="93">
        <f>SUM('1:2'!S138)</f>
        <v>0</v>
      </c>
      <c r="T138" s="93">
        <f>SUM('1:2'!T138)</f>
        <v>0</v>
      </c>
      <c r="U138" s="93">
        <f>SUM('1:2'!U138)</f>
        <v>0</v>
      </c>
      <c r="V138" s="206">
        <f t="shared" ref="V138:V142" si="46">SUM(X138:AA138)</f>
        <v>0</v>
      </c>
      <c r="W138" s="33" t="str">
        <f t="shared" si="41"/>
        <v/>
      </c>
      <c r="X138" s="93">
        <f>SUM('1:2'!X138)</f>
        <v>0</v>
      </c>
      <c r="Y138" s="93">
        <f>SUM('1:2'!Y138)</f>
        <v>0</v>
      </c>
      <c r="Z138" s="93">
        <f>SUM('1:2'!Z138)</f>
        <v>0</v>
      </c>
      <c r="AA138" s="93">
        <f>SUM('1:2'!AA138)</f>
        <v>0</v>
      </c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>
      <c r="A139" s="300">
        <v>30400023</v>
      </c>
      <c r="B139" s="62" t="s">
        <v>100</v>
      </c>
      <c r="C139" s="16" t="s">
        <v>60</v>
      </c>
      <c r="D139" s="17">
        <v>5.04</v>
      </c>
      <c r="E139" s="17"/>
      <c r="F139" s="6"/>
      <c r="G139" s="93">
        <f>SUM('1:2'!G139)</f>
        <v>0</v>
      </c>
      <c r="H139" s="93">
        <f>SUM('1:2'!H139)</f>
        <v>0</v>
      </c>
      <c r="I139" s="93">
        <f>SUM('1:2'!I139)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87">
        <v>22</v>
      </c>
      <c r="M139" s="36">
        <f t="shared" si="45"/>
        <v>0</v>
      </c>
      <c r="N139" s="93">
        <f>SUM('1:2'!N139)</f>
        <v>0</v>
      </c>
      <c r="O139" s="93">
        <f>SUM('1:2'!O139)</f>
        <v>0</v>
      </c>
      <c r="P139" s="93">
        <f>SUM('1:2'!P139)</f>
        <v>0</v>
      </c>
      <c r="Q139" s="93">
        <f>SUM('1:2'!Q139)</f>
        <v>0</v>
      </c>
      <c r="R139" s="93">
        <f>SUM('1:2'!R139)</f>
        <v>0</v>
      </c>
      <c r="S139" s="93">
        <f>SUM('1:2'!S139)</f>
        <v>0</v>
      </c>
      <c r="T139" s="93">
        <f>SUM('1:2'!T139)</f>
        <v>0</v>
      </c>
      <c r="U139" s="93">
        <f>SUM('1:2'!U139)</f>
        <v>0</v>
      </c>
      <c r="V139" s="206">
        <f t="shared" si="46"/>
        <v>0</v>
      </c>
      <c r="W139" s="33" t="str">
        <f t="shared" si="41"/>
        <v/>
      </c>
      <c r="X139" s="93">
        <f>SUM('1:2'!X139)</f>
        <v>0</v>
      </c>
      <c r="Y139" s="93">
        <f>SUM('1:2'!Y139)</f>
        <v>0</v>
      </c>
      <c r="Z139" s="93">
        <f>SUM('1:2'!Z139)</f>
        <v>0</v>
      </c>
      <c r="AA139" s="93">
        <f>SUM('1:2'!AA139)</f>
        <v>0</v>
      </c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>
      <c r="A140" s="300">
        <v>30400024</v>
      </c>
      <c r="B140" s="62" t="s">
        <v>100</v>
      </c>
      <c r="C140" s="16" t="s">
        <v>74</v>
      </c>
      <c r="D140" s="17">
        <v>5.04</v>
      </c>
      <c r="E140" s="17"/>
      <c r="F140" s="6"/>
      <c r="G140" s="93">
        <f>SUM('1:2'!G140)</f>
        <v>0</v>
      </c>
      <c r="H140" s="93">
        <f>SUM('1:2'!H140)</f>
        <v>0</v>
      </c>
      <c r="I140" s="93">
        <f>SUM('1:2'!I140)</f>
        <v>0</v>
      </c>
      <c r="J140" s="31" t="str">
        <f t="array" ref="J140">IF(ISERROR(G140/I140),"",G140/I140)</f>
        <v/>
      </c>
      <c r="K140" s="35">
        <f t="array" ref="K140">IF(ISERROR(G140/L140),"",G140/L140)</f>
        <v>0</v>
      </c>
      <c r="L140" s="87">
        <v>22</v>
      </c>
      <c r="M140" s="36">
        <f t="shared" si="45"/>
        <v>0</v>
      </c>
      <c r="N140" s="93">
        <f>SUM('1:2'!N140)</f>
        <v>0</v>
      </c>
      <c r="O140" s="93">
        <f>SUM('1:2'!O140)</f>
        <v>0</v>
      </c>
      <c r="P140" s="93">
        <f>SUM('1:2'!P140)</f>
        <v>0</v>
      </c>
      <c r="Q140" s="93">
        <f>SUM('1:2'!Q140)</f>
        <v>0</v>
      </c>
      <c r="R140" s="93">
        <f>SUM('1:2'!R140)</f>
        <v>0</v>
      </c>
      <c r="S140" s="93">
        <f>SUM('1:2'!S140)</f>
        <v>0</v>
      </c>
      <c r="T140" s="93">
        <f>SUM('1:2'!T140)</f>
        <v>0</v>
      </c>
      <c r="U140" s="93">
        <f>SUM('1:2'!U140)</f>
        <v>0</v>
      </c>
      <c r="V140" s="206">
        <f t="shared" si="46"/>
        <v>0</v>
      </c>
      <c r="W140" s="33" t="str">
        <f t="shared" si="41"/>
        <v/>
      </c>
      <c r="X140" s="93">
        <f>SUM('1:2'!X140)</f>
        <v>0</v>
      </c>
      <c r="Y140" s="93">
        <f>SUM('1:2'!Y140)</f>
        <v>0</v>
      </c>
      <c r="Z140" s="93">
        <f>SUM('1:2'!Z140)</f>
        <v>0</v>
      </c>
      <c r="AA140" s="93">
        <f>SUM('1:2'!AA140)</f>
        <v>0</v>
      </c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>
      <c r="A141" s="300"/>
      <c r="B141" s="192" t="s">
        <v>232</v>
      </c>
      <c r="C141" s="16" t="s">
        <v>66</v>
      </c>
      <c r="D141" s="17">
        <v>5.04</v>
      </c>
      <c r="E141" s="17"/>
      <c r="F141" s="6"/>
      <c r="G141" s="93">
        <f>SUM('1:2'!G141)</f>
        <v>0</v>
      </c>
      <c r="H141" s="93">
        <f>SUM('1:2'!H141)</f>
        <v>0</v>
      </c>
      <c r="I141" s="93">
        <f>SUM('1:2'!I141)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87">
        <v>22</v>
      </c>
      <c r="M141" s="36">
        <f t="shared" si="45"/>
        <v>0</v>
      </c>
      <c r="N141" s="93">
        <f>SUM('1:2'!N141)</f>
        <v>0</v>
      </c>
      <c r="O141" s="93">
        <f>SUM('1:2'!O141)</f>
        <v>0</v>
      </c>
      <c r="P141" s="93">
        <f>SUM('1:2'!P141)</f>
        <v>0</v>
      </c>
      <c r="Q141" s="93">
        <f>SUM('1:2'!Q141)</f>
        <v>0</v>
      </c>
      <c r="R141" s="93">
        <f>SUM('1:2'!R141)</f>
        <v>0</v>
      </c>
      <c r="S141" s="93">
        <f>SUM('1:2'!S141)</f>
        <v>0</v>
      </c>
      <c r="T141" s="93">
        <f>SUM('1:2'!T141)</f>
        <v>0</v>
      </c>
      <c r="U141" s="93">
        <f>SUM('1:2'!U141)</f>
        <v>0</v>
      </c>
      <c r="V141" s="206">
        <f t="shared" si="46"/>
        <v>0</v>
      </c>
      <c r="W141" s="33" t="str">
        <f t="shared" si="41"/>
        <v/>
      </c>
      <c r="X141" s="93">
        <f>SUM('1:2'!X141)</f>
        <v>0</v>
      </c>
      <c r="Y141" s="93">
        <f>SUM('1:2'!Y141)</f>
        <v>0</v>
      </c>
      <c r="Z141" s="93">
        <f>SUM('1:2'!Z141)</f>
        <v>0</v>
      </c>
      <c r="AA141" s="93">
        <f>SUM('1:2'!AA141)</f>
        <v>0</v>
      </c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>
      <c r="A142" s="300"/>
      <c r="B142" s="62" t="s">
        <v>100</v>
      </c>
      <c r="C142" s="16" t="s">
        <v>101</v>
      </c>
      <c r="D142" s="17">
        <v>5.04</v>
      </c>
      <c r="E142" s="17"/>
      <c r="F142" s="6"/>
      <c r="G142" s="93">
        <f>SUM('1:2'!G142)</f>
        <v>0</v>
      </c>
      <c r="H142" s="93">
        <f>SUM('1:2'!H142)</f>
        <v>0</v>
      </c>
      <c r="I142" s="93">
        <f>SUM('1:2'!I142)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87">
        <v>22</v>
      </c>
      <c r="M142" s="36">
        <f t="shared" si="45"/>
        <v>0</v>
      </c>
      <c r="N142" s="93">
        <f>SUM('1:2'!N142)</f>
        <v>0</v>
      </c>
      <c r="O142" s="93">
        <f>SUM('1:2'!O142)</f>
        <v>0</v>
      </c>
      <c r="P142" s="93">
        <f>SUM('1:2'!P142)</f>
        <v>0</v>
      </c>
      <c r="Q142" s="93">
        <f>SUM('1:2'!Q142)</f>
        <v>0</v>
      </c>
      <c r="R142" s="93">
        <f>SUM('1:2'!R142)</f>
        <v>0</v>
      </c>
      <c r="S142" s="93">
        <f>SUM('1:2'!S142)</f>
        <v>0</v>
      </c>
      <c r="T142" s="93">
        <f>SUM('1:2'!T142)</f>
        <v>0</v>
      </c>
      <c r="U142" s="93">
        <f>SUM('1:2'!U142)</f>
        <v>0</v>
      </c>
      <c r="V142" s="206">
        <f t="shared" si="46"/>
        <v>0</v>
      </c>
      <c r="W142" s="33" t="str">
        <f t="shared" si="41"/>
        <v/>
      </c>
      <c r="X142" s="93">
        <f>SUM('1:2'!X142)</f>
        <v>0</v>
      </c>
      <c r="Y142" s="93">
        <f>SUM('1:2'!Y142)</f>
        <v>0</v>
      </c>
      <c r="Z142" s="93">
        <f>SUM('1:2'!Z142)</f>
        <v>0</v>
      </c>
      <c r="AA142" s="93">
        <f>SUM('1:2'!AA142)</f>
        <v>0</v>
      </c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>
      <c r="A143" s="300">
        <v>30400019</v>
      </c>
      <c r="B143" s="192" t="s">
        <v>439</v>
      </c>
      <c r="C143" s="187" t="s">
        <v>441</v>
      </c>
      <c r="D143" s="17">
        <v>5.04</v>
      </c>
      <c r="E143" s="17"/>
      <c r="F143" s="6"/>
      <c r="G143" s="93">
        <f>SUM('1:2'!G143)</f>
        <v>0</v>
      </c>
      <c r="H143" s="93">
        <f>SUM('1:2'!H143)</f>
        <v>0</v>
      </c>
      <c r="I143" s="93">
        <f>SUM('1:2'!I143)</f>
        <v>0</v>
      </c>
      <c r="J143" s="31"/>
      <c r="K143" s="35">
        <f t="array" ref="K143">IF(ISERROR(G143/L143),"",G143/L143)</f>
        <v>0</v>
      </c>
      <c r="L143" s="87">
        <v>13.5</v>
      </c>
      <c r="M143" s="36"/>
      <c r="N143" s="93"/>
      <c r="O143" s="93"/>
      <c r="P143" s="93"/>
      <c r="Q143" s="93"/>
      <c r="R143" s="93"/>
      <c r="S143" s="93"/>
      <c r="T143" s="93"/>
      <c r="U143" s="93"/>
      <c r="V143" s="206"/>
      <c r="W143" s="33"/>
      <c r="X143" s="93"/>
      <c r="Y143" s="93"/>
      <c r="Z143" s="93"/>
      <c r="AA143" s="93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>
      <c r="A144" s="300">
        <v>30400020</v>
      </c>
      <c r="B144" s="192" t="s">
        <v>439</v>
      </c>
      <c r="C144" s="187" t="s">
        <v>516</v>
      </c>
      <c r="D144" s="17">
        <v>5.04</v>
      </c>
      <c r="E144" s="17"/>
      <c r="F144" s="6"/>
      <c r="G144" s="93"/>
      <c r="H144" s="93">
        <f>SUM('1:2'!H144)</f>
        <v>0</v>
      </c>
      <c r="I144" s="93"/>
      <c r="J144" s="31"/>
      <c r="K144" s="35">
        <f t="array" ref="K144">IF(ISERROR(G144/L144),"",G144/L144)</f>
        <v>0</v>
      </c>
      <c r="L144" s="87">
        <v>13.5</v>
      </c>
      <c r="M144" s="36"/>
      <c r="N144" s="93"/>
      <c r="O144" s="93"/>
      <c r="P144" s="93"/>
      <c r="Q144" s="93"/>
      <c r="R144" s="93"/>
      <c r="S144" s="93"/>
      <c r="T144" s="93"/>
      <c r="U144" s="93"/>
      <c r="V144" s="206"/>
      <c r="W144" s="33"/>
      <c r="X144" s="93"/>
      <c r="Y144" s="93"/>
      <c r="Z144" s="93"/>
      <c r="AA144" s="93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>
      <c r="A145" s="300">
        <v>30400021</v>
      </c>
      <c r="B145" s="192" t="s">
        <v>439</v>
      </c>
      <c r="C145" s="187" t="s">
        <v>517</v>
      </c>
      <c r="D145" s="17">
        <v>5.04</v>
      </c>
      <c r="E145" s="17"/>
      <c r="F145" s="6"/>
      <c r="G145" s="93"/>
      <c r="H145" s="93">
        <f>SUM('1:2'!H145)</f>
        <v>0</v>
      </c>
      <c r="I145" s="93"/>
      <c r="J145" s="31"/>
      <c r="K145" s="35">
        <f t="array" ref="K145">IF(ISERROR(G145/L145),"",G145/L145)</f>
        <v>0</v>
      </c>
      <c r="L145" s="87">
        <v>13.5</v>
      </c>
      <c r="M145" s="36"/>
      <c r="N145" s="93"/>
      <c r="O145" s="93"/>
      <c r="P145" s="93"/>
      <c r="Q145" s="93"/>
      <c r="R145" s="93"/>
      <c r="S145" s="93"/>
      <c r="T145" s="93"/>
      <c r="U145" s="93"/>
      <c r="V145" s="206"/>
      <c r="W145" s="33"/>
      <c r="X145" s="93"/>
      <c r="Y145" s="93"/>
      <c r="Z145" s="93"/>
      <c r="AA145" s="93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>
      <c r="A146" s="300">
        <v>30400018</v>
      </c>
      <c r="B146" s="192" t="s">
        <v>439</v>
      </c>
      <c r="C146" s="16" t="s">
        <v>55</v>
      </c>
      <c r="D146" s="17">
        <v>5.04</v>
      </c>
      <c r="E146" s="17"/>
      <c r="F146" s="6"/>
      <c r="G146" s="93"/>
      <c r="H146" s="93">
        <f>SUM('1:2'!H146)</f>
        <v>0</v>
      </c>
      <c r="I146" s="93"/>
      <c r="J146" s="31"/>
      <c r="K146" s="35">
        <f t="array" ref="K146">IF(ISERROR(G146/L146),"",G146/L146)</f>
        <v>0</v>
      </c>
      <c r="L146" s="87">
        <v>13.5</v>
      </c>
      <c r="M146" s="36"/>
      <c r="N146" s="93"/>
      <c r="O146" s="93"/>
      <c r="P146" s="93"/>
      <c r="Q146" s="93"/>
      <c r="R146" s="93"/>
      <c r="S146" s="93"/>
      <c r="T146" s="93"/>
      <c r="U146" s="93"/>
      <c r="V146" s="206"/>
      <c r="W146" s="33"/>
      <c r="X146" s="93"/>
      <c r="Y146" s="93"/>
      <c r="Z146" s="93"/>
      <c r="AA146" s="93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>
      <c r="A147" s="300">
        <v>30400022</v>
      </c>
      <c r="B147" s="62" t="s">
        <v>100</v>
      </c>
      <c r="C147" s="16" t="s">
        <v>55</v>
      </c>
      <c r="D147" s="17">
        <v>5.04</v>
      </c>
      <c r="E147" s="17"/>
      <c r="F147" s="6"/>
      <c r="G147" s="93">
        <f>SUM('1:2'!G147)</f>
        <v>0</v>
      </c>
      <c r="H147" s="93">
        <f>SUM('1:2'!H147)</f>
        <v>0</v>
      </c>
      <c r="I147" s="93">
        <f>SUM('1:2'!I147)</f>
        <v>0</v>
      </c>
      <c r="J147" s="31" t="str">
        <f t="array" ref="J147">IF(ISERROR(G147/I147),"",G147/I147)</f>
        <v/>
      </c>
      <c r="K147" s="35">
        <f t="array" ref="K147">IF(ISERROR(G147/L147),"",G147/L147)</f>
        <v>0</v>
      </c>
      <c r="L147" s="87">
        <v>22</v>
      </c>
      <c r="M147" s="36">
        <f t="shared" ref="M147" si="47">IF(ISERROR(I147-K147),"",I147-K147)</f>
        <v>0</v>
      </c>
      <c r="N147" s="93">
        <f>SUM('1:2'!N147)</f>
        <v>0</v>
      </c>
      <c r="O147" s="93">
        <f>SUM('1:2'!O147)</f>
        <v>0</v>
      </c>
      <c r="P147" s="93">
        <f>SUM('1:2'!P147)</f>
        <v>0</v>
      </c>
      <c r="Q147" s="93">
        <f>SUM('1:2'!Q147)</f>
        <v>0</v>
      </c>
      <c r="R147" s="93">
        <f>SUM('1:2'!R147)</f>
        <v>0</v>
      </c>
      <c r="S147" s="93">
        <f>SUM('1:2'!S147)</f>
        <v>0</v>
      </c>
      <c r="T147" s="93">
        <f>SUM('1:2'!T147)</f>
        <v>0</v>
      </c>
      <c r="U147" s="93">
        <f>SUM('1:2'!U147)</f>
        <v>0</v>
      </c>
      <c r="V147" s="206">
        <f t="shared" ref="V147" si="48">SUM(X147:AA147)</f>
        <v>0</v>
      </c>
      <c r="W147" s="33" t="str">
        <f t="shared" ref="W147:W152" si="49">IF(ISERROR(V147/G147),"",V147/G147)</f>
        <v/>
      </c>
      <c r="X147" s="93">
        <f>SUM('1:2'!X147)</f>
        <v>0</v>
      </c>
      <c r="Y147" s="93">
        <f>SUM('1:2'!Y147)</f>
        <v>0</v>
      </c>
      <c r="Z147" s="93">
        <f>SUM('1:2'!Z147)</f>
        <v>0</v>
      </c>
      <c r="AA147" s="93">
        <f>SUM('1:2'!AA147)</f>
        <v>0</v>
      </c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>
      <c r="A148" s="691" t="s">
        <v>102</v>
      </c>
      <c r="B148" s="692"/>
      <c r="C148" s="359" t="s">
        <v>71</v>
      </c>
      <c r="D148" s="20"/>
      <c r="E148" s="20"/>
      <c r="F148" s="32"/>
      <c r="G148" s="99">
        <f>SUM(G138:G147)</f>
        <v>0</v>
      </c>
      <c r="H148" s="99">
        <f>SUM(H138:H147)</f>
        <v>0</v>
      </c>
      <c r="I148" s="99">
        <f>SUM(I138:I147)</f>
        <v>0</v>
      </c>
      <c r="J148" s="31" t="str">
        <f t="array" ref="J148">IF(ISERROR(G148/I148),"",G148/I148)</f>
        <v/>
      </c>
      <c r="K148" s="30">
        <f>SUM(K138:K147)</f>
        <v>0</v>
      </c>
      <c r="L148" s="98"/>
      <c r="M148" s="89">
        <f>SUM(M138:M147)</f>
        <v>0</v>
      </c>
      <c r="N148" s="30">
        <f>SUM(N138:N147)</f>
        <v>0</v>
      </c>
      <c r="O148" s="91">
        <f>SUM(O138:O147)</f>
        <v>0</v>
      </c>
      <c r="P148" s="91">
        <f>SUM(P138:P147)</f>
        <v>0</v>
      </c>
      <c r="Q148" s="91">
        <f>SUM(Q138:Q147)</f>
        <v>0</v>
      </c>
      <c r="R148" s="91"/>
      <c r="S148" s="92">
        <f>SUM(S138:S147)</f>
        <v>0</v>
      </c>
      <c r="T148" s="91">
        <f>SUM(T138:T147)</f>
        <v>0</v>
      </c>
      <c r="U148" s="91">
        <f>SUM(U138:U147)</f>
        <v>0</v>
      </c>
      <c r="V148" s="206">
        <f>SUM(V138:V147)</f>
        <v>0</v>
      </c>
      <c r="W148" s="33" t="str">
        <f t="shared" si="49"/>
        <v/>
      </c>
      <c r="X148" s="92">
        <f>SUM(X138:X147)</f>
        <v>0</v>
      </c>
      <c r="Y148" s="92">
        <f>SUM(Y138:Y147)</f>
        <v>0</v>
      </c>
      <c r="Z148" s="92">
        <f>SUM(Z138:Z147)</f>
        <v>0</v>
      </c>
      <c r="AA148" s="92">
        <f>SUM(AA138:AA147)</f>
        <v>0</v>
      </c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>
      <c r="A149" s="299">
        <v>30700013</v>
      </c>
      <c r="B149" s="64" t="s">
        <v>103</v>
      </c>
      <c r="C149" s="358"/>
      <c r="D149" s="17">
        <v>3.65</v>
      </c>
      <c r="E149" s="17"/>
      <c r="F149" s="53"/>
      <c r="G149" s="93">
        <f>SUM('1:2'!G149)</f>
        <v>0</v>
      </c>
      <c r="H149" s="93">
        <f>SUM('1:2'!H149)</f>
        <v>0</v>
      </c>
      <c r="I149" s="93">
        <f>SUM('1:2'!I149)</f>
        <v>0</v>
      </c>
      <c r="J149" s="31" t="str">
        <f t="array" ref="J149">IF(ISERROR(G149/I149),"",G149/I149)</f>
        <v/>
      </c>
      <c r="K149" s="364">
        <f t="array" ref="K149">IF(ISERROR(G149/L149),"",G149/L149)</f>
        <v>0</v>
      </c>
      <c r="L149" s="87">
        <v>5</v>
      </c>
      <c r="M149" s="36">
        <f t="shared" ref="M149:M152" si="50">IF(ISERROR(I149-K149),"",I149-K149)</f>
        <v>0</v>
      </c>
      <c r="N149" s="93">
        <f>SUM('1:2'!N149)</f>
        <v>0</v>
      </c>
      <c r="O149" s="93">
        <f>SUM('1:2'!O149)</f>
        <v>0</v>
      </c>
      <c r="P149" s="93">
        <f>SUM('1:2'!P149)</f>
        <v>0</v>
      </c>
      <c r="Q149" s="93">
        <f>SUM('1:2'!Q149)</f>
        <v>0</v>
      </c>
      <c r="R149" s="93">
        <f>SUM('1:2'!R149)</f>
        <v>0</v>
      </c>
      <c r="S149" s="93">
        <f>SUM('1:2'!S149)</f>
        <v>0</v>
      </c>
      <c r="T149" s="93">
        <f>SUM('1:2'!T149)</f>
        <v>0</v>
      </c>
      <c r="U149" s="93">
        <f>SUM('1:2'!U149)</f>
        <v>0</v>
      </c>
      <c r="V149" s="206">
        <f t="shared" ref="V149:V152" si="51">SUM(X149:AA149)</f>
        <v>0</v>
      </c>
      <c r="W149" s="33" t="str">
        <f t="shared" si="49"/>
        <v/>
      </c>
      <c r="X149" s="93">
        <f>SUM('1:2'!X149)</f>
        <v>0</v>
      </c>
      <c r="Y149" s="93">
        <f>SUM('1:2'!Y149)</f>
        <v>0</v>
      </c>
      <c r="Z149" s="93">
        <f>SUM('1:2'!Z149)</f>
        <v>0</v>
      </c>
      <c r="AA149" s="93">
        <f>SUM('1:2'!AA149)</f>
        <v>0</v>
      </c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>
      <c r="A150" s="299">
        <v>30700014</v>
      </c>
      <c r="B150" s="64" t="s">
        <v>0</v>
      </c>
      <c r="C150" s="358"/>
      <c r="D150" s="17">
        <v>6.58</v>
      </c>
      <c r="E150" s="17"/>
      <c r="F150" s="6"/>
      <c r="G150" s="93">
        <f>SUM('1:2'!G150)</f>
        <v>0</v>
      </c>
      <c r="H150" s="93">
        <f>SUM('1:2'!H150)</f>
        <v>0</v>
      </c>
      <c r="I150" s="93">
        <f>SUM('1:2'!I150)</f>
        <v>0</v>
      </c>
      <c r="J150" s="31" t="str">
        <f t="array" ref="J150">IF(ISERROR(G150/I150),"",G150/I150)</f>
        <v/>
      </c>
      <c r="K150" s="35">
        <f t="array" ref="K150">IF(ISERROR(G150/L150),"",G150/L150)</f>
        <v>0</v>
      </c>
      <c r="L150" s="87">
        <v>5</v>
      </c>
      <c r="M150" s="36">
        <f t="shared" si="50"/>
        <v>0</v>
      </c>
      <c r="N150" s="93">
        <f>SUM('1:2'!N150)</f>
        <v>0</v>
      </c>
      <c r="O150" s="93">
        <f>SUM('1:2'!O150)</f>
        <v>0</v>
      </c>
      <c r="P150" s="93">
        <f>SUM('1:2'!P150)</f>
        <v>0</v>
      </c>
      <c r="Q150" s="93">
        <f>SUM('1:2'!Q150)</f>
        <v>0</v>
      </c>
      <c r="R150" s="93">
        <f>SUM('1:2'!R150)</f>
        <v>0</v>
      </c>
      <c r="S150" s="93">
        <f>SUM('1:2'!S150)</f>
        <v>0</v>
      </c>
      <c r="T150" s="93">
        <f>SUM('1:2'!T150)</f>
        <v>0</v>
      </c>
      <c r="U150" s="93">
        <f>SUM('1:2'!U150)</f>
        <v>0</v>
      </c>
      <c r="V150" s="206">
        <f t="shared" si="51"/>
        <v>0</v>
      </c>
      <c r="W150" s="33" t="str">
        <f t="shared" si="49"/>
        <v/>
      </c>
      <c r="X150" s="93">
        <f>SUM('1:2'!X150)</f>
        <v>0</v>
      </c>
      <c r="Y150" s="93">
        <f>SUM('1:2'!Y150)</f>
        <v>0</v>
      </c>
      <c r="Z150" s="93">
        <f>SUM('1:2'!Z150)</f>
        <v>0</v>
      </c>
      <c r="AA150" s="93">
        <f>SUM('1:2'!AA150)</f>
        <v>0</v>
      </c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 ht="19.5" customHeight="1">
      <c r="A151" s="299">
        <v>30700016</v>
      </c>
      <c r="B151" s="64" t="s">
        <v>1</v>
      </c>
      <c r="C151" s="358"/>
      <c r="D151" s="17">
        <v>7.8</v>
      </c>
      <c r="E151" s="17"/>
      <c r="F151" s="6"/>
      <c r="G151" s="93">
        <f>SUM('1:2'!G151)</f>
        <v>96</v>
      </c>
      <c r="H151" s="93">
        <f>SUM('1:2'!H151)</f>
        <v>748.8</v>
      </c>
      <c r="I151" s="93">
        <f>SUM('1:2'!I151)</f>
        <v>5</v>
      </c>
      <c r="J151" s="31">
        <f t="array" ref="J151">IF(ISERROR(G151/I151),"",G151/I151)</f>
        <v>19.2</v>
      </c>
      <c r="K151" s="35">
        <f t="array" ref="K151">IF(ISERROR(G151/L151),"",G151/L151)</f>
        <v>20.869565217391305</v>
      </c>
      <c r="L151" s="87">
        <v>4.5999999999999996</v>
      </c>
      <c r="M151" s="36">
        <f t="shared" si="50"/>
        <v>-15.869565217391305</v>
      </c>
      <c r="N151" s="93">
        <f>SUM('1:2'!N151)</f>
        <v>0</v>
      </c>
      <c r="O151" s="93">
        <f>SUM('1:2'!O151)</f>
        <v>0</v>
      </c>
      <c r="P151" s="93">
        <f>SUM('1:2'!P151)</f>
        <v>0</v>
      </c>
      <c r="Q151" s="93">
        <f>SUM('1:2'!Q151)</f>
        <v>0</v>
      </c>
      <c r="R151" s="93">
        <f>SUM('1:2'!R151)</f>
        <v>0</v>
      </c>
      <c r="S151" s="93">
        <f>SUM('1:2'!S151)</f>
        <v>0</v>
      </c>
      <c r="T151" s="93">
        <f>SUM('1:2'!T151)</f>
        <v>0</v>
      </c>
      <c r="U151" s="93">
        <f>SUM('1:2'!U151)</f>
        <v>0</v>
      </c>
      <c r="V151" s="206">
        <f t="shared" si="51"/>
        <v>0</v>
      </c>
      <c r="W151" s="33">
        <f t="shared" si="49"/>
        <v>0</v>
      </c>
      <c r="X151" s="93">
        <f>SUM('1:2'!X151)</f>
        <v>0</v>
      </c>
      <c r="Y151" s="93">
        <f>SUM('1:2'!Y151)</f>
        <v>0</v>
      </c>
      <c r="Z151" s="93">
        <f>SUM('1:2'!Z151)</f>
        <v>0</v>
      </c>
      <c r="AA151" s="93">
        <f>SUM('1:2'!AA151)</f>
        <v>0</v>
      </c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>
      <c r="A152" s="299">
        <v>30700017</v>
      </c>
      <c r="B152" s="64" t="s">
        <v>2</v>
      </c>
      <c r="C152" s="358"/>
      <c r="D152" s="17">
        <v>4.4000000000000004</v>
      </c>
      <c r="E152" s="17"/>
      <c r="F152" s="6"/>
      <c r="G152" s="93">
        <f>SUM('1:2'!G152)</f>
        <v>0</v>
      </c>
      <c r="H152" s="93">
        <f>SUM('1:2'!H152)</f>
        <v>0</v>
      </c>
      <c r="I152" s="93">
        <f>SUM('1:2'!I152)</f>
        <v>0</v>
      </c>
      <c r="J152" s="31" t="str">
        <f t="array" ref="J152">IF(ISERROR(G152/I152),"",G152/I152)</f>
        <v/>
      </c>
      <c r="K152" s="35">
        <f t="array" ref="K152">IF(ISERROR(G152/L152),"",G152/L152)</f>
        <v>0</v>
      </c>
      <c r="L152" s="87">
        <v>5.8</v>
      </c>
      <c r="M152" s="36">
        <f t="shared" si="50"/>
        <v>0</v>
      </c>
      <c r="N152" s="93">
        <f>SUM('1:2'!N152)</f>
        <v>0</v>
      </c>
      <c r="O152" s="93">
        <f>SUM('1:2'!O152)</f>
        <v>0</v>
      </c>
      <c r="P152" s="93">
        <f>SUM('1:2'!P152)</f>
        <v>0</v>
      </c>
      <c r="Q152" s="93">
        <f>SUM('1:2'!Q152)</f>
        <v>0</v>
      </c>
      <c r="R152" s="93">
        <f>SUM('1:2'!R152)</f>
        <v>0</v>
      </c>
      <c r="S152" s="93">
        <f>SUM('1:2'!S152)</f>
        <v>0</v>
      </c>
      <c r="T152" s="93">
        <f>SUM('1:2'!T152)</f>
        <v>0</v>
      </c>
      <c r="U152" s="93">
        <f>SUM('1:2'!U152)</f>
        <v>0</v>
      </c>
      <c r="V152" s="206">
        <f t="shared" si="51"/>
        <v>0</v>
      </c>
      <c r="W152" s="33" t="str">
        <f t="shared" si="49"/>
        <v/>
      </c>
      <c r="X152" s="93">
        <f>SUM('1:2'!X152)</f>
        <v>0</v>
      </c>
      <c r="Y152" s="93">
        <f>SUM('1:2'!Y152)</f>
        <v>0</v>
      </c>
      <c r="Z152" s="93">
        <f>SUM('1:2'!Z152)</f>
        <v>0</v>
      </c>
      <c r="AA152" s="93">
        <f>SUM('1:2'!AA152)</f>
        <v>0</v>
      </c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>
      <c r="A153" s="299">
        <v>30700001</v>
      </c>
      <c r="B153" s="191" t="s">
        <v>359</v>
      </c>
      <c r="C153" s="188"/>
      <c r="D153" s="17"/>
      <c r="E153" s="17"/>
      <c r="F153" s="6"/>
      <c r="G153" s="93">
        <f>SUM('1:2'!G153)</f>
        <v>0</v>
      </c>
      <c r="H153" s="93">
        <f>SUM('1:2'!H153)</f>
        <v>0</v>
      </c>
      <c r="I153" s="93">
        <f>SUM('1:2'!I153)</f>
        <v>0</v>
      </c>
      <c r="J153" s="31"/>
      <c r="K153" s="35"/>
      <c r="L153" s="87">
        <v>6</v>
      </c>
      <c r="M153" s="36"/>
      <c r="N153" s="93">
        <f>SUM('1:2'!N153)</f>
        <v>0</v>
      </c>
      <c r="O153" s="93">
        <f>SUM('1:2'!O153)</f>
        <v>0</v>
      </c>
      <c r="P153" s="93">
        <f>SUM('1:2'!P153)</f>
        <v>0</v>
      </c>
      <c r="Q153" s="93">
        <f>SUM('1:2'!Q153)</f>
        <v>0</v>
      </c>
      <c r="R153" s="93">
        <f>SUM('1:2'!R153)</f>
        <v>0</v>
      </c>
      <c r="S153" s="93">
        <f>SUM('1:2'!S153)</f>
        <v>0</v>
      </c>
      <c r="T153" s="93">
        <f>SUM('1:2'!T153)</f>
        <v>0</v>
      </c>
      <c r="U153" s="93">
        <f>SUM('1:2'!U153)</f>
        <v>0</v>
      </c>
      <c r="V153" s="206"/>
      <c r="W153" s="33"/>
      <c r="X153" s="93">
        <f>SUM('1:2'!X153)</f>
        <v>0</v>
      </c>
      <c r="Y153" s="93">
        <f>SUM('1:2'!Y153)</f>
        <v>0</v>
      </c>
      <c r="Z153" s="93">
        <f>SUM('1:2'!Z153)</f>
        <v>0</v>
      </c>
      <c r="AA153" s="93">
        <f>SUM('1:2'!AA153)</f>
        <v>0</v>
      </c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>
      <c r="A154" s="305"/>
      <c r="B154" s="281" t="s">
        <v>239</v>
      </c>
      <c r="C154" s="358" t="s">
        <v>53</v>
      </c>
      <c r="D154" s="17">
        <v>6.04</v>
      </c>
      <c r="E154" s="17"/>
      <c r="F154" s="6"/>
      <c r="G154" s="93">
        <f>SUM('1:2'!G154)</f>
        <v>0</v>
      </c>
      <c r="H154" s="93">
        <f>SUM('1:2'!H154)</f>
        <v>0</v>
      </c>
      <c r="I154" s="93">
        <f>SUM('1:2'!I154)</f>
        <v>0</v>
      </c>
      <c r="J154" s="31" t="str">
        <f t="array" ref="J154">IF(ISERROR(G154/I154),"",G154/I154)</f>
        <v/>
      </c>
      <c r="K154" s="35">
        <f t="array" ref="K154">IF(ISERROR(G154/L154),"",G154/L154)</f>
        <v>0</v>
      </c>
      <c r="L154" s="87">
        <v>6</v>
      </c>
      <c r="M154" s="36">
        <f t="shared" ref="M154:M155" si="52">IF(ISERROR(I154-K154),"",I154-K154)</f>
        <v>0</v>
      </c>
      <c r="N154" s="93">
        <f>SUM('1:2'!N154)</f>
        <v>0</v>
      </c>
      <c r="O154" s="93">
        <f>SUM('1:2'!O154)</f>
        <v>0</v>
      </c>
      <c r="P154" s="93">
        <f>SUM('1:2'!P154)</f>
        <v>0</v>
      </c>
      <c r="Q154" s="93">
        <f>SUM('1:2'!Q154)</f>
        <v>0</v>
      </c>
      <c r="R154" s="93">
        <f>SUM('1:2'!R154)</f>
        <v>0</v>
      </c>
      <c r="S154" s="93">
        <f>SUM('1:2'!S154)</f>
        <v>0</v>
      </c>
      <c r="T154" s="93">
        <f>SUM('1:2'!T154)</f>
        <v>0</v>
      </c>
      <c r="U154" s="93">
        <f>SUM('1:2'!U154)</f>
        <v>0</v>
      </c>
      <c r="V154" s="206">
        <f t="shared" ref="V154:V155" si="53">SUM(X154:AA154)</f>
        <v>0</v>
      </c>
      <c r="W154" s="33" t="str">
        <f t="shared" ref="W154:W155" si="54">IF(ISERROR(V154/G154),"",V154/G154)</f>
        <v/>
      </c>
      <c r="X154" s="93">
        <f>SUM('1:2'!X154)</f>
        <v>0</v>
      </c>
      <c r="Y154" s="93">
        <f>SUM('1:2'!Y154)</f>
        <v>0</v>
      </c>
      <c r="Z154" s="93">
        <f>SUM('1:2'!Z154)</f>
        <v>0</v>
      </c>
      <c r="AA154" s="93">
        <f>SUM('1:2'!AA154)</f>
        <v>0</v>
      </c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>
      <c r="A155" s="305">
        <v>30700019</v>
      </c>
      <c r="B155" s="66" t="s">
        <v>104</v>
      </c>
      <c r="C155" s="358" t="s">
        <v>60</v>
      </c>
      <c r="D155" s="17">
        <v>6.04</v>
      </c>
      <c r="E155" s="17"/>
      <c r="F155" s="6"/>
      <c r="G155" s="93">
        <f>SUM('1:2'!G155)</f>
        <v>0</v>
      </c>
      <c r="H155" s="93">
        <f>SUM('1:2'!H155)</f>
        <v>0</v>
      </c>
      <c r="I155" s="93">
        <f>SUM('1:2'!I155)</f>
        <v>0</v>
      </c>
      <c r="J155" s="31" t="str">
        <f t="array" ref="J155">IF(ISERROR(G155/I155),"",G155/I155)</f>
        <v/>
      </c>
      <c r="K155" s="35">
        <f t="array" ref="K155">IF(ISERROR(G155/L155),"",G155/L155)</f>
        <v>0</v>
      </c>
      <c r="L155" s="87">
        <v>6</v>
      </c>
      <c r="M155" s="36">
        <f t="shared" si="52"/>
        <v>0</v>
      </c>
      <c r="N155" s="93">
        <f>SUM('1:2'!N155)</f>
        <v>0</v>
      </c>
      <c r="O155" s="93">
        <f>SUM('1:2'!O155)</f>
        <v>0</v>
      </c>
      <c r="P155" s="93">
        <f>SUM('1:2'!P155)</f>
        <v>0</v>
      </c>
      <c r="Q155" s="93">
        <f>SUM('1:2'!Q155)</f>
        <v>0</v>
      </c>
      <c r="R155" s="93">
        <f>SUM('1:2'!R155)</f>
        <v>0</v>
      </c>
      <c r="S155" s="93">
        <f>SUM('1:2'!S155)</f>
        <v>0</v>
      </c>
      <c r="T155" s="93">
        <f>SUM('1:2'!T155)</f>
        <v>0</v>
      </c>
      <c r="U155" s="93">
        <f>SUM('1:2'!U155)</f>
        <v>0</v>
      </c>
      <c r="V155" s="206">
        <f t="shared" si="53"/>
        <v>0</v>
      </c>
      <c r="W155" s="33" t="str">
        <f t="shared" si="54"/>
        <v/>
      </c>
      <c r="X155" s="93">
        <f>SUM('1:2'!X155)</f>
        <v>0</v>
      </c>
      <c r="Y155" s="93">
        <f>SUM('1:2'!Y155)</f>
        <v>0</v>
      </c>
      <c r="Z155" s="93">
        <f>SUM('1:2'!Z155)</f>
        <v>0</v>
      </c>
      <c r="AA155" s="93">
        <f>SUM('1:2'!AA155)</f>
        <v>0</v>
      </c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>
      <c r="A156" s="305">
        <v>30601015</v>
      </c>
      <c r="B156" s="281" t="s">
        <v>443</v>
      </c>
      <c r="C156" s="358" t="s">
        <v>53</v>
      </c>
      <c r="D156" s="17">
        <v>6</v>
      </c>
      <c r="E156" s="17"/>
      <c r="F156" s="6"/>
      <c r="G156" s="93">
        <f>SUM('1:2'!G156)</f>
        <v>0</v>
      </c>
      <c r="H156" s="93">
        <f>SUM('1:2'!H156)</f>
        <v>0</v>
      </c>
      <c r="I156" s="93">
        <f>SUM('1:2'!I156)</f>
        <v>0</v>
      </c>
      <c r="J156" s="31"/>
      <c r="K156" s="35"/>
      <c r="L156" s="87"/>
      <c r="M156" s="36"/>
      <c r="N156" s="93"/>
      <c r="O156" s="93"/>
      <c r="P156" s="93"/>
      <c r="Q156" s="93"/>
      <c r="R156" s="93"/>
      <c r="S156" s="93"/>
      <c r="T156" s="93"/>
      <c r="U156" s="93"/>
      <c r="V156" s="206"/>
      <c r="W156" s="33"/>
      <c r="X156" s="93"/>
      <c r="Y156" s="93"/>
      <c r="Z156" s="93"/>
      <c r="AA156" s="93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>
      <c r="A157" s="305">
        <v>30101016</v>
      </c>
      <c r="B157" s="281" t="s">
        <v>443</v>
      </c>
      <c r="C157" s="358" t="s">
        <v>60</v>
      </c>
      <c r="D157" s="17">
        <v>6</v>
      </c>
      <c r="E157" s="17"/>
      <c r="F157" s="6"/>
      <c r="G157" s="93">
        <f>SUM('1:2'!G157)</f>
        <v>0</v>
      </c>
      <c r="H157" s="93">
        <f>SUM('1:2'!H157)</f>
        <v>0</v>
      </c>
      <c r="I157" s="93"/>
      <c r="J157" s="31"/>
      <c r="K157" s="35"/>
      <c r="L157" s="87">
        <v>6</v>
      </c>
      <c r="M157" s="36"/>
      <c r="N157" s="93"/>
      <c r="O157" s="93"/>
      <c r="P157" s="93"/>
      <c r="Q157" s="93"/>
      <c r="R157" s="93"/>
      <c r="S157" s="93"/>
      <c r="T157" s="93"/>
      <c r="U157" s="93"/>
      <c r="V157" s="206"/>
      <c r="W157" s="33"/>
      <c r="X157" s="93"/>
      <c r="Y157" s="93"/>
      <c r="Z157" s="93"/>
      <c r="AA157" s="93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>
      <c r="A158" s="299">
        <v>30700018</v>
      </c>
      <c r="B158" s="61" t="s">
        <v>159</v>
      </c>
      <c r="C158" s="16"/>
      <c r="D158" s="17">
        <v>7.3</v>
      </c>
      <c r="E158" s="17"/>
      <c r="F158" s="6"/>
      <c r="G158" s="93">
        <f>SUM('1:2'!G158)</f>
        <v>0</v>
      </c>
      <c r="H158" s="93">
        <f>SUM('1:2'!H158)</f>
        <v>0</v>
      </c>
      <c r="I158" s="93">
        <f>SUM('1:2'!I158)</f>
        <v>0</v>
      </c>
      <c r="J158" s="31" t="str">
        <f t="array" ref="J158">IF(ISERROR(G158/I158),"",G158/I158)</f>
        <v/>
      </c>
      <c r="K158" s="35" t="str">
        <f t="array" ref="K158">IF(ISERROR(G158/L158),"",G158/L158)</f>
        <v/>
      </c>
      <c r="L158" s="87"/>
      <c r="M158" s="36" t="str">
        <f t="shared" ref="M158:M159" si="55">IF(ISERROR(I158-K158),"",I158-K158)</f>
        <v/>
      </c>
      <c r="N158" s="93">
        <f>SUM('1:2'!N158)</f>
        <v>0</v>
      </c>
      <c r="O158" s="93">
        <f>SUM('1:2'!O158)</f>
        <v>0</v>
      </c>
      <c r="P158" s="93">
        <f>SUM('1:2'!P158)</f>
        <v>0</v>
      </c>
      <c r="Q158" s="93">
        <f>SUM('1:2'!Q158)</f>
        <v>0</v>
      </c>
      <c r="R158" s="93">
        <f>SUM('1:2'!R158)</f>
        <v>0</v>
      </c>
      <c r="S158" s="93">
        <f>SUM('1:2'!S158)</f>
        <v>0</v>
      </c>
      <c r="T158" s="93">
        <f>SUM('1:2'!T158)</f>
        <v>0</v>
      </c>
      <c r="U158" s="93">
        <f>SUM('1:2'!U158)</f>
        <v>0</v>
      </c>
      <c r="V158" s="206">
        <f t="shared" ref="V158:V159" si="56">SUM(X158:AA158)</f>
        <v>0</v>
      </c>
      <c r="W158" s="33" t="str">
        <f t="shared" ref="W158:W159" si="57">IF(ISERROR(V158/G158),"",V158/G158)</f>
        <v/>
      </c>
      <c r="X158" s="93">
        <f>SUM('1:2'!X158)</f>
        <v>0</v>
      </c>
      <c r="Y158" s="93">
        <f>SUM('1:2'!Y158)</f>
        <v>0</v>
      </c>
      <c r="Z158" s="93">
        <f>SUM('1:2'!Z158)</f>
        <v>0</v>
      </c>
      <c r="AA158" s="93">
        <f>SUM('1:2'!AA158)</f>
        <v>0</v>
      </c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>
      <c r="A159" s="299">
        <v>30700010</v>
      </c>
      <c r="B159" s="61" t="s">
        <v>105</v>
      </c>
      <c r="C159" s="16"/>
      <c r="D159" s="17">
        <f>78*120/1000</f>
        <v>9.36</v>
      </c>
      <c r="E159" s="17"/>
      <c r="F159" s="6"/>
      <c r="G159" s="93">
        <f>SUM('1:2'!G159)</f>
        <v>0</v>
      </c>
      <c r="H159" s="93">
        <f>SUM('1:2'!H159)</f>
        <v>0</v>
      </c>
      <c r="I159" s="93">
        <f>SUM('1:2'!I159)</f>
        <v>0</v>
      </c>
      <c r="J159" s="31" t="str">
        <f t="array" ref="J159">IF(ISERROR(G159/I159),"",G159/I159)</f>
        <v/>
      </c>
      <c r="K159" s="35">
        <f t="array" ref="K159">IF(ISERROR(G159/L159),"",G159/L159)</f>
        <v>0</v>
      </c>
      <c r="L159" s="87">
        <v>5.5</v>
      </c>
      <c r="M159" s="36">
        <f t="shared" si="55"/>
        <v>0</v>
      </c>
      <c r="N159" s="93">
        <f>SUM('1:2'!N159)</f>
        <v>0</v>
      </c>
      <c r="O159" s="93">
        <f>SUM('1:2'!O159)</f>
        <v>0</v>
      </c>
      <c r="P159" s="93">
        <f>SUM('1:2'!P159)</f>
        <v>0</v>
      </c>
      <c r="Q159" s="93">
        <f>SUM('1:2'!Q159)</f>
        <v>0</v>
      </c>
      <c r="R159" s="93">
        <f>SUM('1:2'!R159)</f>
        <v>0</v>
      </c>
      <c r="S159" s="93">
        <f>SUM('1:2'!S159)</f>
        <v>0</v>
      </c>
      <c r="T159" s="93">
        <f>SUM('1:2'!T159)</f>
        <v>0</v>
      </c>
      <c r="U159" s="93">
        <f>SUM('1:2'!U159)</f>
        <v>0</v>
      </c>
      <c r="V159" s="206">
        <f t="shared" si="56"/>
        <v>0</v>
      </c>
      <c r="W159" s="33" t="str">
        <f t="shared" si="57"/>
        <v/>
      </c>
      <c r="X159" s="93">
        <f>SUM('1:2'!X159)</f>
        <v>0</v>
      </c>
      <c r="Y159" s="93">
        <f>SUM('1:2'!Y159)</f>
        <v>0</v>
      </c>
      <c r="Z159" s="93">
        <f>SUM('1:2'!Z159)</f>
        <v>0</v>
      </c>
      <c r="AA159" s="93">
        <f>SUM('1:2'!AA159)</f>
        <v>0</v>
      </c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>
      <c r="A160" s="299">
        <v>30700015</v>
      </c>
      <c r="B160" s="360" t="s">
        <v>159</v>
      </c>
      <c r="C160" s="16"/>
      <c r="D160" s="17">
        <v>4.5</v>
      </c>
      <c r="E160" s="17"/>
      <c r="F160" s="6"/>
      <c r="G160" s="93">
        <f>SUM('1:2'!G160)</f>
        <v>0</v>
      </c>
      <c r="H160" s="93">
        <f>SUM('1:2'!H160)</f>
        <v>0</v>
      </c>
      <c r="I160" s="93">
        <f>SUM('1:2'!I160)</f>
        <v>0</v>
      </c>
      <c r="J160" s="31"/>
      <c r="K160" s="35">
        <f t="array" ref="K160">IF(ISERROR(G160/L160),"",G160/L160)</f>
        <v>0</v>
      </c>
      <c r="L160" s="87">
        <v>6.5</v>
      </c>
      <c r="M160" s="36">
        <f>IF(ISERROR(I160-K160),"",I160-K160)</f>
        <v>0</v>
      </c>
      <c r="N160" s="93">
        <f>SUM('1:2'!N160)</f>
        <v>0</v>
      </c>
      <c r="O160" s="93">
        <f>SUM('1:2'!O160)</f>
        <v>0</v>
      </c>
      <c r="P160" s="93">
        <f>SUM('1:2'!P160)</f>
        <v>0</v>
      </c>
      <c r="Q160" s="93">
        <f>SUM('1:2'!Q160)</f>
        <v>0</v>
      </c>
      <c r="R160" s="93">
        <f>SUM('1:2'!R160)</f>
        <v>0</v>
      </c>
      <c r="S160" s="93">
        <f>SUM('1:2'!S160)</f>
        <v>0</v>
      </c>
      <c r="T160" s="93">
        <f>SUM('1:2'!T160)</f>
        <v>0</v>
      </c>
      <c r="U160" s="93">
        <f>SUM('1:2'!U160)</f>
        <v>0</v>
      </c>
      <c r="V160" s="206"/>
      <c r="W160" s="33"/>
      <c r="X160" s="93">
        <f>SUM('1:2'!X160)</f>
        <v>0</v>
      </c>
      <c r="Y160" s="93">
        <f>SUM('1:2'!Y160)</f>
        <v>0</v>
      </c>
      <c r="Z160" s="93">
        <f>SUM('1:2'!Z160)</f>
        <v>0</v>
      </c>
      <c r="AA160" s="93">
        <f>SUM('1:2'!AA160)</f>
        <v>0</v>
      </c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>
      <c r="A161" s="299">
        <v>30700012</v>
      </c>
      <c r="B161" s="360" t="s">
        <v>160</v>
      </c>
      <c r="C161" s="16"/>
      <c r="D161" s="17">
        <v>4.5</v>
      </c>
      <c r="E161" s="17"/>
      <c r="F161" s="6"/>
      <c r="G161" s="93">
        <f>SUM('1:2'!G161)</f>
        <v>0</v>
      </c>
      <c r="H161" s="93">
        <f>SUM('1:2'!H161)</f>
        <v>0</v>
      </c>
      <c r="I161" s="93">
        <f>SUM('1:2'!I161)</f>
        <v>0</v>
      </c>
      <c r="J161" s="31"/>
      <c r="K161" s="35">
        <f t="array" ref="K161">IF(ISERROR(G161/L161),"",G161/L161)</f>
        <v>0</v>
      </c>
      <c r="L161" s="87">
        <v>7.5</v>
      </c>
      <c r="M161" s="36">
        <f>IF(ISERROR(I161-K161),"",I161-K161)</f>
        <v>0</v>
      </c>
      <c r="N161" s="93">
        <f>SUM('1:2'!N161)</f>
        <v>0</v>
      </c>
      <c r="O161" s="93">
        <f>SUM('1:2'!O161)</f>
        <v>0</v>
      </c>
      <c r="P161" s="93">
        <f>SUM('1:2'!P161)</f>
        <v>0</v>
      </c>
      <c r="Q161" s="93">
        <f>SUM('1:2'!Q161)</f>
        <v>0</v>
      </c>
      <c r="R161" s="93">
        <f>SUM('1:2'!R161)</f>
        <v>0</v>
      </c>
      <c r="S161" s="93">
        <f>SUM('1:2'!S161)</f>
        <v>0</v>
      </c>
      <c r="T161" s="93">
        <f>SUM('1:2'!T161)</f>
        <v>0</v>
      </c>
      <c r="U161" s="93">
        <f>SUM('1:2'!U161)</f>
        <v>0</v>
      </c>
      <c r="V161" s="206"/>
      <c r="W161" s="33"/>
      <c r="X161" s="93">
        <f>SUM('1:2'!X161)</f>
        <v>0</v>
      </c>
      <c r="Y161" s="93">
        <f>SUM('1:2'!Y161)</f>
        <v>0</v>
      </c>
      <c r="Z161" s="93">
        <f>SUM('1:2'!Z161)</f>
        <v>0</v>
      </c>
      <c r="AA161" s="93">
        <f>SUM('1:2'!AA161)</f>
        <v>0</v>
      </c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>
      <c r="A162" s="306">
        <v>30101063</v>
      </c>
      <c r="B162" s="254" t="s">
        <v>436</v>
      </c>
      <c r="C162" s="16"/>
      <c r="D162" s="17">
        <v>5.03</v>
      </c>
      <c r="E162" s="17"/>
      <c r="F162" s="6"/>
      <c r="G162" s="93">
        <f>SUM('1:2'!G162)</f>
        <v>0</v>
      </c>
      <c r="H162" s="93">
        <f>SUM('1:2'!H162)</f>
        <v>0</v>
      </c>
      <c r="I162" s="93">
        <f>SUM('1:2'!I162)</f>
        <v>0</v>
      </c>
      <c r="J162" s="31"/>
      <c r="K162" s="35"/>
      <c r="L162" s="87"/>
      <c r="M162" s="36"/>
      <c r="N162" s="93"/>
      <c r="O162" s="93"/>
      <c r="P162" s="93"/>
      <c r="Q162" s="93"/>
      <c r="R162" s="93"/>
      <c r="S162" s="93"/>
      <c r="T162" s="93"/>
      <c r="U162" s="93"/>
      <c r="V162" s="206"/>
      <c r="W162" s="33"/>
      <c r="X162" s="93"/>
      <c r="Y162" s="93"/>
      <c r="Z162" s="93"/>
      <c r="AA162" s="93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</row>
    <row r="163" spans="1:106">
      <c r="A163" s="691" t="s">
        <v>106</v>
      </c>
      <c r="B163" s="692"/>
      <c r="C163" s="359" t="s">
        <v>71</v>
      </c>
      <c r="D163" s="20"/>
      <c r="E163" s="20"/>
      <c r="F163" s="32"/>
      <c r="G163" s="94">
        <f>SUM(G149:G162)</f>
        <v>96</v>
      </c>
      <c r="H163" s="30">
        <f>SUM(H149:H162)</f>
        <v>748.8</v>
      </c>
      <c r="I163" s="30">
        <f>SUM(I149:I162)</f>
        <v>5</v>
      </c>
      <c r="J163" s="31">
        <f t="array" ref="J163">IF(ISERROR(G163/I163),"",G163/I163)</f>
        <v>19.2</v>
      </c>
      <c r="K163" s="30">
        <f>SUM(K149:K159)</f>
        <v>20.869565217391305</v>
      </c>
      <c r="L163" s="98"/>
      <c r="M163" s="89">
        <f t="shared" ref="M163:V163" si="58">SUM(M149:M159)</f>
        <v>-15.869565217391305</v>
      </c>
      <c r="N163" s="20">
        <f t="shared" si="58"/>
        <v>0</v>
      </c>
      <c r="O163" s="91">
        <f t="shared" si="58"/>
        <v>0</v>
      </c>
      <c r="P163" s="91">
        <f t="shared" si="58"/>
        <v>0</v>
      </c>
      <c r="Q163" s="91">
        <f t="shared" si="58"/>
        <v>0</v>
      </c>
      <c r="R163" s="91">
        <f t="shared" si="58"/>
        <v>0</v>
      </c>
      <c r="S163" s="92">
        <f t="shared" si="58"/>
        <v>0</v>
      </c>
      <c r="T163" s="91">
        <f t="shared" si="58"/>
        <v>0</v>
      </c>
      <c r="U163" s="91">
        <f t="shared" si="58"/>
        <v>0</v>
      </c>
      <c r="V163" s="206">
        <f t="shared" si="58"/>
        <v>0</v>
      </c>
      <c r="W163" s="33">
        <f t="shared" ref="W163" si="59">IF(ISERROR(V163/G163),"",V163/G163)</f>
        <v>0</v>
      </c>
      <c r="X163" s="92">
        <f>SUM(X149:X159)</f>
        <v>0</v>
      </c>
      <c r="Y163" s="92">
        <f>SUM(Y149:Y159)</f>
        <v>0</v>
      </c>
      <c r="Z163" s="92">
        <f>SUM(Z149:Z159)</f>
        <v>0</v>
      </c>
      <c r="AA163" s="92">
        <f>SUM(AA149:AA159)</f>
        <v>0</v>
      </c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</row>
    <row r="164" spans="1:106">
      <c r="A164" s="693" t="s">
        <v>108</v>
      </c>
      <c r="B164" s="694"/>
      <c r="C164" s="694"/>
      <c r="D164" s="694"/>
      <c r="E164" s="694"/>
      <c r="F164" s="695"/>
      <c r="G164" s="193">
        <f>SUM(G28,G86,G121,G137,G148,G163)</f>
        <v>10993</v>
      </c>
      <c r="H164" s="193">
        <f>SUM(H28,H86,H121,H137,H148,H163)</f>
        <v>55764.04</v>
      </c>
      <c r="I164" s="193">
        <f>SUM(I28,I86,I121,I137,I148,I163)</f>
        <v>501.5</v>
      </c>
      <c r="J164" s="52">
        <f t="array" ref="J164">IF(ISERROR(G164/I164),"",G164/I164)</f>
        <v>21.920239282153538</v>
      </c>
      <c r="K164" s="193">
        <f>SUM(K28,K86,K121,K137,K148,K163)</f>
        <v>464.03097503280884</v>
      </c>
      <c r="L164" s="52">
        <f>IF(ISERROR(G164/K164),"",G164/K164)</f>
        <v>23.690228867206013</v>
      </c>
      <c r="M164" s="193">
        <f t="shared" ref="M164:AA164" si="60">SUM(M28,M86,M121,M137,M148,M163)</f>
        <v>27.54402496719117</v>
      </c>
      <c r="N164" s="193">
        <f t="shared" si="60"/>
        <v>0</v>
      </c>
      <c r="O164" s="193">
        <f t="shared" si="60"/>
        <v>0</v>
      </c>
      <c r="P164" s="193">
        <f t="shared" si="60"/>
        <v>0</v>
      </c>
      <c r="Q164" s="193">
        <f t="shared" si="60"/>
        <v>0</v>
      </c>
      <c r="R164" s="193">
        <f t="shared" si="60"/>
        <v>0</v>
      </c>
      <c r="S164" s="193">
        <f t="shared" si="60"/>
        <v>0</v>
      </c>
      <c r="T164" s="193">
        <f t="shared" si="60"/>
        <v>0</v>
      </c>
      <c r="U164" s="193">
        <f t="shared" si="60"/>
        <v>0</v>
      </c>
      <c r="V164" s="193">
        <f t="shared" si="60"/>
        <v>0</v>
      </c>
      <c r="W164" s="193">
        <f t="shared" si="60"/>
        <v>0</v>
      </c>
      <c r="X164" s="193">
        <f t="shared" si="60"/>
        <v>0</v>
      </c>
      <c r="Y164" s="193">
        <f t="shared" si="60"/>
        <v>0</v>
      </c>
      <c r="Z164" s="193">
        <f t="shared" si="60"/>
        <v>0</v>
      </c>
      <c r="AA164" s="193">
        <f t="shared" si="60"/>
        <v>0</v>
      </c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</row>
    <row r="165" spans="1:106" ht="15.75" customHeight="1">
      <c r="A165" s="583" t="s">
        <v>503</v>
      </c>
      <c r="B165" s="362" t="s">
        <v>110</v>
      </c>
      <c r="C165" s="674" t="s">
        <v>111</v>
      </c>
      <c r="D165" s="674"/>
      <c r="E165" s="684" t="s">
        <v>112</v>
      </c>
      <c r="F165" s="684"/>
      <c r="G165" s="654" t="s">
        <v>113</v>
      </c>
      <c r="H165" s="654"/>
      <c r="I165" s="684" t="s">
        <v>114</v>
      </c>
      <c r="J165" s="684"/>
      <c r="K165" s="684" t="s">
        <v>36</v>
      </c>
      <c r="L165" s="684"/>
      <c r="M165" s="684" t="s">
        <v>115</v>
      </c>
      <c r="N165" s="684"/>
      <c r="O165" s="684" t="s">
        <v>116</v>
      </c>
      <c r="P165" s="654" t="s">
        <v>117</v>
      </c>
      <c r="Q165" s="654"/>
      <c r="R165" s="654" t="s">
        <v>36</v>
      </c>
      <c r="S165" s="654"/>
      <c r="T165" s="654" t="s">
        <v>118</v>
      </c>
      <c r="U165" s="654"/>
      <c r="V165" s="654" t="s">
        <v>119</v>
      </c>
      <c r="W165" s="654"/>
      <c r="X165" s="654" t="s">
        <v>36</v>
      </c>
      <c r="Y165" s="654"/>
      <c r="Z165" s="654" t="s">
        <v>118</v>
      </c>
      <c r="AA165" s="654"/>
      <c r="AE165" s="14"/>
      <c r="AF165" s="14"/>
      <c r="AG165" s="3"/>
      <c r="AH165" s="368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 ht="13.5" customHeight="1">
      <c r="A166" s="584"/>
      <c r="B166" s="362" t="s">
        <v>120</v>
      </c>
      <c r="C166" s="689">
        <f>SUM('1:2'!C166)</f>
        <v>2</v>
      </c>
      <c r="D166" s="690"/>
      <c r="E166" s="688">
        <f>D166*11</f>
        <v>0</v>
      </c>
      <c r="F166" s="688"/>
      <c r="G166" s="689">
        <f>SUM('1:2'!G166)</f>
        <v>2</v>
      </c>
      <c r="H166" s="690"/>
      <c r="I166" s="684">
        <f>G166*11</f>
        <v>22</v>
      </c>
      <c r="J166" s="684"/>
      <c r="K166" s="684">
        <f>E166-I166</f>
        <v>-22</v>
      </c>
      <c r="L166" s="684"/>
      <c r="M166" s="686" t="str">
        <f>IF(ISERROR(K166/E166),"",K166/E166)</f>
        <v/>
      </c>
      <c r="N166" s="686"/>
      <c r="O166" s="684"/>
      <c r="P166" s="654" t="s">
        <v>70</v>
      </c>
      <c r="Q166" s="654"/>
      <c r="R166" s="677">
        <f>SUM(O28:U28)</f>
        <v>0</v>
      </c>
      <c r="S166" s="677"/>
      <c r="T166" s="685" t="str">
        <f t="array" ref="T166">IF(ISERROR(R166/R173),"",R166/R173)</f>
        <v/>
      </c>
      <c r="U166" s="685"/>
      <c r="V166" s="654" t="s">
        <v>41</v>
      </c>
      <c r="W166" s="654"/>
      <c r="X166" s="677">
        <f>SUM(P27,P85,P120,P136,P147,P161)</f>
        <v>0</v>
      </c>
      <c r="Y166" s="677"/>
      <c r="Z166" s="685" t="str">
        <f t="array" ref="Z166">IF(ISERROR(X166/X173),"",X166/X173)</f>
        <v/>
      </c>
      <c r="AA166" s="685"/>
      <c r="AE166" s="14"/>
      <c r="AF166" s="14"/>
      <c r="AG166" s="3"/>
      <c r="AH166" s="370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>
      <c r="A167" s="584"/>
      <c r="B167" s="362" t="s">
        <v>121</v>
      </c>
      <c r="C167" s="689">
        <f>SUM('1:2'!C167)</f>
        <v>2</v>
      </c>
      <c r="D167" s="690"/>
      <c r="E167" s="688">
        <f>D167*11</f>
        <v>0</v>
      </c>
      <c r="F167" s="688"/>
      <c r="G167" s="689">
        <f>SUM('1:2'!G167)</f>
        <v>2</v>
      </c>
      <c r="H167" s="690"/>
      <c r="I167" s="684">
        <f>G167*11</f>
        <v>22</v>
      </c>
      <c r="J167" s="684"/>
      <c r="K167" s="684">
        <f>E167-I167</f>
        <v>-22</v>
      </c>
      <c r="L167" s="684"/>
      <c r="M167" s="686" t="str">
        <f>IF(ISERROR(K167/E167),"",K167/E167)</f>
        <v/>
      </c>
      <c r="N167" s="686"/>
      <c r="O167" s="684"/>
      <c r="P167" s="654" t="s">
        <v>86</v>
      </c>
      <c r="Q167" s="654"/>
      <c r="R167" s="677">
        <f>SUM(O86:U86)</f>
        <v>0</v>
      </c>
      <c r="S167" s="677"/>
      <c r="T167" s="685" t="str">
        <f>IF(ISERROR(R167/R173),"",R167/R173)</f>
        <v/>
      </c>
      <c r="U167" s="685"/>
      <c r="V167" s="654" t="s">
        <v>42</v>
      </c>
      <c r="W167" s="654"/>
      <c r="X167" s="677">
        <f>SUM(P28,P86,P121,P137,P148,P163)</f>
        <v>0</v>
      </c>
      <c r="Y167" s="677"/>
      <c r="Z167" s="685" t="str">
        <f>IF(ISERROR(X167/X173),"",X167/X173)</f>
        <v/>
      </c>
      <c r="AA167" s="685"/>
      <c r="AE167" s="14"/>
      <c r="AF167" s="14"/>
      <c r="AG167" s="3"/>
      <c r="AH167" s="370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21"/>
      <c r="AV167" s="21"/>
      <c r="AW167" s="21"/>
      <c r="AX167" s="21"/>
      <c r="AY167" s="21"/>
      <c r="AZ167" s="21"/>
      <c r="BA167" s="21"/>
    </row>
    <row r="168" spans="1:106">
      <c r="A168" s="584"/>
      <c r="B168" s="362" t="s">
        <v>122</v>
      </c>
      <c r="C168" s="689">
        <f>SUM('1:2'!C168)</f>
        <v>2</v>
      </c>
      <c r="D168" s="690"/>
      <c r="E168" s="688">
        <f>D168*11</f>
        <v>0</v>
      </c>
      <c r="F168" s="688"/>
      <c r="G168" s="689">
        <f>SUM('1:2'!G168)</f>
        <v>2</v>
      </c>
      <c r="H168" s="690"/>
      <c r="I168" s="684">
        <f>G168*8</f>
        <v>16</v>
      </c>
      <c r="J168" s="684"/>
      <c r="K168" s="684">
        <f>E168-I168</f>
        <v>-16</v>
      </c>
      <c r="L168" s="684"/>
      <c r="M168" s="686" t="str">
        <f>IF(ISERROR(K168/E168),"",K168/E168)</f>
        <v/>
      </c>
      <c r="N168" s="686"/>
      <c r="O168" s="684"/>
      <c r="P168" s="654" t="s">
        <v>92</v>
      </c>
      <c r="Q168" s="654"/>
      <c r="R168" s="677">
        <f>SUM(O121:U121)</f>
        <v>0</v>
      </c>
      <c r="S168" s="677"/>
      <c r="T168" s="685" t="str">
        <f>IF(ISERROR(R168/R173),"",R168/R173)</f>
        <v/>
      </c>
      <c r="U168" s="685"/>
      <c r="V168" s="654" t="s">
        <v>43</v>
      </c>
      <c r="W168" s="654"/>
      <c r="X168" s="677">
        <f>SUM(P29,P87,P122,P138,P149,P164)</f>
        <v>0</v>
      </c>
      <c r="Y168" s="677"/>
      <c r="Z168" s="685" t="str">
        <f>IF(ISERROR(X168/X173),"",X168/X173)</f>
        <v/>
      </c>
      <c r="AA168" s="685"/>
      <c r="AE168" s="14"/>
      <c r="AF168" s="14"/>
      <c r="AG168" s="370"/>
      <c r="AH168" s="370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21"/>
      <c r="AV168" s="21"/>
      <c r="AW168" s="21"/>
      <c r="AX168" s="21"/>
      <c r="AY168" s="21"/>
      <c r="AZ168" s="21"/>
      <c r="BA168" s="21"/>
    </row>
    <row r="169" spans="1:106">
      <c r="A169" s="584"/>
      <c r="B169" s="362" t="s">
        <v>47</v>
      </c>
      <c r="C169" s="689">
        <f>SUM('1:2'!C169)</f>
        <v>2</v>
      </c>
      <c r="D169" s="690"/>
      <c r="E169" s="688">
        <f>D169*11</f>
        <v>0</v>
      </c>
      <c r="F169" s="688"/>
      <c r="G169" s="689">
        <f>SUM('1:2'!G169)</f>
        <v>2</v>
      </c>
      <c r="H169" s="690"/>
      <c r="I169" s="684">
        <f>G169*11</f>
        <v>22</v>
      </c>
      <c r="J169" s="684"/>
      <c r="K169" s="684">
        <f>E169-I169</f>
        <v>-22</v>
      </c>
      <c r="L169" s="684"/>
      <c r="M169" s="686" t="str">
        <f>IF(ISERROR(K169/E169),"",K169/E169)</f>
        <v/>
      </c>
      <c r="N169" s="686"/>
      <c r="O169" s="684"/>
      <c r="P169" s="654" t="s">
        <v>99</v>
      </c>
      <c r="Q169" s="654"/>
      <c r="R169" s="677">
        <f>SUM(O137:U137)</f>
        <v>0</v>
      </c>
      <c r="S169" s="677"/>
      <c r="T169" s="685" t="str">
        <f>IF(ISERROR(R169/R173),"",R169/R173)</f>
        <v/>
      </c>
      <c r="U169" s="685"/>
      <c r="V169" s="654" t="s">
        <v>44</v>
      </c>
      <c r="W169" s="654"/>
      <c r="X169" s="677">
        <f>SUM(P31,P88,P123,P139,P150,P165)</f>
        <v>0</v>
      </c>
      <c r="Y169" s="677"/>
      <c r="Z169" s="685" t="str">
        <f>IF(ISERROR(X169/X173),"",X169/X173)</f>
        <v/>
      </c>
      <c r="AA169" s="685"/>
      <c r="AE169" s="14"/>
      <c r="AF169" s="14"/>
      <c r="AG169" s="370"/>
      <c r="AH169" s="370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21"/>
      <c r="AV169" s="21"/>
      <c r="AW169" s="21"/>
      <c r="AX169" s="21"/>
      <c r="AY169" s="21"/>
      <c r="AZ169" s="21"/>
      <c r="BA169" s="21"/>
    </row>
    <row r="170" spans="1:106">
      <c r="A170" s="585"/>
      <c r="B170" s="362" t="s">
        <v>123</v>
      </c>
      <c r="C170" s="687">
        <f>SUM(C166:D169)</f>
        <v>8</v>
      </c>
      <c r="D170" s="684"/>
      <c r="E170" s="684">
        <f>SUM(F166:F169)</f>
        <v>0</v>
      </c>
      <c r="F170" s="684"/>
      <c r="G170" s="687">
        <f>SUM(G166:H169)</f>
        <v>8</v>
      </c>
      <c r="H170" s="684"/>
      <c r="I170" s="684">
        <f>SUM(I166:J169)</f>
        <v>82</v>
      </c>
      <c r="J170" s="684"/>
      <c r="K170" s="684">
        <f>SUM(K166:L169)</f>
        <v>-82</v>
      </c>
      <c r="L170" s="684"/>
      <c r="M170" s="686" t="str">
        <f>IF(ISERROR(K170/E170),"",K170/E170)</f>
        <v/>
      </c>
      <c r="N170" s="686"/>
      <c r="O170" s="684"/>
      <c r="P170" s="654" t="s">
        <v>102</v>
      </c>
      <c r="Q170" s="654"/>
      <c r="R170" s="677">
        <f>SUM(O148:U148)</f>
        <v>0</v>
      </c>
      <c r="S170" s="677"/>
      <c r="T170" s="685" t="str">
        <f>IF(ISERROR(R170/R173),"",R170/R173)</f>
        <v/>
      </c>
      <c r="U170" s="685"/>
      <c r="V170" s="654" t="s">
        <v>45</v>
      </c>
      <c r="W170" s="654"/>
      <c r="X170" s="677">
        <f>SUM(P32,P89,P124,P140,P151,P166)</f>
        <v>0</v>
      </c>
      <c r="Y170" s="677"/>
      <c r="Z170" s="685" t="str">
        <f>IF(ISERROR(X170/X173),"",X170/X173)</f>
        <v/>
      </c>
      <c r="AA170" s="685"/>
      <c r="AE170" s="14"/>
      <c r="AF170" s="14"/>
      <c r="AG170" s="370"/>
      <c r="AH170" s="370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367"/>
      <c r="AV170" s="367"/>
      <c r="AW170" s="367"/>
      <c r="AX170" s="367"/>
      <c r="AY170" s="367"/>
      <c r="AZ170" s="367"/>
      <c r="BA170" s="367"/>
    </row>
    <row r="171" spans="1:106" ht="17.25">
      <c r="A171" s="309" t="s">
        <v>504</v>
      </c>
      <c r="B171" s="362">
        <f>G164</f>
        <v>10993</v>
      </c>
      <c r="C171" s="677" t="s">
        <v>155</v>
      </c>
      <c r="D171" s="677"/>
      <c r="E171" s="654">
        <f>H164</f>
        <v>55764.04</v>
      </c>
      <c r="F171" s="654"/>
      <c r="G171" s="654" t="s">
        <v>34</v>
      </c>
      <c r="H171" s="654"/>
      <c r="I171" s="683">
        <f>L164</f>
        <v>23.690228867206013</v>
      </c>
      <c r="J171" s="683"/>
      <c r="K171" s="684" t="s">
        <v>32</v>
      </c>
      <c r="L171" s="684"/>
      <c r="M171" s="683">
        <f>J164</f>
        <v>21.920239282153538</v>
      </c>
      <c r="N171" s="683"/>
      <c r="O171" s="684"/>
      <c r="P171" s="654" t="s">
        <v>106</v>
      </c>
      <c r="Q171" s="654"/>
      <c r="R171" s="677">
        <f>SUM(O163:U163)</f>
        <v>0</v>
      </c>
      <c r="S171" s="677"/>
      <c r="T171" s="685" t="str">
        <f>IF(ISERROR(R171/R173),"",R171/R173)</f>
        <v/>
      </c>
      <c r="U171" s="685"/>
      <c r="V171" s="654" t="s">
        <v>46</v>
      </c>
      <c r="W171" s="654"/>
      <c r="X171" s="677">
        <f>SUM(P33,P90,P125,P141,P152,P167)</f>
        <v>0</v>
      </c>
      <c r="Y171" s="677"/>
      <c r="Z171" s="685" t="str">
        <f>IF(ISERROR(X171/X173),"",X171/X173)</f>
        <v/>
      </c>
      <c r="AA171" s="685"/>
      <c r="AE171" s="14"/>
      <c r="AF171" s="14"/>
      <c r="AG171" s="370"/>
      <c r="AH171" s="370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367"/>
      <c r="AV171" s="367"/>
      <c r="AW171" s="367"/>
      <c r="AX171" s="367"/>
      <c r="AY171" s="367"/>
      <c r="AZ171" s="367"/>
      <c r="BA171" s="367"/>
    </row>
    <row r="172" spans="1:106" ht="17.25">
      <c r="A172" s="310" t="s">
        <v>505</v>
      </c>
      <c r="B172" s="362">
        <f>I164+C170</f>
        <v>509.5</v>
      </c>
      <c r="C172" s="654" t="s">
        <v>114</v>
      </c>
      <c r="D172" s="654"/>
      <c r="E172" s="674">
        <f>K164+I170</f>
        <v>546.03097503280878</v>
      </c>
      <c r="F172" s="674"/>
      <c r="G172" s="654" t="s">
        <v>150</v>
      </c>
      <c r="H172" s="654"/>
      <c r="I172" s="683">
        <f>B172-E172</f>
        <v>-36.530975032808783</v>
      </c>
      <c r="J172" s="683"/>
      <c r="K172" s="684" t="s">
        <v>151</v>
      </c>
      <c r="L172" s="684"/>
      <c r="M172" s="686">
        <f>IF(ISERROR(I172/B172),"",I172/B172)</f>
        <v>-7.1699656590399966E-2</v>
      </c>
      <c r="N172" s="686"/>
      <c r="O172" s="684"/>
      <c r="P172" s="654" t="s">
        <v>107</v>
      </c>
      <c r="Q172" s="654"/>
      <c r="R172" s="677"/>
      <c r="S172" s="677"/>
      <c r="T172" s="685" t="str">
        <f>IF(ISERROR(R172/R173),"",R172/R173)</f>
        <v/>
      </c>
      <c r="U172" s="685"/>
      <c r="V172" s="654" t="s">
        <v>47</v>
      </c>
      <c r="W172" s="654"/>
      <c r="X172" s="677"/>
      <c r="Y172" s="677"/>
      <c r="Z172" s="685" t="str">
        <f>IF(ISERROR(X172/X173),"",X172/X173)</f>
        <v/>
      </c>
      <c r="AA172" s="685"/>
      <c r="AE172" s="14"/>
      <c r="AF172" s="14"/>
      <c r="AG172" s="370"/>
      <c r="AH172" s="370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367"/>
      <c r="AV172" s="367"/>
      <c r="AW172" s="367"/>
      <c r="AX172" s="367"/>
      <c r="AY172" s="367"/>
      <c r="AZ172" s="367"/>
      <c r="BA172" s="367"/>
    </row>
    <row r="173" spans="1:106" ht="15.75" customHeight="1">
      <c r="A173" s="310" t="s">
        <v>507</v>
      </c>
      <c r="B173" s="362">
        <f>N164</f>
        <v>0</v>
      </c>
      <c r="C173" s="654" t="s">
        <v>149</v>
      </c>
      <c r="D173" s="654"/>
      <c r="E173" s="685">
        <f>IF(ISERROR(B173/B172),"",B173/B172)</f>
        <v>0</v>
      </c>
      <c r="F173" s="685"/>
      <c r="G173" s="654" t="s">
        <v>158</v>
      </c>
      <c r="H173" s="654"/>
      <c r="I173" s="684">
        <f>V164</f>
        <v>0</v>
      </c>
      <c r="J173" s="684"/>
      <c r="K173" s="684" t="s">
        <v>156</v>
      </c>
      <c r="L173" s="684"/>
      <c r="M173" s="686">
        <f t="array" ref="M173">IF(ISERROR(I173/B171),"",I173/B171)</f>
        <v>0</v>
      </c>
      <c r="N173" s="686"/>
      <c r="O173" s="684"/>
      <c r="P173" s="654" t="s">
        <v>123</v>
      </c>
      <c r="Q173" s="654"/>
      <c r="R173" s="677">
        <f>SUM(R166:S172)</f>
        <v>0</v>
      </c>
      <c r="S173" s="677"/>
      <c r="T173" s="685">
        <f>SUM(T166:U172)</f>
        <v>0</v>
      </c>
      <c r="U173" s="685"/>
      <c r="V173" s="654" t="s">
        <v>123</v>
      </c>
      <c r="W173" s="654"/>
      <c r="X173" s="677">
        <f>SUM(X166:Y172)</f>
        <v>0</v>
      </c>
      <c r="Y173" s="677"/>
      <c r="Z173" s="685">
        <f>SUM(Z166:AA172)</f>
        <v>0</v>
      </c>
      <c r="AA173" s="685"/>
      <c r="AE173" s="14"/>
      <c r="AF173" s="14"/>
      <c r="AG173" s="370"/>
      <c r="AH173" s="370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367"/>
      <c r="AV173" s="367"/>
      <c r="AW173" s="367"/>
      <c r="AX173" s="367"/>
      <c r="AY173" s="367"/>
      <c r="AZ173" s="367"/>
      <c r="BA173" s="367"/>
    </row>
    <row r="174" spans="1:106">
      <c r="A174" s="716" t="s">
        <v>128</v>
      </c>
      <c r="B174" s="716"/>
      <c r="C174" s="716"/>
      <c r="D174" s="716"/>
      <c r="E174" s="716"/>
      <c r="F174" s="716"/>
      <c r="G174" s="716"/>
      <c r="H174" s="716"/>
      <c r="I174" s="716"/>
      <c r="J174" s="724"/>
      <c r="K174" s="716"/>
      <c r="L174" s="716"/>
      <c r="M174" s="716"/>
      <c r="N174" s="716"/>
      <c r="O174" s="716"/>
      <c r="P174" s="716"/>
      <c r="Q174" s="716"/>
      <c r="R174" s="716"/>
      <c r="S174" s="716"/>
      <c r="T174" s="716"/>
      <c r="U174" s="716"/>
      <c r="V174" s="716"/>
      <c r="W174" s="716"/>
      <c r="X174" s="716"/>
      <c r="Y174" s="716"/>
      <c r="Z174" s="716"/>
      <c r="AA174" s="716"/>
      <c r="AB174" s="716"/>
      <c r="AC174" s="716"/>
      <c r="AD174" s="716"/>
      <c r="AE174" s="716"/>
      <c r="AF174" s="716"/>
      <c r="AG174" s="716"/>
      <c r="AH174" s="716"/>
      <c r="AI174" s="716"/>
      <c r="AJ174" s="716"/>
      <c r="AK174" s="716"/>
      <c r="AL174" s="716"/>
      <c r="AM174" s="716"/>
      <c r="AN174" s="716"/>
      <c r="AO174" s="716"/>
      <c r="AP174" s="716"/>
      <c r="AQ174" s="716"/>
      <c r="AR174" s="716"/>
      <c r="AS174" s="716"/>
      <c r="AT174" s="716"/>
      <c r="AU174" s="716"/>
      <c r="AV174" s="716"/>
      <c r="AW174" s="716"/>
      <c r="AX174" s="716"/>
      <c r="AY174" s="716"/>
      <c r="AZ174" s="716"/>
      <c r="BA174" s="716"/>
    </row>
    <row r="175" spans="1:106">
      <c r="A175" s="604" t="s">
        <v>502</v>
      </c>
      <c r="B175" s="705" t="s">
        <v>25</v>
      </c>
      <c r="C175" s="705" t="s">
        <v>26</v>
      </c>
      <c r="D175" s="705" t="s">
        <v>27</v>
      </c>
      <c r="E175" s="717" t="s">
        <v>28</v>
      </c>
      <c r="F175" s="720" t="s">
        <v>29</v>
      </c>
      <c r="G175" s="684" t="s">
        <v>30</v>
      </c>
      <c r="H175" s="684"/>
      <c r="I175" s="705" t="s">
        <v>31</v>
      </c>
      <c r="J175" s="708" t="s">
        <v>32</v>
      </c>
      <c r="K175" s="711" t="s">
        <v>33</v>
      </c>
      <c r="L175" s="705" t="s">
        <v>34</v>
      </c>
      <c r="M175" s="714" t="s">
        <v>35</v>
      </c>
      <c r="N175" s="702" t="s">
        <v>36</v>
      </c>
      <c r="O175" s="684" t="s">
        <v>37</v>
      </c>
      <c r="P175" s="684"/>
      <c r="Q175" s="684"/>
      <c r="R175" s="684"/>
      <c r="S175" s="684"/>
      <c r="T175" s="684"/>
      <c r="U175" s="684"/>
      <c r="V175" s="703" t="s">
        <v>38</v>
      </c>
      <c r="W175" s="702" t="s">
        <v>39</v>
      </c>
      <c r="X175" s="684" t="s">
        <v>40</v>
      </c>
      <c r="Y175" s="684"/>
      <c r="Z175" s="684"/>
      <c r="AA175" s="684"/>
      <c r="AB175" s="21"/>
      <c r="AC175" s="21"/>
      <c r="AD175" s="21"/>
      <c r="AE175" s="21"/>
      <c r="AF175" s="21"/>
      <c r="AG175" s="21"/>
      <c r="AH175" s="21"/>
      <c r="AI175" s="704"/>
      <c r="AJ175" s="700"/>
      <c r="AK175" s="700"/>
      <c r="AL175" s="700"/>
      <c r="AM175" s="700"/>
      <c r="AN175" s="700"/>
      <c r="AO175" s="700"/>
      <c r="AP175" s="700"/>
      <c r="AQ175" s="700"/>
      <c r="AR175" s="700"/>
      <c r="AS175" s="700"/>
      <c r="AT175" s="700"/>
      <c r="AU175" s="700"/>
      <c r="AV175" s="700"/>
      <c r="AW175" s="700"/>
      <c r="AX175" s="700"/>
      <c r="AY175" s="700"/>
      <c r="AZ175" s="700"/>
      <c r="BA175" s="700"/>
    </row>
    <row r="176" spans="1:106" ht="15.75" customHeight="1">
      <c r="A176" s="605"/>
      <c r="B176" s="706"/>
      <c r="C176" s="706"/>
      <c r="D176" s="706"/>
      <c r="E176" s="718"/>
      <c r="F176" s="721"/>
      <c r="G176" s="684"/>
      <c r="H176" s="684"/>
      <c r="I176" s="706"/>
      <c r="J176" s="709"/>
      <c r="K176" s="712"/>
      <c r="L176" s="706"/>
      <c r="M176" s="715"/>
      <c r="N176" s="702"/>
      <c r="O176" s="684" t="s">
        <v>41</v>
      </c>
      <c r="P176" s="684" t="s">
        <v>42</v>
      </c>
      <c r="Q176" s="684" t="s">
        <v>43</v>
      </c>
      <c r="R176" s="701" t="s">
        <v>44</v>
      </c>
      <c r="S176" s="654" t="s">
        <v>45</v>
      </c>
      <c r="T176" s="684" t="s">
        <v>46</v>
      </c>
      <c r="U176" s="684" t="s">
        <v>47</v>
      </c>
      <c r="V176" s="703"/>
      <c r="W176" s="702"/>
      <c r="X176" s="684" t="s">
        <v>13</v>
      </c>
      <c r="Y176" s="684" t="s">
        <v>48</v>
      </c>
      <c r="Z176" s="684" t="s">
        <v>49</v>
      </c>
      <c r="AA176" s="684" t="s">
        <v>47</v>
      </c>
      <c r="AB176" s="21"/>
      <c r="AC176" s="21"/>
      <c r="AD176" s="21"/>
      <c r="AE176" s="21"/>
      <c r="AF176" s="21"/>
      <c r="AG176" s="21"/>
      <c r="AH176" s="21"/>
      <c r="AI176" s="704"/>
      <c r="AJ176" s="700"/>
      <c r="AK176" s="700"/>
      <c r="AL176" s="700"/>
      <c r="AM176" s="700"/>
      <c r="AN176" s="700"/>
      <c r="AO176" s="700"/>
      <c r="AP176" s="700"/>
      <c r="AQ176" s="700"/>
      <c r="AR176" s="700"/>
      <c r="AS176" s="723"/>
      <c r="AT176" s="723"/>
      <c r="AU176" s="723"/>
      <c r="AV176" s="723"/>
      <c r="AW176" s="723"/>
      <c r="AX176" s="723"/>
      <c r="AY176" s="723"/>
      <c r="AZ176" s="723"/>
      <c r="BA176" s="723"/>
    </row>
    <row r="177" spans="1:53" ht="15.75" customHeight="1">
      <c r="A177" s="606"/>
      <c r="B177" s="707"/>
      <c r="C177" s="707"/>
      <c r="D177" s="707"/>
      <c r="E177" s="719"/>
      <c r="F177" s="722"/>
      <c r="G177" s="358" t="s">
        <v>50</v>
      </c>
      <c r="H177" s="358" t="s">
        <v>51</v>
      </c>
      <c r="I177" s="707"/>
      <c r="J177" s="710"/>
      <c r="K177" s="713"/>
      <c r="L177" s="707"/>
      <c r="M177" s="715"/>
      <c r="N177" s="702"/>
      <c r="O177" s="684"/>
      <c r="P177" s="684"/>
      <c r="Q177" s="684"/>
      <c r="R177" s="701"/>
      <c r="S177" s="654"/>
      <c r="T177" s="684"/>
      <c r="U177" s="684"/>
      <c r="V177" s="703"/>
      <c r="W177" s="702"/>
      <c r="X177" s="684"/>
      <c r="Y177" s="684"/>
      <c r="Z177" s="684"/>
      <c r="AA177" s="684"/>
      <c r="AB177" s="21"/>
      <c r="AC177" s="21"/>
      <c r="AD177" s="21"/>
      <c r="AE177" s="21"/>
      <c r="AF177" s="21"/>
      <c r="AG177" s="21"/>
      <c r="AH177" s="21"/>
      <c r="AI177" s="704"/>
      <c r="AJ177" s="700"/>
      <c r="AK177" s="700"/>
      <c r="AL177" s="367"/>
      <c r="AM177" s="367"/>
      <c r="AN177" s="367"/>
      <c r="AO177" s="367"/>
      <c r="AP177" s="367"/>
      <c r="AQ177" s="367"/>
      <c r="AR177" s="367"/>
      <c r="AS177" s="21"/>
      <c r="AT177" s="21"/>
      <c r="AU177" s="21"/>
      <c r="AV177" s="368"/>
      <c r="AW177" s="367"/>
      <c r="AX177" s="367"/>
      <c r="AY177" s="367"/>
      <c r="AZ177" s="367"/>
      <c r="BA177" s="367"/>
    </row>
    <row r="178" spans="1:53">
      <c r="A178" s="315">
        <v>30100030</v>
      </c>
      <c r="B178" s="82" t="s">
        <v>52</v>
      </c>
      <c r="C178" s="81" t="s">
        <v>53</v>
      </c>
      <c r="D178" s="80">
        <v>5.03</v>
      </c>
      <c r="E178" s="80"/>
      <c r="F178" s="83"/>
      <c r="G178" s="93">
        <f>SUM('1:2'!G178)</f>
        <v>0</v>
      </c>
      <c r="H178" s="95">
        <f t="shared" ref="H178:H183" si="61">D178*G178</f>
        <v>0</v>
      </c>
      <c r="I178" s="93">
        <f>SUM('1:2'!I178)</f>
        <v>0</v>
      </c>
      <c r="J178" s="31" t="str">
        <f t="array" ref="J178">IF(ISERROR(G178/I178),"",G178/I178)</f>
        <v/>
      </c>
      <c r="K178" s="96">
        <f t="array" ref="K178">IF(ISERROR(G178/L178),"",G178/L178)</f>
        <v>0</v>
      </c>
      <c r="L178" s="84">
        <v>16</v>
      </c>
      <c r="M178" s="97">
        <f t="shared" ref="M178:M189" si="62">IF(ISERROR(I178-K178),"",I178-K178)</f>
        <v>0</v>
      </c>
      <c r="N178" s="93">
        <f>SUM('1:2'!N178)</f>
        <v>0</v>
      </c>
      <c r="O178" s="93">
        <f>SUM('1:2'!O178)</f>
        <v>0</v>
      </c>
      <c r="P178" s="93">
        <f>SUM('1:2'!P178)</f>
        <v>0</v>
      </c>
      <c r="Q178" s="93">
        <f>SUM('1:2'!Q178)</f>
        <v>0</v>
      </c>
      <c r="R178" s="93">
        <f>SUM('1:2'!R178)</f>
        <v>0</v>
      </c>
      <c r="S178" s="93">
        <f>SUM('1:2'!S178)</f>
        <v>0</v>
      </c>
      <c r="T178" s="93">
        <f>SUM('1:2'!T178)</f>
        <v>0</v>
      </c>
      <c r="U178" s="93">
        <f>SUM('1:2'!U178)</f>
        <v>0</v>
      </c>
      <c r="V178" s="206">
        <f t="shared" ref="V178:V189" si="63">SUM(X178:AA178)</f>
        <v>0</v>
      </c>
      <c r="W178" s="33" t="str">
        <f t="shared" ref="W178:W189" si="64">IF(ISERROR(V178/G178),"",V178/G178)</f>
        <v/>
      </c>
      <c r="X178" s="93">
        <f>SUM('1:2'!X178)</f>
        <v>0</v>
      </c>
      <c r="Y178" s="93">
        <f>SUM('1:2'!Y178)</f>
        <v>0</v>
      </c>
      <c r="Z178" s="93">
        <f>SUM('1:2'!Z178)</f>
        <v>0</v>
      </c>
      <c r="AA178" s="93">
        <f>SUM('1:2'!AA178)</f>
        <v>0</v>
      </c>
      <c r="AB178" s="73"/>
      <c r="AC178" s="54"/>
      <c r="AD178" s="370"/>
      <c r="AE178" s="54"/>
      <c r="AF178" s="54"/>
      <c r="AG178" s="54"/>
      <c r="AH178" s="54"/>
      <c r="AI178" s="57"/>
      <c r="AJ178" s="57"/>
      <c r="AK178" s="57"/>
      <c r="AL178" s="369"/>
      <c r="AM178" s="54"/>
      <c r="AN178" s="369"/>
      <c r="AO178" s="369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</row>
    <row r="179" spans="1:53">
      <c r="A179" s="300"/>
      <c r="B179" s="62" t="s">
        <v>54</v>
      </c>
      <c r="C179" s="16" t="s">
        <v>53</v>
      </c>
      <c r="D179" s="17">
        <v>5.03</v>
      </c>
      <c r="E179" s="17"/>
      <c r="F179" s="6"/>
      <c r="G179" s="93">
        <f>SUM('1:2'!G179)</f>
        <v>0</v>
      </c>
      <c r="H179" s="95">
        <f t="shared" si="61"/>
        <v>0</v>
      </c>
      <c r="I179" s="93">
        <f>SUM('1:2'!I179)</f>
        <v>0</v>
      </c>
      <c r="J179" s="31" t="str">
        <f t="array" ref="J179">IF(ISERROR(G179/I179),"",G179/I179)</f>
        <v/>
      </c>
      <c r="K179" s="35">
        <f t="array" ref="K179">IF(ISERROR(G179/L179),"",G179/L179)</f>
        <v>0</v>
      </c>
      <c r="L179" s="87">
        <v>19</v>
      </c>
      <c r="M179" s="36">
        <f t="shared" si="62"/>
        <v>0</v>
      </c>
      <c r="N179" s="93">
        <f>SUM('1:2'!N179)</f>
        <v>0</v>
      </c>
      <c r="O179" s="93">
        <f>SUM('1:2'!O179)</f>
        <v>0</v>
      </c>
      <c r="P179" s="93">
        <f>SUM('1:2'!P179)</f>
        <v>0</v>
      </c>
      <c r="Q179" s="93">
        <f>SUM('1:2'!Q179)</f>
        <v>0</v>
      </c>
      <c r="R179" s="93">
        <f>SUM('1:2'!R179)</f>
        <v>0</v>
      </c>
      <c r="S179" s="93">
        <f>SUM('1:2'!S179)</f>
        <v>0</v>
      </c>
      <c r="T179" s="93">
        <f>SUM('1:2'!T179)</f>
        <v>0</v>
      </c>
      <c r="U179" s="93">
        <f>SUM('1:2'!U179)</f>
        <v>0</v>
      </c>
      <c r="V179" s="206">
        <f t="shared" si="63"/>
        <v>0</v>
      </c>
      <c r="W179" s="33" t="str">
        <f t="shared" si="64"/>
        <v/>
      </c>
      <c r="X179" s="93">
        <f>SUM('1:2'!X179)</f>
        <v>0</v>
      </c>
      <c r="Y179" s="93">
        <f>SUM('1:2'!Y179)</f>
        <v>0</v>
      </c>
      <c r="Z179" s="93">
        <f>SUM('1:2'!Z179)</f>
        <v>0</v>
      </c>
      <c r="AA179" s="93">
        <f>SUM('1:2'!AA179)</f>
        <v>0</v>
      </c>
      <c r="AB179" s="73"/>
      <c r="AC179" s="54"/>
      <c r="AD179" s="370"/>
      <c r="AE179" s="54"/>
      <c r="AF179" s="54"/>
      <c r="AG179" s="54"/>
      <c r="AH179" s="54"/>
      <c r="AI179" s="57"/>
      <c r="AJ179" s="57"/>
      <c r="AK179" s="57"/>
      <c r="AL179" s="54"/>
      <c r="AM179" s="54"/>
      <c r="AN179" s="369"/>
      <c r="AO179" s="54"/>
      <c r="AP179" s="369"/>
      <c r="AQ179" s="54"/>
      <c r="AR179" s="54"/>
      <c r="AS179" s="369"/>
      <c r="AT179" s="369"/>
      <c r="AU179" s="369"/>
      <c r="AV179" s="369"/>
      <c r="AW179" s="55"/>
      <c r="AX179" s="54"/>
      <c r="AY179" s="54"/>
      <c r="AZ179" s="54"/>
      <c r="BA179" s="54"/>
    </row>
    <row r="180" spans="1:53">
      <c r="A180" s="301"/>
      <c r="B180" s="62" t="s">
        <v>54</v>
      </c>
      <c r="C180" s="16" t="s">
        <v>55</v>
      </c>
      <c r="D180" s="17">
        <v>5.03</v>
      </c>
      <c r="E180" s="17"/>
      <c r="F180" s="6"/>
      <c r="G180" s="93">
        <f>SUM('1:2'!G180)</f>
        <v>0</v>
      </c>
      <c r="H180" s="95">
        <f t="shared" si="61"/>
        <v>0</v>
      </c>
      <c r="I180" s="93">
        <f>SUM('1:2'!I180)</f>
        <v>0</v>
      </c>
      <c r="J180" s="31" t="str">
        <f t="array" ref="J180">IF(ISERROR(G180/I180),"",G180/I180)</f>
        <v/>
      </c>
      <c r="K180" s="35">
        <f t="array" ref="K180">IF(ISERROR(G180/L180),"",G180/L180)</f>
        <v>0</v>
      </c>
      <c r="L180" s="87">
        <v>19</v>
      </c>
      <c r="M180" s="36">
        <f t="shared" si="62"/>
        <v>0</v>
      </c>
      <c r="N180" s="93">
        <f>SUM('1:2'!N180)</f>
        <v>0</v>
      </c>
      <c r="O180" s="93">
        <f>SUM('1:2'!O180)</f>
        <v>0</v>
      </c>
      <c r="P180" s="93">
        <f>SUM('1:2'!P180)</f>
        <v>0</v>
      </c>
      <c r="Q180" s="93">
        <f>SUM('1:2'!Q180)</f>
        <v>0</v>
      </c>
      <c r="R180" s="93">
        <f>SUM('1:2'!R180)</f>
        <v>0</v>
      </c>
      <c r="S180" s="93">
        <f>SUM('1:2'!S180)</f>
        <v>0</v>
      </c>
      <c r="T180" s="93">
        <f>SUM('1:2'!T180)</f>
        <v>0</v>
      </c>
      <c r="U180" s="93">
        <f>SUM('1:2'!U180)</f>
        <v>0</v>
      </c>
      <c r="V180" s="206">
        <f t="shared" si="63"/>
        <v>0</v>
      </c>
      <c r="W180" s="33" t="str">
        <f t="shared" si="64"/>
        <v/>
      </c>
      <c r="X180" s="93">
        <f>SUM('1:2'!X180)</f>
        <v>0</v>
      </c>
      <c r="Y180" s="93">
        <f>SUM('1:2'!Y180)</f>
        <v>0</v>
      </c>
      <c r="Z180" s="93">
        <f>SUM('1:2'!Z180)</f>
        <v>0</v>
      </c>
      <c r="AA180" s="93">
        <f>SUM('1:2'!AA180)</f>
        <v>0</v>
      </c>
      <c r="AB180" s="73"/>
      <c r="AC180" s="54"/>
      <c r="AD180" s="370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369"/>
      <c r="AP180" s="54"/>
      <c r="AQ180" s="54"/>
      <c r="AR180" s="54"/>
      <c r="AS180" s="56"/>
      <c r="AT180" s="56"/>
      <c r="AU180" s="56"/>
      <c r="AV180" s="54"/>
      <c r="AW180" s="54"/>
      <c r="AX180" s="54"/>
      <c r="AY180" s="54"/>
      <c r="AZ180" s="54"/>
      <c r="BA180" s="54"/>
    </row>
    <row r="181" spans="1:53">
      <c r="A181" s="315">
        <v>30100048</v>
      </c>
      <c r="B181" s="62" t="s">
        <v>56</v>
      </c>
      <c r="C181" s="16" t="s">
        <v>53</v>
      </c>
      <c r="D181" s="17">
        <v>5.03</v>
      </c>
      <c r="E181" s="17"/>
      <c r="F181" s="6"/>
      <c r="G181" s="93">
        <f>SUM('1:2'!G181)</f>
        <v>211</v>
      </c>
      <c r="H181" s="95">
        <f t="shared" si="61"/>
        <v>1061.3300000000002</v>
      </c>
      <c r="I181" s="93">
        <f>SUM('1:2'!I181)</f>
        <v>22.05</v>
      </c>
      <c r="J181" s="31">
        <f t="array" ref="J181">IF(ISERROR(G181/I181),"",G181/I181)</f>
        <v>9.5691609977324266</v>
      </c>
      <c r="K181" s="35">
        <f t="array" ref="K181">IF(ISERROR(G181/L181),"",G181/L181)</f>
        <v>11.105263157894736</v>
      </c>
      <c r="L181" s="87">
        <v>19</v>
      </c>
      <c r="M181" s="36">
        <f t="shared" si="62"/>
        <v>10.944736842105264</v>
      </c>
      <c r="N181" s="93">
        <f>SUM('1:2'!N181)</f>
        <v>0</v>
      </c>
      <c r="O181" s="93">
        <f>SUM('1:2'!O181)</f>
        <v>0</v>
      </c>
      <c r="P181" s="93">
        <f>SUM('1:2'!P181)</f>
        <v>0</v>
      </c>
      <c r="Q181" s="93">
        <f>SUM('1:2'!Q181)</f>
        <v>0</v>
      </c>
      <c r="R181" s="93">
        <f>SUM('1:2'!R181)</f>
        <v>0</v>
      </c>
      <c r="S181" s="93">
        <f>SUM('1:2'!S181)</f>
        <v>0</v>
      </c>
      <c r="T181" s="93">
        <f>SUM('1:2'!T181)</f>
        <v>0</v>
      </c>
      <c r="U181" s="93">
        <f>SUM('1:2'!U181)</f>
        <v>0</v>
      </c>
      <c r="V181" s="206">
        <f t="shared" si="63"/>
        <v>0</v>
      </c>
      <c r="W181" s="33">
        <f t="shared" si="64"/>
        <v>0</v>
      </c>
      <c r="X181" s="93">
        <f>SUM('1:2'!X181)</f>
        <v>0</v>
      </c>
      <c r="Y181" s="93">
        <f>SUM('1:2'!Y181)</f>
        <v>0</v>
      </c>
      <c r="Z181" s="93">
        <f>SUM('1:2'!Z181)</f>
        <v>0</v>
      </c>
      <c r="AA181" s="93">
        <f>SUM('1:2'!AA181)</f>
        <v>0</v>
      </c>
      <c r="AB181" s="73"/>
      <c r="AC181" s="54"/>
      <c r="AD181" s="370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5"/>
      <c r="AW181" s="55"/>
      <c r="AX181" s="55"/>
      <c r="AY181" s="54"/>
      <c r="AZ181" s="54"/>
      <c r="BA181" s="54"/>
    </row>
    <row r="182" spans="1:53">
      <c r="A182" s="315">
        <v>30100047</v>
      </c>
      <c r="B182" s="62" t="s">
        <v>56</v>
      </c>
      <c r="C182" s="16" t="s">
        <v>57</v>
      </c>
      <c r="D182" s="17">
        <v>5.03</v>
      </c>
      <c r="E182" s="17"/>
      <c r="F182" s="6"/>
      <c r="G182" s="93">
        <f>SUM('1:2'!G182)</f>
        <v>785</v>
      </c>
      <c r="H182" s="95">
        <f t="shared" si="61"/>
        <v>3948.55</v>
      </c>
      <c r="I182" s="93">
        <f>SUM('1:2'!I182)</f>
        <v>52</v>
      </c>
      <c r="J182" s="31">
        <f t="array" ref="J182">IF(ISERROR(G182/I182),"",G182/I182)</f>
        <v>15.096153846153847</v>
      </c>
      <c r="K182" s="35">
        <f t="array" ref="K182">IF(ISERROR(G182/L182),"",G182/L182)</f>
        <v>39.25</v>
      </c>
      <c r="L182" s="87">
        <v>20</v>
      </c>
      <c r="M182" s="36">
        <f t="shared" si="62"/>
        <v>12.75</v>
      </c>
      <c r="N182" s="93">
        <f>SUM('1:2'!N182)</f>
        <v>0</v>
      </c>
      <c r="O182" s="93">
        <f>SUM('1:2'!O182)</f>
        <v>0</v>
      </c>
      <c r="P182" s="93">
        <f>SUM('1:2'!P182)</f>
        <v>0</v>
      </c>
      <c r="Q182" s="93">
        <f>SUM('1:2'!Q182)</f>
        <v>0</v>
      </c>
      <c r="R182" s="93">
        <f>SUM('1:2'!R182)</f>
        <v>0</v>
      </c>
      <c r="S182" s="93">
        <f>SUM('1:2'!S182)</f>
        <v>0</v>
      </c>
      <c r="T182" s="93">
        <f>SUM('1:2'!T182)</f>
        <v>0</v>
      </c>
      <c r="U182" s="93">
        <f>SUM('1:2'!U182)</f>
        <v>0</v>
      </c>
      <c r="V182" s="206">
        <f t="shared" si="63"/>
        <v>0</v>
      </c>
      <c r="W182" s="33">
        <f t="shared" si="64"/>
        <v>0</v>
      </c>
      <c r="X182" s="93">
        <f>SUM('1:2'!X182)</f>
        <v>0</v>
      </c>
      <c r="Y182" s="93">
        <f>SUM('1:2'!Y182)</f>
        <v>0</v>
      </c>
      <c r="Z182" s="93">
        <f>SUM('1:2'!Z182)</f>
        <v>0</v>
      </c>
      <c r="AA182" s="93">
        <f>SUM('1:2'!AA182)</f>
        <v>0</v>
      </c>
      <c r="AB182" s="73"/>
      <c r="AC182" s="54"/>
      <c r="AD182" s="370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>
      <c r="A183" s="315">
        <v>30100052</v>
      </c>
      <c r="B183" s="62" t="s">
        <v>58</v>
      </c>
      <c r="C183" s="16" t="s">
        <v>53</v>
      </c>
      <c r="D183" s="17">
        <v>5.04</v>
      </c>
      <c r="E183" s="17"/>
      <c r="F183" s="6"/>
      <c r="G183" s="93">
        <f>SUM('1:2'!G183)</f>
        <v>0</v>
      </c>
      <c r="H183" s="95">
        <f t="shared" si="61"/>
        <v>0</v>
      </c>
      <c r="I183" s="93">
        <f>SUM('1:2'!I183)</f>
        <v>0</v>
      </c>
      <c r="J183" s="31" t="str">
        <f t="array" ref="J183">IF(ISERROR(G183/I183),"",G183/I183)</f>
        <v/>
      </c>
      <c r="K183" s="35">
        <f t="array" ref="K183">IF(ISERROR(G183/L183),"",G183/L183)</f>
        <v>0</v>
      </c>
      <c r="L183" s="87">
        <v>19</v>
      </c>
      <c r="M183" s="36">
        <f t="shared" si="62"/>
        <v>0</v>
      </c>
      <c r="N183" s="93">
        <f>SUM('1:2'!N183)</f>
        <v>0</v>
      </c>
      <c r="O183" s="93">
        <f>SUM('1:2'!O183)</f>
        <v>0</v>
      </c>
      <c r="P183" s="93">
        <f>SUM('1:2'!P183)</f>
        <v>0</v>
      </c>
      <c r="Q183" s="93">
        <f>SUM('1:2'!Q183)</f>
        <v>0</v>
      </c>
      <c r="R183" s="93">
        <f>SUM('1:2'!R183)</f>
        <v>0</v>
      </c>
      <c r="S183" s="93">
        <f>SUM('1:2'!S183)</f>
        <v>0</v>
      </c>
      <c r="T183" s="93">
        <f>SUM('1:2'!T183)</f>
        <v>0</v>
      </c>
      <c r="U183" s="93">
        <f>SUM('1:2'!U183)</f>
        <v>0</v>
      </c>
      <c r="V183" s="206">
        <f t="shared" si="63"/>
        <v>0</v>
      </c>
      <c r="W183" s="33" t="str">
        <f t="shared" si="64"/>
        <v/>
      </c>
      <c r="X183" s="93">
        <f>SUM('1:2'!X183)</f>
        <v>0</v>
      </c>
      <c r="Y183" s="93">
        <f>SUM('1:2'!Y183)</f>
        <v>0</v>
      </c>
      <c r="Z183" s="93">
        <f>SUM('1:2'!Z183)</f>
        <v>0</v>
      </c>
      <c r="AA183" s="93">
        <f>SUM('1:2'!AA183)</f>
        <v>0</v>
      </c>
      <c r="AB183" s="73"/>
      <c r="AC183" s="54"/>
      <c r="AD183" s="370"/>
      <c r="AE183" s="54"/>
      <c r="AF183" s="54"/>
      <c r="AG183" s="54"/>
      <c r="AH183" s="54"/>
      <c r="AI183" s="57"/>
      <c r="AJ183" s="57"/>
      <c r="AK183" s="57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>
      <c r="A184" s="332">
        <v>30100059</v>
      </c>
      <c r="B184" s="62" t="s">
        <v>59</v>
      </c>
      <c r="C184" s="16" t="s">
        <v>60</v>
      </c>
      <c r="D184" s="17">
        <v>5.03</v>
      </c>
      <c r="E184" s="17"/>
      <c r="F184" s="6"/>
      <c r="G184" s="93">
        <f>SUM('1:2'!G184)</f>
        <v>0</v>
      </c>
      <c r="H184" s="95">
        <f>D184*G184</f>
        <v>0</v>
      </c>
      <c r="I184" s="93">
        <f>SUM('1:2'!I184)</f>
        <v>0</v>
      </c>
      <c r="J184" s="31" t="str">
        <f t="array" ref="J184">IF(ISERROR(G184/I184),"",G184/I184)</f>
        <v/>
      </c>
      <c r="K184" s="35">
        <f t="array" ref="K184">IF(ISERROR(G184/L184),"",G184/L184)</f>
        <v>0</v>
      </c>
      <c r="L184" s="87">
        <v>3</v>
      </c>
      <c r="M184" s="36">
        <f t="shared" si="62"/>
        <v>0</v>
      </c>
      <c r="N184" s="93">
        <f>SUM('1:2'!N184)</f>
        <v>0</v>
      </c>
      <c r="O184" s="93">
        <f>SUM('1:2'!O184)</f>
        <v>0</v>
      </c>
      <c r="P184" s="93">
        <f>SUM('1:2'!P184)</f>
        <v>0</v>
      </c>
      <c r="Q184" s="93">
        <f>SUM('1:2'!Q184)</f>
        <v>0</v>
      </c>
      <c r="R184" s="93">
        <f>SUM('1:2'!R184)</f>
        <v>0</v>
      </c>
      <c r="S184" s="93">
        <f>SUM('1:2'!S184)</f>
        <v>0</v>
      </c>
      <c r="T184" s="93">
        <f>SUM('1:2'!T184)</f>
        <v>0</v>
      </c>
      <c r="U184" s="93">
        <f>SUM('1:2'!U184)</f>
        <v>0</v>
      </c>
      <c r="V184" s="206">
        <f t="shared" si="63"/>
        <v>0</v>
      </c>
      <c r="W184" s="33" t="str">
        <f t="shared" si="64"/>
        <v/>
      </c>
      <c r="X184" s="93">
        <f>SUM('1:2'!X184)</f>
        <v>0</v>
      </c>
      <c r="Y184" s="93">
        <f>SUM('1:2'!Y184)</f>
        <v>0</v>
      </c>
      <c r="Z184" s="93">
        <f>SUM('1:2'!Z184)</f>
        <v>0</v>
      </c>
      <c r="AA184" s="93">
        <f>SUM('1:2'!AA184)</f>
        <v>0</v>
      </c>
      <c r="AB184" s="73"/>
      <c r="AC184" s="54"/>
      <c r="AD184" s="370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>
      <c r="A185" s="302">
        <v>30100060</v>
      </c>
      <c r="B185" s="62" t="s">
        <v>59</v>
      </c>
      <c r="C185" s="16" t="s">
        <v>61</v>
      </c>
      <c r="D185" s="17">
        <v>5.03</v>
      </c>
      <c r="E185" s="17"/>
      <c r="F185" s="6"/>
      <c r="G185" s="93">
        <f>SUM('1:2'!G185)</f>
        <v>0</v>
      </c>
      <c r="H185" s="95">
        <f t="shared" ref="H185:H198" si="65">D185*G185</f>
        <v>0</v>
      </c>
      <c r="I185" s="93">
        <f>SUM('1:2'!I185)</f>
        <v>0</v>
      </c>
      <c r="J185" s="31" t="str">
        <f t="array" ref="J185">IF(ISERROR(G185/I185),"",G185/I185)</f>
        <v/>
      </c>
      <c r="K185" s="35">
        <f t="array" ref="K185">IF(ISERROR(G185/L185),"",G185/L185)</f>
        <v>0</v>
      </c>
      <c r="L185" s="87">
        <v>3</v>
      </c>
      <c r="M185" s="36">
        <f t="shared" si="62"/>
        <v>0</v>
      </c>
      <c r="N185" s="93">
        <f>SUM('1:2'!N185)</f>
        <v>0</v>
      </c>
      <c r="O185" s="93">
        <f>SUM('1:2'!O185)</f>
        <v>0</v>
      </c>
      <c r="P185" s="93">
        <f>SUM('1:2'!P185)</f>
        <v>0</v>
      </c>
      <c r="Q185" s="93">
        <f>SUM('1:2'!Q185)</f>
        <v>0</v>
      </c>
      <c r="R185" s="93">
        <f>SUM('1:2'!R185)</f>
        <v>0</v>
      </c>
      <c r="S185" s="93">
        <f>SUM('1:2'!S185)</f>
        <v>0</v>
      </c>
      <c r="T185" s="93">
        <f>SUM('1:2'!T185)</f>
        <v>0</v>
      </c>
      <c r="U185" s="93">
        <f>SUM('1:2'!U185)</f>
        <v>0</v>
      </c>
      <c r="V185" s="206">
        <f t="shared" si="63"/>
        <v>0</v>
      </c>
      <c r="W185" s="33" t="str">
        <f t="shared" si="64"/>
        <v/>
      </c>
      <c r="X185" s="93">
        <f>SUM('1:2'!X185)</f>
        <v>0</v>
      </c>
      <c r="Y185" s="93">
        <f>SUM('1:2'!Y185)</f>
        <v>0</v>
      </c>
      <c r="Z185" s="93">
        <f>SUM('1:2'!Z185)</f>
        <v>0</v>
      </c>
      <c r="AA185" s="93">
        <f>SUM('1:2'!AA185)</f>
        <v>0</v>
      </c>
      <c r="AB185" s="73"/>
      <c r="AC185" s="54"/>
      <c r="AD185" s="370"/>
      <c r="AE185" s="54"/>
      <c r="AF185" s="54"/>
      <c r="AG185" s="54"/>
      <c r="AH185" s="54"/>
      <c r="AI185" s="57"/>
      <c r="AJ185" s="57"/>
      <c r="AK185" s="57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>
      <c r="A186" s="300">
        <v>30200006</v>
      </c>
      <c r="B186" s="62" t="s">
        <v>62</v>
      </c>
      <c r="C186" s="16" t="s">
        <v>63</v>
      </c>
      <c r="D186" s="17">
        <v>5.04</v>
      </c>
      <c r="E186" s="17"/>
      <c r="F186" s="79"/>
      <c r="G186" s="93">
        <f>SUM('1:2'!G186)</f>
        <v>0</v>
      </c>
      <c r="H186" s="95">
        <f t="shared" si="65"/>
        <v>0</v>
      </c>
      <c r="I186" s="93">
        <f>SUM('1:2'!I186)</f>
        <v>0</v>
      </c>
      <c r="J186" s="31" t="str">
        <f t="array" ref="J186">IF(ISERROR(G186/I186),"",G186/I186)</f>
        <v/>
      </c>
      <c r="K186" s="35">
        <f t="array" ref="K186">IF(ISERROR(G186/L186),"",G186/L186)</f>
        <v>0</v>
      </c>
      <c r="L186" s="87">
        <v>17</v>
      </c>
      <c r="M186" s="36">
        <f t="shared" si="62"/>
        <v>0</v>
      </c>
      <c r="N186" s="93">
        <f>SUM('1:2'!N186)</f>
        <v>0</v>
      </c>
      <c r="O186" s="93">
        <f>SUM('1:2'!O186)</f>
        <v>0</v>
      </c>
      <c r="P186" s="93">
        <f>SUM('1:2'!P186)</f>
        <v>0</v>
      </c>
      <c r="Q186" s="93">
        <f>SUM('1:2'!Q186)</f>
        <v>0</v>
      </c>
      <c r="R186" s="93">
        <f>SUM('1:2'!R186)</f>
        <v>0</v>
      </c>
      <c r="S186" s="93">
        <f>SUM('1:2'!S186)</f>
        <v>0</v>
      </c>
      <c r="T186" s="93">
        <f>SUM('1:2'!T186)</f>
        <v>0</v>
      </c>
      <c r="U186" s="93">
        <f>SUM('1:2'!U186)</f>
        <v>0</v>
      </c>
      <c r="V186" s="206">
        <f t="shared" si="63"/>
        <v>0</v>
      </c>
      <c r="W186" s="33" t="str">
        <f t="shared" si="64"/>
        <v/>
      </c>
      <c r="X186" s="93">
        <f>SUM('1:2'!X186)</f>
        <v>0</v>
      </c>
      <c r="Y186" s="93">
        <f>SUM('1:2'!Y186)</f>
        <v>0</v>
      </c>
      <c r="Z186" s="93">
        <f>SUM('1:2'!Z186)</f>
        <v>0</v>
      </c>
      <c r="AA186" s="93">
        <f>SUM('1:2'!AA186)</f>
        <v>0</v>
      </c>
      <c r="AB186" s="73"/>
      <c r="AC186" s="54"/>
      <c r="AD186" s="370"/>
      <c r="AE186" s="54"/>
      <c r="AF186" s="54"/>
      <c r="AG186" s="54"/>
      <c r="AH186" s="54"/>
      <c r="AI186" s="57"/>
      <c r="AJ186" s="57"/>
      <c r="AK186" s="57"/>
      <c r="AL186" s="369"/>
      <c r="AM186" s="54"/>
      <c r="AN186" s="54"/>
      <c r="AO186" s="54"/>
      <c r="AP186" s="369"/>
      <c r="AQ186" s="369"/>
      <c r="AR186" s="369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>
      <c r="A187" s="300">
        <v>30200005</v>
      </c>
      <c r="B187" s="62" t="s">
        <v>62</v>
      </c>
      <c r="C187" s="16" t="s">
        <v>64</v>
      </c>
      <c r="D187" s="17">
        <v>5.04</v>
      </c>
      <c r="E187" s="17"/>
      <c r="F187" s="79"/>
      <c r="G187" s="93">
        <f>SUM('1:2'!G187)</f>
        <v>563</v>
      </c>
      <c r="H187" s="95">
        <f t="shared" si="65"/>
        <v>2837.52</v>
      </c>
      <c r="I187" s="93">
        <f>SUM('1:2'!I187)</f>
        <v>37.5</v>
      </c>
      <c r="J187" s="31">
        <f t="array" ref="J187">IF(ISERROR(G187/I187),"",G187/I187)</f>
        <v>15.013333333333334</v>
      </c>
      <c r="K187" s="35">
        <f t="array" ref="K187">IF(ISERROR(G187/L187),"",G187/L187)</f>
        <v>33.117647058823529</v>
      </c>
      <c r="L187" s="87">
        <v>17</v>
      </c>
      <c r="M187" s="36">
        <f t="shared" si="62"/>
        <v>4.382352941176471</v>
      </c>
      <c r="N187" s="93">
        <f>SUM('1:2'!N187)</f>
        <v>0</v>
      </c>
      <c r="O187" s="93">
        <f>SUM('1:2'!O187)</f>
        <v>0</v>
      </c>
      <c r="P187" s="93">
        <f>SUM('1:2'!P187)</f>
        <v>0</v>
      </c>
      <c r="Q187" s="93">
        <f>SUM('1:2'!Q187)</f>
        <v>0</v>
      </c>
      <c r="R187" s="93">
        <f>SUM('1:2'!R187)</f>
        <v>0</v>
      </c>
      <c r="S187" s="93">
        <f>SUM('1:2'!S187)</f>
        <v>0</v>
      </c>
      <c r="T187" s="93">
        <f>SUM('1:2'!T187)</f>
        <v>0</v>
      </c>
      <c r="U187" s="93">
        <f>SUM('1:2'!U187)</f>
        <v>0</v>
      </c>
      <c r="V187" s="206">
        <f t="shared" si="63"/>
        <v>0</v>
      </c>
      <c r="W187" s="33">
        <f t="shared" si="64"/>
        <v>0</v>
      </c>
      <c r="X187" s="93">
        <f>SUM('1:2'!X187)</f>
        <v>0</v>
      </c>
      <c r="Y187" s="93">
        <f>SUM('1:2'!Y187)</f>
        <v>0</v>
      </c>
      <c r="Z187" s="93">
        <f>SUM('1:2'!Z187)</f>
        <v>0</v>
      </c>
      <c r="AA187" s="93">
        <f>SUM('1:2'!AA187)</f>
        <v>0</v>
      </c>
      <c r="AB187" s="73"/>
      <c r="AC187" s="54"/>
      <c r="AD187" s="370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>
      <c r="A188" s="302">
        <v>30100063</v>
      </c>
      <c r="B188" s="202" t="s">
        <v>171</v>
      </c>
      <c r="C188" s="16" t="s">
        <v>172</v>
      </c>
      <c r="D188" s="108"/>
      <c r="E188" s="17"/>
      <c r="F188" s="6"/>
      <c r="G188" s="93">
        <f>SUM('1:2'!G188)</f>
        <v>0</v>
      </c>
      <c r="H188" s="95">
        <f t="shared" si="65"/>
        <v>0</v>
      </c>
      <c r="I188" s="93">
        <f>SUM('1:2'!I188)</f>
        <v>0</v>
      </c>
      <c r="J188" s="31" t="str">
        <f t="array" ref="J188">IF(ISERROR(G188/I188),"",G188/I188)</f>
        <v/>
      </c>
      <c r="K188" s="35">
        <f t="array" ref="K188">IF(ISERROR(G188/L188),"",G188/L188)</f>
        <v>0</v>
      </c>
      <c r="L188" s="87">
        <v>17</v>
      </c>
      <c r="M188" s="36">
        <f t="shared" si="62"/>
        <v>0</v>
      </c>
      <c r="N188" s="93">
        <f>SUM('1:2'!N188)</f>
        <v>0</v>
      </c>
      <c r="O188" s="93">
        <f>SUM('1:2'!O188)</f>
        <v>0</v>
      </c>
      <c r="P188" s="93">
        <f>SUM('1:2'!P188)</f>
        <v>0</v>
      </c>
      <c r="Q188" s="93">
        <f>SUM('1:2'!Q188)</f>
        <v>0</v>
      </c>
      <c r="R188" s="93">
        <f>SUM('1:2'!R188)</f>
        <v>0</v>
      </c>
      <c r="S188" s="93">
        <f>SUM('1:2'!S188)</f>
        <v>0</v>
      </c>
      <c r="T188" s="93">
        <f>SUM('1:2'!T188)</f>
        <v>0</v>
      </c>
      <c r="U188" s="93">
        <f>SUM('1:2'!U188)</f>
        <v>0</v>
      </c>
      <c r="V188" s="206">
        <f t="shared" si="63"/>
        <v>0</v>
      </c>
      <c r="W188" s="33" t="str">
        <f t="shared" si="64"/>
        <v/>
      </c>
      <c r="X188" s="93">
        <f>SUM('1:2'!X188)</f>
        <v>0</v>
      </c>
      <c r="Y188" s="93">
        <f>SUM('1:2'!Y188)</f>
        <v>0</v>
      </c>
      <c r="Z188" s="93">
        <f>SUM('1:2'!Z188)</f>
        <v>0</v>
      </c>
      <c r="AA188" s="93">
        <f>SUM('1:2'!AA188)</f>
        <v>0</v>
      </c>
      <c r="AB188" s="73"/>
      <c r="AC188" s="54"/>
      <c r="AD188" s="370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>
      <c r="A189" s="302">
        <v>30100061</v>
      </c>
      <c r="B189" s="202" t="s">
        <v>171</v>
      </c>
      <c r="C189" s="16" t="s">
        <v>173</v>
      </c>
      <c r="D189" s="108"/>
      <c r="E189" s="17"/>
      <c r="F189" s="6"/>
      <c r="G189" s="93">
        <f>SUM('1:2'!G189)</f>
        <v>0</v>
      </c>
      <c r="H189" s="95">
        <f t="shared" si="65"/>
        <v>0</v>
      </c>
      <c r="I189" s="93">
        <f>SUM('1:2'!I189)</f>
        <v>0</v>
      </c>
      <c r="J189" s="31" t="str">
        <f t="array" ref="J189">IF(ISERROR(G189/I189),"",G189/I189)</f>
        <v/>
      </c>
      <c r="K189" s="35">
        <f t="array" ref="K189">IF(ISERROR(G189/L189),"",G189/L189)</f>
        <v>0</v>
      </c>
      <c r="L189" s="87">
        <v>17</v>
      </c>
      <c r="M189" s="36">
        <f t="shared" si="62"/>
        <v>0</v>
      </c>
      <c r="N189" s="93">
        <f>SUM('1:2'!N189)</f>
        <v>0</v>
      </c>
      <c r="O189" s="93">
        <f>SUM('1:2'!O189)</f>
        <v>0</v>
      </c>
      <c r="P189" s="93">
        <f>SUM('1:2'!P189)</f>
        <v>0</v>
      </c>
      <c r="Q189" s="93">
        <f>SUM('1:2'!Q189)</f>
        <v>0</v>
      </c>
      <c r="R189" s="93">
        <f>SUM('1:2'!R189)</f>
        <v>0</v>
      </c>
      <c r="S189" s="93">
        <f>SUM('1:2'!S189)</f>
        <v>0</v>
      </c>
      <c r="T189" s="93">
        <f>SUM('1:2'!T189)</f>
        <v>0</v>
      </c>
      <c r="U189" s="93">
        <f>SUM('1:2'!U189)</f>
        <v>0</v>
      </c>
      <c r="V189" s="206">
        <f t="shared" si="63"/>
        <v>0</v>
      </c>
      <c r="W189" s="33" t="str">
        <f t="shared" si="64"/>
        <v/>
      </c>
      <c r="X189" s="93">
        <f>SUM('1:2'!X189)</f>
        <v>0</v>
      </c>
      <c r="Y189" s="93">
        <f>SUM('1:2'!Y189)</f>
        <v>0</v>
      </c>
      <c r="Z189" s="93">
        <f>SUM('1:2'!Z189)</f>
        <v>0</v>
      </c>
      <c r="AA189" s="93">
        <f>SUM('1:2'!AA189)</f>
        <v>0</v>
      </c>
      <c r="AB189" s="73"/>
      <c r="AC189" s="54"/>
      <c r="AD189" s="370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>
      <c r="A190" s="300">
        <v>30200001</v>
      </c>
      <c r="B190" s="202" t="s">
        <v>67</v>
      </c>
      <c r="C190" s="16" t="s">
        <v>63</v>
      </c>
      <c r="D190" s="108">
        <v>5.0599999999999996</v>
      </c>
      <c r="E190" s="17"/>
      <c r="F190" s="6"/>
      <c r="G190" s="93">
        <f>SUM('1:2'!G190)</f>
        <v>793</v>
      </c>
      <c r="H190" s="95">
        <f t="shared" si="65"/>
        <v>4012.5799999999995</v>
      </c>
      <c r="I190" s="93">
        <f>SUM('1:2'!I190)</f>
        <v>61.5</v>
      </c>
      <c r="J190" s="31">
        <f t="array" ref="J190">IF(ISERROR(G190/I190),"",G190/I190)</f>
        <v>12.894308943089431</v>
      </c>
      <c r="K190" s="35">
        <f t="array" ref="K190">IF(ISERROR(G190/L190),"",G190/L190)</f>
        <v>41.736842105263158</v>
      </c>
      <c r="L190" s="87">
        <v>19</v>
      </c>
      <c r="M190" s="36">
        <f>IF(ISERROR(I190-K190),"",I190-K190)</f>
        <v>19.763157894736842</v>
      </c>
      <c r="N190" s="93">
        <f>SUM('1:2'!N190)</f>
        <v>0</v>
      </c>
      <c r="O190" s="93">
        <f>SUM('1:2'!O190)</f>
        <v>0</v>
      </c>
      <c r="P190" s="93">
        <f>SUM('1:2'!P190)</f>
        <v>0</v>
      </c>
      <c r="Q190" s="93">
        <f>SUM('1:2'!Q190)</f>
        <v>0</v>
      </c>
      <c r="R190" s="93">
        <f>SUM('1:2'!R190)</f>
        <v>0</v>
      </c>
      <c r="S190" s="93">
        <f>SUM('1:2'!S190)</f>
        <v>0</v>
      </c>
      <c r="T190" s="93">
        <f>SUM('1:2'!T190)</f>
        <v>0</v>
      </c>
      <c r="U190" s="93">
        <f>SUM('1:2'!U190)</f>
        <v>0</v>
      </c>
      <c r="V190" s="206">
        <f>SUM(X190:AA190)</f>
        <v>0</v>
      </c>
      <c r="W190" s="33">
        <f>IF(ISERROR(V190/G190),"",V190/G190)</f>
        <v>0</v>
      </c>
      <c r="X190" s="93">
        <f>SUM('1:2'!X190)</f>
        <v>0</v>
      </c>
      <c r="Y190" s="93">
        <f>SUM('1:2'!Y190)</f>
        <v>0</v>
      </c>
      <c r="Z190" s="93">
        <f>SUM('1:2'!Z190)</f>
        <v>0</v>
      </c>
      <c r="AA190" s="93">
        <f>SUM('1:2'!AA190)</f>
        <v>0</v>
      </c>
      <c r="AB190" s="73"/>
      <c r="AC190" s="54"/>
      <c r="AD190" s="370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>
      <c r="A191" s="300">
        <v>30200002</v>
      </c>
      <c r="B191" s="62" t="s">
        <v>68</v>
      </c>
      <c r="C191" s="16" t="s">
        <v>63</v>
      </c>
      <c r="D191" s="17">
        <v>5.09</v>
      </c>
      <c r="E191" s="17"/>
      <c r="F191" s="6"/>
      <c r="G191" s="93">
        <f>SUM('1:2'!G191)</f>
        <v>1183</v>
      </c>
      <c r="H191" s="95">
        <f t="shared" si="65"/>
        <v>6021.47</v>
      </c>
      <c r="I191" s="93">
        <f>SUM('1:2'!I191)</f>
        <v>57.5</v>
      </c>
      <c r="J191" s="31">
        <f t="array" ref="J191">IF(ISERROR(G191/I191),"",G191/I191)</f>
        <v>20.57391304347826</v>
      </c>
      <c r="K191" s="35">
        <f t="array" ref="K191">IF(ISERROR(G191/L191),"",G191/L191)</f>
        <v>51.434782608695649</v>
      </c>
      <c r="L191" s="87">
        <v>23</v>
      </c>
      <c r="M191" s="36">
        <f t="shared" ref="M191:M194" si="66">IF(ISERROR(I191-K191),"",I191-K191)</f>
        <v>6.0652173913043512</v>
      </c>
      <c r="N191" s="93">
        <f>SUM('1:2'!N191)</f>
        <v>0</v>
      </c>
      <c r="O191" s="93">
        <f>SUM('1:2'!O191)</f>
        <v>0</v>
      </c>
      <c r="P191" s="93">
        <f>SUM('1:2'!P191)</f>
        <v>0</v>
      </c>
      <c r="Q191" s="93">
        <f>SUM('1:2'!Q191)</f>
        <v>0</v>
      </c>
      <c r="R191" s="93">
        <f>SUM('1:2'!R191)</f>
        <v>0</v>
      </c>
      <c r="S191" s="93">
        <f>SUM('1:2'!S191)</f>
        <v>0</v>
      </c>
      <c r="T191" s="93">
        <f>SUM('1:2'!T191)</f>
        <v>0</v>
      </c>
      <c r="U191" s="93">
        <f>SUM('1:2'!U191)</f>
        <v>0</v>
      </c>
      <c r="V191" s="206">
        <f t="shared" ref="V191:V194" si="67">SUM(X191:AA191)</f>
        <v>0</v>
      </c>
      <c r="W191" s="33">
        <f t="shared" ref="W191:W194" si="68">IF(ISERROR(V191/G191),"",V191/G191)</f>
        <v>0</v>
      </c>
      <c r="X191" s="93">
        <f>SUM('1:2'!X191)</f>
        <v>0</v>
      </c>
      <c r="Y191" s="93">
        <f>SUM('1:2'!Y191)</f>
        <v>0</v>
      </c>
      <c r="Z191" s="93">
        <f>SUM('1:2'!Z191)</f>
        <v>0</v>
      </c>
      <c r="AA191" s="93">
        <f>SUM('1:2'!AA191)</f>
        <v>0</v>
      </c>
      <c r="AB191" s="73"/>
      <c r="AC191" s="54"/>
      <c r="AD191" s="370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>
      <c r="A192" s="300">
        <v>30200003</v>
      </c>
      <c r="B192" s="62" t="s">
        <v>68</v>
      </c>
      <c r="C192" s="16" t="s">
        <v>64</v>
      </c>
      <c r="D192" s="17">
        <v>5.09</v>
      </c>
      <c r="E192" s="17"/>
      <c r="F192" s="6"/>
      <c r="G192" s="93">
        <f>SUM('1:2'!G192)</f>
        <v>1100</v>
      </c>
      <c r="H192" s="95">
        <f t="shared" si="65"/>
        <v>5599</v>
      </c>
      <c r="I192" s="93">
        <f>SUM('1:2'!I192)</f>
        <v>62.5</v>
      </c>
      <c r="J192" s="31">
        <f t="array" ref="J192">IF(ISERROR(G192/I192),"",G192/I192)</f>
        <v>17.600000000000001</v>
      </c>
      <c r="K192" s="35">
        <f t="array" ref="K192">IF(ISERROR(G192/L192),"",G192/L192)</f>
        <v>47.826086956521742</v>
      </c>
      <c r="L192" s="87">
        <v>23</v>
      </c>
      <c r="M192" s="36">
        <f t="shared" si="66"/>
        <v>14.673913043478258</v>
      </c>
      <c r="N192" s="93">
        <f>SUM('1:2'!N192)</f>
        <v>0</v>
      </c>
      <c r="O192" s="93">
        <f>SUM('1:2'!O192)</f>
        <v>0</v>
      </c>
      <c r="P192" s="93">
        <f>SUM('1:2'!P192)</f>
        <v>0</v>
      </c>
      <c r="Q192" s="93">
        <f>SUM('1:2'!Q192)</f>
        <v>0</v>
      </c>
      <c r="R192" s="93">
        <f>SUM('1:2'!R192)</f>
        <v>0</v>
      </c>
      <c r="S192" s="93">
        <f>SUM('1:2'!S192)</f>
        <v>0</v>
      </c>
      <c r="T192" s="93">
        <f>SUM('1:2'!T192)</f>
        <v>0</v>
      </c>
      <c r="U192" s="93">
        <f>SUM('1:2'!U192)</f>
        <v>0</v>
      </c>
      <c r="V192" s="206">
        <f t="shared" si="67"/>
        <v>0</v>
      </c>
      <c r="W192" s="33">
        <f t="shared" si="68"/>
        <v>0</v>
      </c>
      <c r="X192" s="93">
        <f>SUM('1:2'!X192)</f>
        <v>0</v>
      </c>
      <c r="Y192" s="93">
        <f>SUM('1:2'!Y192)</f>
        <v>0</v>
      </c>
      <c r="Z192" s="93">
        <f>SUM('1:2'!Z192)</f>
        <v>0</v>
      </c>
      <c r="AA192" s="93">
        <f>SUM('1:2'!AA192)</f>
        <v>0</v>
      </c>
      <c r="AB192" s="73"/>
      <c r="AC192" s="54"/>
      <c r="AD192" s="370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>
      <c r="A193" s="300">
        <v>30100003</v>
      </c>
      <c r="B193" s="141" t="s">
        <v>198</v>
      </c>
      <c r="C193" s="356" t="s">
        <v>190</v>
      </c>
      <c r="D193" s="108">
        <v>4.8</v>
      </c>
      <c r="E193" s="17"/>
      <c r="F193" s="6"/>
      <c r="G193" s="93">
        <f>SUM('1:2'!G193)</f>
        <v>0</v>
      </c>
      <c r="H193" s="95">
        <f t="shared" si="65"/>
        <v>0</v>
      </c>
      <c r="I193" s="93">
        <f>SUM('1:2'!I193)</f>
        <v>0</v>
      </c>
      <c r="J193" s="31" t="str">
        <f t="array" ref="J193">IF(ISERROR(G193/I193),"",G193/I193)</f>
        <v/>
      </c>
      <c r="K193" s="35">
        <f t="array" ref="K193">IF(ISERROR(G193/L193),"",G193/L193)</f>
        <v>0</v>
      </c>
      <c r="L193" s="87">
        <v>4</v>
      </c>
      <c r="M193" s="36">
        <f t="shared" si="66"/>
        <v>0</v>
      </c>
      <c r="N193" s="93">
        <f>SUM('1:2'!N193)</f>
        <v>0</v>
      </c>
      <c r="O193" s="93">
        <f>SUM('1:2'!O193)</f>
        <v>0</v>
      </c>
      <c r="P193" s="93">
        <f>SUM('1:2'!P193)</f>
        <v>0</v>
      </c>
      <c r="Q193" s="93">
        <f>SUM('1:2'!Q193)</f>
        <v>0</v>
      </c>
      <c r="R193" s="93">
        <f>SUM('1:2'!R193)</f>
        <v>0</v>
      </c>
      <c r="S193" s="93">
        <f>SUM('1:2'!S193)</f>
        <v>0</v>
      </c>
      <c r="T193" s="93">
        <f>SUM('1:2'!T193)</f>
        <v>0</v>
      </c>
      <c r="U193" s="93">
        <f>SUM('1:2'!U193)</f>
        <v>0</v>
      </c>
      <c r="V193" s="206">
        <f t="shared" si="67"/>
        <v>0</v>
      </c>
      <c r="W193" s="33" t="str">
        <f t="shared" si="68"/>
        <v/>
      </c>
      <c r="X193" s="93">
        <f>SUM('1:2'!X193)</f>
        <v>0</v>
      </c>
      <c r="Y193" s="93">
        <f>SUM('1:2'!Y193)</f>
        <v>0</v>
      </c>
      <c r="Z193" s="93">
        <f>SUM('1:2'!Z193)</f>
        <v>0</v>
      </c>
      <c r="AA193" s="93">
        <f>SUM('1:2'!AA193)</f>
        <v>0</v>
      </c>
      <c r="AB193" s="73"/>
      <c r="AC193" s="54"/>
      <c r="AD193" s="370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>
      <c r="A194" s="300">
        <v>30100004</v>
      </c>
      <c r="B194" s="141" t="s">
        <v>198</v>
      </c>
      <c r="C194" s="356" t="s">
        <v>187</v>
      </c>
      <c r="D194" s="108">
        <v>4.8</v>
      </c>
      <c r="E194" s="17"/>
      <c r="F194" s="13"/>
      <c r="G194" s="93">
        <f>SUM('1:2'!G194)</f>
        <v>0</v>
      </c>
      <c r="H194" s="95">
        <f t="shared" si="65"/>
        <v>0</v>
      </c>
      <c r="I194" s="93">
        <f>SUM('1:2'!I194)</f>
        <v>0</v>
      </c>
      <c r="J194" s="31" t="str">
        <f t="array" ref="J194">IF(ISERROR(G194/I194),"",G194/I194)</f>
        <v/>
      </c>
      <c r="K194" s="35">
        <f t="array" ref="K194">IF(ISERROR(G194/L194),"",G194/L194)</f>
        <v>0</v>
      </c>
      <c r="L194" s="87">
        <v>4</v>
      </c>
      <c r="M194" s="36">
        <f t="shared" si="66"/>
        <v>0</v>
      </c>
      <c r="N194" s="93">
        <f>SUM('1:2'!N194)</f>
        <v>0</v>
      </c>
      <c r="O194" s="93">
        <f>SUM('1:2'!O194)</f>
        <v>0</v>
      </c>
      <c r="P194" s="93">
        <f>SUM('1:2'!P194)</f>
        <v>0</v>
      </c>
      <c r="Q194" s="93">
        <f>SUM('1:2'!Q194)</f>
        <v>0</v>
      </c>
      <c r="R194" s="93">
        <f>SUM('1:2'!R194)</f>
        <v>0</v>
      </c>
      <c r="S194" s="93">
        <f>SUM('1:2'!S194)</f>
        <v>0</v>
      </c>
      <c r="T194" s="93">
        <f>SUM('1:2'!T194)</f>
        <v>0</v>
      </c>
      <c r="U194" s="93">
        <f>SUM('1:2'!U194)</f>
        <v>0</v>
      </c>
      <c r="V194" s="206">
        <f t="shared" si="67"/>
        <v>0</v>
      </c>
      <c r="W194" s="33" t="str">
        <f t="shared" si="68"/>
        <v/>
      </c>
      <c r="X194" s="93">
        <f>SUM('1:2'!X194)</f>
        <v>0</v>
      </c>
      <c r="Y194" s="93">
        <f>SUM('1:2'!Y194)</f>
        <v>0</v>
      </c>
      <c r="Z194" s="93">
        <f>SUM('1:2'!Z194)</f>
        <v>0</v>
      </c>
      <c r="AA194" s="93">
        <f>SUM('1:2'!AA194)</f>
        <v>0</v>
      </c>
      <c r="AB194" s="73"/>
      <c r="AC194" s="54"/>
      <c r="AD194" s="370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>
      <c r="A195" s="300">
        <v>30100006</v>
      </c>
      <c r="B195" s="141" t="s">
        <v>198</v>
      </c>
      <c r="C195" s="356" t="s">
        <v>179</v>
      </c>
      <c r="D195" s="108">
        <v>4.8</v>
      </c>
      <c r="E195" s="17"/>
      <c r="F195" s="13"/>
      <c r="G195" s="93">
        <f>SUM('1:2'!G195)</f>
        <v>0</v>
      </c>
      <c r="H195" s="95">
        <f t="shared" si="65"/>
        <v>0</v>
      </c>
      <c r="I195" s="93">
        <f>SUM('1:2'!I195)</f>
        <v>0</v>
      </c>
      <c r="J195" s="31"/>
      <c r="K195" s="35">
        <f t="array" ref="K195">IF(ISERROR(G195/L195),"",G195/L195)</f>
        <v>0</v>
      </c>
      <c r="L195" s="87">
        <v>4</v>
      </c>
      <c r="M195" s="36">
        <f>IF(ISERROR(I195-K195),"",I195-K195)</f>
        <v>0</v>
      </c>
      <c r="N195" s="93">
        <f>SUM('1:2'!N195)</f>
        <v>0</v>
      </c>
      <c r="O195" s="93">
        <f>SUM('1:2'!O195)</f>
        <v>0</v>
      </c>
      <c r="P195" s="93">
        <f>SUM('1:2'!P195)</f>
        <v>0</v>
      </c>
      <c r="Q195" s="93">
        <f>SUM('1:2'!Q195)</f>
        <v>0</v>
      </c>
      <c r="R195" s="93">
        <f>SUM('1:2'!R195)</f>
        <v>0</v>
      </c>
      <c r="S195" s="93">
        <f>SUM('1:2'!S195)</f>
        <v>0</v>
      </c>
      <c r="T195" s="93">
        <f>SUM('1:2'!T195)</f>
        <v>0</v>
      </c>
      <c r="U195" s="93">
        <f>SUM('1:2'!U195)</f>
        <v>0</v>
      </c>
      <c r="V195" s="206"/>
      <c r="W195" s="33"/>
      <c r="X195" s="93">
        <f>SUM('1:2'!X195)</f>
        <v>0</v>
      </c>
      <c r="Y195" s="93">
        <f>SUM('1:2'!Y195)</f>
        <v>0</v>
      </c>
      <c r="Z195" s="93">
        <f>SUM('1:2'!Z195)</f>
        <v>0</v>
      </c>
      <c r="AA195" s="93">
        <f>SUM('1:2'!AA195)</f>
        <v>0</v>
      </c>
      <c r="AB195" s="73"/>
      <c r="AC195" s="54"/>
      <c r="AD195" s="370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>
      <c r="A196" s="300">
        <v>30100005</v>
      </c>
      <c r="B196" s="141" t="s">
        <v>198</v>
      </c>
      <c r="C196" s="356" t="s">
        <v>199</v>
      </c>
      <c r="D196" s="108">
        <v>4.8</v>
      </c>
      <c r="E196" s="17"/>
      <c r="F196" s="13"/>
      <c r="G196" s="93">
        <f>SUM('1:2'!G196)</f>
        <v>0</v>
      </c>
      <c r="H196" s="95">
        <f t="shared" si="65"/>
        <v>0</v>
      </c>
      <c r="I196" s="93">
        <f>SUM('1:2'!I196)</f>
        <v>0</v>
      </c>
      <c r="J196" s="31"/>
      <c r="K196" s="35">
        <f t="array" ref="K196">IF(ISERROR(G196/L196),"",G196/L196)</f>
        <v>0</v>
      </c>
      <c r="L196" s="87">
        <v>4</v>
      </c>
      <c r="M196" s="36">
        <f>IF(ISERROR(I196-K196),"",I196-K196)</f>
        <v>0</v>
      </c>
      <c r="N196" s="93">
        <f>SUM('1:2'!N196)</f>
        <v>0</v>
      </c>
      <c r="O196" s="93">
        <f>SUM('1:2'!O196)</f>
        <v>0</v>
      </c>
      <c r="P196" s="93">
        <f>SUM('1:2'!P196)</f>
        <v>0</v>
      </c>
      <c r="Q196" s="93">
        <f>SUM('1:2'!Q196)</f>
        <v>0</v>
      </c>
      <c r="R196" s="93">
        <f>SUM('1:2'!R196)</f>
        <v>0</v>
      </c>
      <c r="S196" s="93">
        <f>SUM('1:2'!S196)</f>
        <v>0</v>
      </c>
      <c r="T196" s="93">
        <f>SUM('1:2'!T196)</f>
        <v>0</v>
      </c>
      <c r="U196" s="93">
        <f>SUM('1:2'!U196)</f>
        <v>0</v>
      </c>
      <c r="V196" s="206"/>
      <c r="W196" s="33"/>
      <c r="X196" s="93">
        <f>SUM('1:2'!X196)</f>
        <v>0</v>
      </c>
      <c r="Y196" s="93">
        <f>SUM('1:2'!Y196)</f>
        <v>0</v>
      </c>
      <c r="Z196" s="93">
        <f>SUM('1:2'!Z196)</f>
        <v>0</v>
      </c>
      <c r="AA196" s="93">
        <f>SUM('1:2'!AA196)</f>
        <v>0</v>
      </c>
      <c r="AB196" s="73"/>
      <c r="AC196" s="54"/>
      <c r="AD196" s="370"/>
      <c r="AE196" s="54"/>
      <c r="AF196" s="54"/>
      <c r="AG196" s="54"/>
      <c r="AH196" s="54"/>
      <c r="AI196" s="57"/>
      <c r="AJ196" s="57"/>
      <c r="AK196" s="57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</row>
    <row r="197" spans="1:53">
      <c r="A197" s="300">
        <v>30100009</v>
      </c>
      <c r="B197" s="141" t="s">
        <v>200</v>
      </c>
      <c r="C197" s="126" t="s">
        <v>190</v>
      </c>
      <c r="D197" s="108">
        <v>4.99</v>
      </c>
      <c r="E197" s="17"/>
      <c r="F197" s="13"/>
      <c r="G197" s="93">
        <f>SUM('1:2'!G197)</f>
        <v>37</v>
      </c>
      <c r="H197" s="95">
        <f t="shared" si="65"/>
        <v>184.63</v>
      </c>
      <c r="I197" s="93">
        <f>SUM('1:2'!I197)</f>
        <v>0.5</v>
      </c>
      <c r="J197" s="31"/>
      <c r="K197" s="35">
        <f t="array" ref="K197">IF(ISERROR(G197/L197),"",G197/L197)</f>
        <v>1.574468085106383</v>
      </c>
      <c r="L197" s="87">
        <v>23.5</v>
      </c>
      <c r="M197" s="36">
        <f>IF(ISERROR(I197-K197),"",I197-K197)</f>
        <v>-1.074468085106383</v>
      </c>
      <c r="N197" s="93">
        <f>SUM('1:2'!N197)</f>
        <v>0</v>
      </c>
      <c r="O197" s="93">
        <f>SUM('1:2'!O197)</f>
        <v>0</v>
      </c>
      <c r="P197" s="93">
        <f>SUM('1:2'!P197)</f>
        <v>0</v>
      </c>
      <c r="Q197" s="93">
        <f>SUM('1:2'!Q197)</f>
        <v>0</v>
      </c>
      <c r="R197" s="93">
        <f>SUM('1:2'!R197)</f>
        <v>0</v>
      </c>
      <c r="S197" s="93">
        <f>SUM('1:2'!S197)</f>
        <v>0</v>
      </c>
      <c r="T197" s="93">
        <f>SUM('1:2'!T197)</f>
        <v>0</v>
      </c>
      <c r="U197" s="93">
        <f>SUM('1:2'!U197)</f>
        <v>0</v>
      </c>
      <c r="V197" s="206"/>
      <c r="W197" s="33"/>
      <c r="X197" s="93">
        <f>SUM('1:2'!X197)</f>
        <v>0</v>
      </c>
      <c r="Y197" s="93">
        <f>SUM('1:2'!Y197)</f>
        <v>0</v>
      </c>
      <c r="Z197" s="93">
        <f>SUM('1:2'!Z197)</f>
        <v>0</v>
      </c>
      <c r="AA197" s="93">
        <f>SUM('1:2'!AA197)</f>
        <v>0</v>
      </c>
      <c r="AB197" s="73"/>
      <c r="AC197" s="54"/>
      <c r="AD197" s="370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>
      <c r="A198" s="299">
        <v>30200004</v>
      </c>
      <c r="B198" s="141" t="s">
        <v>200</v>
      </c>
      <c r="C198" s="126" t="s">
        <v>189</v>
      </c>
      <c r="D198" s="108">
        <v>4.99</v>
      </c>
      <c r="E198" s="17"/>
      <c r="F198" s="13"/>
      <c r="G198" s="93">
        <f>SUM('1:2'!G198)</f>
        <v>0</v>
      </c>
      <c r="H198" s="95">
        <f t="shared" si="65"/>
        <v>0</v>
      </c>
      <c r="I198" s="93">
        <f>SUM('1:2'!I198)</f>
        <v>0</v>
      </c>
      <c r="J198" s="31"/>
      <c r="K198" s="35">
        <f t="array" ref="K198">IF(ISERROR(G198/L198),"",G198/L198)</f>
        <v>0</v>
      </c>
      <c r="L198" s="87">
        <v>23.5</v>
      </c>
      <c r="M198" s="36">
        <f>IF(ISERROR(I198-K198),"",I198-K198)</f>
        <v>0</v>
      </c>
      <c r="N198" s="93">
        <f>SUM('1:2'!N198)</f>
        <v>0</v>
      </c>
      <c r="O198" s="93">
        <f>SUM('1:2'!O198)</f>
        <v>0</v>
      </c>
      <c r="P198" s="93">
        <f>SUM('1:2'!P198)</f>
        <v>0</v>
      </c>
      <c r="Q198" s="93">
        <f>SUM('1:2'!Q198)</f>
        <v>0</v>
      </c>
      <c r="R198" s="93">
        <f>SUM('1:2'!R198)</f>
        <v>0</v>
      </c>
      <c r="S198" s="93">
        <f>SUM('1:2'!S198)</f>
        <v>0</v>
      </c>
      <c r="T198" s="93">
        <f>SUM('1:2'!T198)</f>
        <v>0</v>
      </c>
      <c r="U198" s="93">
        <f>SUM('1:2'!U198)</f>
        <v>0</v>
      </c>
      <c r="V198" s="206"/>
      <c r="W198" s="33"/>
      <c r="X198" s="93">
        <f>SUM('1:2'!X198)</f>
        <v>0</v>
      </c>
      <c r="Y198" s="93">
        <f>SUM('1:2'!Y198)</f>
        <v>0</v>
      </c>
      <c r="Z198" s="93">
        <f>SUM('1:2'!Z198)</f>
        <v>0</v>
      </c>
      <c r="AA198" s="93">
        <f>SUM('1:2'!AA198)</f>
        <v>0</v>
      </c>
      <c r="AB198" s="73"/>
      <c r="AC198" s="54"/>
      <c r="AD198" s="370"/>
      <c r="AE198" s="54"/>
      <c r="AF198" s="54"/>
      <c r="AG198" s="54"/>
      <c r="AH198" s="54"/>
      <c r="AI198" s="57"/>
      <c r="AJ198" s="57"/>
      <c r="AK198" s="57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</row>
    <row r="199" spans="1:53">
      <c r="A199" s="697" t="s">
        <v>70</v>
      </c>
      <c r="B199" s="698"/>
      <c r="C199" s="31" t="s">
        <v>71</v>
      </c>
      <c r="D199" s="30"/>
      <c r="E199" s="30"/>
      <c r="F199" s="30"/>
      <c r="G199" s="94">
        <f>SUM(G178:G198)</f>
        <v>4672</v>
      </c>
      <c r="H199" s="30">
        <f>SUM(H178:H198)</f>
        <v>23665.08</v>
      </c>
      <c r="I199" s="30">
        <f>SUM(I178:I198)</f>
        <v>293.55</v>
      </c>
      <c r="J199" s="31">
        <f t="array" ref="J199">IF(ISERROR(G199/I199),"",G199/I199)</f>
        <v>15.915516947709078</v>
      </c>
      <c r="K199" s="30">
        <f>SUM(K178:K198)</f>
        <v>226.04508997230522</v>
      </c>
      <c r="L199" s="98"/>
      <c r="M199" s="89">
        <f t="shared" ref="M199:AA199" si="69">SUM(M178:M198)</f>
        <v>67.504910027694791</v>
      </c>
      <c r="N199" s="30">
        <f t="shared" si="69"/>
        <v>0</v>
      </c>
      <c r="O199" s="34">
        <f t="shared" si="69"/>
        <v>0</v>
      </c>
      <c r="P199" s="34">
        <f t="shared" si="69"/>
        <v>0</v>
      </c>
      <c r="Q199" s="34">
        <f t="shared" si="69"/>
        <v>0</v>
      </c>
      <c r="R199" s="34">
        <f t="shared" si="69"/>
        <v>0</v>
      </c>
      <c r="S199" s="34">
        <f t="shared" si="69"/>
        <v>0</v>
      </c>
      <c r="T199" s="34">
        <f t="shared" si="69"/>
        <v>0</v>
      </c>
      <c r="U199" s="34">
        <f t="shared" si="69"/>
        <v>0</v>
      </c>
      <c r="V199" s="206">
        <f t="shared" si="69"/>
        <v>0</v>
      </c>
      <c r="W199" s="33">
        <f t="shared" si="69"/>
        <v>0</v>
      </c>
      <c r="X199" s="92">
        <f t="shared" si="69"/>
        <v>0</v>
      </c>
      <c r="Y199" s="92">
        <f t="shared" si="69"/>
        <v>0</v>
      </c>
      <c r="Z199" s="92">
        <f t="shared" si="69"/>
        <v>0</v>
      </c>
      <c r="AA199" s="92">
        <f t="shared" si="69"/>
        <v>0</v>
      </c>
      <c r="AB199" s="70"/>
      <c r="AC199" s="70"/>
      <c r="AD199" s="58"/>
      <c r="AE199" s="70"/>
      <c r="AF199" s="70"/>
      <c r="AG199" s="70"/>
      <c r="AH199" s="70"/>
      <c r="AI199" s="58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  <c r="AU199" s="58"/>
      <c r="AV199" s="58"/>
      <c r="AW199" s="58"/>
      <c r="AX199" s="58"/>
      <c r="AY199" s="58"/>
      <c r="AZ199" s="58"/>
      <c r="BA199" s="58"/>
    </row>
    <row r="200" spans="1:53">
      <c r="A200" s="300">
        <v>30100012</v>
      </c>
      <c r="B200" s="61" t="s">
        <v>76</v>
      </c>
      <c r="C200" s="16" t="s">
        <v>73</v>
      </c>
      <c r="D200" s="17">
        <v>5.03</v>
      </c>
      <c r="E200" s="17"/>
      <c r="F200" s="6"/>
      <c r="G200" s="93">
        <f>SUM('1:2'!G200)</f>
        <v>0</v>
      </c>
      <c r="H200" s="364">
        <f t="shared" ref="H200:H256" si="70">D200*G200</f>
        <v>0</v>
      </c>
      <c r="I200" s="93">
        <f>SUM('1:2'!I200)</f>
        <v>0</v>
      </c>
      <c r="J200" s="31" t="str">
        <f t="array" ref="J200">IF(ISERROR(G200/I200),"",G200/I200)</f>
        <v/>
      </c>
      <c r="K200" s="35">
        <f t="array" ref="K200">IF(ISERROR(G200/L200),"",G200/L200)</f>
        <v>0</v>
      </c>
      <c r="L200" s="87">
        <v>52</v>
      </c>
      <c r="M200" s="36">
        <f t="shared" ref="M200" si="71">IF(ISERROR(I200-K200),"",I200-K200)</f>
        <v>0</v>
      </c>
      <c r="N200" s="93">
        <f>SUM('1:2'!N200)</f>
        <v>0</v>
      </c>
      <c r="O200" s="93">
        <f>SUM('1:2'!O200)</f>
        <v>0</v>
      </c>
      <c r="P200" s="93">
        <f>SUM('1:2'!P200)</f>
        <v>0</v>
      </c>
      <c r="Q200" s="93">
        <f>SUM('1:2'!Q200)</f>
        <v>0</v>
      </c>
      <c r="R200" s="93">
        <f>SUM('1:2'!R200)</f>
        <v>0</v>
      </c>
      <c r="S200" s="93">
        <f>SUM('1:2'!S200)</f>
        <v>0</v>
      </c>
      <c r="T200" s="93">
        <f>SUM('1:2'!T200)</f>
        <v>0</v>
      </c>
      <c r="U200" s="93">
        <f>SUM('1:2'!U200)</f>
        <v>0</v>
      </c>
      <c r="V200" s="206">
        <f t="shared" ref="V200" si="72">SUM(X200:AA200)</f>
        <v>0</v>
      </c>
      <c r="W200" s="33" t="str">
        <f t="shared" ref="W200" si="73">IF(ISERROR(V200/G200),"",V200/G200)</f>
        <v/>
      </c>
      <c r="X200" s="93">
        <f>SUM('1:2'!X200)</f>
        <v>0</v>
      </c>
      <c r="Y200" s="93">
        <f>SUM('1:2'!Y200)</f>
        <v>0</v>
      </c>
      <c r="Z200" s="93">
        <f>SUM('1:2'!Z200)</f>
        <v>0</v>
      </c>
      <c r="AA200" s="93">
        <f>SUM('1:2'!AA200)</f>
        <v>0</v>
      </c>
      <c r="AB200" s="25"/>
      <c r="AC200" s="54"/>
      <c r="AD200" s="370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>
      <c r="A201" s="300">
        <v>30100011</v>
      </c>
      <c r="B201" s="190" t="s">
        <v>425</v>
      </c>
      <c r="C201" s="187" t="s">
        <v>427</v>
      </c>
      <c r="D201" s="17">
        <v>5.03</v>
      </c>
      <c r="E201" s="17"/>
      <c r="F201" s="6"/>
      <c r="G201" s="93">
        <f>SUM('1:2'!G201)</f>
        <v>0</v>
      </c>
      <c r="H201" s="364">
        <f t="shared" si="70"/>
        <v>0</v>
      </c>
      <c r="I201" s="93">
        <f>SUM('1:2'!I201)</f>
        <v>0</v>
      </c>
      <c r="J201" s="31"/>
      <c r="K201" s="35"/>
      <c r="L201" s="87">
        <v>52</v>
      </c>
      <c r="M201" s="36"/>
      <c r="N201" s="93"/>
      <c r="O201" s="93"/>
      <c r="P201" s="93"/>
      <c r="Q201" s="93"/>
      <c r="R201" s="93"/>
      <c r="S201" s="93"/>
      <c r="T201" s="93"/>
      <c r="U201" s="93"/>
      <c r="V201" s="206"/>
      <c r="W201" s="33"/>
      <c r="X201" s="93"/>
      <c r="Y201" s="93"/>
      <c r="Z201" s="93"/>
      <c r="AA201" s="93"/>
      <c r="AB201" s="25"/>
      <c r="AC201" s="54"/>
      <c r="AD201" s="370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 ht="17.25" customHeight="1">
      <c r="A202" s="300">
        <v>30100010</v>
      </c>
      <c r="B202" s="61" t="s">
        <v>76</v>
      </c>
      <c r="C202" s="16" t="s">
        <v>60</v>
      </c>
      <c r="D202" s="17">
        <v>5.03</v>
      </c>
      <c r="E202" s="17"/>
      <c r="F202" s="6"/>
      <c r="G202" s="93">
        <f>SUM('1:2'!G202)</f>
        <v>0</v>
      </c>
      <c r="H202" s="364">
        <f t="shared" si="70"/>
        <v>0</v>
      </c>
      <c r="I202" s="93">
        <f>SUM('1:2'!I202)</f>
        <v>0</v>
      </c>
      <c r="J202" s="31" t="str">
        <f t="array" ref="J202">IF(ISERROR(G202/I202),"",G202/I202)</f>
        <v/>
      </c>
      <c r="K202" s="35">
        <f t="array" ref="K202">IF(ISERROR(G202/L202),"",G202/L202)</f>
        <v>0</v>
      </c>
      <c r="L202" s="87">
        <v>52</v>
      </c>
      <c r="M202" s="36">
        <f t="shared" ref="M202" si="74">IF(ISERROR(I202-K202),"",I202-K202)</f>
        <v>0</v>
      </c>
      <c r="N202" s="93">
        <f>SUM('1:2'!N202)</f>
        <v>0</v>
      </c>
      <c r="O202" s="93">
        <f>SUM('1:2'!O202)</f>
        <v>0</v>
      </c>
      <c r="P202" s="93">
        <f>SUM('1:2'!P202)</f>
        <v>0</v>
      </c>
      <c r="Q202" s="93">
        <f>SUM('1:2'!Q202)</f>
        <v>0</v>
      </c>
      <c r="R202" s="93">
        <f>SUM('1:2'!R202)</f>
        <v>0</v>
      </c>
      <c r="S202" s="93">
        <f>SUM('1:2'!S202)</f>
        <v>0</v>
      </c>
      <c r="T202" s="93">
        <f>SUM('1:2'!T202)</f>
        <v>0</v>
      </c>
      <c r="U202" s="93">
        <f>SUM('1:2'!U202)</f>
        <v>0</v>
      </c>
      <c r="V202" s="206">
        <f t="shared" ref="V202:V204" si="75">SUM(X202:AA202)</f>
        <v>0</v>
      </c>
      <c r="W202" s="33" t="str">
        <f t="shared" ref="W202:W204" si="76">IF(ISERROR(V202/G202),"",V202/G202)</f>
        <v/>
      </c>
      <c r="X202" s="93">
        <f>SUM('1:2'!X202)</f>
        <v>0</v>
      </c>
      <c r="Y202" s="93">
        <f>SUM('1:2'!Y202)</f>
        <v>0</v>
      </c>
      <c r="Z202" s="93">
        <f>SUM('1:2'!Z202)</f>
        <v>0</v>
      </c>
      <c r="AA202" s="93">
        <f>SUM('1:2'!AA202)</f>
        <v>0</v>
      </c>
      <c r="AB202" s="25"/>
      <c r="AC202" s="54"/>
      <c r="AD202" s="370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>
      <c r="A203" s="300">
        <v>30100014</v>
      </c>
      <c r="B203" s="61" t="s">
        <v>76</v>
      </c>
      <c r="C203" s="16" t="s">
        <v>72</v>
      </c>
      <c r="D203" s="17">
        <v>5.03</v>
      </c>
      <c r="E203" s="17"/>
      <c r="F203" s="6"/>
      <c r="G203" s="93">
        <f>SUM('1:2'!G203)</f>
        <v>0</v>
      </c>
      <c r="H203" s="364">
        <f t="shared" si="70"/>
        <v>0</v>
      </c>
      <c r="I203" s="93">
        <f>SUM('1:2'!I203)</f>
        <v>0</v>
      </c>
      <c r="J203" s="31" t="str">
        <f t="array" ref="J203">IF(ISERROR(G203/I203),"",G203/I203)</f>
        <v/>
      </c>
      <c r="K203" s="35">
        <f t="array" ref="K203">IF(ISERROR(G203/L203),"",G203/L203)</f>
        <v>0</v>
      </c>
      <c r="L203" s="87">
        <v>52</v>
      </c>
      <c r="M203" s="36">
        <f>IF(ISERROR(I203-K203),"",I203-K203)</f>
        <v>0</v>
      </c>
      <c r="N203" s="93">
        <f>SUM('1:2'!N203)</f>
        <v>0</v>
      </c>
      <c r="O203" s="93">
        <f>SUM('1:2'!O203)</f>
        <v>0</v>
      </c>
      <c r="P203" s="93">
        <f>SUM('1:2'!P203)</f>
        <v>0</v>
      </c>
      <c r="Q203" s="93">
        <f>SUM('1:2'!Q203)</f>
        <v>0</v>
      </c>
      <c r="R203" s="93">
        <f>SUM('1:2'!R203)</f>
        <v>0</v>
      </c>
      <c r="S203" s="93">
        <f>SUM('1:2'!S203)</f>
        <v>0</v>
      </c>
      <c r="T203" s="93">
        <f>SUM('1:2'!T203)</f>
        <v>0</v>
      </c>
      <c r="U203" s="93">
        <f>SUM('1:2'!U203)</f>
        <v>0</v>
      </c>
      <c r="V203" s="206">
        <f t="shared" si="75"/>
        <v>0</v>
      </c>
      <c r="W203" s="33" t="str">
        <f t="shared" si="76"/>
        <v/>
      </c>
      <c r="X203" s="93">
        <f>SUM('1:2'!X203)</f>
        <v>0</v>
      </c>
      <c r="Y203" s="93">
        <f>SUM('1:2'!Y203)</f>
        <v>0</v>
      </c>
      <c r="Z203" s="93">
        <f>SUM('1:2'!Z203)</f>
        <v>0</v>
      </c>
      <c r="AA203" s="93">
        <f>SUM('1:2'!AA203)</f>
        <v>0</v>
      </c>
      <c r="AB203" s="25"/>
      <c r="AC203" s="54"/>
      <c r="AD203" s="370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>
      <c r="A204" s="300">
        <v>30100013</v>
      </c>
      <c r="B204" s="61" t="s">
        <v>76</v>
      </c>
      <c r="C204" s="16" t="s">
        <v>77</v>
      </c>
      <c r="D204" s="17">
        <v>5.03</v>
      </c>
      <c r="E204" s="17"/>
      <c r="F204" s="6"/>
      <c r="G204" s="93">
        <f>SUM('1:2'!G204)</f>
        <v>0</v>
      </c>
      <c r="H204" s="364">
        <f t="shared" si="70"/>
        <v>0</v>
      </c>
      <c r="I204" s="93">
        <f>SUM('1:2'!I204)</f>
        <v>0</v>
      </c>
      <c r="J204" s="31" t="str">
        <f t="array" ref="J204">IF(ISERROR(G204/I204),"",G204/I204)</f>
        <v/>
      </c>
      <c r="K204" s="35">
        <f t="array" ref="K204">IF(ISERROR(G204/L204),"",G204/L204)</f>
        <v>0</v>
      </c>
      <c r="L204" s="87">
        <v>52</v>
      </c>
      <c r="M204" s="36">
        <f t="shared" ref="M204" si="77">IF(ISERROR(I204-K204),"",I204-K204)</f>
        <v>0</v>
      </c>
      <c r="N204" s="93">
        <f>SUM('1:2'!N204)</f>
        <v>0</v>
      </c>
      <c r="O204" s="93">
        <f>SUM('1:2'!O204)</f>
        <v>0</v>
      </c>
      <c r="P204" s="93">
        <f>SUM('1:2'!P204)</f>
        <v>0</v>
      </c>
      <c r="Q204" s="93">
        <f>SUM('1:2'!Q204)</f>
        <v>0</v>
      </c>
      <c r="R204" s="93">
        <f>SUM('1:2'!R204)</f>
        <v>0</v>
      </c>
      <c r="S204" s="93">
        <f>SUM('1:2'!S204)</f>
        <v>0</v>
      </c>
      <c r="T204" s="93">
        <f>SUM('1:2'!T204)</f>
        <v>0</v>
      </c>
      <c r="U204" s="93">
        <f>SUM('1:2'!U204)</f>
        <v>0</v>
      </c>
      <c r="V204" s="206">
        <f t="shared" si="75"/>
        <v>0</v>
      </c>
      <c r="W204" s="33" t="str">
        <f t="shared" si="76"/>
        <v/>
      </c>
      <c r="X204" s="93">
        <f>SUM('1:2'!X204)</f>
        <v>0</v>
      </c>
      <c r="Y204" s="93">
        <f>SUM('1:2'!Y204)</f>
        <v>0</v>
      </c>
      <c r="Z204" s="93">
        <f>SUM('1:2'!Z204)</f>
        <v>0</v>
      </c>
      <c r="AA204" s="93">
        <f>SUM('1:2'!AA204)</f>
        <v>0</v>
      </c>
      <c r="AB204" s="25"/>
      <c r="AC204" s="54"/>
      <c r="AD204" s="370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>
      <c r="A205" s="300">
        <v>30100016</v>
      </c>
      <c r="B205" s="355" t="s">
        <v>414</v>
      </c>
      <c r="C205" s="187" t="s">
        <v>415</v>
      </c>
      <c r="D205" s="17">
        <v>5.03</v>
      </c>
      <c r="E205" s="17"/>
      <c r="F205" s="6"/>
      <c r="G205" s="93">
        <f>SUM('1:2'!G205)</f>
        <v>0</v>
      </c>
      <c r="H205" s="364">
        <f t="shared" si="70"/>
        <v>0</v>
      </c>
      <c r="I205" s="93">
        <f>SUM('1:2'!I205)</f>
        <v>0</v>
      </c>
      <c r="J205" s="31"/>
      <c r="K205" s="35"/>
      <c r="L205" s="87">
        <v>52</v>
      </c>
      <c r="M205" s="36"/>
      <c r="N205" s="93"/>
      <c r="O205" s="93"/>
      <c r="P205" s="93"/>
      <c r="Q205" s="93"/>
      <c r="R205" s="93"/>
      <c r="S205" s="93"/>
      <c r="T205" s="93"/>
      <c r="U205" s="93"/>
      <c r="V205" s="206"/>
      <c r="W205" s="33"/>
      <c r="X205" s="93"/>
      <c r="Y205" s="93"/>
      <c r="Z205" s="93"/>
      <c r="AA205" s="93"/>
      <c r="AB205" s="25"/>
      <c r="AC205" s="54"/>
      <c r="AD205" s="370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>
      <c r="A206" s="300">
        <v>30100017</v>
      </c>
      <c r="B206" s="355" t="s">
        <v>414</v>
      </c>
      <c r="C206" s="187" t="s">
        <v>416</v>
      </c>
      <c r="D206" s="17">
        <v>5.03</v>
      </c>
      <c r="E206" s="17"/>
      <c r="F206" s="6"/>
      <c r="G206" s="93">
        <f>SUM('1:2'!G206)</f>
        <v>0</v>
      </c>
      <c r="H206" s="364">
        <f t="shared" si="70"/>
        <v>0</v>
      </c>
      <c r="I206" s="93">
        <f>SUM('1:2'!I206)</f>
        <v>0</v>
      </c>
      <c r="J206" s="31"/>
      <c r="K206" s="35"/>
      <c r="L206" s="87">
        <v>52</v>
      </c>
      <c r="M206" s="36"/>
      <c r="N206" s="93"/>
      <c r="O206" s="93"/>
      <c r="P206" s="93"/>
      <c r="Q206" s="93"/>
      <c r="R206" s="93"/>
      <c r="S206" s="93"/>
      <c r="T206" s="93"/>
      <c r="U206" s="93"/>
      <c r="V206" s="206"/>
      <c r="W206" s="33"/>
      <c r="X206" s="93"/>
      <c r="Y206" s="93"/>
      <c r="Z206" s="93"/>
      <c r="AA206" s="93"/>
      <c r="AB206" s="25"/>
      <c r="AC206" s="54"/>
      <c r="AD206" s="370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>
      <c r="A207" s="300">
        <v>30100015</v>
      </c>
      <c r="B207" s="355" t="s">
        <v>414</v>
      </c>
      <c r="C207" s="187" t="s">
        <v>61</v>
      </c>
      <c r="D207" s="17">
        <v>5.03</v>
      </c>
      <c r="E207" s="17"/>
      <c r="F207" s="6"/>
      <c r="G207" s="93">
        <f>SUM('1:2'!G207)</f>
        <v>0</v>
      </c>
      <c r="H207" s="364">
        <f t="shared" si="70"/>
        <v>0</v>
      </c>
      <c r="I207" s="93">
        <f>SUM('1:2'!I207)</f>
        <v>0</v>
      </c>
      <c r="J207" s="31"/>
      <c r="K207" s="35"/>
      <c r="L207" s="87">
        <v>52</v>
      </c>
      <c r="M207" s="36"/>
      <c r="N207" s="93"/>
      <c r="O207" s="93"/>
      <c r="P207" s="93"/>
      <c r="Q207" s="93"/>
      <c r="R207" s="93"/>
      <c r="S207" s="93"/>
      <c r="T207" s="93"/>
      <c r="U207" s="93"/>
      <c r="V207" s="206"/>
      <c r="W207" s="33"/>
      <c r="X207" s="93"/>
      <c r="Y207" s="93"/>
      <c r="Z207" s="93"/>
      <c r="AA207" s="93"/>
      <c r="AB207" s="25"/>
      <c r="AC207" s="54"/>
      <c r="AD207" s="370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>
      <c r="A208" s="300">
        <v>30100027</v>
      </c>
      <c r="B208" s="61" t="s">
        <v>78</v>
      </c>
      <c r="C208" s="16" t="s">
        <v>53</v>
      </c>
      <c r="D208" s="17">
        <v>5.08</v>
      </c>
      <c r="E208" s="17"/>
      <c r="F208" s="6"/>
      <c r="G208" s="93">
        <f>SUM('1:2'!G208)</f>
        <v>477</v>
      </c>
      <c r="H208" s="364">
        <f t="shared" si="70"/>
        <v>2423.16</v>
      </c>
      <c r="I208" s="93">
        <f>SUM('1:2'!I208)</f>
        <v>22.5</v>
      </c>
      <c r="J208" s="31">
        <f t="array" ref="J208">IF(ISERROR(G208/I208),"",G208/I208)</f>
        <v>21.2</v>
      </c>
      <c r="K208" s="35">
        <f t="array" ref="K208">IF(ISERROR(G208/L208),"",G208/L208)</f>
        <v>22.714285714285715</v>
      </c>
      <c r="L208" s="87">
        <v>21</v>
      </c>
      <c r="M208" s="36">
        <f t="shared" ref="M208:M237" si="78">IF(ISERROR(I208-K208),"",I208-K208)</f>
        <v>-0.2142857142857153</v>
      </c>
      <c r="N208" s="93">
        <f>SUM('1:2'!N208)</f>
        <v>0</v>
      </c>
      <c r="O208" s="93">
        <f>SUM('1:2'!O208)</f>
        <v>0</v>
      </c>
      <c r="P208" s="93">
        <f>SUM('1:2'!P208)</f>
        <v>0</v>
      </c>
      <c r="Q208" s="93">
        <f>SUM('1:2'!Q208)</f>
        <v>0</v>
      </c>
      <c r="R208" s="93">
        <f>SUM('1:2'!R208)</f>
        <v>0</v>
      </c>
      <c r="S208" s="93">
        <f>SUM('1:2'!S208)</f>
        <v>0</v>
      </c>
      <c r="T208" s="93">
        <f>SUM('1:2'!T208)</f>
        <v>0</v>
      </c>
      <c r="U208" s="93">
        <f>SUM('1:2'!U208)</f>
        <v>0</v>
      </c>
      <c r="V208" s="206">
        <f t="shared" ref="V208:V219" si="79">SUM(X208:AA208)</f>
        <v>0</v>
      </c>
      <c r="W208" s="33">
        <f t="shared" ref="W208:W219" si="80">IF(ISERROR(V208/G208),"",V208/G208)</f>
        <v>0</v>
      </c>
      <c r="X208" s="93">
        <f>SUM('1:2'!X208)</f>
        <v>0</v>
      </c>
      <c r="Y208" s="93">
        <f>SUM('1:2'!Y208)</f>
        <v>0</v>
      </c>
      <c r="Z208" s="93">
        <f>SUM('1:2'!Z208)</f>
        <v>0</v>
      </c>
      <c r="AA208" s="93">
        <f>SUM('1:2'!AA208)</f>
        <v>0</v>
      </c>
      <c r="AB208" s="25"/>
      <c r="AC208" s="54"/>
      <c r="AD208" s="370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>
      <c r="A209" s="300">
        <v>30100023</v>
      </c>
      <c r="B209" s="61" t="s">
        <v>78</v>
      </c>
      <c r="C209" s="16" t="s">
        <v>74</v>
      </c>
      <c r="D209" s="17">
        <v>5.08</v>
      </c>
      <c r="E209" s="17"/>
      <c r="F209" s="6"/>
      <c r="G209" s="93">
        <f>SUM('1:2'!G209)</f>
        <v>792</v>
      </c>
      <c r="H209" s="364">
        <f t="shared" si="70"/>
        <v>4023.36</v>
      </c>
      <c r="I209" s="93">
        <f>SUM('1:2'!I209)</f>
        <v>56</v>
      </c>
      <c r="J209" s="31">
        <f t="array" ref="J209">IF(ISERROR(G209/I209),"",G209/I209)</f>
        <v>14.142857142857142</v>
      </c>
      <c r="K209" s="35">
        <f t="array" ref="K209">IF(ISERROR(G209/L209),"",G209/L209)</f>
        <v>37.714285714285715</v>
      </c>
      <c r="L209" s="87">
        <v>21</v>
      </c>
      <c r="M209" s="36">
        <f t="shared" si="78"/>
        <v>18.285714285714285</v>
      </c>
      <c r="N209" s="93">
        <f>SUM('1:2'!N209)</f>
        <v>0</v>
      </c>
      <c r="O209" s="93">
        <f>SUM('1:2'!O209)</f>
        <v>0</v>
      </c>
      <c r="P209" s="93">
        <f>SUM('1:2'!P209)</f>
        <v>0</v>
      </c>
      <c r="Q209" s="93">
        <f>SUM('1:2'!Q209)</f>
        <v>0</v>
      </c>
      <c r="R209" s="93">
        <f>SUM('1:2'!R209)</f>
        <v>0</v>
      </c>
      <c r="S209" s="93">
        <f>SUM('1:2'!S209)</f>
        <v>0</v>
      </c>
      <c r="T209" s="93">
        <f>SUM('1:2'!T209)</f>
        <v>0</v>
      </c>
      <c r="U209" s="93">
        <f>SUM('1:2'!U209)</f>
        <v>0</v>
      </c>
      <c r="V209" s="206">
        <f t="shared" si="79"/>
        <v>0</v>
      </c>
      <c r="W209" s="33">
        <f t="shared" si="80"/>
        <v>0</v>
      </c>
      <c r="X209" s="93">
        <f>SUM('1:2'!X209)</f>
        <v>0</v>
      </c>
      <c r="Y209" s="93">
        <f>SUM('1:2'!Y209)</f>
        <v>0</v>
      </c>
      <c r="Z209" s="93">
        <f>SUM('1:2'!Z209)</f>
        <v>0</v>
      </c>
      <c r="AA209" s="93">
        <f>SUM('1:2'!AA209)</f>
        <v>0</v>
      </c>
      <c r="AB209" s="25"/>
      <c r="AC209" s="54"/>
      <c r="AD209" s="370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>
      <c r="A210" s="300">
        <v>30100024</v>
      </c>
      <c r="B210" s="61" t="s">
        <v>78</v>
      </c>
      <c r="C210" s="16" t="s">
        <v>75</v>
      </c>
      <c r="D210" s="17">
        <v>5.08</v>
      </c>
      <c r="E210" s="17"/>
      <c r="F210" s="6"/>
      <c r="G210" s="93">
        <f>SUM('1:2'!G210)</f>
        <v>0</v>
      </c>
      <c r="H210" s="364">
        <f t="shared" si="70"/>
        <v>0</v>
      </c>
      <c r="I210" s="93">
        <f>SUM('1:2'!I210)</f>
        <v>0</v>
      </c>
      <c r="J210" s="31" t="str">
        <f t="array" ref="J210">IF(ISERROR(G210/I210),"",G210/I210)</f>
        <v/>
      </c>
      <c r="K210" s="35">
        <f t="array" ref="K210">IF(ISERROR(G210/L210),"",G210/L210)</f>
        <v>0</v>
      </c>
      <c r="L210" s="87">
        <v>21</v>
      </c>
      <c r="M210" s="36">
        <f t="shared" si="78"/>
        <v>0</v>
      </c>
      <c r="N210" s="93">
        <f>SUM('1:2'!N210)</f>
        <v>0</v>
      </c>
      <c r="O210" s="93">
        <f>SUM('1:2'!O210)</f>
        <v>0</v>
      </c>
      <c r="P210" s="93">
        <f>SUM('1:2'!P210)</f>
        <v>0</v>
      </c>
      <c r="Q210" s="93">
        <f>SUM('1:2'!Q210)</f>
        <v>0</v>
      </c>
      <c r="R210" s="93">
        <f>SUM('1:2'!R210)</f>
        <v>0</v>
      </c>
      <c r="S210" s="93">
        <f>SUM('1:2'!S210)</f>
        <v>0</v>
      </c>
      <c r="T210" s="93">
        <f>SUM('1:2'!T210)</f>
        <v>0</v>
      </c>
      <c r="U210" s="93">
        <f>SUM('1:2'!U210)</f>
        <v>0</v>
      </c>
      <c r="V210" s="206">
        <f t="shared" si="79"/>
        <v>0</v>
      </c>
      <c r="W210" s="33" t="str">
        <f t="shared" si="80"/>
        <v/>
      </c>
      <c r="X210" s="93">
        <f>SUM('1:2'!X210)</f>
        <v>0</v>
      </c>
      <c r="Y210" s="93">
        <f>SUM('1:2'!Y210)</f>
        <v>0</v>
      </c>
      <c r="Z210" s="93">
        <f>SUM('1:2'!Z210)</f>
        <v>0</v>
      </c>
      <c r="AA210" s="93">
        <f>SUM('1:2'!AA210)</f>
        <v>0</v>
      </c>
      <c r="AB210" s="25"/>
      <c r="AC210" s="54"/>
      <c r="AD210" s="370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>
      <c r="A211" s="300">
        <v>30100022</v>
      </c>
      <c r="B211" s="61" t="s">
        <v>78</v>
      </c>
      <c r="C211" s="16" t="s">
        <v>60</v>
      </c>
      <c r="D211" s="17">
        <v>5.08</v>
      </c>
      <c r="E211" s="17"/>
      <c r="F211" s="6"/>
      <c r="G211" s="93">
        <f>SUM('1:2'!G211)</f>
        <v>0</v>
      </c>
      <c r="H211" s="364">
        <f t="shared" si="70"/>
        <v>0</v>
      </c>
      <c r="I211" s="93">
        <f>SUM('1:2'!I211)</f>
        <v>0</v>
      </c>
      <c r="J211" s="31" t="str">
        <f t="array" ref="J211">IF(ISERROR(G211/I211),"",G211/I211)</f>
        <v/>
      </c>
      <c r="K211" s="35">
        <f t="array" ref="K211">IF(ISERROR(G211/L211),"",G211/L211)</f>
        <v>0</v>
      </c>
      <c r="L211" s="87">
        <v>21</v>
      </c>
      <c r="M211" s="36">
        <f t="shared" si="78"/>
        <v>0</v>
      </c>
      <c r="N211" s="93">
        <f>SUM('1:2'!N211)</f>
        <v>0</v>
      </c>
      <c r="O211" s="93">
        <f>SUM('1:2'!O211)</f>
        <v>0</v>
      </c>
      <c r="P211" s="93">
        <f>SUM('1:2'!P211)</f>
        <v>0</v>
      </c>
      <c r="Q211" s="93">
        <f>SUM('1:2'!Q211)</f>
        <v>0</v>
      </c>
      <c r="R211" s="93">
        <f>SUM('1:2'!R211)</f>
        <v>0</v>
      </c>
      <c r="S211" s="93">
        <f>SUM('1:2'!S211)</f>
        <v>0</v>
      </c>
      <c r="T211" s="93">
        <f>SUM('1:2'!T211)</f>
        <v>0</v>
      </c>
      <c r="U211" s="93">
        <f>SUM('1:2'!U211)</f>
        <v>0</v>
      </c>
      <c r="V211" s="206">
        <f t="shared" si="79"/>
        <v>0</v>
      </c>
      <c r="W211" s="33" t="str">
        <f t="shared" si="80"/>
        <v/>
      </c>
      <c r="X211" s="93">
        <f>SUM('1:2'!X211)</f>
        <v>0</v>
      </c>
      <c r="Y211" s="93">
        <f>SUM('1:2'!Y211)</f>
        <v>0</v>
      </c>
      <c r="Z211" s="93">
        <f>SUM('1:2'!Z211)</f>
        <v>0</v>
      </c>
      <c r="AA211" s="93">
        <f>SUM('1:2'!AA211)</f>
        <v>0</v>
      </c>
      <c r="AB211" s="25"/>
      <c r="AC211" s="54"/>
      <c r="AD211" s="370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>
      <c r="A212" s="300">
        <v>30100029</v>
      </c>
      <c r="B212" s="61" t="s">
        <v>78</v>
      </c>
      <c r="C212" s="16" t="s">
        <v>72</v>
      </c>
      <c r="D212" s="17">
        <v>5.08</v>
      </c>
      <c r="E212" s="17"/>
      <c r="F212" s="6"/>
      <c r="G212" s="93">
        <f>SUM('1:2'!G212)</f>
        <v>0</v>
      </c>
      <c r="H212" s="364">
        <f t="shared" si="70"/>
        <v>0</v>
      </c>
      <c r="I212" s="93">
        <f>SUM('1:2'!I212)</f>
        <v>0</v>
      </c>
      <c r="J212" s="31" t="str">
        <f t="array" ref="J212">IF(ISERROR(G212/I212),"",G212/I212)</f>
        <v/>
      </c>
      <c r="K212" s="35">
        <f t="array" ref="K212">IF(ISERROR(G212/L212),"",G212/L212)</f>
        <v>0</v>
      </c>
      <c r="L212" s="87">
        <v>21</v>
      </c>
      <c r="M212" s="36">
        <f t="shared" si="78"/>
        <v>0</v>
      </c>
      <c r="N212" s="93">
        <f>SUM('1:2'!N212)</f>
        <v>0</v>
      </c>
      <c r="O212" s="93">
        <f>SUM('1:2'!O212)</f>
        <v>0</v>
      </c>
      <c r="P212" s="93">
        <f>SUM('1:2'!P212)</f>
        <v>0</v>
      </c>
      <c r="Q212" s="93">
        <f>SUM('1:2'!Q212)</f>
        <v>0</v>
      </c>
      <c r="R212" s="93">
        <f>SUM('1:2'!R212)</f>
        <v>0</v>
      </c>
      <c r="S212" s="93">
        <f>SUM('1:2'!S212)</f>
        <v>0</v>
      </c>
      <c r="T212" s="93">
        <f>SUM('1:2'!T212)</f>
        <v>0</v>
      </c>
      <c r="U212" s="93">
        <f>SUM('1:2'!U212)</f>
        <v>0</v>
      </c>
      <c r="V212" s="206">
        <f t="shared" si="79"/>
        <v>0</v>
      </c>
      <c r="W212" s="33" t="str">
        <f t="shared" si="80"/>
        <v/>
      </c>
      <c r="X212" s="93">
        <f>SUM('1:2'!X212)</f>
        <v>0</v>
      </c>
      <c r="Y212" s="93">
        <f>SUM('1:2'!Y212)</f>
        <v>0</v>
      </c>
      <c r="Z212" s="93">
        <f>SUM('1:2'!Z212)</f>
        <v>0</v>
      </c>
      <c r="AA212" s="93">
        <f>SUM('1:2'!AA212)</f>
        <v>0</v>
      </c>
      <c r="AB212" s="25"/>
      <c r="AC212" s="54"/>
      <c r="AD212" s="370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>
      <c r="A213" s="300">
        <v>30100026</v>
      </c>
      <c r="B213" s="61" t="s">
        <v>78</v>
      </c>
      <c r="C213" s="16" t="s">
        <v>73</v>
      </c>
      <c r="D213" s="17">
        <v>5.08</v>
      </c>
      <c r="E213" s="17"/>
      <c r="F213" s="6"/>
      <c r="G213" s="93">
        <f>SUM('1:2'!G213)</f>
        <v>133</v>
      </c>
      <c r="H213" s="364">
        <f t="shared" si="70"/>
        <v>675.64</v>
      </c>
      <c r="I213" s="93">
        <f>SUM('1:2'!I213)</f>
        <v>44</v>
      </c>
      <c r="J213" s="31">
        <f t="array" ref="J213">IF(ISERROR(G213/I213),"",G213/I213)</f>
        <v>3.0227272727272729</v>
      </c>
      <c r="K213" s="35">
        <f t="array" ref="K213">IF(ISERROR(G213/L213),"",G213/L213)</f>
        <v>6.333333333333333</v>
      </c>
      <c r="L213" s="87">
        <v>21</v>
      </c>
      <c r="M213" s="36">
        <f t="shared" si="78"/>
        <v>37.666666666666664</v>
      </c>
      <c r="N213" s="93">
        <f>SUM('1:2'!N213)</f>
        <v>0</v>
      </c>
      <c r="O213" s="93">
        <f>SUM('1:2'!O213)</f>
        <v>0</v>
      </c>
      <c r="P213" s="93">
        <f>SUM('1:2'!P213)</f>
        <v>0</v>
      </c>
      <c r="Q213" s="93">
        <f>SUM('1:2'!Q213)</f>
        <v>0</v>
      </c>
      <c r="R213" s="93">
        <f>SUM('1:2'!R213)</f>
        <v>0</v>
      </c>
      <c r="S213" s="93">
        <f>SUM('1:2'!S213)</f>
        <v>0</v>
      </c>
      <c r="T213" s="93">
        <f>SUM('1:2'!T213)</f>
        <v>0</v>
      </c>
      <c r="U213" s="93">
        <f>SUM('1:2'!U213)</f>
        <v>0</v>
      </c>
      <c r="V213" s="206">
        <f t="shared" si="79"/>
        <v>0</v>
      </c>
      <c r="W213" s="33">
        <f t="shared" si="80"/>
        <v>0</v>
      </c>
      <c r="X213" s="93">
        <f>SUM('1:2'!X213)</f>
        <v>0</v>
      </c>
      <c r="Y213" s="93">
        <f>SUM('1:2'!Y213)</f>
        <v>0</v>
      </c>
      <c r="Z213" s="93">
        <f>SUM('1:2'!Z213)</f>
        <v>0</v>
      </c>
      <c r="AA213" s="93">
        <f>SUM('1:2'!AA213)</f>
        <v>0</v>
      </c>
      <c r="AB213" s="73"/>
      <c r="AC213" s="54"/>
      <c r="AD213" s="370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>
      <c r="A214" s="300">
        <v>30100025</v>
      </c>
      <c r="B214" s="61" t="s">
        <v>78</v>
      </c>
      <c r="C214" s="16" t="s">
        <v>61</v>
      </c>
      <c r="D214" s="17">
        <v>5.08</v>
      </c>
      <c r="E214" s="17"/>
      <c r="F214" s="6"/>
      <c r="G214" s="93">
        <f>SUM('1:2'!G214)</f>
        <v>0</v>
      </c>
      <c r="H214" s="364">
        <f t="shared" si="70"/>
        <v>0</v>
      </c>
      <c r="I214" s="93">
        <f>SUM('1:2'!I214)</f>
        <v>0</v>
      </c>
      <c r="J214" s="31" t="str">
        <f t="array" ref="J214">IF(ISERROR(G214/I214),"",G214/I214)</f>
        <v/>
      </c>
      <c r="K214" s="35">
        <f t="array" ref="K214">IF(ISERROR(G214/L214),"",G214/L214)</f>
        <v>0</v>
      </c>
      <c r="L214" s="87">
        <v>21</v>
      </c>
      <c r="M214" s="36">
        <f t="shared" si="78"/>
        <v>0</v>
      </c>
      <c r="N214" s="93">
        <f>SUM('1:2'!N214)</f>
        <v>0</v>
      </c>
      <c r="O214" s="93">
        <f>SUM('1:2'!O214)</f>
        <v>0</v>
      </c>
      <c r="P214" s="93">
        <f>SUM('1:2'!P214)</f>
        <v>0</v>
      </c>
      <c r="Q214" s="93">
        <f>SUM('1:2'!Q214)</f>
        <v>0</v>
      </c>
      <c r="R214" s="93">
        <f>SUM('1:2'!R214)</f>
        <v>0</v>
      </c>
      <c r="S214" s="93">
        <f>SUM('1:2'!S214)</f>
        <v>0</v>
      </c>
      <c r="T214" s="93">
        <f>SUM('1:2'!T214)</f>
        <v>0</v>
      </c>
      <c r="U214" s="93">
        <f>SUM('1:2'!U214)</f>
        <v>0</v>
      </c>
      <c r="V214" s="206">
        <f t="shared" si="79"/>
        <v>0</v>
      </c>
      <c r="W214" s="33" t="str">
        <f t="shared" si="80"/>
        <v/>
      </c>
      <c r="X214" s="93">
        <f>SUM('1:2'!X214)</f>
        <v>0</v>
      </c>
      <c r="Y214" s="93">
        <f>SUM('1:2'!Y214)</f>
        <v>0</v>
      </c>
      <c r="Z214" s="93">
        <f>SUM('1:2'!Z214)</f>
        <v>0</v>
      </c>
      <c r="AA214" s="93">
        <f>SUM('1:2'!AA214)</f>
        <v>0</v>
      </c>
      <c r="AB214" s="25"/>
      <c r="AC214" s="54"/>
      <c r="AD214" s="370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>
      <c r="A215" s="300">
        <v>30100028</v>
      </c>
      <c r="B215" s="61" t="s">
        <v>78</v>
      </c>
      <c r="C215" s="16" t="s">
        <v>77</v>
      </c>
      <c r="D215" s="17">
        <v>5.08</v>
      </c>
      <c r="E215" s="17"/>
      <c r="F215" s="6"/>
      <c r="G215" s="93">
        <f>SUM('1:2'!G215)</f>
        <v>0</v>
      </c>
      <c r="H215" s="364">
        <f t="shared" si="70"/>
        <v>0</v>
      </c>
      <c r="I215" s="93">
        <f>SUM('1:2'!I215)</f>
        <v>0</v>
      </c>
      <c r="J215" s="31" t="str">
        <f t="array" ref="J215">IF(ISERROR(G215/I215),"",G215/I215)</f>
        <v/>
      </c>
      <c r="K215" s="35">
        <f t="array" ref="K215">IF(ISERROR(G215/L215),"",G215/L215)</f>
        <v>0</v>
      </c>
      <c r="L215" s="87">
        <v>21</v>
      </c>
      <c r="M215" s="36">
        <f t="shared" si="78"/>
        <v>0</v>
      </c>
      <c r="N215" s="93">
        <f>SUM('1:2'!N215)</f>
        <v>0</v>
      </c>
      <c r="O215" s="93">
        <f>SUM('1:2'!O215)</f>
        <v>0</v>
      </c>
      <c r="P215" s="93">
        <f>SUM('1:2'!P215)</f>
        <v>0</v>
      </c>
      <c r="Q215" s="93">
        <f>SUM('1:2'!Q215)</f>
        <v>0</v>
      </c>
      <c r="R215" s="93">
        <f>SUM('1:2'!R215)</f>
        <v>0</v>
      </c>
      <c r="S215" s="93">
        <f>SUM('1:2'!S215)</f>
        <v>0</v>
      </c>
      <c r="T215" s="93">
        <f>SUM('1:2'!T215)</f>
        <v>0</v>
      </c>
      <c r="U215" s="93">
        <f>SUM('1:2'!U215)</f>
        <v>0</v>
      </c>
      <c r="V215" s="206">
        <f t="shared" si="79"/>
        <v>0</v>
      </c>
      <c r="W215" s="33" t="str">
        <f t="shared" si="80"/>
        <v/>
      </c>
      <c r="X215" s="93">
        <f>SUM('1:2'!X215)</f>
        <v>0</v>
      </c>
      <c r="Y215" s="93">
        <f>SUM('1:2'!Y215)</f>
        <v>0</v>
      </c>
      <c r="Z215" s="93">
        <f>SUM('1:2'!Z215)</f>
        <v>0</v>
      </c>
      <c r="AA215" s="93">
        <f>SUM('1:2'!AA215)</f>
        <v>0</v>
      </c>
      <c r="AB215" s="73"/>
      <c r="AC215" s="54"/>
      <c r="AD215" s="370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>
      <c r="A216" s="300">
        <v>30100032</v>
      </c>
      <c r="B216" s="61" t="s">
        <v>79</v>
      </c>
      <c r="C216" s="16" t="s">
        <v>65</v>
      </c>
      <c r="D216" s="17">
        <v>5.03</v>
      </c>
      <c r="E216" s="17"/>
      <c r="F216" s="6"/>
      <c r="G216" s="93">
        <f>SUM('1:2'!G216)</f>
        <v>1582</v>
      </c>
      <c r="H216" s="364">
        <f t="shared" si="70"/>
        <v>7957.46</v>
      </c>
      <c r="I216" s="93">
        <f>SUM('1:2'!I216)</f>
        <v>19</v>
      </c>
      <c r="J216" s="31">
        <f t="array" ref="J216">IF(ISERROR(G216/I216),"",G216/I216)</f>
        <v>83.263157894736835</v>
      </c>
      <c r="K216" s="35">
        <f t="array" ref="K216">IF(ISERROR(G216/L216),"",G216/L216)</f>
        <v>28.25</v>
      </c>
      <c r="L216" s="87">
        <v>56</v>
      </c>
      <c r="M216" s="36">
        <f t="shared" si="78"/>
        <v>-9.25</v>
      </c>
      <c r="N216" s="93">
        <f>SUM('1:2'!N216)</f>
        <v>0</v>
      </c>
      <c r="O216" s="93">
        <f>SUM('1:2'!O216)</f>
        <v>0</v>
      </c>
      <c r="P216" s="93">
        <f>SUM('1:2'!P216)</f>
        <v>0</v>
      </c>
      <c r="Q216" s="93">
        <f>SUM('1:2'!Q216)</f>
        <v>0</v>
      </c>
      <c r="R216" s="93">
        <f>SUM('1:2'!R216)</f>
        <v>0</v>
      </c>
      <c r="S216" s="93">
        <f>SUM('1:2'!S216)</f>
        <v>0</v>
      </c>
      <c r="T216" s="93">
        <f>SUM('1:2'!T216)</f>
        <v>0</v>
      </c>
      <c r="U216" s="93">
        <f>SUM('1:2'!U216)</f>
        <v>0</v>
      </c>
      <c r="V216" s="206">
        <f t="shared" si="79"/>
        <v>0</v>
      </c>
      <c r="W216" s="33">
        <f t="shared" si="80"/>
        <v>0</v>
      </c>
      <c r="X216" s="93">
        <f>SUM('1:2'!X216)</f>
        <v>0</v>
      </c>
      <c r="Y216" s="93">
        <f>SUM('1:2'!Y216)</f>
        <v>0</v>
      </c>
      <c r="Z216" s="93">
        <f>SUM('1:2'!Z216)</f>
        <v>0</v>
      </c>
      <c r="AA216" s="93">
        <f>SUM('1:2'!AA216)</f>
        <v>0</v>
      </c>
      <c r="AB216" s="25"/>
      <c r="AC216" s="54"/>
      <c r="AD216" s="370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>
      <c r="A217" s="300">
        <v>30100033</v>
      </c>
      <c r="B217" s="61" t="s">
        <v>79</v>
      </c>
      <c r="C217" s="16" t="s">
        <v>53</v>
      </c>
      <c r="D217" s="17">
        <v>5.03</v>
      </c>
      <c r="E217" s="17"/>
      <c r="F217" s="6"/>
      <c r="G217" s="93">
        <f>SUM('1:2'!G217)</f>
        <v>369</v>
      </c>
      <c r="H217" s="364">
        <f t="shared" si="70"/>
        <v>1856.0700000000002</v>
      </c>
      <c r="I217" s="93">
        <f>SUM('1:2'!I217)</f>
        <v>9</v>
      </c>
      <c r="J217" s="31">
        <f t="array" ref="J217">IF(ISERROR(G217/I217),"",G217/I217)</f>
        <v>41</v>
      </c>
      <c r="K217" s="35">
        <f t="array" ref="K217">IF(ISERROR(G217/L217),"",G217/L217)</f>
        <v>6.5892857142857144</v>
      </c>
      <c r="L217" s="87">
        <v>56</v>
      </c>
      <c r="M217" s="36">
        <f t="shared" si="78"/>
        <v>2.4107142857142856</v>
      </c>
      <c r="N217" s="93">
        <f>SUM('1:2'!N217)</f>
        <v>0</v>
      </c>
      <c r="O217" s="93">
        <f>SUM('1:2'!O217)</f>
        <v>0</v>
      </c>
      <c r="P217" s="93">
        <f>SUM('1:2'!P217)</f>
        <v>0</v>
      </c>
      <c r="Q217" s="93">
        <f>SUM('1:2'!Q217)</f>
        <v>0</v>
      </c>
      <c r="R217" s="93">
        <f>SUM('1:2'!R217)</f>
        <v>0</v>
      </c>
      <c r="S217" s="93">
        <f>SUM('1:2'!S217)</f>
        <v>0</v>
      </c>
      <c r="T217" s="93">
        <f>SUM('1:2'!T217)</f>
        <v>0</v>
      </c>
      <c r="U217" s="93">
        <f>SUM('1:2'!U217)</f>
        <v>0</v>
      </c>
      <c r="V217" s="206">
        <f t="shared" si="79"/>
        <v>0</v>
      </c>
      <c r="W217" s="33">
        <f t="shared" si="80"/>
        <v>0</v>
      </c>
      <c r="X217" s="93">
        <f>SUM('1:2'!X217)</f>
        <v>0</v>
      </c>
      <c r="Y217" s="93">
        <f>SUM('1:2'!Y217)</f>
        <v>0</v>
      </c>
      <c r="Z217" s="93">
        <f>SUM('1:2'!Z217)</f>
        <v>0</v>
      </c>
      <c r="AA217" s="93">
        <f>SUM('1:2'!AA217)</f>
        <v>0</v>
      </c>
      <c r="AB217" s="25"/>
      <c r="AC217" s="54"/>
      <c r="AD217" s="370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>
      <c r="A218" s="300">
        <v>30100062</v>
      </c>
      <c r="B218" s="61" t="s">
        <v>79</v>
      </c>
      <c r="C218" s="16" t="s">
        <v>66</v>
      </c>
      <c r="D218" s="17">
        <v>5.03</v>
      </c>
      <c r="E218" s="17"/>
      <c r="F218" s="6"/>
      <c r="G218" s="93">
        <f>SUM('1:2'!G218)</f>
        <v>864</v>
      </c>
      <c r="H218" s="364">
        <f t="shared" si="70"/>
        <v>4345.92</v>
      </c>
      <c r="I218" s="93">
        <f>SUM('1:2'!I218)</f>
        <v>18</v>
      </c>
      <c r="J218" s="31">
        <f t="array" ref="J218">IF(ISERROR(G218/I218),"",G218/I218)</f>
        <v>48</v>
      </c>
      <c r="K218" s="35">
        <f t="array" ref="K218">IF(ISERROR(G218/L218),"",G218/L218)</f>
        <v>15.428571428571429</v>
      </c>
      <c r="L218" s="87">
        <v>56</v>
      </c>
      <c r="M218" s="36">
        <f t="shared" si="78"/>
        <v>2.5714285714285712</v>
      </c>
      <c r="N218" s="93">
        <f>SUM('1:2'!N218)</f>
        <v>0</v>
      </c>
      <c r="O218" s="93">
        <f>SUM('1:2'!O218)</f>
        <v>0</v>
      </c>
      <c r="P218" s="93">
        <f>SUM('1:2'!P218)</f>
        <v>0</v>
      </c>
      <c r="Q218" s="93">
        <f>SUM('1:2'!Q218)</f>
        <v>0</v>
      </c>
      <c r="R218" s="93">
        <f>SUM('1:2'!R218)</f>
        <v>0</v>
      </c>
      <c r="S218" s="93">
        <f>SUM('1:2'!S218)</f>
        <v>0</v>
      </c>
      <c r="T218" s="93">
        <f>SUM('1:2'!T218)</f>
        <v>0</v>
      </c>
      <c r="U218" s="93">
        <f>SUM('1:2'!U218)</f>
        <v>0</v>
      </c>
      <c r="V218" s="206">
        <f t="shared" si="79"/>
        <v>0</v>
      </c>
      <c r="W218" s="33">
        <f t="shared" si="80"/>
        <v>0</v>
      </c>
      <c r="X218" s="93">
        <f>SUM('1:2'!X218)</f>
        <v>0</v>
      </c>
      <c r="Y218" s="93">
        <f>SUM('1:2'!Y218)</f>
        <v>0</v>
      </c>
      <c r="Z218" s="93">
        <f>SUM('1:2'!Z218)</f>
        <v>0</v>
      </c>
      <c r="AA218" s="93">
        <f>SUM('1:2'!AA218)</f>
        <v>0</v>
      </c>
      <c r="AB218" s="25"/>
      <c r="AC218" s="54"/>
      <c r="AD218" s="370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>
      <c r="A219" s="300">
        <v>30100031</v>
      </c>
      <c r="B219" s="61" t="s">
        <v>79</v>
      </c>
      <c r="C219" s="16" t="s">
        <v>74</v>
      </c>
      <c r="D219" s="17">
        <v>5.03</v>
      </c>
      <c r="E219" s="17"/>
      <c r="F219" s="6"/>
      <c r="G219" s="93">
        <f>SUM('1:2'!G219)</f>
        <v>0</v>
      </c>
      <c r="H219" s="364">
        <f t="shared" si="70"/>
        <v>0</v>
      </c>
      <c r="I219" s="93">
        <f>SUM('1:2'!I219)</f>
        <v>0</v>
      </c>
      <c r="J219" s="31" t="str">
        <f t="array" ref="J219">IF(ISERROR(G219/I219),"",G219/I219)</f>
        <v/>
      </c>
      <c r="K219" s="35">
        <f t="array" ref="K219">IF(ISERROR(G219/L219),"",G219/L219)</f>
        <v>0</v>
      </c>
      <c r="L219" s="87">
        <v>56</v>
      </c>
      <c r="M219" s="36">
        <f t="shared" si="78"/>
        <v>0</v>
      </c>
      <c r="N219" s="93">
        <f>SUM('1:2'!N219)</f>
        <v>0</v>
      </c>
      <c r="O219" s="93">
        <f>SUM('1:2'!O219)</f>
        <v>0</v>
      </c>
      <c r="P219" s="93">
        <f>SUM('1:2'!P219)</f>
        <v>0</v>
      </c>
      <c r="Q219" s="93">
        <f>SUM('1:2'!Q219)</f>
        <v>0</v>
      </c>
      <c r="R219" s="93">
        <f>SUM('1:2'!R219)</f>
        <v>0</v>
      </c>
      <c r="S219" s="93">
        <f>SUM('1:2'!S219)</f>
        <v>0</v>
      </c>
      <c r="T219" s="93">
        <f>SUM('1:2'!T219)</f>
        <v>0</v>
      </c>
      <c r="U219" s="93">
        <f>SUM('1:2'!U219)</f>
        <v>0</v>
      </c>
      <c r="V219" s="206">
        <f t="shared" si="79"/>
        <v>0</v>
      </c>
      <c r="W219" s="33" t="str">
        <f t="shared" si="80"/>
        <v/>
      </c>
      <c r="X219" s="93">
        <f>SUM('1:2'!X219)</f>
        <v>0</v>
      </c>
      <c r="Y219" s="93">
        <f>SUM('1:2'!Y219)</f>
        <v>0</v>
      </c>
      <c r="Z219" s="93">
        <f>SUM('1:2'!Z219)</f>
        <v>0</v>
      </c>
      <c r="AA219" s="93">
        <f>SUM('1:2'!AA219)</f>
        <v>0</v>
      </c>
      <c r="AB219" s="25"/>
      <c r="AC219" s="54"/>
      <c r="AD219" s="370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>
      <c r="A220" s="300">
        <v>30100019</v>
      </c>
      <c r="B220" s="61" t="s">
        <v>385</v>
      </c>
      <c r="C220" s="16" t="s">
        <v>386</v>
      </c>
      <c r="D220" s="17">
        <v>5.03</v>
      </c>
      <c r="E220" s="17"/>
      <c r="F220" s="6"/>
      <c r="G220" s="93">
        <f>SUM('1:2'!G220)</f>
        <v>0</v>
      </c>
      <c r="H220" s="364">
        <f t="shared" si="70"/>
        <v>0</v>
      </c>
      <c r="I220" s="93">
        <f>SUM('1:2'!I220)</f>
        <v>0</v>
      </c>
      <c r="J220" s="31"/>
      <c r="K220" s="35">
        <f t="array" ref="K220">IF(ISERROR(G220/L220),"",G220/L220)</f>
        <v>0</v>
      </c>
      <c r="L220" s="87">
        <v>54</v>
      </c>
      <c r="M220" s="36">
        <f t="shared" si="78"/>
        <v>0</v>
      </c>
      <c r="N220" s="93">
        <f>SUM('1:2'!N220)</f>
        <v>0</v>
      </c>
      <c r="O220" s="93">
        <f>SUM('1:2'!O220)</f>
        <v>0</v>
      </c>
      <c r="P220" s="93">
        <f>SUM('1:2'!P220)</f>
        <v>0</v>
      </c>
      <c r="Q220" s="93">
        <f>SUM('1:2'!Q220)</f>
        <v>0</v>
      </c>
      <c r="R220" s="93">
        <f>SUM('1:2'!R220)</f>
        <v>0</v>
      </c>
      <c r="S220" s="93">
        <f>SUM('1:2'!S220)</f>
        <v>0</v>
      </c>
      <c r="T220" s="93">
        <f>SUM('1:2'!T220)</f>
        <v>0</v>
      </c>
      <c r="U220" s="93">
        <f>SUM('1:2'!U220)</f>
        <v>0</v>
      </c>
      <c r="V220" s="206"/>
      <c r="W220" s="33"/>
      <c r="X220" s="93">
        <f>SUM('1:2'!X220)</f>
        <v>0</v>
      </c>
      <c r="Y220" s="93">
        <f>SUM('1:2'!Y220)</f>
        <v>0</v>
      </c>
      <c r="Z220" s="93">
        <f>SUM('1:2'!Z220)</f>
        <v>0</v>
      </c>
      <c r="AA220" s="93">
        <f>SUM('1:2'!AA220)</f>
        <v>0</v>
      </c>
      <c r="AB220" s="25"/>
      <c r="AC220" s="54"/>
      <c r="AD220" s="370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>
      <c r="A221" s="300">
        <v>30100020</v>
      </c>
      <c r="B221" s="61" t="s">
        <v>385</v>
      </c>
      <c r="C221" s="16" t="s">
        <v>387</v>
      </c>
      <c r="D221" s="17">
        <v>5.03</v>
      </c>
      <c r="E221" s="17"/>
      <c r="F221" s="6"/>
      <c r="G221" s="93">
        <f>SUM('1:2'!G221)</f>
        <v>0</v>
      </c>
      <c r="H221" s="364">
        <f t="shared" si="70"/>
        <v>0</v>
      </c>
      <c r="I221" s="93">
        <f>SUM('1:2'!I221)</f>
        <v>0</v>
      </c>
      <c r="J221" s="31"/>
      <c r="K221" s="35">
        <f t="array" ref="K221">IF(ISERROR(G221/L221),"",G221/L221)</f>
        <v>0</v>
      </c>
      <c r="L221" s="87">
        <v>54</v>
      </c>
      <c r="M221" s="36">
        <f t="shared" si="78"/>
        <v>0</v>
      </c>
      <c r="N221" s="93">
        <f>SUM('1:2'!N221)</f>
        <v>0</v>
      </c>
      <c r="O221" s="93">
        <f>SUM('1:2'!O221)</f>
        <v>0</v>
      </c>
      <c r="P221" s="93">
        <f>SUM('1:2'!P221)</f>
        <v>0</v>
      </c>
      <c r="Q221" s="93">
        <f>SUM('1:2'!Q221)</f>
        <v>0</v>
      </c>
      <c r="R221" s="93">
        <f>SUM('1:2'!R221)</f>
        <v>0</v>
      </c>
      <c r="S221" s="93">
        <f>SUM('1:2'!S221)</f>
        <v>0</v>
      </c>
      <c r="T221" s="93">
        <f>SUM('1:2'!T221)</f>
        <v>0</v>
      </c>
      <c r="U221" s="93">
        <f>SUM('1:2'!U221)</f>
        <v>0</v>
      </c>
      <c r="V221" s="206"/>
      <c r="W221" s="33"/>
      <c r="X221" s="93">
        <f>SUM('1:2'!X221)</f>
        <v>0</v>
      </c>
      <c r="Y221" s="93">
        <f>SUM('1:2'!Y221)</f>
        <v>0</v>
      </c>
      <c r="Z221" s="93">
        <f>SUM('1:2'!Z221)</f>
        <v>0</v>
      </c>
      <c r="AA221" s="93">
        <f>SUM('1:2'!AA221)</f>
        <v>0</v>
      </c>
      <c r="AB221" s="25"/>
      <c r="AC221" s="54"/>
      <c r="AD221" s="370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>
      <c r="A222" s="300">
        <v>30100021</v>
      </c>
      <c r="B222" s="190" t="s">
        <v>382</v>
      </c>
      <c r="C222" s="16" t="s">
        <v>389</v>
      </c>
      <c r="D222" s="17">
        <v>5.03</v>
      </c>
      <c r="E222" s="17"/>
      <c r="F222" s="6"/>
      <c r="G222" s="93">
        <f>SUM('1:2'!G222)</f>
        <v>0</v>
      </c>
      <c r="H222" s="364">
        <f t="shared" si="70"/>
        <v>0</v>
      </c>
      <c r="I222" s="93">
        <f>SUM('1:2'!I222)</f>
        <v>0</v>
      </c>
      <c r="J222" s="31"/>
      <c r="K222" s="35">
        <f t="array" ref="K222">IF(ISERROR(G222/L222),"",G222/L222)</f>
        <v>0</v>
      </c>
      <c r="L222" s="87">
        <v>54</v>
      </c>
      <c r="M222" s="36">
        <f t="shared" si="78"/>
        <v>0</v>
      </c>
      <c r="N222" s="93">
        <f>SUM('1:2'!N222)</f>
        <v>0</v>
      </c>
      <c r="O222" s="93">
        <f>SUM('1:2'!O222)</f>
        <v>0</v>
      </c>
      <c r="P222" s="93">
        <f>SUM('1:2'!P222)</f>
        <v>0</v>
      </c>
      <c r="Q222" s="93">
        <f>SUM('1:2'!Q222)</f>
        <v>0</v>
      </c>
      <c r="R222" s="93">
        <f>SUM('1:2'!R222)</f>
        <v>0</v>
      </c>
      <c r="S222" s="93">
        <f>SUM('1:2'!S222)</f>
        <v>0</v>
      </c>
      <c r="T222" s="93">
        <f>SUM('1:2'!T222)</f>
        <v>0</v>
      </c>
      <c r="U222" s="93">
        <f>SUM('1:2'!U222)</f>
        <v>0</v>
      </c>
      <c r="V222" s="206"/>
      <c r="W222" s="33"/>
      <c r="X222" s="93">
        <f>SUM('1:2'!X222)</f>
        <v>0</v>
      </c>
      <c r="Y222" s="93">
        <f>SUM('1:2'!Y222)</f>
        <v>0</v>
      </c>
      <c r="Z222" s="93">
        <f>SUM('1:2'!Z222)</f>
        <v>0</v>
      </c>
      <c r="AA222" s="93">
        <f>SUM('1:2'!AA222)</f>
        <v>0</v>
      </c>
      <c r="AB222" s="25"/>
      <c r="AC222" s="54"/>
      <c r="AD222" s="370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>
      <c r="A223" s="300">
        <v>30100018</v>
      </c>
      <c r="B223" s="190" t="s">
        <v>382</v>
      </c>
      <c r="C223" s="16" t="s">
        <v>391</v>
      </c>
      <c r="D223" s="17">
        <v>5.03</v>
      </c>
      <c r="E223" s="17"/>
      <c r="F223" s="6"/>
      <c r="G223" s="93">
        <f>SUM('1:2'!G223)</f>
        <v>0</v>
      </c>
      <c r="H223" s="364">
        <f t="shared" si="70"/>
        <v>0</v>
      </c>
      <c r="I223" s="93">
        <f>SUM('1:2'!I223)</f>
        <v>0</v>
      </c>
      <c r="J223" s="31"/>
      <c r="K223" s="35">
        <f t="array" ref="K223">IF(ISERROR(G223/L223),"",G223/L223)</f>
        <v>0</v>
      </c>
      <c r="L223" s="87">
        <v>54</v>
      </c>
      <c r="M223" s="36">
        <f t="shared" si="78"/>
        <v>0</v>
      </c>
      <c r="N223" s="93">
        <f>SUM('1:2'!N223)</f>
        <v>0</v>
      </c>
      <c r="O223" s="93">
        <f>SUM('1:2'!O223)</f>
        <v>0</v>
      </c>
      <c r="P223" s="93">
        <f>SUM('1:2'!P223)</f>
        <v>0</v>
      </c>
      <c r="Q223" s="93">
        <f>SUM('1:2'!Q223)</f>
        <v>0</v>
      </c>
      <c r="R223" s="93">
        <f>SUM('1:2'!R223)</f>
        <v>0</v>
      </c>
      <c r="S223" s="93">
        <f>SUM('1:2'!S223)</f>
        <v>0</v>
      </c>
      <c r="T223" s="93">
        <f>SUM('1:2'!T223)</f>
        <v>0</v>
      </c>
      <c r="U223" s="93">
        <f>SUM('1:2'!U223)</f>
        <v>0</v>
      </c>
      <c r="V223" s="206"/>
      <c r="W223" s="33"/>
      <c r="X223" s="93">
        <f>SUM('1:2'!X223)</f>
        <v>0</v>
      </c>
      <c r="Y223" s="93">
        <f>SUM('1:2'!Y223)</f>
        <v>0</v>
      </c>
      <c r="Z223" s="93">
        <f>SUM('1:2'!Z223)</f>
        <v>0</v>
      </c>
      <c r="AA223" s="93">
        <f>SUM('1:2'!AA223)</f>
        <v>0</v>
      </c>
      <c r="AB223" s="25"/>
      <c r="AC223" s="54"/>
      <c r="AD223" s="370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>
      <c r="A224" s="303">
        <v>30700007</v>
      </c>
      <c r="B224" s="190" t="s">
        <v>418</v>
      </c>
      <c r="C224" s="187" t="s">
        <v>364</v>
      </c>
      <c r="D224" s="17">
        <v>5.03</v>
      </c>
      <c r="E224" s="17"/>
      <c r="F224" s="6"/>
      <c r="G224" s="93">
        <f>SUM('1:2'!G224)</f>
        <v>0</v>
      </c>
      <c r="H224" s="364">
        <f t="shared" si="70"/>
        <v>0</v>
      </c>
      <c r="I224" s="93">
        <f>SUM('1:2'!I224)</f>
        <v>0</v>
      </c>
      <c r="J224" s="31"/>
      <c r="K224" s="35">
        <f t="array" ref="K224">IF(ISERROR(G224/L224),"",G224/L224)</f>
        <v>0</v>
      </c>
      <c r="L224" s="87">
        <v>3</v>
      </c>
      <c r="M224" s="36">
        <f t="shared" si="78"/>
        <v>0</v>
      </c>
      <c r="N224" s="93">
        <f>SUM('1:2'!N224)</f>
        <v>0</v>
      </c>
      <c r="O224" s="93">
        <f>SUM('1:2'!O224)</f>
        <v>0</v>
      </c>
      <c r="P224" s="93">
        <f>SUM('1:2'!P224)</f>
        <v>0</v>
      </c>
      <c r="Q224" s="93">
        <f>SUM('1:2'!Q224)</f>
        <v>0</v>
      </c>
      <c r="R224" s="93">
        <f>SUM('1:2'!R224)</f>
        <v>0</v>
      </c>
      <c r="S224" s="93">
        <f>SUM('1:2'!S224)</f>
        <v>0</v>
      </c>
      <c r="T224" s="93">
        <f>SUM('1:2'!T224)</f>
        <v>0</v>
      </c>
      <c r="U224" s="93">
        <f>SUM('1:2'!U224)</f>
        <v>0</v>
      </c>
      <c r="V224" s="206"/>
      <c r="W224" s="33"/>
      <c r="X224" s="93">
        <f>SUM('1:2'!X224)</f>
        <v>0</v>
      </c>
      <c r="Y224" s="93">
        <f>SUM('1:2'!Y224)</f>
        <v>0</v>
      </c>
      <c r="Z224" s="93">
        <f>SUM('1:2'!Z224)</f>
        <v>0</v>
      </c>
      <c r="AA224" s="93">
        <f>SUM('1:2'!AA224)</f>
        <v>0</v>
      </c>
      <c r="AB224" s="25"/>
      <c r="AC224" s="54"/>
      <c r="AD224" s="370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>
      <c r="A225" s="303">
        <v>30700006</v>
      </c>
      <c r="B225" s="190" t="s">
        <v>418</v>
      </c>
      <c r="C225" s="187" t="s">
        <v>365</v>
      </c>
      <c r="D225" s="17">
        <v>5.03</v>
      </c>
      <c r="E225" s="17"/>
      <c r="F225" s="6"/>
      <c r="G225" s="93">
        <f>SUM('1:2'!G225)</f>
        <v>0</v>
      </c>
      <c r="H225" s="364">
        <f t="shared" si="70"/>
        <v>0</v>
      </c>
      <c r="I225" s="93">
        <f>SUM('1:2'!I225)</f>
        <v>0</v>
      </c>
      <c r="J225" s="31"/>
      <c r="K225" s="35">
        <f t="array" ref="K225">IF(ISERROR(G225/L225),"",G225/L225)</f>
        <v>0</v>
      </c>
      <c r="L225" s="87">
        <v>3</v>
      </c>
      <c r="M225" s="36">
        <f t="shared" si="78"/>
        <v>0</v>
      </c>
      <c r="N225" s="93">
        <f>SUM('1:2'!N225)</f>
        <v>0</v>
      </c>
      <c r="O225" s="93">
        <f>SUM('1:2'!O225)</f>
        <v>0</v>
      </c>
      <c r="P225" s="93">
        <f>SUM('1:2'!P225)</f>
        <v>0</v>
      </c>
      <c r="Q225" s="93">
        <f>SUM('1:2'!Q225)</f>
        <v>0</v>
      </c>
      <c r="R225" s="93">
        <f>SUM('1:2'!R225)</f>
        <v>0</v>
      </c>
      <c r="S225" s="93">
        <f>SUM('1:2'!S225)</f>
        <v>0</v>
      </c>
      <c r="T225" s="93">
        <f>SUM('1:2'!T225)</f>
        <v>0</v>
      </c>
      <c r="U225" s="93">
        <f>SUM('1:2'!U225)</f>
        <v>0</v>
      </c>
      <c r="V225" s="206"/>
      <c r="W225" s="33"/>
      <c r="X225" s="93">
        <f>SUM('1:2'!X225)</f>
        <v>0</v>
      </c>
      <c r="Y225" s="93">
        <f>SUM('1:2'!Y225)</f>
        <v>0</v>
      </c>
      <c r="Z225" s="93">
        <f>SUM('1:2'!Z225)</f>
        <v>0</v>
      </c>
      <c r="AA225" s="93">
        <f>SUM('1:2'!AA225)</f>
        <v>0</v>
      </c>
      <c r="AB225" s="25"/>
      <c r="AC225" s="54"/>
      <c r="AD225" s="370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>
      <c r="A226" s="303">
        <v>30700008</v>
      </c>
      <c r="B226" s="190" t="s">
        <v>418</v>
      </c>
      <c r="C226" s="187" t="s">
        <v>366</v>
      </c>
      <c r="D226" s="17">
        <v>5.03</v>
      </c>
      <c r="E226" s="17"/>
      <c r="F226" s="6"/>
      <c r="G226" s="93">
        <f>SUM('1:2'!G226)</f>
        <v>0</v>
      </c>
      <c r="H226" s="364">
        <f t="shared" si="70"/>
        <v>0</v>
      </c>
      <c r="I226" s="93">
        <f>SUM('1:2'!I226)</f>
        <v>0</v>
      </c>
      <c r="J226" s="31"/>
      <c r="K226" s="35">
        <f t="array" ref="K226">IF(ISERROR(G226/L226),"",G226/L226)</f>
        <v>0</v>
      </c>
      <c r="L226" s="87">
        <v>3</v>
      </c>
      <c r="M226" s="36">
        <f t="shared" si="78"/>
        <v>0</v>
      </c>
      <c r="N226" s="93">
        <f>SUM('1:2'!N226)</f>
        <v>0</v>
      </c>
      <c r="O226" s="93">
        <f>SUM('1:2'!O226)</f>
        <v>0</v>
      </c>
      <c r="P226" s="93">
        <f>SUM('1:2'!P226)</f>
        <v>0</v>
      </c>
      <c r="Q226" s="93">
        <f>SUM('1:2'!Q226)</f>
        <v>0</v>
      </c>
      <c r="R226" s="93">
        <f>SUM('1:2'!R226)</f>
        <v>0</v>
      </c>
      <c r="S226" s="93">
        <f>SUM('1:2'!S226)</f>
        <v>0</v>
      </c>
      <c r="T226" s="93">
        <f>SUM('1:2'!T226)</f>
        <v>0</v>
      </c>
      <c r="U226" s="93">
        <f>SUM('1:2'!U226)</f>
        <v>0</v>
      </c>
      <c r="V226" s="206"/>
      <c r="W226" s="33"/>
      <c r="X226" s="93">
        <f>SUM('1:2'!X226)</f>
        <v>0</v>
      </c>
      <c r="Y226" s="93">
        <f>SUM('1:2'!Y226)</f>
        <v>0</v>
      </c>
      <c r="Z226" s="93">
        <f>SUM('1:2'!Z226)</f>
        <v>0</v>
      </c>
      <c r="AA226" s="93">
        <f>SUM('1:2'!AA226)</f>
        <v>0</v>
      </c>
      <c r="AB226" s="25"/>
      <c r="AC226" s="54"/>
      <c r="AD226" s="370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>
      <c r="A227" s="303">
        <v>30700009</v>
      </c>
      <c r="B227" s="190" t="s">
        <v>418</v>
      </c>
      <c r="C227" s="187" t="s">
        <v>367</v>
      </c>
      <c r="D227" s="17">
        <v>5.03</v>
      </c>
      <c r="E227" s="17"/>
      <c r="F227" s="6"/>
      <c r="G227" s="93">
        <f>SUM('1:2'!G227)</f>
        <v>0</v>
      </c>
      <c r="H227" s="364">
        <f t="shared" si="70"/>
        <v>0</v>
      </c>
      <c r="I227" s="93">
        <f>SUM('1:2'!I227)</f>
        <v>0</v>
      </c>
      <c r="J227" s="31"/>
      <c r="K227" s="35">
        <f t="array" ref="K227">IF(ISERROR(G227/L227),"",G227/L227)</f>
        <v>0</v>
      </c>
      <c r="L227" s="87">
        <v>3</v>
      </c>
      <c r="M227" s="36">
        <f t="shared" si="78"/>
        <v>0</v>
      </c>
      <c r="N227" s="93">
        <f>SUM('1:2'!N227)</f>
        <v>0</v>
      </c>
      <c r="O227" s="93">
        <f>SUM('1:2'!O227)</f>
        <v>0</v>
      </c>
      <c r="P227" s="93">
        <f>SUM('1:2'!P227)</f>
        <v>0</v>
      </c>
      <c r="Q227" s="93">
        <f>SUM('1:2'!Q227)</f>
        <v>0</v>
      </c>
      <c r="R227" s="93">
        <f>SUM('1:2'!R227)</f>
        <v>0</v>
      </c>
      <c r="S227" s="93">
        <f>SUM('1:2'!S227)</f>
        <v>0</v>
      </c>
      <c r="T227" s="93">
        <f>SUM('1:2'!T227)</f>
        <v>0</v>
      </c>
      <c r="U227" s="93">
        <f>SUM('1:2'!U227)</f>
        <v>0</v>
      </c>
      <c r="V227" s="206"/>
      <c r="W227" s="33"/>
      <c r="X227" s="93">
        <f>SUM('1:2'!X227)</f>
        <v>0</v>
      </c>
      <c r="Y227" s="93">
        <f>SUM('1:2'!Y227)</f>
        <v>0</v>
      </c>
      <c r="Z227" s="93">
        <f>SUM('1:2'!Z227)</f>
        <v>0</v>
      </c>
      <c r="AA227" s="93">
        <f>SUM('1:2'!AA227)</f>
        <v>0</v>
      </c>
      <c r="AB227" s="25"/>
      <c r="AC227" s="54"/>
      <c r="AD227" s="370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>
      <c r="A228" s="300">
        <v>30100036</v>
      </c>
      <c r="B228" s="62" t="s">
        <v>80</v>
      </c>
      <c r="C228" s="16" t="s">
        <v>61</v>
      </c>
      <c r="D228" s="17">
        <v>5.03</v>
      </c>
      <c r="E228" s="17"/>
      <c r="F228" s="6"/>
      <c r="G228" s="93">
        <f>SUM('1:2'!G228)</f>
        <v>0</v>
      </c>
      <c r="H228" s="364">
        <f t="shared" si="70"/>
        <v>0</v>
      </c>
      <c r="I228" s="93">
        <f>SUM('1:2'!I228)</f>
        <v>0</v>
      </c>
      <c r="J228" s="31" t="str">
        <f t="array" ref="J228">IF(ISERROR(G228/I228),"",G228/I228)</f>
        <v/>
      </c>
      <c r="K228" s="35">
        <f t="array" ref="K228">IF(ISERROR(G228/L228),"",G228/L228)</f>
        <v>0</v>
      </c>
      <c r="L228" s="87">
        <v>40</v>
      </c>
      <c r="M228" s="36">
        <f t="shared" si="78"/>
        <v>0</v>
      </c>
      <c r="N228" s="93">
        <f>SUM('1:2'!N228)</f>
        <v>0</v>
      </c>
      <c r="O228" s="93">
        <f>SUM('1:2'!O228)</f>
        <v>0</v>
      </c>
      <c r="P228" s="93">
        <f>SUM('1:2'!P228)</f>
        <v>0</v>
      </c>
      <c r="Q228" s="93">
        <f>SUM('1:2'!Q228)</f>
        <v>0</v>
      </c>
      <c r="R228" s="93">
        <f>SUM('1:2'!R228)</f>
        <v>0</v>
      </c>
      <c r="S228" s="93">
        <f>SUM('1:2'!S228)</f>
        <v>0</v>
      </c>
      <c r="T228" s="93">
        <f>SUM('1:2'!T228)</f>
        <v>0</v>
      </c>
      <c r="U228" s="93">
        <f>SUM('1:2'!U228)</f>
        <v>0</v>
      </c>
      <c r="V228" s="206">
        <f t="shared" ref="V228:V237" si="81">SUM(X228:AA228)</f>
        <v>0</v>
      </c>
      <c r="W228" s="33" t="str">
        <f t="shared" ref="W228:W237" si="82">IF(ISERROR(V228/G228),"",V228/G228)</f>
        <v/>
      </c>
      <c r="X228" s="93">
        <f>SUM('1:2'!X228)</f>
        <v>0</v>
      </c>
      <c r="Y228" s="93">
        <f>SUM('1:2'!Y228)</f>
        <v>0</v>
      </c>
      <c r="Z228" s="93">
        <f>SUM('1:2'!Z228)</f>
        <v>0</v>
      </c>
      <c r="AA228" s="93">
        <f>SUM('1:2'!AA228)</f>
        <v>0</v>
      </c>
      <c r="AB228" s="73"/>
      <c r="AC228" s="54"/>
      <c r="AD228" s="370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>
      <c r="A229" s="300">
        <v>30100034</v>
      </c>
      <c r="B229" s="62" t="s">
        <v>80</v>
      </c>
      <c r="C229" s="16" t="s">
        <v>60</v>
      </c>
      <c r="D229" s="17">
        <v>5.03</v>
      </c>
      <c r="E229" s="17"/>
      <c r="F229" s="6"/>
      <c r="G229" s="93">
        <f>SUM('1:2'!G229)</f>
        <v>0</v>
      </c>
      <c r="H229" s="364">
        <f t="shared" si="70"/>
        <v>0</v>
      </c>
      <c r="I229" s="93">
        <f>SUM('1:2'!I229)</f>
        <v>0</v>
      </c>
      <c r="J229" s="31" t="str">
        <f t="array" ref="J229">IF(ISERROR(G229/I229),"",G229/I229)</f>
        <v/>
      </c>
      <c r="K229" s="35">
        <f t="array" ref="K229">IF(ISERROR(G229/L229),"",G229/L229)</f>
        <v>0</v>
      </c>
      <c r="L229" s="87">
        <v>40</v>
      </c>
      <c r="M229" s="36">
        <f t="shared" si="78"/>
        <v>0</v>
      </c>
      <c r="N229" s="93">
        <f>SUM('1:2'!N229)</f>
        <v>0</v>
      </c>
      <c r="O229" s="93">
        <f>SUM('1:2'!O229)</f>
        <v>0</v>
      </c>
      <c r="P229" s="93">
        <f>SUM('1:2'!P229)</f>
        <v>0</v>
      </c>
      <c r="Q229" s="93">
        <f>SUM('1:2'!Q229)</f>
        <v>0</v>
      </c>
      <c r="R229" s="93">
        <f>SUM('1:2'!R229)</f>
        <v>0</v>
      </c>
      <c r="S229" s="93">
        <f>SUM('1:2'!S229)</f>
        <v>0</v>
      </c>
      <c r="T229" s="93">
        <f>SUM('1:2'!T229)</f>
        <v>0</v>
      </c>
      <c r="U229" s="93">
        <f>SUM('1:2'!U229)</f>
        <v>0</v>
      </c>
      <c r="V229" s="206">
        <f t="shared" si="81"/>
        <v>0</v>
      </c>
      <c r="W229" s="33" t="str">
        <f t="shared" si="82"/>
        <v/>
      </c>
      <c r="X229" s="93">
        <f>SUM('1:2'!X229)</f>
        <v>0</v>
      </c>
      <c r="Y229" s="93">
        <f>SUM('1:2'!Y229)</f>
        <v>0</v>
      </c>
      <c r="Z229" s="93">
        <f>SUM('1:2'!Z229)</f>
        <v>0</v>
      </c>
      <c r="AA229" s="93">
        <f>SUM('1:2'!AA229)</f>
        <v>0</v>
      </c>
      <c r="AB229" s="73"/>
      <c r="AC229" s="54"/>
      <c r="AD229" s="370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>
      <c r="A230" s="300">
        <v>30100035</v>
      </c>
      <c r="B230" s="62" t="s">
        <v>80</v>
      </c>
      <c r="C230" s="16" t="s">
        <v>65</v>
      </c>
      <c r="D230" s="17">
        <v>5.03</v>
      </c>
      <c r="E230" s="17"/>
      <c r="F230" s="6"/>
      <c r="G230" s="93">
        <f>SUM('1:2'!G230)</f>
        <v>0</v>
      </c>
      <c r="H230" s="364">
        <f t="shared" si="70"/>
        <v>0</v>
      </c>
      <c r="I230" s="93">
        <f>SUM('1:2'!I230)</f>
        <v>0</v>
      </c>
      <c r="J230" s="31" t="str">
        <f t="array" ref="J230">IF(ISERROR(G230/I230),"",G230/I230)</f>
        <v/>
      </c>
      <c r="K230" s="35">
        <f t="array" ref="K230">IF(ISERROR(G230/L230),"",G230/L230)</f>
        <v>0</v>
      </c>
      <c r="L230" s="87">
        <v>40</v>
      </c>
      <c r="M230" s="36">
        <f t="shared" si="78"/>
        <v>0</v>
      </c>
      <c r="N230" s="93">
        <f>SUM('1:2'!N230)</f>
        <v>0</v>
      </c>
      <c r="O230" s="93">
        <f>SUM('1:2'!O230)</f>
        <v>0</v>
      </c>
      <c r="P230" s="93">
        <f>SUM('1:2'!P230)</f>
        <v>0</v>
      </c>
      <c r="Q230" s="93">
        <f>SUM('1:2'!Q230)</f>
        <v>0</v>
      </c>
      <c r="R230" s="93">
        <f>SUM('1:2'!R230)</f>
        <v>0</v>
      </c>
      <c r="S230" s="93">
        <f>SUM('1:2'!S230)</f>
        <v>0</v>
      </c>
      <c r="T230" s="93">
        <f>SUM('1:2'!T230)</f>
        <v>0</v>
      </c>
      <c r="U230" s="93">
        <f>SUM('1:2'!U230)</f>
        <v>0</v>
      </c>
      <c r="V230" s="206">
        <f t="shared" si="81"/>
        <v>0</v>
      </c>
      <c r="W230" s="33" t="str">
        <f t="shared" si="82"/>
        <v/>
      </c>
      <c r="X230" s="93">
        <f>SUM('1:2'!X230)</f>
        <v>0</v>
      </c>
      <c r="Y230" s="93">
        <f>SUM('1:2'!Y230)</f>
        <v>0</v>
      </c>
      <c r="Z230" s="93">
        <f>SUM('1:2'!Z230)</f>
        <v>0</v>
      </c>
      <c r="AA230" s="93">
        <f>SUM('1:2'!AA230)</f>
        <v>0</v>
      </c>
      <c r="AB230" s="73"/>
      <c r="AC230" s="54"/>
      <c r="AD230" s="370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>
      <c r="A231" s="300">
        <v>30100040</v>
      </c>
      <c r="B231" s="62" t="s">
        <v>81</v>
      </c>
      <c r="C231" s="16" t="s">
        <v>82</v>
      </c>
      <c r="D231" s="17">
        <v>5.03</v>
      </c>
      <c r="E231" s="17"/>
      <c r="F231" s="6"/>
      <c r="G231" s="93">
        <f>SUM('1:2'!G231)</f>
        <v>0</v>
      </c>
      <c r="H231" s="364">
        <f t="shared" si="70"/>
        <v>0</v>
      </c>
      <c r="I231" s="93">
        <f>SUM('1:2'!I231)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87">
        <v>50</v>
      </c>
      <c r="M231" s="36">
        <f t="shared" si="78"/>
        <v>0</v>
      </c>
      <c r="N231" s="93">
        <f>SUM('1:2'!N231)</f>
        <v>0</v>
      </c>
      <c r="O231" s="93">
        <f>SUM('1:2'!O231)</f>
        <v>0</v>
      </c>
      <c r="P231" s="93">
        <f>SUM('1:2'!P231)</f>
        <v>0</v>
      </c>
      <c r="Q231" s="93">
        <f>SUM('1:2'!Q231)</f>
        <v>0</v>
      </c>
      <c r="R231" s="93">
        <f>SUM('1:2'!R231)</f>
        <v>0</v>
      </c>
      <c r="S231" s="93">
        <f>SUM('1:2'!S231)</f>
        <v>0</v>
      </c>
      <c r="T231" s="93">
        <f>SUM('1:2'!T231)</f>
        <v>0</v>
      </c>
      <c r="U231" s="93">
        <f>SUM('1:2'!U231)</f>
        <v>0</v>
      </c>
      <c r="V231" s="206">
        <f t="shared" si="81"/>
        <v>0</v>
      </c>
      <c r="W231" s="33" t="str">
        <f t="shared" si="82"/>
        <v/>
      </c>
      <c r="X231" s="93">
        <f>SUM('1:2'!X231)</f>
        <v>0</v>
      </c>
      <c r="Y231" s="93">
        <f>SUM('1:2'!Y231)</f>
        <v>0</v>
      </c>
      <c r="Z231" s="93">
        <f>SUM('1:2'!Z231)</f>
        <v>0</v>
      </c>
      <c r="AA231" s="93">
        <f>SUM('1:2'!AA231)</f>
        <v>0</v>
      </c>
      <c r="AB231" s="73"/>
      <c r="AC231" s="54"/>
      <c r="AD231" s="370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>
      <c r="A232" s="300">
        <v>30100039</v>
      </c>
      <c r="B232" s="62" t="s">
        <v>81</v>
      </c>
      <c r="C232" s="16" t="s">
        <v>60</v>
      </c>
      <c r="D232" s="17">
        <v>5.03</v>
      </c>
      <c r="E232" s="17"/>
      <c r="F232" s="6"/>
      <c r="G232" s="93">
        <f>SUM('1:2'!G232)</f>
        <v>0</v>
      </c>
      <c r="H232" s="364">
        <f t="shared" si="70"/>
        <v>0</v>
      </c>
      <c r="I232" s="93">
        <f>SUM('1:2'!I232)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87">
        <v>50</v>
      </c>
      <c r="M232" s="36">
        <f t="shared" si="78"/>
        <v>0</v>
      </c>
      <c r="N232" s="93">
        <f>SUM('1:2'!N232)</f>
        <v>0</v>
      </c>
      <c r="O232" s="93">
        <f>SUM('1:2'!O232)</f>
        <v>0</v>
      </c>
      <c r="P232" s="93">
        <f>SUM('1:2'!P232)</f>
        <v>0</v>
      </c>
      <c r="Q232" s="93">
        <f>SUM('1:2'!Q232)</f>
        <v>0</v>
      </c>
      <c r="R232" s="93">
        <f>SUM('1:2'!R232)</f>
        <v>0</v>
      </c>
      <c r="S232" s="93">
        <f>SUM('1:2'!S232)</f>
        <v>0</v>
      </c>
      <c r="T232" s="93">
        <f>SUM('1:2'!T232)</f>
        <v>0</v>
      </c>
      <c r="U232" s="93">
        <f>SUM('1:2'!U232)</f>
        <v>0</v>
      </c>
      <c r="V232" s="206">
        <f t="shared" si="81"/>
        <v>0</v>
      </c>
      <c r="W232" s="33" t="str">
        <f t="shared" si="82"/>
        <v/>
      </c>
      <c r="X232" s="93">
        <f>SUM('1:2'!X232)</f>
        <v>0</v>
      </c>
      <c r="Y232" s="93">
        <f>SUM('1:2'!Y232)</f>
        <v>0</v>
      </c>
      <c r="Z232" s="93">
        <f>SUM('1:2'!Z232)</f>
        <v>0</v>
      </c>
      <c r="AA232" s="93">
        <f>SUM('1:2'!AA232)</f>
        <v>0</v>
      </c>
      <c r="AB232" s="73"/>
      <c r="AC232" s="54"/>
      <c r="AD232" s="370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>
      <c r="A233" s="300">
        <v>30100042</v>
      </c>
      <c r="B233" s="62" t="s">
        <v>81</v>
      </c>
      <c r="C233" s="16" t="s">
        <v>61</v>
      </c>
      <c r="D233" s="17">
        <v>5.03</v>
      </c>
      <c r="E233" s="17"/>
      <c r="F233" s="6"/>
      <c r="G233" s="93">
        <f>SUM('1:2'!G233)</f>
        <v>0</v>
      </c>
      <c r="H233" s="364">
        <f t="shared" si="70"/>
        <v>0</v>
      </c>
      <c r="I233" s="93">
        <f>SUM('1:2'!I233)</f>
        <v>0</v>
      </c>
      <c r="J233" s="31" t="str">
        <f t="array" ref="J233">IF(ISERROR(G233/I233),"",G233/I233)</f>
        <v/>
      </c>
      <c r="K233" s="35">
        <f t="array" ref="K233">IF(ISERROR(G233/L233),"",G233/L233)</f>
        <v>0</v>
      </c>
      <c r="L233" s="87">
        <v>50</v>
      </c>
      <c r="M233" s="36">
        <f t="shared" si="78"/>
        <v>0</v>
      </c>
      <c r="N233" s="93">
        <f>SUM('1:2'!N233)</f>
        <v>0</v>
      </c>
      <c r="O233" s="93">
        <f>SUM('1:2'!O233)</f>
        <v>0</v>
      </c>
      <c r="P233" s="93">
        <f>SUM('1:2'!P233)</f>
        <v>0</v>
      </c>
      <c r="Q233" s="93">
        <f>SUM('1:2'!Q233)</f>
        <v>0</v>
      </c>
      <c r="R233" s="93">
        <f>SUM('1:2'!R233)</f>
        <v>0</v>
      </c>
      <c r="S233" s="93">
        <f>SUM('1:2'!S233)</f>
        <v>0</v>
      </c>
      <c r="T233" s="93">
        <f>SUM('1:2'!T233)</f>
        <v>0</v>
      </c>
      <c r="U233" s="93">
        <f>SUM('1:2'!U233)</f>
        <v>0</v>
      </c>
      <c r="V233" s="206">
        <f t="shared" si="81"/>
        <v>0</v>
      </c>
      <c r="W233" s="33" t="str">
        <f t="shared" si="82"/>
        <v/>
      </c>
      <c r="X233" s="93">
        <f>SUM('1:2'!X233)</f>
        <v>0</v>
      </c>
      <c r="Y233" s="93">
        <f>SUM('1:2'!Y233)</f>
        <v>0</v>
      </c>
      <c r="Z233" s="93">
        <f>SUM('1:2'!Z233)</f>
        <v>0</v>
      </c>
      <c r="AA233" s="93">
        <f>SUM('1:2'!AA233)</f>
        <v>0</v>
      </c>
      <c r="AB233" s="73"/>
      <c r="AC233" s="54"/>
      <c r="AD233" s="370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>
      <c r="A234" s="300">
        <v>30100041</v>
      </c>
      <c r="B234" s="62" t="s">
        <v>81</v>
      </c>
      <c r="C234" s="16" t="s">
        <v>65</v>
      </c>
      <c r="D234" s="17">
        <v>5.03</v>
      </c>
      <c r="E234" s="17"/>
      <c r="F234" s="6"/>
      <c r="G234" s="93">
        <f>SUM('1:2'!G234)</f>
        <v>0</v>
      </c>
      <c r="H234" s="364">
        <f t="shared" si="70"/>
        <v>0</v>
      </c>
      <c r="I234" s="93">
        <f>SUM('1:2'!I234)</f>
        <v>0</v>
      </c>
      <c r="J234" s="31" t="str">
        <f t="array" ref="J234">IF(ISERROR(G234/I234),"",G234/I234)</f>
        <v/>
      </c>
      <c r="K234" s="35">
        <f t="array" ref="K234">IF(ISERROR(G234/L234),"",G234/L234)</f>
        <v>0</v>
      </c>
      <c r="L234" s="87">
        <v>50</v>
      </c>
      <c r="M234" s="36">
        <f t="shared" si="78"/>
        <v>0</v>
      </c>
      <c r="N234" s="93">
        <f>SUM('1:2'!N234)</f>
        <v>0</v>
      </c>
      <c r="O234" s="93">
        <f>SUM('1:2'!O234)</f>
        <v>0</v>
      </c>
      <c r="P234" s="93">
        <f>SUM('1:2'!P234)</f>
        <v>0</v>
      </c>
      <c r="Q234" s="93">
        <f>SUM('1:2'!Q234)</f>
        <v>0</v>
      </c>
      <c r="R234" s="93">
        <f>SUM('1:2'!R234)</f>
        <v>0</v>
      </c>
      <c r="S234" s="93">
        <f>SUM('1:2'!S234)</f>
        <v>0</v>
      </c>
      <c r="T234" s="93">
        <f>SUM('1:2'!T234)</f>
        <v>0</v>
      </c>
      <c r="U234" s="93">
        <f>SUM('1:2'!U234)</f>
        <v>0</v>
      </c>
      <c r="V234" s="206">
        <f t="shared" si="81"/>
        <v>0</v>
      </c>
      <c r="W234" s="33" t="str">
        <f t="shared" si="82"/>
        <v/>
      </c>
      <c r="X234" s="93">
        <f>SUM('1:2'!X234)</f>
        <v>0</v>
      </c>
      <c r="Y234" s="93">
        <f>SUM('1:2'!Y234)</f>
        <v>0</v>
      </c>
      <c r="Z234" s="93">
        <f>SUM('1:2'!Z234)</f>
        <v>0</v>
      </c>
      <c r="AA234" s="93">
        <f>SUM('1:2'!AA234)</f>
        <v>0</v>
      </c>
      <c r="AB234" s="73"/>
      <c r="AC234" s="54"/>
      <c r="AD234" s="370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>
      <c r="A235" s="300">
        <v>30100045</v>
      </c>
      <c r="B235" s="62" t="s">
        <v>83</v>
      </c>
      <c r="C235" s="16" t="s">
        <v>73</v>
      </c>
      <c r="D235" s="17">
        <v>5.03</v>
      </c>
      <c r="E235" s="17"/>
      <c r="F235" s="6"/>
      <c r="G235" s="93">
        <f>SUM('1:2'!G235)</f>
        <v>0</v>
      </c>
      <c r="H235" s="364">
        <f t="shared" si="70"/>
        <v>0</v>
      </c>
      <c r="I235" s="93">
        <f>SUM('1:2'!I235)</f>
        <v>0</v>
      </c>
      <c r="J235" s="31" t="str">
        <f t="array" ref="J235">IF(ISERROR(G235/I235),"",G235/I235)</f>
        <v/>
      </c>
      <c r="K235" s="35">
        <f t="array" ref="K235">IF(ISERROR(G235/L235),"",G235/L235)</f>
        <v>0</v>
      </c>
      <c r="L235" s="87">
        <v>50</v>
      </c>
      <c r="M235" s="36">
        <f t="shared" si="78"/>
        <v>0</v>
      </c>
      <c r="N235" s="93">
        <f>SUM('1:2'!N235)</f>
        <v>0</v>
      </c>
      <c r="O235" s="93">
        <f>SUM('1:2'!O235)</f>
        <v>0</v>
      </c>
      <c r="P235" s="93">
        <f>SUM('1:2'!P235)</f>
        <v>0</v>
      </c>
      <c r="Q235" s="93">
        <f>SUM('1:2'!Q235)</f>
        <v>0</v>
      </c>
      <c r="R235" s="93">
        <f>SUM('1:2'!R235)</f>
        <v>0</v>
      </c>
      <c r="S235" s="93">
        <f>SUM('1:2'!S235)</f>
        <v>0</v>
      </c>
      <c r="T235" s="93">
        <f>SUM('1:2'!T235)</f>
        <v>0</v>
      </c>
      <c r="U235" s="93">
        <f>SUM('1:2'!U235)</f>
        <v>0</v>
      </c>
      <c r="V235" s="206">
        <f t="shared" si="81"/>
        <v>0</v>
      </c>
      <c r="W235" s="33" t="str">
        <f t="shared" si="82"/>
        <v/>
      </c>
      <c r="X235" s="93">
        <f>SUM('1:2'!X235)</f>
        <v>0</v>
      </c>
      <c r="Y235" s="93">
        <f>SUM('1:2'!Y235)</f>
        <v>0</v>
      </c>
      <c r="Z235" s="93">
        <f>SUM('1:2'!Z235)</f>
        <v>0</v>
      </c>
      <c r="AA235" s="93">
        <f>SUM('1:2'!AA235)</f>
        <v>0</v>
      </c>
      <c r="AB235" s="73"/>
      <c r="AC235" s="54"/>
      <c r="AD235" s="370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>
      <c r="A236" s="300">
        <v>30100044</v>
      </c>
      <c r="B236" s="62" t="s">
        <v>83</v>
      </c>
      <c r="C236" s="16" t="s">
        <v>61</v>
      </c>
      <c r="D236" s="17">
        <v>5.03</v>
      </c>
      <c r="E236" s="17"/>
      <c r="F236" s="6"/>
      <c r="G236" s="93">
        <f>SUM('1:2'!G236)</f>
        <v>0</v>
      </c>
      <c r="H236" s="364">
        <f t="shared" si="70"/>
        <v>0</v>
      </c>
      <c r="I236" s="93">
        <f>SUM('1:2'!I236)</f>
        <v>0</v>
      </c>
      <c r="J236" s="31" t="str">
        <f t="array" ref="J236">IF(ISERROR(G236/I236),"",G236/I236)</f>
        <v/>
      </c>
      <c r="K236" s="35">
        <f t="array" ref="K236">IF(ISERROR(G236/L236),"",G236/L236)</f>
        <v>0</v>
      </c>
      <c r="L236" s="87">
        <v>50</v>
      </c>
      <c r="M236" s="36">
        <f t="shared" si="78"/>
        <v>0</v>
      </c>
      <c r="N236" s="93">
        <f>SUM('1:2'!N236)</f>
        <v>0</v>
      </c>
      <c r="O236" s="93">
        <f>SUM('1:2'!O236)</f>
        <v>0</v>
      </c>
      <c r="P236" s="93">
        <f>SUM('1:2'!P236)</f>
        <v>0</v>
      </c>
      <c r="Q236" s="93">
        <f>SUM('1:2'!Q236)</f>
        <v>0</v>
      </c>
      <c r="R236" s="93">
        <f>SUM('1:2'!R236)</f>
        <v>0</v>
      </c>
      <c r="S236" s="93">
        <f>SUM('1:2'!S236)</f>
        <v>0</v>
      </c>
      <c r="T236" s="93">
        <f>SUM('1:2'!T236)</f>
        <v>0</v>
      </c>
      <c r="U236" s="93">
        <f>SUM('1:2'!U236)</f>
        <v>0</v>
      </c>
      <c r="V236" s="206">
        <f t="shared" si="81"/>
        <v>0</v>
      </c>
      <c r="W236" s="33" t="str">
        <f t="shared" si="82"/>
        <v/>
      </c>
      <c r="X236" s="93">
        <f>SUM('1:2'!X236)</f>
        <v>0</v>
      </c>
      <c r="Y236" s="93">
        <f>SUM('1:2'!Y236)</f>
        <v>0</v>
      </c>
      <c r="Z236" s="93">
        <f>SUM('1:2'!Z236)</f>
        <v>0</v>
      </c>
      <c r="AA236" s="93">
        <f>SUM('1:2'!AA236)</f>
        <v>0</v>
      </c>
      <c r="AB236" s="73"/>
      <c r="AC236" s="54"/>
      <c r="AD236" s="370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>
      <c r="A237" s="300">
        <v>30100046</v>
      </c>
      <c r="B237" s="62" t="s">
        <v>83</v>
      </c>
      <c r="C237" s="16" t="s">
        <v>77</v>
      </c>
      <c r="D237" s="17">
        <v>5.03</v>
      </c>
      <c r="E237" s="17"/>
      <c r="F237" s="6"/>
      <c r="G237" s="93">
        <f>SUM('1:2'!G237)</f>
        <v>0</v>
      </c>
      <c r="H237" s="364">
        <f t="shared" si="70"/>
        <v>0</v>
      </c>
      <c r="I237" s="93">
        <f>SUM('1:2'!I237)</f>
        <v>0</v>
      </c>
      <c r="J237" s="31" t="str">
        <f t="array" ref="J237">IF(ISERROR(G237/I237),"",G237/I237)</f>
        <v/>
      </c>
      <c r="K237" s="35">
        <f t="array" ref="K237">IF(ISERROR(G237/L237),"",G237/L237)</f>
        <v>0</v>
      </c>
      <c r="L237" s="87">
        <v>50</v>
      </c>
      <c r="M237" s="36">
        <f t="shared" si="78"/>
        <v>0</v>
      </c>
      <c r="N237" s="93">
        <f>SUM('1:2'!N237)</f>
        <v>0</v>
      </c>
      <c r="O237" s="93">
        <f>SUM('1:2'!O237)</f>
        <v>0</v>
      </c>
      <c r="P237" s="93">
        <f>SUM('1:2'!P237)</f>
        <v>0</v>
      </c>
      <c r="Q237" s="93">
        <f>SUM('1:2'!Q237)</f>
        <v>0</v>
      </c>
      <c r="R237" s="93">
        <f>SUM('1:2'!R237)</f>
        <v>0</v>
      </c>
      <c r="S237" s="93">
        <f>SUM('1:2'!S237)</f>
        <v>0</v>
      </c>
      <c r="T237" s="93">
        <f>SUM('1:2'!T237)</f>
        <v>0</v>
      </c>
      <c r="U237" s="93">
        <f>SUM('1:2'!U237)</f>
        <v>0</v>
      </c>
      <c r="V237" s="206">
        <f t="shared" si="81"/>
        <v>0</v>
      </c>
      <c r="W237" s="33" t="str">
        <f t="shared" si="82"/>
        <v/>
      </c>
      <c r="X237" s="93">
        <f>SUM('1:2'!X237)</f>
        <v>0</v>
      </c>
      <c r="Y237" s="93">
        <f>SUM('1:2'!Y237)</f>
        <v>0</v>
      </c>
      <c r="Z237" s="93">
        <f>SUM('1:2'!Z237)</f>
        <v>0</v>
      </c>
      <c r="AA237" s="93">
        <f>SUM('1:2'!AA237)</f>
        <v>0</v>
      </c>
      <c r="AB237" s="73"/>
      <c r="AC237" s="54"/>
      <c r="AD237" s="370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>
      <c r="A238" s="300">
        <v>30100043</v>
      </c>
      <c r="B238" s="192" t="s">
        <v>429</v>
      </c>
      <c r="C238" s="187" t="s">
        <v>427</v>
      </c>
      <c r="D238" s="17">
        <v>5.03</v>
      </c>
      <c r="E238" s="17"/>
      <c r="F238" s="6"/>
      <c r="G238" s="93">
        <f>SUM('1:2'!G238)</f>
        <v>0</v>
      </c>
      <c r="H238" s="364">
        <f t="shared" si="70"/>
        <v>0</v>
      </c>
      <c r="I238" s="93">
        <f>SUM('1:2'!I238)</f>
        <v>0</v>
      </c>
      <c r="J238" s="31"/>
      <c r="K238" s="35"/>
      <c r="L238" s="87">
        <v>50</v>
      </c>
      <c r="M238" s="36"/>
      <c r="N238" s="93"/>
      <c r="O238" s="93"/>
      <c r="P238" s="93"/>
      <c r="Q238" s="93"/>
      <c r="R238" s="93"/>
      <c r="S238" s="93"/>
      <c r="T238" s="93"/>
      <c r="U238" s="93"/>
      <c r="V238" s="206"/>
      <c r="W238" s="33"/>
      <c r="X238" s="93"/>
      <c r="Y238" s="93"/>
      <c r="Z238" s="93"/>
      <c r="AA238" s="93"/>
      <c r="AB238" s="73"/>
      <c r="AC238" s="54"/>
      <c r="AD238" s="370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>
      <c r="A239" s="300">
        <v>30100064</v>
      </c>
      <c r="B239" s="192" t="s">
        <v>400</v>
      </c>
      <c r="C239" s="187" t="s">
        <v>398</v>
      </c>
      <c r="D239" s="17">
        <v>5</v>
      </c>
      <c r="E239" s="17"/>
      <c r="F239" s="6"/>
      <c r="G239" s="93">
        <f>SUM('1:2'!G239)</f>
        <v>0</v>
      </c>
      <c r="H239" s="364">
        <f t="shared" si="70"/>
        <v>0</v>
      </c>
      <c r="I239" s="93">
        <f>SUM('1:2'!I239)</f>
        <v>0</v>
      </c>
      <c r="J239" s="31"/>
      <c r="K239" s="35">
        <f t="array" ref="K239">IF(ISERROR(G239/L239),"",G239/L239)</f>
        <v>0</v>
      </c>
      <c r="L239" s="87">
        <v>50</v>
      </c>
      <c r="M239" s="36">
        <f t="shared" ref="M239:M250" si="83">IF(ISERROR(I239-K239),"",I239-K239)</f>
        <v>0</v>
      </c>
      <c r="N239" s="93">
        <f>SUM('1:2'!N239)</f>
        <v>0</v>
      </c>
      <c r="O239" s="93">
        <f>SUM('1:2'!O239)</f>
        <v>0</v>
      </c>
      <c r="P239" s="93">
        <f>SUM('1:2'!P239)</f>
        <v>0</v>
      </c>
      <c r="Q239" s="93">
        <f>SUM('1:2'!Q239)</f>
        <v>0</v>
      </c>
      <c r="R239" s="93">
        <f>SUM('1:2'!R239)</f>
        <v>0</v>
      </c>
      <c r="S239" s="93">
        <f>SUM('1:2'!S239)</f>
        <v>0</v>
      </c>
      <c r="T239" s="93">
        <f>SUM('1:2'!T239)</f>
        <v>0</v>
      </c>
      <c r="U239" s="93">
        <f>SUM('1:2'!U239)</f>
        <v>0</v>
      </c>
      <c r="V239" s="206"/>
      <c r="W239" s="33"/>
      <c r="X239" s="93">
        <f>SUM('1:2'!X239)</f>
        <v>0</v>
      </c>
      <c r="Y239" s="93">
        <f>SUM('1:2'!Y239)</f>
        <v>0</v>
      </c>
      <c r="Z239" s="93">
        <f>SUM('1:2'!Z239)</f>
        <v>0</v>
      </c>
      <c r="AA239" s="93">
        <f>SUM('1:2'!AA239)</f>
        <v>0</v>
      </c>
      <c r="AB239" s="73"/>
      <c r="AC239" s="54"/>
      <c r="AD239" s="370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>
      <c r="A240" s="300">
        <v>30100049</v>
      </c>
      <c r="B240" s="62" t="s">
        <v>84</v>
      </c>
      <c r="C240" s="16" t="s">
        <v>64</v>
      </c>
      <c r="D240" s="17">
        <v>5.03</v>
      </c>
      <c r="E240" s="17"/>
      <c r="F240" s="6"/>
      <c r="G240" s="93">
        <f>SUM('1:2'!G240)</f>
        <v>340</v>
      </c>
      <c r="H240" s="364">
        <f t="shared" si="70"/>
        <v>1710.2</v>
      </c>
      <c r="I240" s="93">
        <f>SUM('1:2'!I240)</f>
        <v>22.5</v>
      </c>
      <c r="J240" s="31">
        <f t="array" ref="J240">IF(ISERROR(G240/I240),"",G240/I240)</f>
        <v>15.111111111111111</v>
      </c>
      <c r="K240" s="35">
        <f t="array" ref="K240">IF(ISERROR(G240/L240),"",G240/L240)</f>
        <v>15.813953488372093</v>
      </c>
      <c r="L240" s="87">
        <v>21.5</v>
      </c>
      <c r="M240" s="36">
        <f t="shared" si="83"/>
        <v>6.6860465116279073</v>
      </c>
      <c r="N240" s="93">
        <f>SUM('1:2'!N240)</f>
        <v>0</v>
      </c>
      <c r="O240" s="93">
        <f>SUM('1:2'!O240)</f>
        <v>0</v>
      </c>
      <c r="P240" s="93">
        <f>SUM('1:2'!P240)</f>
        <v>0</v>
      </c>
      <c r="Q240" s="93">
        <f>SUM('1:2'!Q240)</f>
        <v>0</v>
      </c>
      <c r="R240" s="93">
        <f>SUM('1:2'!R240)</f>
        <v>0</v>
      </c>
      <c r="S240" s="93">
        <f>SUM('1:2'!S240)</f>
        <v>0</v>
      </c>
      <c r="T240" s="93">
        <f>SUM('1:2'!T240)</f>
        <v>0</v>
      </c>
      <c r="U240" s="93">
        <f>SUM('1:2'!U240)</f>
        <v>0</v>
      </c>
      <c r="V240" s="206">
        <f t="shared" ref="V240:V241" si="84">SUM(X240:AA240)</f>
        <v>0</v>
      </c>
      <c r="W240" s="33">
        <f t="shared" ref="W240:W241" si="85">IF(ISERROR(V240/G240),"",V240/G240)</f>
        <v>0</v>
      </c>
      <c r="X240" s="93">
        <f>SUM('1:2'!X240)</f>
        <v>0</v>
      </c>
      <c r="Y240" s="93">
        <f>SUM('1:2'!Y240)</f>
        <v>0</v>
      </c>
      <c r="Z240" s="93">
        <f>SUM('1:2'!Z240)</f>
        <v>0</v>
      </c>
      <c r="AA240" s="93">
        <f>SUM('1:2'!AA240)</f>
        <v>0</v>
      </c>
      <c r="AB240" s="73"/>
      <c r="AC240" s="54"/>
      <c r="AD240" s="370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>
      <c r="A241" s="300">
        <v>30100050</v>
      </c>
      <c r="B241" s="62" t="s">
        <v>84</v>
      </c>
      <c r="C241" s="16" t="s">
        <v>65</v>
      </c>
      <c r="D241" s="17">
        <v>5.03</v>
      </c>
      <c r="E241" s="17"/>
      <c r="F241" s="6"/>
      <c r="G241" s="93">
        <f>SUM('1:2'!G241)</f>
        <v>0</v>
      </c>
      <c r="H241" s="364">
        <f t="shared" si="70"/>
        <v>0</v>
      </c>
      <c r="I241" s="93">
        <f>SUM('1:2'!I241)</f>
        <v>0</v>
      </c>
      <c r="J241" s="31" t="str">
        <f t="array" ref="J241">IF(ISERROR(G241/I241),"",G241/I241)</f>
        <v/>
      </c>
      <c r="K241" s="35">
        <f t="array" ref="K241">IF(ISERROR(G241/L241),"",G241/L241)</f>
        <v>0</v>
      </c>
      <c r="L241" s="87">
        <v>21.5</v>
      </c>
      <c r="M241" s="36">
        <f t="shared" si="83"/>
        <v>0</v>
      </c>
      <c r="N241" s="93">
        <f>SUM('1:2'!N241)</f>
        <v>0</v>
      </c>
      <c r="O241" s="93">
        <f>SUM('1:2'!O241)</f>
        <v>0</v>
      </c>
      <c r="P241" s="93">
        <f>SUM('1:2'!P241)</f>
        <v>0</v>
      </c>
      <c r="Q241" s="93">
        <f>SUM('1:2'!Q241)</f>
        <v>0</v>
      </c>
      <c r="R241" s="93">
        <f>SUM('1:2'!R241)</f>
        <v>0</v>
      </c>
      <c r="S241" s="93">
        <f>SUM('1:2'!S241)</f>
        <v>0</v>
      </c>
      <c r="T241" s="93">
        <f>SUM('1:2'!T241)</f>
        <v>0</v>
      </c>
      <c r="U241" s="93">
        <f>SUM('1:2'!U241)</f>
        <v>0</v>
      </c>
      <c r="V241" s="206">
        <f t="shared" si="84"/>
        <v>0</v>
      </c>
      <c r="W241" s="33" t="str">
        <f t="shared" si="85"/>
        <v/>
      </c>
      <c r="X241" s="93">
        <f>SUM('1:2'!X241)</f>
        <v>0</v>
      </c>
      <c r="Y241" s="93">
        <f>SUM('1:2'!Y241)</f>
        <v>0</v>
      </c>
      <c r="Z241" s="93">
        <f>SUM('1:2'!Z241)</f>
        <v>0</v>
      </c>
      <c r="AA241" s="93">
        <f>SUM('1:2'!AA241)</f>
        <v>0</v>
      </c>
      <c r="AB241" s="73"/>
      <c r="AC241" s="54"/>
      <c r="AD241" s="370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>
      <c r="A242" s="300"/>
      <c r="B242" s="192" t="s">
        <v>360</v>
      </c>
      <c r="C242" s="187" t="s">
        <v>361</v>
      </c>
      <c r="D242" s="17"/>
      <c r="E242" s="17"/>
      <c r="F242" s="6"/>
      <c r="G242" s="93">
        <f>SUM('1:2'!G242)</f>
        <v>0</v>
      </c>
      <c r="H242" s="364">
        <f t="shared" si="70"/>
        <v>0</v>
      </c>
      <c r="I242" s="93">
        <f>SUM('1:2'!I242)</f>
        <v>0</v>
      </c>
      <c r="J242" s="31"/>
      <c r="K242" s="35"/>
      <c r="L242" s="87"/>
      <c r="M242" s="36">
        <f t="shared" si="83"/>
        <v>0</v>
      </c>
      <c r="N242" s="93">
        <f>SUM('1:2'!N242)</f>
        <v>0</v>
      </c>
      <c r="O242" s="93">
        <f>SUM('1:2'!O242)</f>
        <v>0</v>
      </c>
      <c r="P242" s="93">
        <f>SUM('1:2'!P242)</f>
        <v>0</v>
      </c>
      <c r="Q242" s="93">
        <f>SUM('1:2'!Q242)</f>
        <v>0</v>
      </c>
      <c r="R242" s="93">
        <f>SUM('1:2'!R242)</f>
        <v>0</v>
      </c>
      <c r="S242" s="93">
        <f>SUM('1:2'!S242)</f>
        <v>0</v>
      </c>
      <c r="T242" s="93">
        <f>SUM('1:2'!T242)</f>
        <v>0</v>
      </c>
      <c r="U242" s="93">
        <f>SUM('1:2'!U242)</f>
        <v>0</v>
      </c>
      <c r="V242" s="206"/>
      <c r="W242" s="33"/>
      <c r="X242" s="93">
        <f>SUM('1:2'!X242)</f>
        <v>0</v>
      </c>
      <c r="Y242" s="93">
        <f>SUM('1:2'!Y242)</f>
        <v>0</v>
      </c>
      <c r="Z242" s="93">
        <f>SUM('1:2'!Z242)</f>
        <v>0</v>
      </c>
      <c r="AA242" s="93">
        <f>SUM('1:2'!AA242)</f>
        <v>0</v>
      </c>
      <c r="AB242" s="73"/>
      <c r="AC242" s="54"/>
      <c r="AD242" s="370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>
      <c r="A243" s="300">
        <v>30100055</v>
      </c>
      <c r="B243" s="63" t="s">
        <v>85</v>
      </c>
      <c r="C243" s="16" t="s">
        <v>60</v>
      </c>
      <c r="D243" s="17">
        <v>5.0599999999999996</v>
      </c>
      <c r="E243" s="17"/>
      <c r="F243" s="6"/>
      <c r="G243" s="93">
        <f>SUM('1:2'!G243)</f>
        <v>0</v>
      </c>
      <c r="H243" s="364">
        <f t="shared" si="70"/>
        <v>0</v>
      </c>
      <c r="I243" s="93">
        <f>SUM('1:2'!I243)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87"/>
      <c r="M243" s="36" t="str">
        <f t="shared" si="83"/>
        <v/>
      </c>
      <c r="N243" s="93">
        <f>SUM('1:2'!N243)</f>
        <v>0</v>
      </c>
      <c r="O243" s="93">
        <f>SUM('1:2'!O243)</f>
        <v>0</v>
      </c>
      <c r="P243" s="93">
        <f>SUM('1:2'!P243)</f>
        <v>0</v>
      </c>
      <c r="Q243" s="93">
        <f>SUM('1:2'!Q243)</f>
        <v>0</v>
      </c>
      <c r="R243" s="93">
        <f>SUM('1:2'!R243)</f>
        <v>0</v>
      </c>
      <c r="S243" s="93">
        <f>SUM('1:2'!S243)</f>
        <v>0</v>
      </c>
      <c r="T243" s="93">
        <f>SUM('1:2'!T243)</f>
        <v>0</v>
      </c>
      <c r="U243" s="93">
        <f>SUM('1:2'!U243)</f>
        <v>0</v>
      </c>
      <c r="V243" s="206">
        <f t="shared" ref="V243:V246" si="86">SUM(X243:AA243)</f>
        <v>0</v>
      </c>
      <c r="W243" s="33" t="str">
        <f t="shared" ref="W243:W246" si="87">IF(ISERROR(V243/G243),"",V243/G243)</f>
        <v/>
      </c>
      <c r="X243" s="93">
        <f>SUM('1:2'!X243)</f>
        <v>0</v>
      </c>
      <c r="Y243" s="93">
        <f>SUM('1:2'!Y243)</f>
        <v>0</v>
      </c>
      <c r="Z243" s="93">
        <f>SUM('1:2'!Z243)</f>
        <v>0</v>
      </c>
      <c r="AA243" s="93">
        <f>SUM('1:2'!AA243)</f>
        <v>0</v>
      </c>
      <c r="AB243" s="73"/>
      <c r="AC243" s="54"/>
      <c r="AD243" s="370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>
      <c r="A244" s="300">
        <v>30100056</v>
      </c>
      <c r="B244" s="63" t="s">
        <v>85</v>
      </c>
      <c r="C244" s="16" t="s">
        <v>74</v>
      </c>
      <c r="D244" s="17">
        <v>5.0599999999999996</v>
      </c>
      <c r="E244" s="17"/>
      <c r="F244" s="6"/>
      <c r="G244" s="93">
        <f>SUM('1:2'!G244)</f>
        <v>0</v>
      </c>
      <c r="H244" s="364">
        <f t="shared" si="70"/>
        <v>0</v>
      </c>
      <c r="I244" s="93">
        <f>SUM('1:2'!I244)</f>
        <v>0</v>
      </c>
      <c r="J244" s="31" t="str">
        <f t="array" ref="J244">IF(ISERROR(G244/I244),"",G244/I244)</f>
        <v/>
      </c>
      <c r="K244" s="35" t="str">
        <f t="array" ref="K244">IF(ISERROR(G244/L244),"",G244/L244)</f>
        <v/>
      </c>
      <c r="L244" s="87"/>
      <c r="M244" s="36" t="str">
        <f t="shared" si="83"/>
        <v/>
      </c>
      <c r="N244" s="93">
        <f>SUM('1:2'!N244)</f>
        <v>0</v>
      </c>
      <c r="O244" s="93">
        <f>SUM('1:2'!O244)</f>
        <v>0</v>
      </c>
      <c r="P244" s="93">
        <f>SUM('1:2'!P244)</f>
        <v>0</v>
      </c>
      <c r="Q244" s="93">
        <f>SUM('1:2'!Q244)</f>
        <v>0</v>
      </c>
      <c r="R244" s="93">
        <f>SUM('1:2'!R244)</f>
        <v>0</v>
      </c>
      <c r="S244" s="93">
        <f>SUM('1:2'!S244)</f>
        <v>0</v>
      </c>
      <c r="T244" s="93">
        <f>SUM('1:2'!T244)</f>
        <v>0</v>
      </c>
      <c r="U244" s="93">
        <f>SUM('1:2'!U244)</f>
        <v>0</v>
      </c>
      <c r="V244" s="206">
        <f t="shared" si="86"/>
        <v>0</v>
      </c>
      <c r="W244" s="33" t="str">
        <f t="shared" si="87"/>
        <v/>
      </c>
      <c r="X244" s="93">
        <f>SUM('1:2'!X244)</f>
        <v>0</v>
      </c>
      <c r="Y244" s="93">
        <f>SUM('1:2'!Y244)</f>
        <v>0</v>
      </c>
      <c r="Z244" s="93">
        <f>SUM('1:2'!Z244)</f>
        <v>0</v>
      </c>
      <c r="AA244" s="93">
        <f>SUM('1:2'!AA244)</f>
        <v>0</v>
      </c>
      <c r="AB244" s="73"/>
      <c r="AC244" s="54"/>
      <c r="AD244" s="370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>
      <c r="A245" s="300">
        <v>30100057</v>
      </c>
      <c r="B245" s="63" t="s">
        <v>85</v>
      </c>
      <c r="C245" s="16" t="s">
        <v>65</v>
      </c>
      <c r="D245" s="17">
        <v>5.0599999999999996</v>
      </c>
      <c r="E245" s="17"/>
      <c r="F245" s="6"/>
      <c r="G245" s="93">
        <f>SUM('1:2'!G245)</f>
        <v>0</v>
      </c>
      <c r="H245" s="364">
        <f t="shared" si="70"/>
        <v>0</v>
      </c>
      <c r="I245" s="93">
        <f>SUM('1:2'!I245)</f>
        <v>0</v>
      </c>
      <c r="J245" s="31" t="str">
        <f t="array" ref="J245">IF(ISERROR(G245/I245),"",G245/I245)</f>
        <v/>
      </c>
      <c r="K245" s="35" t="str">
        <f t="array" ref="K245">IF(ISERROR(G245/L245),"",G245/L245)</f>
        <v/>
      </c>
      <c r="L245" s="87"/>
      <c r="M245" s="36" t="str">
        <f t="shared" si="83"/>
        <v/>
      </c>
      <c r="N245" s="93">
        <f>SUM('1:2'!N245)</f>
        <v>0</v>
      </c>
      <c r="O245" s="93">
        <f>SUM('1:2'!O245)</f>
        <v>0</v>
      </c>
      <c r="P245" s="93">
        <f>SUM('1:2'!P245)</f>
        <v>0</v>
      </c>
      <c r="Q245" s="93">
        <f>SUM('1:2'!Q245)</f>
        <v>0</v>
      </c>
      <c r="R245" s="93">
        <f>SUM('1:2'!R245)</f>
        <v>0</v>
      </c>
      <c r="S245" s="93">
        <f>SUM('1:2'!S245)</f>
        <v>0</v>
      </c>
      <c r="T245" s="93">
        <f>SUM('1:2'!T245)</f>
        <v>0</v>
      </c>
      <c r="U245" s="93">
        <f>SUM('1:2'!U245)</f>
        <v>0</v>
      </c>
      <c r="V245" s="206">
        <f t="shared" si="86"/>
        <v>0</v>
      </c>
      <c r="W245" s="33" t="str">
        <f t="shared" si="87"/>
        <v/>
      </c>
      <c r="X245" s="93">
        <f>SUM('1:2'!X245)</f>
        <v>0</v>
      </c>
      <c r="Y245" s="93">
        <f>SUM('1:2'!Y245)</f>
        <v>0</v>
      </c>
      <c r="Z245" s="93">
        <f>SUM('1:2'!Z245)</f>
        <v>0</v>
      </c>
      <c r="AA245" s="93">
        <f>SUM('1:2'!AA245)</f>
        <v>0</v>
      </c>
      <c r="AB245" s="73"/>
      <c r="AC245" s="54"/>
      <c r="AD245" s="370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 ht="15" customHeight="1">
      <c r="A246" s="300">
        <v>30100058</v>
      </c>
      <c r="B246" s="63" t="s">
        <v>85</v>
      </c>
      <c r="C246" s="16" t="s">
        <v>61</v>
      </c>
      <c r="D246" s="17">
        <v>5.0599999999999996</v>
      </c>
      <c r="E246" s="17"/>
      <c r="F246" s="6"/>
      <c r="G246" s="93">
        <f>SUM('1:2'!G246)</f>
        <v>0</v>
      </c>
      <c r="H246" s="364">
        <f t="shared" si="70"/>
        <v>0</v>
      </c>
      <c r="I246" s="93">
        <f>SUM('1:2'!I246)</f>
        <v>0</v>
      </c>
      <c r="J246" s="31" t="str">
        <f t="array" ref="J246">IF(ISERROR(G246/I246),"",G246/I246)</f>
        <v/>
      </c>
      <c r="K246" s="35" t="str">
        <f t="array" ref="K246">IF(ISERROR(G246/L246),"",G246/L246)</f>
        <v/>
      </c>
      <c r="L246" s="87"/>
      <c r="M246" s="36" t="str">
        <f t="shared" si="83"/>
        <v/>
      </c>
      <c r="N246" s="93">
        <f>SUM('1:2'!N246)</f>
        <v>0</v>
      </c>
      <c r="O246" s="93">
        <f>SUM('1:2'!O246)</f>
        <v>0</v>
      </c>
      <c r="P246" s="93">
        <f>SUM('1:2'!P246)</f>
        <v>0</v>
      </c>
      <c r="Q246" s="93">
        <f>SUM('1:2'!Q246)</f>
        <v>0</v>
      </c>
      <c r="R246" s="93">
        <f>SUM('1:2'!R246)</f>
        <v>0</v>
      </c>
      <c r="S246" s="93">
        <f>SUM('1:2'!S246)</f>
        <v>0</v>
      </c>
      <c r="T246" s="93">
        <f>SUM('1:2'!T246)</f>
        <v>0</v>
      </c>
      <c r="U246" s="93">
        <f>SUM('1:2'!U246)</f>
        <v>0</v>
      </c>
      <c r="V246" s="206">
        <f t="shared" si="86"/>
        <v>0</v>
      </c>
      <c r="W246" s="33" t="str">
        <f t="shared" si="87"/>
        <v/>
      </c>
      <c r="X246" s="93">
        <f>SUM('1:2'!X246)</f>
        <v>0</v>
      </c>
      <c r="Y246" s="93">
        <f>SUM('1:2'!Y246)</f>
        <v>0</v>
      </c>
      <c r="Z246" s="93">
        <f>SUM('1:2'!Z246)</f>
        <v>0</v>
      </c>
      <c r="AA246" s="93">
        <f>SUM('1:2'!AA246)</f>
        <v>0</v>
      </c>
      <c r="AB246" s="73"/>
      <c r="AC246" s="54"/>
      <c r="AD246" s="370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>
      <c r="A247" s="302">
        <v>30600013</v>
      </c>
      <c r="B247" s="197" t="s">
        <v>377</v>
      </c>
      <c r="C247" s="187" t="s">
        <v>374</v>
      </c>
      <c r="D247" s="17"/>
      <c r="E247" s="17"/>
      <c r="F247" s="6"/>
      <c r="G247" s="93">
        <f>SUM('1:2'!G247)</f>
        <v>0</v>
      </c>
      <c r="H247" s="364">
        <f t="shared" si="70"/>
        <v>0</v>
      </c>
      <c r="I247" s="93">
        <f>SUM('1:2'!I247)</f>
        <v>0</v>
      </c>
      <c r="J247" s="31"/>
      <c r="K247" s="35">
        <f t="array" ref="K247">IF(ISERROR(G247/L247),"",G247/L247)</f>
        <v>0</v>
      </c>
      <c r="L247" s="87">
        <v>24</v>
      </c>
      <c r="M247" s="36">
        <f t="shared" si="83"/>
        <v>0</v>
      </c>
      <c r="N247" s="93">
        <f>SUM('1:2'!N247)</f>
        <v>0</v>
      </c>
      <c r="O247" s="93">
        <f>SUM('1:2'!O247)</f>
        <v>0</v>
      </c>
      <c r="P247" s="93">
        <f>SUM('1:2'!P247)</f>
        <v>0</v>
      </c>
      <c r="Q247" s="93">
        <f>SUM('1:2'!Q247)</f>
        <v>0</v>
      </c>
      <c r="R247" s="93">
        <f>SUM('1:2'!R247)</f>
        <v>0</v>
      </c>
      <c r="S247" s="93">
        <f>SUM('1:2'!S247)</f>
        <v>0</v>
      </c>
      <c r="T247" s="93">
        <f>SUM('1:2'!T247)</f>
        <v>0</v>
      </c>
      <c r="U247" s="93">
        <f>SUM('1:2'!U247)</f>
        <v>0</v>
      </c>
      <c r="V247" s="206"/>
      <c r="W247" s="33"/>
      <c r="X247" s="93">
        <f>SUM('1:2'!X247)</f>
        <v>0</v>
      </c>
      <c r="Y247" s="93">
        <f>SUM('1:2'!Y247)</f>
        <v>0</v>
      </c>
      <c r="Z247" s="93">
        <f>SUM('1:2'!Z247)</f>
        <v>0</v>
      </c>
      <c r="AA247" s="93">
        <f>SUM('1:2'!AA247)</f>
        <v>0</v>
      </c>
      <c r="AB247" s="73"/>
      <c r="AC247" s="54"/>
      <c r="AD247" s="370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>
      <c r="A248" s="302">
        <v>30600014</v>
      </c>
      <c r="B248" s="197" t="s">
        <v>377</v>
      </c>
      <c r="C248" s="187" t="s">
        <v>369</v>
      </c>
      <c r="D248" s="17"/>
      <c r="E248" s="17"/>
      <c r="F248" s="6"/>
      <c r="G248" s="93">
        <f>SUM('1:2'!G248)</f>
        <v>0</v>
      </c>
      <c r="H248" s="364">
        <f t="shared" si="70"/>
        <v>0</v>
      </c>
      <c r="I248" s="93">
        <f>SUM('1:2'!I248)</f>
        <v>0</v>
      </c>
      <c r="J248" s="31"/>
      <c r="K248" s="35">
        <f t="array" ref="K248">IF(ISERROR(G248/L248),"",G248/L248)</f>
        <v>0</v>
      </c>
      <c r="L248" s="87">
        <v>24</v>
      </c>
      <c r="M248" s="36">
        <f t="shared" si="83"/>
        <v>0</v>
      </c>
      <c r="N248" s="93">
        <f>SUM('1:2'!N248)</f>
        <v>0</v>
      </c>
      <c r="O248" s="93">
        <f>SUM('1:2'!O248)</f>
        <v>0</v>
      </c>
      <c r="P248" s="93">
        <f>SUM('1:2'!P248)</f>
        <v>0</v>
      </c>
      <c r="Q248" s="93">
        <f>SUM('1:2'!Q248)</f>
        <v>0</v>
      </c>
      <c r="R248" s="93">
        <f>SUM('1:2'!R248)</f>
        <v>0</v>
      </c>
      <c r="S248" s="93">
        <f>SUM('1:2'!S248)</f>
        <v>0</v>
      </c>
      <c r="T248" s="93">
        <f>SUM('1:2'!T248)</f>
        <v>0</v>
      </c>
      <c r="U248" s="93">
        <f>SUM('1:2'!U248)</f>
        <v>0</v>
      </c>
      <c r="V248" s="206"/>
      <c r="W248" s="33"/>
      <c r="X248" s="93">
        <f>SUM('1:2'!X248)</f>
        <v>0</v>
      </c>
      <c r="Y248" s="93">
        <f>SUM('1:2'!Y248)</f>
        <v>0</v>
      </c>
      <c r="Z248" s="93">
        <f>SUM('1:2'!Z248)</f>
        <v>0</v>
      </c>
      <c r="AA248" s="93">
        <f>SUM('1:2'!AA248)</f>
        <v>0</v>
      </c>
      <c r="AB248" s="73"/>
      <c r="AC248" s="54"/>
      <c r="AD248" s="370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>
      <c r="A249" s="302">
        <v>30600012</v>
      </c>
      <c r="B249" s="197" t="s">
        <v>377</v>
      </c>
      <c r="C249" s="187" t="s">
        <v>370</v>
      </c>
      <c r="D249" s="17"/>
      <c r="E249" s="17"/>
      <c r="F249" s="6"/>
      <c r="G249" s="93">
        <f>SUM('1:2'!G249)</f>
        <v>0</v>
      </c>
      <c r="H249" s="364">
        <f t="shared" si="70"/>
        <v>0</v>
      </c>
      <c r="I249" s="93">
        <f>SUM('1:2'!I249)</f>
        <v>0</v>
      </c>
      <c r="J249" s="31"/>
      <c r="K249" s="35">
        <f t="array" ref="K249">IF(ISERROR(G249/L249),"",G249/L249)</f>
        <v>0</v>
      </c>
      <c r="L249" s="87">
        <v>24</v>
      </c>
      <c r="M249" s="36">
        <f t="shared" si="83"/>
        <v>0</v>
      </c>
      <c r="N249" s="93">
        <f>SUM('1:2'!N249)</f>
        <v>0</v>
      </c>
      <c r="O249" s="93">
        <f>SUM('1:2'!O249)</f>
        <v>0</v>
      </c>
      <c r="P249" s="93">
        <f>SUM('1:2'!P249)</f>
        <v>0</v>
      </c>
      <c r="Q249" s="93">
        <f>SUM('1:2'!Q249)</f>
        <v>0</v>
      </c>
      <c r="R249" s="93">
        <f>SUM('1:2'!R249)</f>
        <v>0</v>
      </c>
      <c r="S249" s="93">
        <f>SUM('1:2'!S249)</f>
        <v>0</v>
      </c>
      <c r="T249" s="93">
        <f>SUM('1:2'!T249)</f>
        <v>0</v>
      </c>
      <c r="U249" s="93">
        <f>SUM('1:2'!U249)</f>
        <v>0</v>
      </c>
      <c r="V249" s="206"/>
      <c r="W249" s="33"/>
      <c r="X249" s="93">
        <f>SUM('1:2'!X249)</f>
        <v>0</v>
      </c>
      <c r="Y249" s="93">
        <f>SUM('1:2'!Y249)</f>
        <v>0</v>
      </c>
      <c r="Z249" s="93">
        <f>SUM('1:2'!Z249)</f>
        <v>0</v>
      </c>
      <c r="AA249" s="93">
        <f>SUM('1:2'!AA249)</f>
        <v>0</v>
      </c>
      <c r="AB249" s="73"/>
      <c r="AC249" s="54"/>
      <c r="AD249" s="370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>
      <c r="A250" s="302">
        <v>30600011</v>
      </c>
      <c r="B250" s="197" t="s">
        <v>377</v>
      </c>
      <c r="C250" s="187" t="s">
        <v>371</v>
      </c>
      <c r="D250" s="17"/>
      <c r="E250" s="17"/>
      <c r="F250" s="6"/>
      <c r="G250" s="93">
        <f>SUM('1:2'!G250)</f>
        <v>0</v>
      </c>
      <c r="H250" s="364">
        <f t="shared" si="70"/>
        <v>0</v>
      </c>
      <c r="I250" s="93">
        <f>SUM('1:2'!I250)</f>
        <v>0</v>
      </c>
      <c r="J250" s="31"/>
      <c r="K250" s="35">
        <f t="array" ref="K250">IF(ISERROR(G250/L250),"",G250/L250)</f>
        <v>0</v>
      </c>
      <c r="L250" s="87">
        <v>24</v>
      </c>
      <c r="M250" s="36">
        <f t="shared" si="83"/>
        <v>0</v>
      </c>
      <c r="N250" s="93">
        <f>SUM('1:2'!N250)</f>
        <v>0</v>
      </c>
      <c r="O250" s="93">
        <f>SUM('1:2'!O250)</f>
        <v>0</v>
      </c>
      <c r="P250" s="93">
        <f>SUM('1:2'!P250)</f>
        <v>0</v>
      </c>
      <c r="Q250" s="93">
        <f>SUM('1:2'!Q250)</f>
        <v>0</v>
      </c>
      <c r="R250" s="93">
        <f>SUM('1:2'!R250)</f>
        <v>0</v>
      </c>
      <c r="S250" s="93">
        <f>SUM('1:2'!S250)</f>
        <v>0</v>
      </c>
      <c r="T250" s="93">
        <f>SUM('1:2'!T250)</f>
        <v>0</v>
      </c>
      <c r="U250" s="93">
        <f>SUM('1:2'!U250)</f>
        <v>0</v>
      </c>
      <c r="V250" s="206"/>
      <c r="W250" s="33"/>
      <c r="X250" s="93">
        <f>SUM('1:2'!X250)</f>
        <v>0</v>
      </c>
      <c r="Y250" s="93">
        <f>SUM('1:2'!Y250)</f>
        <v>0</v>
      </c>
      <c r="Z250" s="93">
        <f>SUM('1:2'!Z250)</f>
        <v>0</v>
      </c>
      <c r="AA250" s="93">
        <f>SUM('1:2'!AA250)</f>
        <v>0</v>
      </c>
      <c r="AB250" s="73"/>
      <c r="AC250" s="54"/>
      <c r="AD250" s="370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>
      <c r="A251" s="302">
        <v>30300002</v>
      </c>
      <c r="B251" s="197" t="s">
        <v>407</v>
      </c>
      <c r="C251" s="187" t="s">
        <v>408</v>
      </c>
      <c r="D251" s="17"/>
      <c r="E251" s="17"/>
      <c r="F251" s="6"/>
      <c r="G251" s="93">
        <f>SUM('1:2'!G251)</f>
        <v>0</v>
      </c>
      <c r="H251" s="364">
        <f t="shared" si="70"/>
        <v>0</v>
      </c>
      <c r="I251" s="93">
        <f>SUM('1:2'!I251)</f>
        <v>0</v>
      </c>
      <c r="J251" s="31"/>
      <c r="K251" s="35"/>
      <c r="L251" s="87">
        <v>4</v>
      </c>
      <c r="M251" s="36"/>
      <c r="N251" s="31"/>
      <c r="O251" s="93"/>
      <c r="P251" s="93"/>
      <c r="Q251" s="93"/>
      <c r="R251" s="93"/>
      <c r="S251" s="93"/>
      <c r="T251" s="93"/>
      <c r="U251" s="93"/>
      <c r="V251" s="206"/>
      <c r="W251" s="33"/>
      <c r="X251" s="93"/>
      <c r="Y251" s="93"/>
      <c r="Z251" s="93"/>
      <c r="AA251" s="93"/>
      <c r="AB251" s="73"/>
      <c r="AC251" s="54"/>
      <c r="AD251" s="370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>
      <c r="A252" s="302">
        <v>30300001</v>
      </c>
      <c r="B252" s="197" t="s">
        <v>407</v>
      </c>
      <c r="C252" s="187" t="s">
        <v>409</v>
      </c>
      <c r="D252" s="17"/>
      <c r="E252" s="17"/>
      <c r="F252" s="6"/>
      <c r="G252" s="93">
        <f>SUM('1:2'!G252)</f>
        <v>0</v>
      </c>
      <c r="H252" s="364">
        <f t="shared" si="70"/>
        <v>0</v>
      </c>
      <c r="I252" s="93">
        <f>SUM('1:2'!I252)</f>
        <v>0</v>
      </c>
      <c r="J252" s="31"/>
      <c r="K252" s="35"/>
      <c r="L252" s="87">
        <v>4</v>
      </c>
      <c r="M252" s="36"/>
      <c r="N252" s="31"/>
      <c r="O252" s="93"/>
      <c r="P252" s="93"/>
      <c r="Q252" s="93"/>
      <c r="R252" s="93"/>
      <c r="S252" s="93"/>
      <c r="T252" s="93"/>
      <c r="U252" s="93"/>
      <c r="V252" s="206"/>
      <c r="W252" s="33"/>
      <c r="X252" s="93"/>
      <c r="Y252" s="93"/>
      <c r="Z252" s="93"/>
      <c r="AA252" s="93"/>
      <c r="AB252" s="73"/>
      <c r="AC252" s="54"/>
      <c r="AD252" s="370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>
      <c r="A253" s="302">
        <v>30300003</v>
      </c>
      <c r="B253" s="197" t="s">
        <v>407</v>
      </c>
      <c r="C253" s="187" t="s">
        <v>410</v>
      </c>
      <c r="D253" s="17"/>
      <c r="E253" s="17"/>
      <c r="F253" s="6"/>
      <c r="G253" s="93">
        <f>SUM('1:2'!G253)</f>
        <v>0</v>
      </c>
      <c r="H253" s="364">
        <f t="shared" si="70"/>
        <v>0</v>
      </c>
      <c r="I253" s="93">
        <f>SUM('1:2'!I253)</f>
        <v>0</v>
      </c>
      <c r="J253" s="31"/>
      <c r="K253" s="35"/>
      <c r="L253" s="87">
        <v>4</v>
      </c>
      <c r="M253" s="36"/>
      <c r="N253" s="31"/>
      <c r="O253" s="93"/>
      <c r="P253" s="93"/>
      <c r="Q253" s="93"/>
      <c r="R253" s="93"/>
      <c r="S253" s="93"/>
      <c r="T253" s="93"/>
      <c r="U253" s="93"/>
      <c r="V253" s="206"/>
      <c r="W253" s="33"/>
      <c r="X253" s="93"/>
      <c r="Y253" s="93"/>
      <c r="Z253" s="93"/>
      <c r="AA253" s="93"/>
      <c r="AB253" s="73"/>
      <c r="AC253" s="54"/>
      <c r="AD253" s="370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>
      <c r="A254" s="302">
        <v>30300005</v>
      </c>
      <c r="B254" s="189" t="s">
        <v>363</v>
      </c>
      <c r="C254" s="16" t="s">
        <v>337</v>
      </c>
      <c r="D254" s="17"/>
      <c r="E254" s="17"/>
      <c r="F254" s="6"/>
      <c r="G254" s="93">
        <f>SUM('1:2'!G254)</f>
        <v>0</v>
      </c>
      <c r="H254" s="364">
        <f t="shared" si="70"/>
        <v>0</v>
      </c>
      <c r="I254" s="93">
        <f>SUM('1:2'!I254)</f>
        <v>0</v>
      </c>
      <c r="J254" s="31"/>
      <c r="K254" s="35"/>
      <c r="L254" s="87">
        <v>4</v>
      </c>
      <c r="M254" s="36"/>
      <c r="N254" s="31"/>
      <c r="O254" s="93">
        <f>SUM('1:2'!O254)</f>
        <v>0</v>
      </c>
      <c r="P254" s="93">
        <f>SUM('1:2'!P254)</f>
        <v>0</v>
      </c>
      <c r="Q254" s="93">
        <f>SUM('1:2'!Q254)</f>
        <v>0</v>
      </c>
      <c r="R254" s="93">
        <f>SUM('1:2'!R254)</f>
        <v>0</v>
      </c>
      <c r="S254" s="93">
        <f>SUM('1:2'!S254)</f>
        <v>0</v>
      </c>
      <c r="T254" s="93">
        <f>SUM('1:2'!T254)</f>
        <v>0</v>
      </c>
      <c r="U254" s="93">
        <f>SUM('1:2'!U254)</f>
        <v>0</v>
      </c>
      <c r="V254" s="206"/>
      <c r="W254" s="33"/>
      <c r="X254" s="93">
        <f>SUM('1:2'!X254)</f>
        <v>0</v>
      </c>
      <c r="Y254" s="93">
        <f>SUM('1:2'!Y254)</f>
        <v>0</v>
      </c>
      <c r="Z254" s="93">
        <f>SUM('1:2'!Z254)</f>
        <v>0</v>
      </c>
      <c r="AA254" s="93">
        <f>SUM('1:2'!AA254)</f>
        <v>0</v>
      </c>
      <c r="AB254" s="73"/>
      <c r="AC254" s="54"/>
      <c r="AD254" s="370"/>
      <c r="AE254" s="54"/>
      <c r="AF254" s="54"/>
      <c r="AG254" s="54"/>
      <c r="AH254" s="5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>
      <c r="A255" s="302">
        <v>30300004</v>
      </c>
      <c r="B255" s="189" t="s">
        <v>363</v>
      </c>
      <c r="C255" s="16" t="s">
        <v>339</v>
      </c>
      <c r="D255" s="17"/>
      <c r="E255" s="17"/>
      <c r="F255" s="6"/>
      <c r="G255" s="93">
        <f>SUM('1:2'!G255)</f>
        <v>0</v>
      </c>
      <c r="H255" s="364">
        <f t="shared" si="70"/>
        <v>0</v>
      </c>
      <c r="I255" s="93">
        <f>SUM('1:2'!I255)</f>
        <v>0</v>
      </c>
      <c r="J255" s="31"/>
      <c r="K255" s="35"/>
      <c r="L255" s="87">
        <v>4</v>
      </c>
      <c r="M255" s="36"/>
      <c r="N255" s="31"/>
      <c r="O255" s="93">
        <f>SUM('1:2'!O255)</f>
        <v>0</v>
      </c>
      <c r="P255" s="93">
        <f>SUM('1:2'!P255)</f>
        <v>0</v>
      </c>
      <c r="Q255" s="93">
        <f>SUM('1:2'!Q255)</f>
        <v>0</v>
      </c>
      <c r="R255" s="93">
        <f>SUM('1:2'!R255)</f>
        <v>0</v>
      </c>
      <c r="S255" s="93">
        <f>SUM('1:2'!S255)</f>
        <v>0</v>
      </c>
      <c r="T255" s="93">
        <f>SUM('1:2'!T255)</f>
        <v>0</v>
      </c>
      <c r="U255" s="93">
        <f>SUM('1:2'!U255)</f>
        <v>0</v>
      </c>
      <c r="V255" s="206"/>
      <c r="W255" s="33"/>
      <c r="X255" s="93">
        <f>SUM('1:2'!X255)</f>
        <v>0</v>
      </c>
      <c r="Y255" s="93">
        <f>SUM('1:2'!Y255)</f>
        <v>0</v>
      </c>
      <c r="Z255" s="93">
        <f>SUM('1:2'!Z255)</f>
        <v>0</v>
      </c>
      <c r="AA255" s="93">
        <f>SUM('1:2'!AA255)</f>
        <v>0</v>
      </c>
      <c r="AB255" s="73"/>
      <c r="AC255" s="54"/>
      <c r="AD255" s="370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>
      <c r="A256" s="302">
        <v>30300006</v>
      </c>
      <c r="B256" s="189" t="s">
        <v>363</v>
      </c>
      <c r="C256" s="16" t="s">
        <v>341</v>
      </c>
      <c r="D256" s="17"/>
      <c r="E256" s="17"/>
      <c r="F256" s="6"/>
      <c r="G256" s="93">
        <f>SUM('1:2'!G256)</f>
        <v>0</v>
      </c>
      <c r="H256" s="364">
        <f t="shared" si="70"/>
        <v>0</v>
      </c>
      <c r="I256" s="93">
        <f>SUM('1:2'!I256)</f>
        <v>0</v>
      </c>
      <c r="J256" s="31"/>
      <c r="K256" s="35"/>
      <c r="L256" s="87">
        <v>4</v>
      </c>
      <c r="M256" s="36"/>
      <c r="N256" s="31"/>
      <c r="O256" s="93">
        <f>SUM('1:2'!O256)</f>
        <v>0</v>
      </c>
      <c r="P256" s="93">
        <f>SUM('1:2'!P256)</f>
        <v>0</v>
      </c>
      <c r="Q256" s="93">
        <f>SUM('1:2'!Q256)</f>
        <v>0</v>
      </c>
      <c r="R256" s="93">
        <f>SUM('1:2'!R256)</f>
        <v>0</v>
      </c>
      <c r="S256" s="93">
        <f>SUM('1:2'!S256)</f>
        <v>0</v>
      </c>
      <c r="T256" s="93">
        <f>SUM('1:2'!T256)</f>
        <v>0</v>
      </c>
      <c r="U256" s="93">
        <f>SUM('1:2'!U256)</f>
        <v>0</v>
      </c>
      <c r="V256" s="206"/>
      <c r="W256" s="33"/>
      <c r="X256" s="93">
        <f>SUM('1:2'!X256)</f>
        <v>0</v>
      </c>
      <c r="Y256" s="93">
        <f>SUM('1:2'!Y256)</f>
        <v>0</v>
      </c>
      <c r="Z256" s="93">
        <f>SUM('1:2'!Z256)</f>
        <v>0</v>
      </c>
      <c r="AA256" s="93">
        <f>SUM('1:2'!AA256)</f>
        <v>0</v>
      </c>
      <c r="AB256" s="73"/>
      <c r="AC256" s="54"/>
      <c r="AD256" s="370"/>
      <c r="AE256" s="54"/>
      <c r="AF256" s="54"/>
      <c r="AG256" s="54"/>
      <c r="AH256" s="5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>
      <c r="A257" s="699" t="s">
        <v>86</v>
      </c>
      <c r="B257" s="699"/>
      <c r="C257" s="359" t="s">
        <v>71</v>
      </c>
      <c r="D257" s="20"/>
      <c r="E257" s="20"/>
      <c r="F257" s="32"/>
      <c r="G257" s="94">
        <f>SUM(G200:G256)</f>
        <v>4557</v>
      </c>
      <c r="H257" s="30">
        <f>SUM(H200:H256)</f>
        <v>22991.81</v>
      </c>
      <c r="I257" s="30">
        <f>SUM(I200:I256)</f>
        <v>191</v>
      </c>
      <c r="J257" s="31">
        <f t="array" ref="J257">IF(ISERROR(G257/I257),"",G257/I257)</f>
        <v>23.858638743455497</v>
      </c>
      <c r="K257" s="30">
        <f>SUM(K200:K256)</f>
        <v>132.843715393134</v>
      </c>
      <c r="L257" s="98"/>
      <c r="M257" s="89">
        <f t="shared" ref="M257:V257" si="88">SUM(M200:M256)</f>
        <v>58.156284606865995</v>
      </c>
      <c r="N257" s="30">
        <f t="shared" si="88"/>
        <v>0</v>
      </c>
      <c r="O257" s="91">
        <f t="shared" si="88"/>
        <v>0</v>
      </c>
      <c r="P257" s="91">
        <f t="shared" si="88"/>
        <v>0</v>
      </c>
      <c r="Q257" s="91">
        <f t="shared" si="88"/>
        <v>0</v>
      </c>
      <c r="R257" s="91">
        <f t="shared" si="88"/>
        <v>0</v>
      </c>
      <c r="S257" s="92">
        <f t="shared" si="88"/>
        <v>0</v>
      </c>
      <c r="T257" s="91">
        <f t="shared" si="88"/>
        <v>0</v>
      </c>
      <c r="U257" s="91">
        <f t="shared" si="88"/>
        <v>0</v>
      </c>
      <c r="V257" s="206">
        <f t="shared" si="88"/>
        <v>0</v>
      </c>
      <c r="W257" s="33">
        <f t="shared" ref="W257:W264" si="89">IF(ISERROR(V257/G257),"",V257/G257)</f>
        <v>0</v>
      </c>
      <c r="X257" s="92">
        <f>SUM(X200:X256)</f>
        <v>0</v>
      </c>
      <c r="Y257" s="92">
        <f>SUM(Y200:Y256)</f>
        <v>0</v>
      </c>
      <c r="Z257" s="92">
        <f>SUM(Z200:Z256)</f>
        <v>0</v>
      </c>
      <c r="AA257" s="92">
        <f>SUM(AA200:AA256)</f>
        <v>0</v>
      </c>
      <c r="AB257" s="75"/>
      <c r="AC257" s="70"/>
      <c r="AD257" s="370"/>
      <c r="AE257" s="74"/>
      <c r="AF257" s="74"/>
      <c r="AG257" s="74"/>
      <c r="AH257" s="7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>
      <c r="A258" s="299">
        <v>30400012</v>
      </c>
      <c r="B258" s="61" t="s">
        <v>87</v>
      </c>
      <c r="C258" s="16" t="s">
        <v>53</v>
      </c>
      <c r="D258" s="17">
        <v>5.03</v>
      </c>
      <c r="E258" s="17"/>
      <c r="F258" s="6"/>
      <c r="G258" s="93">
        <f>SUM('1:2'!G258)</f>
        <v>0</v>
      </c>
      <c r="H258" s="364">
        <f>D258*G258</f>
        <v>0</v>
      </c>
      <c r="I258" s="93">
        <f>SUM('1:2'!I258)</f>
        <v>0</v>
      </c>
      <c r="J258" s="31" t="str">
        <f t="array" ref="J258">IF(ISERROR(G258/I258),"",G258/I258)</f>
        <v/>
      </c>
      <c r="K258" s="35">
        <f t="array" ref="K258">IF(ISERROR(G258/L258),"",G258/L258)</f>
        <v>0</v>
      </c>
      <c r="L258" s="87">
        <v>8.8000000000000007</v>
      </c>
      <c r="M258" s="36">
        <f t="shared" ref="M258:M265" si="90">IF(ISERROR(I258-K258),"",I258-K258)</f>
        <v>0</v>
      </c>
      <c r="N258" s="31">
        <f t="shared" ref="N258:N265" si="91">SUM(O258:U258)</f>
        <v>0</v>
      </c>
      <c r="O258" s="93">
        <f>SUM('1:2'!O258)</f>
        <v>0</v>
      </c>
      <c r="P258" s="93">
        <f>SUM('1:2'!P258)</f>
        <v>0</v>
      </c>
      <c r="Q258" s="93">
        <f>SUM('1:2'!Q258)</f>
        <v>0</v>
      </c>
      <c r="R258" s="93">
        <f>SUM('1:2'!R258)</f>
        <v>0</v>
      </c>
      <c r="S258" s="93">
        <f>SUM('1:2'!S258)</f>
        <v>0</v>
      </c>
      <c r="T258" s="93">
        <f>SUM('1:2'!T258)</f>
        <v>0</v>
      </c>
      <c r="U258" s="93">
        <f>SUM('1:2'!U258)</f>
        <v>0</v>
      </c>
      <c r="V258" s="206">
        <f t="shared" ref="V258:V264" si="92">SUM(X258:AA258)</f>
        <v>0</v>
      </c>
      <c r="W258" s="33" t="str">
        <f t="shared" si="89"/>
        <v/>
      </c>
      <c r="X258" s="93">
        <f>SUM('1:2'!X258)</f>
        <v>0</v>
      </c>
      <c r="Y258" s="93">
        <f>SUM('1:2'!Y258)</f>
        <v>0</v>
      </c>
      <c r="Z258" s="93">
        <f>SUM('1:2'!Z258)</f>
        <v>0</v>
      </c>
      <c r="AA258" s="93">
        <f>SUM('1:2'!AA258)</f>
        <v>0</v>
      </c>
      <c r="AB258" s="73"/>
      <c r="AC258" s="54"/>
      <c r="AD258" s="370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>
      <c r="A259" s="299">
        <v>30400010</v>
      </c>
      <c r="B259" s="61" t="s">
        <v>87</v>
      </c>
      <c r="C259" s="16" t="s">
        <v>60</v>
      </c>
      <c r="D259" s="17">
        <v>5.03</v>
      </c>
      <c r="E259" s="17"/>
      <c r="F259" s="6"/>
      <c r="G259" s="93">
        <f>SUM('1:2'!G259)</f>
        <v>0</v>
      </c>
      <c r="H259" s="364">
        <f t="shared" ref="H259:H291" si="93">D259*G259</f>
        <v>0</v>
      </c>
      <c r="I259" s="93">
        <f>SUM('1:2'!I259)</f>
        <v>0</v>
      </c>
      <c r="J259" s="31" t="str">
        <f t="array" ref="J259">IF(ISERROR(G259/I259),"",G259/I259)</f>
        <v/>
      </c>
      <c r="K259" s="35">
        <f t="array" ref="K259">IF(ISERROR(G259/L259),"",G259/L259)</f>
        <v>0</v>
      </c>
      <c r="L259" s="87">
        <v>8.8000000000000007</v>
      </c>
      <c r="M259" s="36">
        <f t="shared" si="90"/>
        <v>0</v>
      </c>
      <c r="N259" s="31">
        <f t="shared" si="91"/>
        <v>0</v>
      </c>
      <c r="O259" s="93">
        <f>SUM('1:2'!O259)</f>
        <v>0</v>
      </c>
      <c r="P259" s="93">
        <f>SUM('1:2'!P259)</f>
        <v>0</v>
      </c>
      <c r="Q259" s="93">
        <f>SUM('1:2'!Q259)</f>
        <v>0</v>
      </c>
      <c r="R259" s="93">
        <f>SUM('1:2'!R259)</f>
        <v>0</v>
      </c>
      <c r="S259" s="93">
        <f>SUM('1:2'!S259)</f>
        <v>0</v>
      </c>
      <c r="T259" s="93">
        <f>SUM('1:2'!T259)</f>
        <v>0</v>
      </c>
      <c r="U259" s="93">
        <f>SUM('1:2'!U259)</f>
        <v>0</v>
      </c>
      <c r="V259" s="206">
        <f t="shared" si="92"/>
        <v>0</v>
      </c>
      <c r="W259" s="33" t="str">
        <f t="shared" si="89"/>
        <v/>
      </c>
      <c r="X259" s="93">
        <f>SUM('1:2'!X259)</f>
        <v>0</v>
      </c>
      <c r="Y259" s="93">
        <f>SUM('1:2'!Y259)</f>
        <v>0</v>
      </c>
      <c r="Z259" s="93">
        <f>SUM('1:2'!Z259)</f>
        <v>0</v>
      </c>
      <c r="AA259" s="93">
        <f>SUM('1:2'!AA259)</f>
        <v>0</v>
      </c>
      <c r="AB259" s="73"/>
      <c r="AC259" s="54"/>
      <c r="AD259" s="370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>
      <c r="A260" s="299">
        <v>30400011</v>
      </c>
      <c r="B260" s="61" t="s">
        <v>87</v>
      </c>
      <c r="C260" s="16" t="s">
        <v>74</v>
      </c>
      <c r="D260" s="17">
        <v>5.03</v>
      </c>
      <c r="E260" s="17"/>
      <c r="F260" s="6"/>
      <c r="G260" s="93">
        <f>SUM('1:2'!G260)</f>
        <v>0</v>
      </c>
      <c r="H260" s="364">
        <f t="shared" si="93"/>
        <v>0</v>
      </c>
      <c r="I260" s="93">
        <f>SUM('1:2'!I260)</f>
        <v>0</v>
      </c>
      <c r="J260" s="31" t="str">
        <f t="array" ref="J260">IF(ISERROR(G260/I260),"",G260/I260)</f>
        <v/>
      </c>
      <c r="K260" s="35">
        <f t="array" ref="K260">IF(ISERROR(G260/L260),"",G260/L260)</f>
        <v>0</v>
      </c>
      <c r="L260" s="87">
        <v>8.8000000000000007</v>
      </c>
      <c r="M260" s="36">
        <f t="shared" si="90"/>
        <v>0</v>
      </c>
      <c r="N260" s="31">
        <f t="shared" si="91"/>
        <v>0</v>
      </c>
      <c r="O260" s="93">
        <f>SUM('1:2'!O260)</f>
        <v>0</v>
      </c>
      <c r="P260" s="93">
        <f>SUM('1:2'!P260)</f>
        <v>0</v>
      </c>
      <c r="Q260" s="93">
        <f>SUM('1:2'!Q260)</f>
        <v>0</v>
      </c>
      <c r="R260" s="93">
        <f>SUM('1:2'!R260)</f>
        <v>0</v>
      </c>
      <c r="S260" s="93">
        <f>SUM('1:2'!S260)</f>
        <v>0</v>
      </c>
      <c r="T260" s="93">
        <f>SUM('1:2'!T260)</f>
        <v>0</v>
      </c>
      <c r="U260" s="93">
        <f>SUM('1:2'!U260)</f>
        <v>0</v>
      </c>
      <c r="V260" s="206">
        <f t="shared" si="92"/>
        <v>0</v>
      </c>
      <c r="W260" s="33" t="str">
        <f t="shared" si="89"/>
        <v/>
      </c>
      <c r="X260" s="93">
        <f>SUM('1:2'!X260)</f>
        <v>0</v>
      </c>
      <c r="Y260" s="93">
        <f>SUM('1:2'!Y260)</f>
        <v>0</v>
      </c>
      <c r="Z260" s="93">
        <f>SUM('1:2'!Z260)</f>
        <v>0</v>
      </c>
      <c r="AA260" s="93">
        <f>SUM('1:2'!AA260)</f>
        <v>0</v>
      </c>
      <c r="AB260" s="73"/>
      <c r="AC260" s="54"/>
      <c r="AD260" s="370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>
      <c r="A261" s="299">
        <v>30400014</v>
      </c>
      <c r="B261" s="215" t="s">
        <v>513</v>
      </c>
      <c r="C261" s="16" t="s">
        <v>53</v>
      </c>
      <c r="D261" s="17">
        <v>5.03</v>
      </c>
      <c r="E261" s="17"/>
      <c r="F261" s="6"/>
      <c r="G261" s="93">
        <f>SUM('1:2'!G261)</f>
        <v>0</v>
      </c>
      <c r="H261" s="364">
        <f t="shared" si="93"/>
        <v>0</v>
      </c>
      <c r="I261" s="93">
        <f>SUM('1:2'!I261)</f>
        <v>0</v>
      </c>
      <c r="J261" s="31" t="str">
        <f t="array" ref="J261">IF(ISERROR(G261/I261),"",G261/I261)</f>
        <v/>
      </c>
      <c r="K261" s="35">
        <f t="array" ref="K261">IF(ISERROR(G261/L261),"",G261/L261)</f>
        <v>0</v>
      </c>
      <c r="L261" s="87">
        <v>9.3000000000000007</v>
      </c>
      <c r="M261" s="36">
        <f t="shared" si="90"/>
        <v>0</v>
      </c>
      <c r="N261" s="31">
        <f t="shared" si="91"/>
        <v>0</v>
      </c>
      <c r="O261" s="93">
        <f>SUM('1:2'!O261)</f>
        <v>0</v>
      </c>
      <c r="P261" s="93">
        <f>SUM('1:2'!P261)</f>
        <v>0</v>
      </c>
      <c r="Q261" s="93">
        <f>SUM('1:2'!Q261)</f>
        <v>0</v>
      </c>
      <c r="R261" s="93">
        <f>SUM('1:2'!R261)</f>
        <v>0</v>
      </c>
      <c r="S261" s="93">
        <f>SUM('1:2'!S261)</f>
        <v>0</v>
      </c>
      <c r="T261" s="93">
        <f>SUM('1:2'!T261)</f>
        <v>0</v>
      </c>
      <c r="U261" s="93">
        <f>SUM('1:2'!U261)</f>
        <v>0</v>
      </c>
      <c r="V261" s="206">
        <f t="shared" si="92"/>
        <v>0</v>
      </c>
      <c r="W261" s="33" t="str">
        <f t="shared" si="89"/>
        <v/>
      </c>
      <c r="X261" s="93">
        <f>SUM('1:2'!X261)</f>
        <v>0</v>
      </c>
      <c r="Y261" s="93">
        <f>SUM('1:2'!Y261)</f>
        <v>0</v>
      </c>
      <c r="Z261" s="93">
        <f>SUM('1:2'!Z261)</f>
        <v>0</v>
      </c>
      <c r="AA261" s="93">
        <f>SUM('1:2'!AA261)</f>
        <v>0</v>
      </c>
      <c r="AB261" s="73"/>
      <c r="AC261" s="54"/>
      <c r="AD261" s="370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>
      <c r="A262" s="299">
        <v>30400013</v>
      </c>
      <c r="B262" s="215" t="s">
        <v>473</v>
      </c>
      <c r="C262" s="16" t="s">
        <v>72</v>
      </c>
      <c r="D262" s="17">
        <v>5.03</v>
      </c>
      <c r="E262" s="17"/>
      <c r="F262" s="6"/>
      <c r="G262" s="93">
        <f>SUM('1:2'!G262)</f>
        <v>0</v>
      </c>
      <c r="H262" s="364">
        <f t="shared" si="93"/>
        <v>0</v>
      </c>
      <c r="I262" s="93">
        <f>SUM('1:2'!I262)</f>
        <v>0</v>
      </c>
      <c r="J262" s="31" t="str">
        <f t="array" ref="J262">IF(ISERROR(G262/I262),"",G262/I262)</f>
        <v/>
      </c>
      <c r="K262" s="35">
        <f t="array" ref="K262">IF(ISERROR(G262/L262),"",G262/L262)</f>
        <v>0</v>
      </c>
      <c r="L262" s="87">
        <v>9.3000000000000007</v>
      </c>
      <c r="M262" s="36">
        <f t="shared" si="90"/>
        <v>0</v>
      </c>
      <c r="N262" s="31">
        <f t="shared" si="91"/>
        <v>0</v>
      </c>
      <c r="O262" s="93">
        <f>SUM('1:2'!O262)</f>
        <v>0</v>
      </c>
      <c r="P262" s="93">
        <f>SUM('1:2'!P262)</f>
        <v>0</v>
      </c>
      <c r="Q262" s="93">
        <f>SUM('1:2'!Q262)</f>
        <v>0</v>
      </c>
      <c r="R262" s="93">
        <f>SUM('1:2'!R262)</f>
        <v>0</v>
      </c>
      <c r="S262" s="93">
        <f>SUM('1:2'!S262)</f>
        <v>0</v>
      </c>
      <c r="T262" s="93">
        <f>SUM('1:2'!T262)</f>
        <v>0</v>
      </c>
      <c r="U262" s="93">
        <f>SUM('1:2'!U262)</f>
        <v>0</v>
      </c>
      <c r="V262" s="206">
        <f t="shared" si="92"/>
        <v>0</v>
      </c>
      <c r="W262" s="33" t="str">
        <f t="shared" si="89"/>
        <v/>
      </c>
      <c r="X262" s="93">
        <f>SUM('1:2'!X262)</f>
        <v>0</v>
      </c>
      <c r="Y262" s="93">
        <f>SUM('1:2'!Y262)</f>
        <v>0</v>
      </c>
      <c r="Z262" s="93">
        <f>SUM('1:2'!Z262)</f>
        <v>0</v>
      </c>
      <c r="AA262" s="93">
        <f>SUM('1:2'!AA262)</f>
        <v>0</v>
      </c>
      <c r="AB262" s="73"/>
      <c r="AC262" s="54"/>
      <c r="AD262" s="370"/>
      <c r="AE262" s="54"/>
      <c r="AF262" s="54"/>
      <c r="AG262" s="54"/>
      <c r="AH262" s="54"/>
      <c r="AI262" s="57"/>
      <c r="AJ262" s="57"/>
      <c r="AK262" s="57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</row>
    <row r="263" spans="1:53">
      <c r="A263" s="299">
        <v>30400016</v>
      </c>
      <c r="B263" s="215" t="s">
        <v>513</v>
      </c>
      <c r="C263" s="16" t="s">
        <v>60</v>
      </c>
      <c r="D263" s="17">
        <v>5.03</v>
      </c>
      <c r="E263" s="17"/>
      <c r="F263" s="6"/>
      <c r="G263" s="93">
        <f>SUM('1:2'!G263)</f>
        <v>146</v>
      </c>
      <c r="H263" s="364">
        <f t="shared" si="93"/>
        <v>734.38</v>
      </c>
      <c r="I263" s="93">
        <f>SUM('1:2'!I263)</f>
        <v>28</v>
      </c>
      <c r="J263" s="31">
        <f t="array" ref="J263">IF(ISERROR(G263/I263),"",G263/I263)</f>
        <v>5.2142857142857144</v>
      </c>
      <c r="K263" s="35">
        <f t="array" ref="K263">IF(ISERROR(G263/L263),"",G263/L263)</f>
        <v>15.698924731182794</v>
      </c>
      <c r="L263" s="87">
        <v>9.3000000000000007</v>
      </c>
      <c r="M263" s="36">
        <f t="shared" si="90"/>
        <v>12.301075268817206</v>
      </c>
      <c r="N263" s="31">
        <f t="shared" si="91"/>
        <v>0</v>
      </c>
      <c r="O263" s="93">
        <f>SUM('1:2'!O263)</f>
        <v>0</v>
      </c>
      <c r="P263" s="93">
        <f>SUM('1:2'!P263)</f>
        <v>0</v>
      </c>
      <c r="Q263" s="93">
        <f>SUM('1:2'!Q263)</f>
        <v>0</v>
      </c>
      <c r="R263" s="93">
        <f>SUM('1:2'!R263)</f>
        <v>0</v>
      </c>
      <c r="S263" s="93">
        <f>SUM('1:2'!S263)</f>
        <v>0</v>
      </c>
      <c r="T263" s="93">
        <f>SUM('1:2'!T263)</f>
        <v>0</v>
      </c>
      <c r="U263" s="93">
        <f>SUM('1:2'!U263)</f>
        <v>0</v>
      </c>
      <c r="V263" s="206">
        <f t="shared" si="92"/>
        <v>0</v>
      </c>
      <c r="W263" s="33">
        <f t="shared" si="89"/>
        <v>0</v>
      </c>
      <c r="X263" s="93">
        <f>SUM('1:2'!X263)</f>
        <v>0</v>
      </c>
      <c r="Y263" s="93">
        <f>SUM('1:2'!Y263)</f>
        <v>0</v>
      </c>
      <c r="Z263" s="93">
        <f>SUM('1:2'!Z263)</f>
        <v>0</v>
      </c>
      <c r="AA263" s="93">
        <f>SUM('1:2'!AA263)</f>
        <v>0</v>
      </c>
      <c r="AB263" s="73"/>
      <c r="AC263" s="54"/>
      <c r="AD263" s="370"/>
      <c r="AE263" s="54"/>
      <c r="AF263" s="54"/>
      <c r="AG263" s="54"/>
      <c r="AH263" s="54"/>
      <c r="AI263" s="57"/>
      <c r="AJ263" s="57"/>
      <c r="AK263" s="57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</row>
    <row r="264" spans="1:53">
      <c r="A264" s="299">
        <v>30400017</v>
      </c>
      <c r="B264" s="215" t="s">
        <v>513</v>
      </c>
      <c r="C264" s="16" t="s">
        <v>66</v>
      </c>
      <c r="D264" s="17">
        <v>5.03</v>
      </c>
      <c r="E264" s="17"/>
      <c r="F264" s="6"/>
      <c r="G264" s="93">
        <f>SUM('1:2'!G264)</f>
        <v>0</v>
      </c>
      <c r="H264" s="364">
        <f t="shared" si="93"/>
        <v>0</v>
      </c>
      <c r="I264" s="93">
        <f>SUM('1:2'!I264)</f>
        <v>0</v>
      </c>
      <c r="J264" s="31" t="str">
        <f t="array" ref="J264">IF(ISERROR(G264/I264),"",G264/I264)</f>
        <v/>
      </c>
      <c r="K264" s="35">
        <f t="array" ref="K264">IF(ISERROR(G264/L264),"",G264/L264)</f>
        <v>0</v>
      </c>
      <c r="L264" s="87">
        <v>9.3000000000000007</v>
      </c>
      <c r="M264" s="36">
        <f t="shared" si="90"/>
        <v>0</v>
      </c>
      <c r="N264" s="31">
        <f t="shared" si="91"/>
        <v>0</v>
      </c>
      <c r="O264" s="93">
        <f>SUM('1:2'!O264)</f>
        <v>0</v>
      </c>
      <c r="P264" s="93">
        <f>SUM('1:2'!P264)</f>
        <v>0</v>
      </c>
      <c r="Q264" s="93">
        <f>SUM('1:2'!Q264)</f>
        <v>0</v>
      </c>
      <c r="R264" s="93">
        <f>SUM('1:2'!R264)</f>
        <v>0</v>
      </c>
      <c r="S264" s="93">
        <f>SUM('1:2'!S264)</f>
        <v>0</v>
      </c>
      <c r="T264" s="93">
        <f>SUM('1:2'!T264)</f>
        <v>0</v>
      </c>
      <c r="U264" s="93">
        <f>SUM('1:2'!U264)</f>
        <v>0</v>
      </c>
      <c r="V264" s="206">
        <f t="shared" si="92"/>
        <v>0</v>
      </c>
      <c r="W264" s="33" t="str">
        <f t="shared" si="89"/>
        <v/>
      </c>
      <c r="X264" s="93">
        <f>SUM('1:2'!X264)</f>
        <v>0</v>
      </c>
      <c r="Y264" s="93">
        <f>SUM('1:2'!Y264)</f>
        <v>0</v>
      </c>
      <c r="Z264" s="93">
        <f>SUM('1:2'!Z264)</f>
        <v>0</v>
      </c>
      <c r="AA264" s="93">
        <f>SUM('1:2'!AA264)</f>
        <v>0</v>
      </c>
      <c r="AB264" s="73"/>
      <c r="AC264" s="54"/>
      <c r="AD264" s="370"/>
      <c r="AE264" s="54"/>
      <c r="AF264" s="54"/>
      <c r="AG264" s="54"/>
      <c r="AH264" s="54"/>
      <c r="AI264" s="57"/>
      <c r="AJ264" s="57"/>
      <c r="AK264" s="57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</row>
    <row r="265" spans="1:53">
      <c r="A265" s="299">
        <v>30400015</v>
      </c>
      <c r="B265" s="65" t="s">
        <v>512</v>
      </c>
      <c r="C265" s="16" t="s">
        <v>177</v>
      </c>
      <c r="D265" s="17">
        <v>5.03</v>
      </c>
      <c r="E265" s="17"/>
      <c r="F265" s="6"/>
      <c r="G265" s="93">
        <f>SUM('1:2'!G265)</f>
        <v>96</v>
      </c>
      <c r="H265" s="364">
        <f t="shared" si="93"/>
        <v>482.88</v>
      </c>
      <c r="I265" s="93">
        <f>SUM('1:2'!I265)</f>
        <v>11</v>
      </c>
      <c r="J265" s="31"/>
      <c r="K265" s="35">
        <f t="array" ref="K265">IF(ISERROR(G265/L265),"",G265/L265)</f>
        <v>10.32258064516129</v>
      </c>
      <c r="L265" s="87">
        <v>9.3000000000000007</v>
      </c>
      <c r="M265" s="36">
        <f t="shared" si="90"/>
        <v>0.67741935483870996</v>
      </c>
      <c r="N265" s="31">
        <f t="shared" si="91"/>
        <v>0</v>
      </c>
      <c r="O265" s="93">
        <f>SUM('1:2'!O265)</f>
        <v>0</v>
      </c>
      <c r="P265" s="93">
        <f>SUM('1:2'!P265)</f>
        <v>0</v>
      </c>
      <c r="Q265" s="93">
        <f>SUM('1:2'!Q265)</f>
        <v>0</v>
      </c>
      <c r="R265" s="93">
        <f>SUM('1:2'!R265)</f>
        <v>0</v>
      </c>
      <c r="S265" s="93">
        <f>SUM('1:2'!S265)</f>
        <v>0</v>
      </c>
      <c r="T265" s="93">
        <f>SUM('1:2'!T265)</f>
        <v>0</v>
      </c>
      <c r="U265" s="93">
        <f>SUM('1:2'!U265)</f>
        <v>0</v>
      </c>
      <c r="V265" s="207"/>
      <c r="W265" s="33"/>
      <c r="X265" s="93">
        <f>SUM('1:2'!X265)</f>
        <v>0</v>
      </c>
      <c r="Y265" s="93">
        <f>SUM('1:2'!Y265)</f>
        <v>0</v>
      </c>
      <c r="Z265" s="93">
        <f>SUM('1:2'!Z265)</f>
        <v>0</v>
      </c>
      <c r="AA265" s="93">
        <f>SUM('1:2'!AA265)</f>
        <v>0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>
      <c r="A266" s="304">
        <v>30600004</v>
      </c>
      <c r="B266" s="65" t="s">
        <v>162</v>
      </c>
      <c r="C266" s="16" t="s">
        <v>53</v>
      </c>
      <c r="D266" s="17">
        <v>5.03</v>
      </c>
      <c r="E266" s="17"/>
      <c r="F266" s="6"/>
      <c r="G266" s="93">
        <f>SUM('1:2'!G266)</f>
        <v>0</v>
      </c>
      <c r="H266" s="364">
        <f t="shared" si="93"/>
        <v>0</v>
      </c>
      <c r="I266" s="93">
        <f>SUM('1:2'!I266)</f>
        <v>0</v>
      </c>
      <c r="J266" s="31" t="str">
        <f t="array" ref="J266">IF(ISERROR(G266/I266),"",G266/I266)</f>
        <v/>
      </c>
      <c r="K266" s="35">
        <f t="array" ref="K266">IF(ISERROR(G266/L266),"",G266/L266)</f>
        <v>0</v>
      </c>
      <c r="L266" s="87">
        <v>8</v>
      </c>
      <c r="M266" s="36">
        <f>IF(ISERROR(I266-K266),"",I266-K266)</f>
        <v>0</v>
      </c>
      <c r="N266" s="31">
        <f>SUM(O266:U266)</f>
        <v>0</v>
      </c>
      <c r="O266" s="93">
        <f>SUM('1:2'!O266)</f>
        <v>0</v>
      </c>
      <c r="P266" s="93">
        <f>SUM('1:2'!P266)</f>
        <v>0</v>
      </c>
      <c r="Q266" s="93">
        <f>SUM('1:2'!Q266)</f>
        <v>0</v>
      </c>
      <c r="R266" s="93">
        <f>SUM('1:2'!R266)</f>
        <v>0</v>
      </c>
      <c r="S266" s="93">
        <f>SUM('1:2'!S266)</f>
        <v>0</v>
      </c>
      <c r="T266" s="93">
        <f>SUM('1:2'!T266)</f>
        <v>0</v>
      </c>
      <c r="U266" s="93">
        <f>SUM('1:2'!U266)</f>
        <v>0</v>
      </c>
      <c r="V266" s="207">
        <f>SUM(X266:AA266)</f>
        <v>0</v>
      </c>
      <c r="W266" s="33" t="str">
        <f>IF(ISERROR(V266/G266),"",V266/G266)</f>
        <v/>
      </c>
      <c r="X266" s="93">
        <f>SUM('1:2'!X266)</f>
        <v>0</v>
      </c>
      <c r="Y266" s="93">
        <f>SUM('1:2'!Y266)</f>
        <v>0</v>
      </c>
      <c r="Z266" s="93">
        <f>SUM('1:2'!Z266)</f>
        <v>0</v>
      </c>
      <c r="AA266" s="93">
        <f>SUM('1:2'!AA266)</f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>
      <c r="A267" s="304">
        <v>30600001</v>
      </c>
      <c r="B267" s="65" t="s">
        <v>162</v>
      </c>
      <c r="C267" s="16" t="s">
        <v>55</v>
      </c>
      <c r="D267" s="17">
        <v>5.03</v>
      </c>
      <c r="E267" s="17"/>
      <c r="F267" s="6"/>
      <c r="G267" s="93">
        <f>SUM('1:2'!G267)</f>
        <v>0</v>
      </c>
      <c r="H267" s="364">
        <f t="shared" si="93"/>
        <v>0</v>
      </c>
      <c r="I267" s="93">
        <f>SUM('1:2'!I267)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87">
        <v>8</v>
      </c>
      <c r="M267" s="36">
        <f>IF(ISERROR(I267-K267),"",I267-K267)</f>
        <v>0</v>
      </c>
      <c r="N267" s="31">
        <f>SUM(O267:U267)</f>
        <v>0</v>
      </c>
      <c r="O267" s="93">
        <f>SUM('1:2'!O267)</f>
        <v>0</v>
      </c>
      <c r="P267" s="93">
        <f>SUM('1:2'!P267)</f>
        <v>0</v>
      </c>
      <c r="Q267" s="93">
        <f>SUM('1:2'!Q267)</f>
        <v>0</v>
      </c>
      <c r="R267" s="93">
        <f>SUM('1:2'!R267)</f>
        <v>0</v>
      </c>
      <c r="S267" s="93">
        <f>SUM('1:2'!S267)</f>
        <v>0</v>
      </c>
      <c r="T267" s="93">
        <f>SUM('1:2'!T267)</f>
        <v>0</v>
      </c>
      <c r="U267" s="93">
        <f>SUM('1:2'!U267)</f>
        <v>0</v>
      </c>
      <c r="V267" s="207">
        <f>SUM(X267:AA267)</f>
        <v>0</v>
      </c>
      <c r="W267" s="33" t="str">
        <f>IF(ISERROR(V267/G267),"",V267/G267)</f>
        <v/>
      </c>
      <c r="X267" s="93">
        <f>SUM('1:2'!X267)</f>
        <v>0</v>
      </c>
      <c r="Y267" s="93">
        <f>SUM('1:2'!Y267)</f>
        <v>0</v>
      </c>
      <c r="Z267" s="93">
        <f>SUM('1:2'!Z267)</f>
        <v>0</v>
      </c>
      <c r="AA267" s="93">
        <f>SUM('1:2'!AA267)</f>
        <v>0</v>
      </c>
      <c r="AD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</row>
    <row r="268" spans="1:53">
      <c r="A268" s="304">
        <v>30600002</v>
      </c>
      <c r="B268" s="65" t="s">
        <v>162</v>
      </c>
      <c r="C268" s="16" t="s">
        <v>60</v>
      </c>
      <c r="D268" s="17">
        <v>5.03</v>
      </c>
      <c r="E268" s="17"/>
      <c r="F268" s="6"/>
      <c r="G268" s="93">
        <f>SUM('1:2'!G268)</f>
        <v>0</v>
      </c>
      <c r="H268" s="364">
        <f t="shared" si="93"/>
        <v>0</v>
      </c>
      <c r="I268" s="93">
        <f>SUM('1:2'!I268)</f>
        <v>0</v>
      </c>
      <c r="J268" s="31" t="str">
        <f t="array" ref="J268">IF(ISERROR(G268/I268),"",G268/I268)</f>
        <v/>
      </c>
      <c r="K268" s="35">
        <f t="array" ref="K268">IF(ISERROR(G268/L268),"",G268/L268)</f>
        <v>0</v>
      </c>
      <c r="L268" s="87">
        <v>8</v>
      </c>
      <c r="M268" s="36">
        <f>IF(ISERROR(I268-K268),"",I268-K268)</f>
        <v>0</v>
      </c>
      <c r="N268" s="31">
        <f>SUM(O268:U268)</f>
        <v>0</v>
      </c>
      <c r="O268" s="93">
        <f>SUM('1:2'!O268)</f>
        <v>0</v>
      </c>
      <c r="P268" s="93">
        <f>SUM('1:2'!P268)</f>
        <v>0</v>
      </c>
      <c r="Q268" s="93">
        <f>SUM('1:2'!Q268)</f>
        <v>0</v>
      </c>
      <c r="R268" s="93">
        <f>SUM('1:2'!R268)</f>
        <v>0</v>
      </c>
      <c r="S268" s="93">
        <f>SUM('1:2'!S268)</f>
        <v>0</v>
      </c>
      <c r="T268" s="93">
        <f>SUM('1:2'!T268)</f>
        <v>0</v>
      </c>
      <c r="U268" s="93">
        <f>SUM('1:2'!U268)</f>
        <v>0</v>
      </c>
      <c r="V268" s="207">
        <f>SUM(X268:AA268)</f>
        <v>0</v>
      </c>
      <c r="W268" s="33" t="str">
        <f>IF(ISERROR(V268/G268),"",V268/G268)</f>
        <v/>
      </c>
      <c r="X268" s="93">
        <f>SUM('1:2'!X268)</f>
        <v>0</v>
      </c>
      <c r="Y268" s="93">
        <f>SUM('1:2'!Y268)</f>
        <v>0</v>
      </c>
      <c r="Z268" s="93">
        <f>SUM('1:2'!Z268)</f>
        <v>0</v>
      </c>
      <c r="AA268" s="93">
        <f>SUM('1:2'!AA268)</f>
        <v>0</v>
      </c>
      <c r="AD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</row>
    <row r="269" spans="1:53">
      <c r="A269" s="304">
        <v>30600003</v>
      </c>
      <c r="B269" s="65" t="s">
        <v>162</v>
      </c>
      <c r="C269" s="195" t="s">
        <v>89</v>
      </c>
      <c r="D269" s="17">
        <v>5.03</v>
      </c>
      <c r="E269" s="17"/>
      <c r="F269" s="6"/>
      <c r="G269" s="93">
        <f>SUM('1:2'!G269)</f>
        <v>0</v>
      </c>
      <c r="H269" s="364">
        <f t="shared" si="93"/>
        <v>0</v>
      </c>
      <c r="I269" s="93">
        <f>SUM('1:2'!I269)</f>
        <v>0</v>
      </c>
      <c r="J269" s="31" t="str">
        <f t="array" ref="J269">IF(ISERROR(G269/I269),"",G269/I269)</f>
        <v/>
      </c>
      <c r="K269" s="35">
        <f t="array" ref="K269">IF(ISERROR(G269/L269),"",G269/L269)</f>
        <v>0</v>
      </c>
      <c r="L269" s="87">
        <v>8</v>
      </c>
      <c r="M269" s="36">
        <f>IF(ISERROR(I269-K269),"",I269-K269)</f>
        <v>0</v>
      </c>
      <c r="N269" s="31">
        <f>SUM(O269:U269)</f>
        <v>0</v>
      </c>
      <c r="O269" s="93">
        <f>SUM('1:2'!O269)</f>
        <v>0</v>
      </c>
      <c r="P269" s="93">
        <f>SUM('1:2'!P269)</f>
        <v>0</v>
      </c>
      <c r="Q269" s="93">
        <f>SUM('1:2'!Q269)</f>
        <v>0</v>
      </c>
      <c r="R269" s="93">
        <f>SUM('1:2'!R269)</f>
        <v>0</v>
      </c>
      <c r="S269" s="93">
        <f>SUM('1:2'!S269)</f>
        <v>0</v>
      </c>
      <c r="T269" s="93">
        <f>SUM('1:2'!T269)</f>
        <v>0</v>
      </c>
      <c r="U269" s="93">
        <f>SUM('1:2'!U269)</f>
        <v>0</v>
      </c>
      <c r="V269" s="207">
        <f>SUM(X269:AA269)</f>
        <v>0</v>
      </c>
      <c r="W269" s="33" t="str">
        <f>IF(ISERROR(V269/G269),"",V269/G269)</f>
        <v/>
      </c>
      <c r="X269" s="93">
        <f>SUM('1:2'!X269)</f>
        <v>0</v>
      </c>
      <c r="Y269" s="93">
        <f>SUM('1:2'!Y269)</f>
        <v>0</v>
      </c>
      <c r="Z269" s="93">
        <f>SUM('1:2'!Z269)</f>
        <v>0</v>
      </c>
      <c r="AA269" s="93">
        <f>SUM('1:2'!AA269)</f>
        <v>0</v>
      </c>
      <c r="AD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</row>
    <row r="270" spans="1:53">
      <c r="A270" s="304">
        <v>30400030</v>
      </c>
      <c r="B270" s="65" t="s">
        <v>88</v>
      </c>
      <c r="C270" s="16" t="s">
        <v>53</v>
      </c>
      <c r="D270" s="17">
        <v>5.03</v>
      </c>
      <c r="E270" s="17"/>
      <c r="F270" s="6"/>
      <c r="G270" s="93">
        <f>SUM('1:2'!G270)</f>
        <v>0</v>
      </c>
      <c r="H270" s="364">
        <f t="shared" si="93"/>
        <v>0</v>
      </c>
      <c r="I270" s="93">
        <f>SUM('1:2'!I270)</f>
        <v>0</v>
      </c>
      <c r="J270" s="31" t="str">
        <f t="array" ref="J270">IF(ISERROR(G270/I270),"",G270/I270)</f>
        <v/>
      </c>
      <c r="K270" s="35">
        <f t="array" ref="K270">IF(ISERROR(G270/L270),"",G270/L270)</f>
        <v>0</v>
      </c>
      <c r="L270" s="87">
        <v>10</v>
      </c>
      <c r="M270" s="36">
        <f t="shared" ref="M270:M285" si="94">IF(ISERROR(I270-K270),"",I270-K270)</f>
        <v>0</v>
      </c>
      <c r="N270" s="31">
        <f t="shared" ref="N270:N285" si="95">SUM(O270:U270)</f>
        <v>0</v>
      </c>
      <c r="O270" s="93">
        <f>SUM('1:2'!O270)</f>
        <v>0</v>
      </c>
      <c r="P270" s="93">
        <f>SUM('1:2'!P270)</f>
        <v>0</v>
      </c>
      <c r="Q270" s="93">
        <f>SUM('1:2'!Q270)</f>
        <v>0</v>
      </c>
      <c r="R270" s="93">
        <f>SUM('1:2'!R270)</f>
        <v>0</v>
      </c>
      <c r="S270" s="93">
        <f>SUM('1:2'!S270)</f>
        <v>0</v>
      </c>
      <c r="T270" s="93">
        <f>SUM('1:2'!T270)</f>
        <v>0</v>
      </c>
      <c r="U270" s="93">
        <f>SUM('1:2'!U270)</f>
        <v>0</v>
      </c>
      <c r="V270" s="206">
        <f t="shared" ref="V270:V277" si="96">SUM(X270:AA270)</f>
        <v>0</v>
      </c>
      <c r="W270" s="33" t="str">
        <f t="shared" ref="W270:W277" si="97">IF(ISERROR(V270/G270),"",V270/G270)</f>
        <v/>
      </c>
      <c r="X270" s="93">
        <f>SUM('1:2'!X270)</f>
        <v>0</v>
      </c>
      <c r="Y270" s="93">
        <f>SUM('1:2'!Y270)</f>
        <v>0</v>
      </c>
      <c r="Z270" s="93">
        <f>SUM('1:2'!Z270)</f>
        <v>0</v>
      </c>
      <c r="AA270" s="93">
        <f>SUM('1:2'!AA270)</f>
        <v>0</v>
      </c>
      <c r="AB270" s="73"/>
      <c r="AC270" s="54"/>
      <c r="AD270" s="370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>
      <c r="A271" s="304"/>
      <c r="B271" s="65" t="s">
        <v>88</v>
      </c>
      <c r="C271" s="16" t="s">
        <v>72</v>
      </c>
      <c r="D271" s="17">
        <v>5.03</v>
      </c>
      <c r="E271" s="17"/>
      <c r="F271" s="6"/>
      <c r="G271" s="93">
        <f>SUM('1:2'!G271)</f>
        <v>0</v>
      </c>
      <c r="H271" s="364">
        <f t="shared" si="93"/>
        <v>0</v>
      </c>
      <c r="I271" s="93">
        <f>SUM('1:2'!I271)</f>
        <v>0</v>
      </c>
      <c r="J271" s="31" t="str">
        <f t="array" ref="J271">IF(ISERROR(G271/I271),"",G271/I271)</f>
        <v/>
      </c>
      <c r="K271" s="35" t="str">
        <f t="array" ref="K271">IF(ISERROR(G271/L271),"",G271/L271)</f>
        <v/>
      </c>
      <c r="L271" s="87"/>
      <c r="M271" s="36" t="str">
        <f t="shared" si="94"/>
        <v/>
      </c>
      <c r="N271" s="31">
        <f t="shared" si="95"/>
        <v>0</v>
      </c>
      <c r="O271" s="93">
        <f>SUM('1:2'!O271)</f>
        <v>0</v>
      </c>
      <c r="P271" s="93">
        <f>SUM('1:2'!P271)</f>
        <v>0</v>
      </c>
      <c r="Q271" s="93">
        <f>SUM('1:2'!Q271)</f>
        <v>0</v>
      </c>
      <c r="R271" s="93">
        <f>SUM('1:2'!R271)</f>
        <v>0</v>
      </c>
      <c r="S271" s="93">
        <f>SUM('1:2'!S271)</f>
        <v>0</v>
      </c>
      <c r="T271" s="93">
        <f>SUM('1:2'!T271)</f>
        <v>0</v>
      </c>
      <c r="U271" s="93">
        <f>SUM('1:2'!U271)</f>
        <v>0</v>
      </c>
      <c r="V271" s="206">
        <f t="shared" si="96"/>
        <v>0</v>
      </c>
      <c r="W271" s="33" t="str">
        <f t="shared" si="97"/>
        <v/>
      </c>
      <c r="X271" s="93">
        <f>SUM('1:2'!X271)</f>
        <v>0</v>
      </c>
      <c r="Y271" s="93">
        <f>SUM('1:2'!Y271)</f>
        <v>0</v>
      </c>
      <c r="Z271" s="93">
        <f>SUM('1:2'!Z271)</f>
        <v>0</v>
      </c>
      <c r="AA271" s="93">
        <f>SUM('1:2'!AA271)</f>
        <v>0</v>
      </c>
      <c r="AB271" s="73"/>
      <c r="AC271" s="54"/>
      <c r="AD271" s="370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>
      <c r="A272" s="304"/>
      <c r="B272" s="65" t="s">
        <v>88</v>
      </c>
      <c r="C272" s="16" t="s">
        <v>60</v>
      </c>
      <c r="D272" s="17">
        <v>5.03</v>
      </c>
      <c r="E272" s="17"/>
      <c r="F272" s="6"/>
      <c r="G272" s="93">
        <f>SUM('1:2'!G272)</f>
        <v>0</v>
      </c>
      <c r="H272" s="364">
        <f t="shared" si="93"/>
        <v>0</v>
      </c>
      <c r="I272" s="93">
        <f>SUM('1:2'!I272)</f>
        <v>0</v>
      </c>
      <c r="J272" s="31" t="str">
        <f t="array" ref="J272">IF(ISERROR(G272/I272),"",G272/I272)</f>
        <v/>
      </c>
      <c r="K272" s="35" t="str">
        <f t="array" ref="K272">IF(ISERROR(G272/L272),"",G272/L272)</f>
        <v/>
      </c>
      <c r="L272" s="87"/>
      <c r="M272" s="36" t="str">
        <f t="shared" si="94"/>
        <v/>
      </c>
      <c r="N272" s="31">
        <f t="shared" si="95"/>
        <v>0</v>
      </c>
      <c r="O272" s="93">
        <f>SUM('1:2'!O272)</f>
        <v>0</v>
      </c>
      <c r="P272" s="93">
        <f>SUM('1:2'!P272)</f>
        <v>0</v>
      </c>
      <c r="Q272" s="93">
        <f>SUM('1:2'!Q272)</f>
        <v>0</v>
      </c>
      <c r="R272" s="93">
        <f>SUM('1:2'!R272)</f>
        <v>0</v>
      </c>
      <c r="S272" s="93">
        <f>SUM('1:2'!S272)</f>
        <v>0</v>
      </c>
      <c r="T272" s="93">
        <f>SUM('1:2'!T272)</f>
        <v>0</v>
      </c>
      <c r="U272" s="93">
        <f>SUM('1:2'!U272)</f>
        <v>0</v>
      </c>
      <c r="V272" s="206">
        <f t="shared" si="96"/>
        <v>0</v>
      </c>
      <c r="W272" s="33" t="str">
        <f t="shared" si="97"/>
        <v/>
      </c>
      <c r="X272" s="93">
        <f>SUM('1:2'!X272)</f>
        <v>0</v>
      </c>
      <c r="Y272" s="93">
        <f>SUM('1:2'!Y272)</f>
        <v>0</v>
      </c>
      <c r="Z272" s="93">
        <f>SUM('1:2'!Z272)</f>
        <v>0</v>
      </c>
      <c r="AA272" s="93">
        <f>SUM('1:2'!AA272)</f>
        <v>0</v>
      </c>
      <c r="AB272" s="73"/>
      <c r="AC272" s="54"/>
      <c r="AD272" s="370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>
      <c r="A273" s="304">
        <v>30401031</v>
      </c>
      <c r="B273" s="65" t="s">
        <v>88</v>
      </c>
      <c r="C273" s="16" t="s">
        <v>66</v>
      </c>
      <c r="D273" s="17">
        <v>5.03</v>
      </c>
      <c r="E273" s="17"/>
      <c r="F273" s="6"/>
      <c r="G273" s="93">
        <f>SUM('1:2'!G273)</f>
        <v>0</v>
      </c>
      <c r="H273" s="364">
        <f t="shared" si="93"/>
        <v>0</v>
      </c>
      <c r="I273" s="93">
        <f>SUM('1:2'!I273)</f>
        <v>0</v>
      </c>
      <c r="J273" s="31" t="str">
        <f t="array" ref="J273">IF(ISERROR(G273/I273),"",G273/I273)</f>
        <v/>
      </c>
      <c r="K273" s="35" t="str">
        <f t="array" ref="K273">IF(ISERROR(G273/L273),"",G273/L273)</f>
        <v/>
      </c>
      <c r="L273" s="87"/>
      <c r="M273" s="36" t="str">
        <f t="shared" si="94"/>
        <v/>
      </c>
      <c r="N273" s="31">
        <f t="shared" si="95"/>
        <v>0</v>
      </c>
      <c r="O273" s="93">
        <f>SUM('1:2'!O273)</f>
        <v>0</v>
      </c>
      <c r="P273" s="93">
        <f>SUM('1:2'!P273)</f>
        <v>0</v>
      </c>
      <c r="Q273" s="93">
        <f>SUM('1:2'!Q273)</f>
        <v>0</v>
      </c>
      <c r="R273" s="93">
        <f>SUM('1:2'!R273)</f>
        <v>0</v>
      </c>
      <c r="S273" s="93">
        <f>SUM('1:2'!S273)</f>
        <v>0</v>
      </c>
      <c r="T273" s="93">
        <f>SUM('1:2'!T273)</f>
        <v>0</v>
      </c>
      <c r="U273" s="93">
        <f>SUM('1:2'!U273)</f>
        <v>0</v>
      </c>
      <c r="V273" s="206">
        <f t="shared" si="96"/>
        <v>0</v>
      </c>
      <c r="W273" s="33" t="str">
        <f t="shared" si="97"/>
        <v/>
      </c>
      <c r="X273" s="93">
        <f>SUM('1:2'!X273)</f>
        <v>0</v>
      </c>
      <c r="Y273" s="93">
        <f>SUM('1:2'!Y273)</f>
        <v>0</v>
      </c>
      <c r="Z273" s="93">
        <f>SUM('1:2'!Z273)</f>
        <v>0</v>
      </c>
      <c r="AA273" s="93">
        <f>SUM('1:2'!AA273)</f>
        <v>0</v>
      </c>
      <c r="AB273" s="73"/>
      <c r="AC273" s="54"/>
      <c r="AD273" s="370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>
      <c r="A274" s="304">
        <v>30600005</v>
      </c>
      <c r="B274" s="61" t="s">
        <v>90</v>
      </c>
      <c r="C274" s="16" t="s">
        <v>55</v>
      </c>
      <c r="D274" s="17">
        <v>9.36</v>
      </c>
      <c r="E274" s="17"/>
      <c r="F274" s="6"/>
      <c r="G274" s="93">
        <f>SUM('1:2'!G274)</f>
        <v>0</v>
      </c>
      <c r="H274" s="364">
        <f t="shared" si="93"/>
        <v>0</v>
      </c>
      <c r="I274" s="93">
        <f>SUM('1:2'!I274)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87">
        <v>6</v>
      </c>
      <c r="M274" s="36">
        <f t="shared" si="94"/>
        <v>0</v>
      </c>
      <c r="N274" s="31">
        <f t="shared" si="95"/>
        <v>0</v>
      </c>
      <c r="O274" s="93">
        <f>SUM('1:2'!O274)</f>
        <v>0</v>
      </c>
      <c r="P274" s="93">
        <f>SUM('1:2'!P274)</f>
        <v>0</v>
      </c>
      <c r="Q274" s="93">
        <f>SUM('1:2'!Q274)</f>
        <v>0</v>
      </c>
      <c r="R274" s="93">
        <f>SUM('1:2'!R274)</f>
        <v>0</v>
      </c>
      <c r="S274" s="93">
        <f>SUM('1:2'!S274)</f>
        <v>0</v>
      </c>
      <c r="T274" s="93">
        <f>SUM('1:2'!T274)</f>
        <v>0</v>
      </c>
      <c r="U274" s="93">
        <f>SUM('1:2'!U274)</f>
        <v>0</v>
      </c>
      <c r="V274" s="206">
        <f t="shared" si="96"/>
        <v>0</v>
      </c>
      <c r="W274" s="33" t="str">
        <f t="shared" si="97"/>
        <v/>
      </c>
      <c r="X274" s="93">
        <f>SUM('1:2'!X274)</f>
        <v>0</v>
      </c>
      <c r="Y274" s="93">
        <f>SUM('1:2'!Y274)</f>
        <v>0</v>
      </c>
      <c r="Z274" s="93">
        <f>SUM('1:2'!Z274)</f>
        <v>0</v>
      </c>
      <c r="AA274" s="93">
        <f>SUM('1:2'!AA274)</f>
        <v>0</v>
      </c>
      <c r="AB274" s="73"/>
      <c r="AC274" s="54"/>
      <c r="AD274" s="370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>
      <c r="A275" s="304">
        <v>30600008</v>
      </c>
      <c r="B275" s="61" t="s">
        <v>90</v>
      </c>
      <c r="C275" s="16" t="s">
        <v>53</v>
      </c>
      <c r="D275" s="17">
        <v>9.36</v>
      </c>
      <c r="E275" s="17"/>
      <c r="F275" s="6"/>
      <c r="G275" s="93">
        <f>SUM('1:2'!G275)</f>
        <v>0</v>
      </c>
      <c r="H275" s="364">
        <f t="shared" si="93"/>
        <v>0</v>
      </c>
      <c r="I275" s="93">
        <f>SUM('1:2'!I275)</f>
        <v>0</v>
      </c>
      <c r="J275" s="31" t="str">
        <f t="array" ref="J275">IF(ISERROR(G275/I275),"",G275/I275)</f>
        <v/>
      </c>
      <c r="K275" s="35">
        <f t="array" ref="K275">IF(ISERROR(G275/L275),"",G275/L275)</f>
        <v>0</v>
      </c>
      <c r="L275" s="87">
        <v>6</v>
      </c>
      <c r="M275" s="36">
        <f t="shared" si="94"/>
        <v>0</v>
      </c>
      <c r="N275" s="31">
        <f t="shared" si="95"/>
        <v>0</v>
      </c>
      <c r="O275" s="93">
        <f>SUM('1:2'!O275)</f>
        <v>0</v>
      </c>
      <c r="P275" s="93">
        <f>SUM('1:2'!P275)</f>
        <v>0</v>
      </c>
      <c r="Q275" s="93">
        <f>SUM('1:2'!Q275)</f>
        <v>0</v>
      </c>
      <c r="R275" s="93">
        <f>SUM('1:2'!R275)</f>
        <v>0</v>
      </c>
      <c r="S275" s="93">
        <f>SUM('1:2'!S275)</f>
        <v>0</v>
      </c>
      <c r="T275" s="93">
        <f>SUM('1:2'!T275)</f>
        <v>0</v>
      </c>
      <c r="U275" s="93">
        <f>SUM('1:2'!U275)</f>
        <v>0</v>
      </c>
      <c r="V275" s="206">
        <f t="shared" si="96"/>
        <v>0</v>
      </c>
      <c r="W275" s="33" t="str">
        <f t="shared" si="97"/>
        <v/>
      </c>
      <c r="X275" s="93">
        <f>SUM('1:2'!X275)</f>
        <v>0</v>
      </c>
      <c r="Y275" s="93">
        <f>SUM('1:2'!Y275)</f>
        <v>0</v>
      </c>
      <c r="Z275" s="93">
        <f>SUM('1:2'!Z275)</f>
        <v>0</v>
      </c>
      <c r="AA275" s="93">
        <f>SUM('1:2'!AA275)</f>
        <v>0</v>
      </c>
      <c r="AB275" s="73"/>
      <c r="AC275" s="54"/>
      <c r="AD275" s="370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>
      <c r="A276" s="304">
        <v>30600007</v>
      </c>
      <c r="B276" s="61" t="s">
        <v>90</v>
      </c>
      <c r="C276" s="16" t="s">
        <v>89</v>
      </c>
      <c r="D276" s="17">
        <v>9.36</v>
      </c>
      <c r="E276" s="17"/>
      <c r="F276" s="6"/>
      <c r="G276" s="93">
        <f>SUM('1:2'!G276)</f>
        <v>0</v>
      </c>
      <c r="H276" s="364">
        <f t="shared" si="93"/>
        <v>0</v>
      </c>
      <c r="I276" s="93">
        <f>SUM('1:2'!I276)</f>
        <v>0</v>
      </c>
      <c r="J276" s="31" t="str">
        <f t="array" ref="J276">IF(ISERROR(G276/I276),"",G276/I276)</f>
        <v/>
      </c>
      <c r="K276" s="35">
        <f t="array" ref="K276">IF(ISERROR(G276/L276),"",G276/L276)</f>
        <v>0</v>
      </c>
      <c r="L276" s="87">
        <v>6</v>
      </c>
      <c r="M276" s="36">
        <f t="shared" si="94"/>
        <v>0</v>
      </c>
      <c r="N276" s="31">
        <f t="shared" si="95"/>
        <v>0</v>
      </c>
      <c r="O276" s="93">
        <f>SUM('1:2'!O276)</f>
        <v>0</v>
      </c>
      <c r="P276" s="93">
        <f>SUM('1:2'!P276)</f>
        <v>0</v>
      </c>
      <c r="Q276" s="93">
        <f>SUM('1:2'!Q276)</f>
        <v>0</v>
      </c>
      <c r="R276" s="93">
        <f>SUM('1:2'!R276)</f>
        <v>0</v>
      </c>
      <c r="S276" s="93">
        <f>SUM('1:2'!S276)</f>
        <v>0</v>
      </c>
      <c r="T276" s="93">
        <f>SUM('1:2'!T276)</f>
        <v>0</v>
      </c>
      <c r="U276" s="93">
        <f>SUM('1:2'!U276)</f>
        <v>0</v>
      </c>
      <c r="V276" s="206">
        <f t="shared" si="96"/>
        <v>0</v>
      </c>
      <c r="W276" s="33" t="str">
        <f t="shared" si="97"/>
        <v/>
      </c>
      <c r="X276" s="93">
        <f>SUM('1:2'!X276)</f>
        <v>0</v>
      </c>
      <c r="Y276" s="93">
        <f>SUM('1:2'!Y276)</f>
        <v>0</v>
      </c>
      <c r="Z276" s="93">
        <f>SUM('1:2'!Z276)</f>
        <v>0</v>
      </c>
      <c r="AA276" s="93">
        <f>SUM('1:2'!AA276)</f>
        <v>0</v>
      </c>
      <c r="AB276" s="73"/>
      <c r="AC276" s="54"/>
      <c r="AD276" s="370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>
      <c r="A277" s="304">
        <v>30600006</v>
      </c>
      <c r="B277" s="61" t="s">
        <v>90</v>
      </c>
      <c r="C277" s="16" t="s">
        <v>60</v>
      </c>
      <c r="D277" s="17">
        <v>9.36</v>
      </c>
      <c r="E277" s="17"/>
      <c r="F277" s="6"/>
      <c r="G277" s="93">
        <f>SUM('1:2'!G277)</f>
        <v>0</v>
      </c>
      <c r="H277" s="364">
        <f t="shared" si="93"/>
        <v>0</v>
      </c>
      <c r="I277" s="93">
        <f>SUM('1:2'!I277)</f>
        <v>0</v>
      </c>
      <c r="J277" s="31" t="str">
        <f t="array" ref="J277">IF(ISERROR(G277/I277),"",G277/I277)</f>
        <v/>
      </c>
      <c r="K277" s="35">
        <f t="array" ref="K277">IF(ISERROR(G277/L277),"",G277/L277)</f>
        <v>0</v>
      </c>
      <c r="L277" s="87">
        <v>6</v>
      </c>
      <c r="M277" s="36">
        <f t="shared" si="94"/>
        <v>0</v>
      </c>
      <c r="N277" s="31">
        <f t="shared" si="95"/>
        <v>0</v>
      </c>
      <c r="O277" s="93">
        <f>SUM('1:2'!O277)</f>
        <v>0</v>
      </c>
      <c r="P277" s="93">
        <f>SUM('1:2'!P277)</f>
        <v>0</v>
      </c>
      <c r="Q277" s="93">
        <f>SUM('1:2'!Q277)</f>
        <v>0</v>
      </c>
      <c r="R277" s="93">
        <f>SUM('1:2'!R277)</f>
        <v>0</v>
      </c>
      <c r="S277" s="93">
        <f>SUM('1:2'!S277)</f>
        <v>0</v>
      </c>
      <c r="T277" s="93">
        <f>SUM('1:2'!T277)</f>
        <v>0</v>
      </c>
      <c r="U277" s="93">
        <f>SUM('1:2'!U277)</f>
        <v>0</v>
      </c>
      <c r="V277" s="206">
        <f t="shared" si="96"/>
        <v>0</v>
      </c>
      <c r="W277" s="33" t="str">
        <f t="shared" si="97"/>
        <v/>
      </c>
      <c r="X277" s="93">
        <f>SUM('1:2'!X277)</f>
        <v>0</v>
      </c>
      <c r="Y277" s="93">
        <f>SUM('1:2'!Y277)</f>
        <v>0</v>
      </c>
      <c r="Z277" s="93">
        <f>SUM('1:2'!Z277)</f>
        <v>0</v>
      </c>
      <c r="AA277" s="93">
        <f>SUM('1:2'!AA277)</f>
        <v>0</v>
      </c>
      <c r="AB277" s="73"/>
      <c r="AC277" s="54"/>
      <c r="AD277" s="370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>
      <c r="A278" s="299">
        <v>30400026</v>
      </c>
      <c r="B278" s="190" t="s">
        <v>393</v>
      </c>
      <c r="C278" s="187" t="s">
        <v>395</v>
      </c>
      <c r="D278" s="17">
        <v>5</v>
      </c>
      <c r="E278" s="17"/>
      <c r="F278" s="6"/>
      <c r="G278" s="93">
        <f>SUM('1:2'!G278)</f>
        <v>0</v>
      </c>
      <c r="H278" s="364">
        <f t="shared" si="93"/>
        <v>0</v>
      </c>
      <c r="I278" s="93">
        <f>SUM('1:2'!I278)</f>
        <v>0</v>
      </c>
      <c r="J278" s="31"/>
      <c r="K278" s="35">
        <f t="array" ref="K278">IF(ISERROR(G278/L278),"",G278/L278)</f>
        <v>0</v>
      </c>
      <c r="L278" s="87">
        <v>5</v>
      </c>
      <c r="M278" s="36">
        <f t="shared" si="94"/>
        <v>0</v>
      </c>
      <c r="N278" s="31">
        <f t="shared" si="95"/>
        <v>0</v>
      </c>
      <c r="O278" s="93">
        <f>SUM('1:2'!O278)</f>
        <v>0</v>
      </c>
      <c r="P278" s="93">
        <f>SUM('1:2'!P278)</f>
        <v>0</v>
      </c>
      <c r="Q278" s="93">
        <f>SUM('1:2'!Q278)</f>
        <v>0</v>
      </c>
      <c r="R278" s="93">
        <f>SUM('1:2'!R278)</f>
        <v>0</v>
      </c>
      <c r="S278" s="93">
        <f>SUM('1:2'!S278)</f>
        <v>0</v>
      </c>
      <c r="T278" s="93">
        <f>SUM('1:2'!T278)</f>
        <v>0</v>
      </c>
      <c r="U278" s="93">
        <f>SUM('1:2'!U278)</f>
        <v>0</v>
      </c>
      <c r="V278" s="206"/>
      <c r="W278" s="33"/>
      <c r="X278" s="93">
        <f>SUM('1:2'!X278)</f>
        <v>0</v>
      </c>
      <c r="Y278" s="93">
        <f>SUM('1:2'!Y278)</f>
        <v>0</v>
      </c>
      <c r="Z278" s="93">
        <f>SUM('1:2'!Z278)</f>
        <v>0</v>
      </c>
      <c r="AA278" s="93">
        <f>SUM('1:2'!AA278)</f>
        <v>0</v>
      </c>
      <c r="AB278" s="73"/>
      <c r="AC278" s="54"/>
      <c r="AD278" s="370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>
      <c r="A279" s="299">
        <v>30400028</v>
      </c>
      <c r="B279" s="190" t="s">
        <v>393</v>
      </c>
      <c r="C279" s="187" t="s">
        <v>402</v>
      </c>
      <c r="D279" s="17">
        <v>5</v>
      </c>
      <c r="E279" s="17"/>
      <c r="F279" s="6"/>
      <c r="G279" s="93">
        <f>SUM('1:2'!G279)</f>
        <v>0</v>
      </c>
      <c r="H279" s="364">
        <f t="shared" si="93"/>
        <v>0</v>
      </c>
      <c r="I279" s="93">
        <f>SUM('1:2'!I279)</f>
        <v>0</v>
      </c>
      <c r="J279" s="31"/>
      <c r="K279" s="35">
        <f t="array" ref="K279">IF(ISERROR(G279/L279),"",G279/L279)</f>
        <v>0</v>
      </c>
      <c r="L279" s="87">
        <v>5</v>
      </c>
      <c r="M279" s="36">
        <f t="shared" si="94"/>
        <v>0</v>
      </c>
      <c r="N279" s="31">
        <f t="shared" si="95"/>
        <v>0</v>
      </c>
      <c r="O279" s="93">
        <f>SUM('1:2'!O279)</f>
        <v>0</v>
      </c>
      <c r="P279" s="93">
        <f>SUM('1:2'!P279)</f>
        <v>0</v>
      </c>
      <c r="Q279" s="93">
        <f>SUM('1:2'!Q279)</f>
        <v>0</v>
      </c>
      <c r="R279" s="93">
        <f>SUM('1:2'!R279)</f>
        <v>0</v>
      </c>
      <c r="S279" s="93">
        <f>SUM('1:2'!S279)</f>
        <v>0</v>
      </c>
      <c r="T279" s="93">
        <f>SUM('1:2'!T279)</f>
        <v>0</v>
      </c>
      <c r="U279" s="93">
        <f>SUM('1:2'!U279)</f>
        <v>0</v>
      </c>
      <c r="V279" s="206"/>
      <c r="W279" s="33"/>
      <c r="X279" s="93">
        <f>SUM('1:2'!X279)</f>
        <v>0</v>
      </c>
      <c r="Y279" s="93">
        <f>SUM('1:2'!Y279)</f>
        <v>0</v>
      </c>
      <c r="Z279" s="93">
        <f>SUM('1:2'!Z279)</f>
        <v>0</v>
      </c>
      <c r="AA279" s="93">
        <f>SUM('1:2'!AA279)</f>
        <v>0</v>
      </c>
      <c r="AB279" s="73"/>
      <c r="AC279" s="54"/>
      <c r="AD279" s="370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>
      <c r="A280" s="299">
        <v>30400027</v>
      </c>
      <c r="B280" s="190" t="s">
        <v>404</v>
      </c>
      <c r="C280" s="187" t="s">
        <v>405</v>
      </c>
      <c r="D280" s="17">
        <v>5</v>
      </c>
      <c r="E280" s="17"/>
      <c r="F280" s="6"/>
      <c r="G280" s="93">
        <f>SUM('1:2'!G280)</f>
        <v>0</v>
      </c>
      <c r="H280" s="364">
        <f t="shared" si="93"/>
        <v>0</v>
      </c>
      <c r="I280" s="93">
        <f>SUM('1:2'!I280)</f>
        <v>0</v>
      </c>
      <c r="J280" s="31"/>
      <c r="K280" s="35">
        <f t="array" ref="K280">IF(ISERROR(G280/L280),"",G280/L280)</f>
        <v>0</v>
      </c>
      <c r="L280" s="87">
        <v>5</v>
      </c>
      <c r="M280" s="36">
        <f t="shared" si="94"/>
        <v>0</v>
      </c>
      <c r="N280" s="31">
        <f t="shared" si="95"/>
        <v>0</v>
      </c>
      <c r="O280" s="93">
        <f>SUM('1:2'!O280)</f>
        <v>0</v>
      </c>
      <c r="P280" s="93">
        <f>SUM('1:2'!P280)</f>
        <v>0</v>
      </c>
      <c r="Q280" s="93">
        <f>SUM('1:2'!Q280)</f>
        <v>0</v>
      </c>
      <c r="R280" s="93">
        <f>SUM('1:2'!R280)</f>
        <v>0</v>
      </c>
      <c r="S280" s="93">
        <f>SUM('1:2'!S280)</f>
        <v>0</v>
      </c>
      <c r="T280" s="93">
        <f>SUM('1:2'!T280)</f>
        <v>0</v>
      </c>
      <c r="U280" s="93">
        <f>SUM('1:2'!U280)</f>
        <v>0</v>
      </c>
      <c r="V280" s="206"/>
      <c r="W280" s="33"/>
      <c r="X280" s="93">
        <f>SUM('1:2'!X280)</f>
        <v>0</v>
      </c>
      <c r="Y280" s="93">
        <f>SUM('1:2'!Y280)</f>
        <v>0</v>
      </c>
      <c r="Z280" s="93">
        <f>SUM('1:2'!Z280)</f>
        <v>0</v>
      </c>
      <c r="AA280" s="93">
        <f>SUM('1:2'!AA280)</f>
        <v>0</v>
      </c>
      <c r="AB280" s="73"/>
      <c r="AC280" s="54"/>
      <c r="AD280" s="370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>
      <c r="A281" s="299"/>
      <c r="B281" s="61" t="s">
        <v>342</v>
      </c>
      <c r="C281" s="187" t="s">
        <v>372</v>
      </c>
      <c r="D281" s="17">
        <v>5</v>
      </c>
      <c r="E281" s="17"/>
      <c r="F281" s="6"/>
      <c r="G281" s="93">
        <f>SUM('1:2'!G281)</f>
        <v>0</v>
      </c>
      <c r="H281" s="364">
        <f t="shared" si="93"/>
        <v>0</v>
      </c>
      <c r="I281" s="93">
        <f>SUM('1:2'!I281)</f>
        <v>0</v>
      </c>
      <c r="J281" s="31"/>
      <c r="K281" s="35">
        <f t="array" ref="K281">IF(ISERROR(G281/L281),"",G281/L281)</f>
        <v>0</v>
      </c>
      <c r="L281" s="87">
        <v>5</v>
      </c>
      <c r="M281" s="36">
        <f t="shared" si="94"/>
        <v>0</v>
      </c>
      <c r="N281" s="31">
        <f t="shared" si="95"/>
        <v>0</v>
      </c>
      <c r="O281" s="93">
        <f>SUM('1:2'!O281)</f>
        <v>0</v>
      </c>
      <c r="P281" s="93">
        <f>SUM('1:2'!P281)</f>
        <v>0</v>
      </c>
      <c r="Q281" s="93">
        <f>SUM('1:2'!Q281)</f>
        <v>0</v>
      </c>
      <c r="R281" s="93">
        <f>SUM('1:2'!R281)</f>
        <v>0</v>
      </c>
      <c r="S281" s="93">
        <f>SUM('1:2'!S281)</f>
        <v>0</v>
      </c>
      <c r="T281" s="93">
        <f>SUM('1:2'!T281)</f>
        <v>0</v>
      </c>
      <c r="U281" s="93">
        <f>SUM('1:2'!U281)</f>
        <v>0</v>
      </c>
      <c r="V281" s="206"/>
      <c r="W281" s="33"/>
      <c r="X281" s="93">
        <f>SUM('1:2'!X281)</f>
        <v>0</v>
      </c>
      <c r="Y281" s="93">
        <f>SUM('1:2'!Y281)</f>
        <v>0</v>
      </c>
      <c r="Z281" s="93">
        <f>SUM('1:2'!Z281)</f>
        <v>0</v>
      </c>
      <c r="AA281" s="93">
        <f>SUM('1:2'!AA281)</f>
        <v>0</v>
      </c>
      <c r="AB281" s="73"/>
      <c r="AC281" s="54"/>
      <c r="AD281" s="370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>
      <c r="A282" s="299">
        <v>30600009</v>
      </c>
      <c r="B282" s="61" t="s">
        <v>343</v>
      </c>
      <c r="C282" s="16" t="s">
        <v>345</v>
      </c>
      <c r="D282" s="17">
        <v>5</v>
      </c>
      <c r="E282" s="17"/>
      <c r="F282" s="6"/>
      <c r="G282" s="93">
        <f>SUM('1:2'!G282)</f>
        <v>0</v>
      </c>
      <c r="H282" s="364">
        <f t="shared" si="93"/>
        <v>0</v>
      </c>
      <c r="I282" s="93">
        <f>SUM('1:2'!I282)</f>
        <v>0</v>
      </c>
      <c r="J282" s="31"/>
      <c r="K282" s="35">
        <f t="array" ref="K282">IF(ISERROR(G282/L282),"",G282/L282)</f>
        <v>0</v>
      </c>
      <c r="L282" s="87">
        <v>5</v>
      </c>
      <c r="M282" s="36">
        <f t="shared" si="94"/>
        <v>0</v>
      </c>
      <c r="N282" s="31">
        <f t="shared" si="95"/>
        <v>0</v>
      </c>
      <c r="O282" s="93">
        <f>SUM('1:2'!O282)</f>
        <v>0</v>
      </c>
      <c r="P282" s="93">
        <f>SUM('1:2'!P282)</f>
        <v>0</v>
      </c>
      <c r="Q282" s="93">
        <f>SUM('1:2'!Q282)</f>
        <v>0</v>
      </c>
      <c r="R282" s="93">
        <f>SUM('1:2'!R282)</f>
        <v>0</v>
      </c>
      <c r="S282" s="93">
        <f>SUM('1:2'!S282)</f>
        <v>0</v>
      </c>
      <c r="T282" s="93">
        <f>SUM('1:2'!T282)</f>
        <v>0</v>
      </c>
      <c r="U282" s="93">
        <f>SUM('1:2'!U282)</f>
        <v>0</v>
      </c>
      <c r="V282" s="206"/>
      <c r="W282" s="33"/>
      <c r="X282" s="93">
        <f>SUM('1:2'!X282)</f>
        <v>0</v>
      </c>
      <c r="Y282" s="93">
        <f>SUM('1:2'!Y282)</f>
        <v>0</v>
      </c>
      <c r="Z282" s="93">
        <f>SUM('1:2'!Z282)</f>
        <v>0</v>
      </c>
      <c r="AA282" s="93">
        <f>SUM('1:2'!AA282)</f>
        <v>0</v>
      </c>
      <c r="AB282" s="73"/>
      <c r="AC282" s="54"/>
      <c r="AD282" s="370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>
      <c r="A283" s="299">
        <v>30600010</v>
      </c>
      <c r="B283" s="61" t="s">
        <v>343</v>
      </c>
      <c r="C283" s="16" t="s">
        <v>347</v>
      </c>
      <c r="D283" s="17">
        <v>5</v>
      </c>
      <c r="E283" s="17"/>
      <c r="F283" s="6"/>
      <c r="G283" s="93">
        <f>SUM('1:2'!G283)</f>
        <v>0</v>
      </c>
      <c r="H283" s="364">
        <f t="shared" si="93"/>
        <v>0</v>
      </c>
      <c r="I283" s="93">
        <f>SUM('1:2'!I283)</f>
        <v>0</v>
      </c>
      <c r="J283" s="31"/>
      <c r="K283" s="35">
        <f t="array" ref="K283">IF(ISERROR(G283/L283),"",G283/L283)</f>
        <v>0</v>
      </c>
      <c r="L283" s="87">
        <v>5</v>
      </c>
      <c r="M283" s="36">
        <f t="shared" si="94"/>
        <v>0</v>
      </c>
      <c r="N283" s="31">
        <f t="shared" si="95"/>
        <v>0</v>
      </c>
      <c r="O283" s="93">
        <f>SUM('1:2'!O283)</f>
        <v>0</v>
      </c>
      <c r="P283" s="93">
        <f>SUM('1:2'!P283)</f>
        <v>0</v>
      </c>
      <c r="Q283" s="93">
        <f>SUM('1:2'!Q283)</f>
        <v>0</v>
      </c>
      <c r="R283" s="93">
        <f>SUM('1:2'!R283)</f>
        <v>0</v>
      </c>
      <c r="S283" s="93">
        <f>SUM('1:2'!S283)</f>
        <v>0</v>
      </c>
      <c r="T283" s="93">
        <f>SUM('1:2'!T283)</f>
        <v>0</v>
      </c>
      <c r="U283" s="93">
        <f>SUM('1:2'!U283)</f>
        <v>0</v>
      </c>
      <c r="V283" s="206"/>
      <c r="W283" s="33"/>
      <c r="X283" s="93">
        <f>SUM('1:2'!X283)</f>
        <v>0</v>
      </c>
      <c r="Y283" s="93">
        <f>SUM('1:2'!Y283)</f>
        <v>0</v>
      </c>
      <c r="Z283" s="93">
        <f>SUM('1:2'!Z283)</f>
        <v>0</v>
      </c>
      <c r="AA283" s="93">
        <f>SUM('1:2'!AA283)</f>
        <v>0</v>
      </c>
      <c r="AB283" s="73"/>
      <c r="AC283" s="54"/>
      <c r="AD283" s="370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>
      <c r="A284" s="299">
        <v>30400001</v>
      </c>
      <c r="B284" s="65" t="s">
        <v>514</v>
      </c>
      <c r="C284" s="16" t="s">
        <v>61</v>
      </c>
      <c r="D284" s="17">
        <v>5.0599999999999996</v>
      </c>
      <c r="E284" s="17"/>
      <c r="F284" s="6"/>
      <c r="G284" s="93">
        <f>SUM('1:2'!G284)</f>
        <v>0</v>
      </c>
      <c r="H284" s="364">
        <f t="shared" si="93"/>
        <v>0</v>
      </c>
      <c r="I284" s="93">
        <f>SUM('1:2'!I284)</f>
        <v>0</v>
      </c>
      <c r="J284" s="31" t="str">
        <f t="array" ref="J284">IF(ISERROR(G284/I284),"",G284/I284)</f>
        <v/>
      </c>
      <c r="K284" s="35">
        <f t="array" ref="K284">IF(ISERROR(G284/L284),"",G284/L284)</f>
        <v>0</v>
      </c>
      <c r="L284" s="87">
        <v>15.5</v>
      </c>
      <c r="M284" s="36">
        <f t="shared" si="94"/>
        <v>0</v>
      </c>
      <c r="N284" s="31">
        <f t="shared" si="95"/>
        <v>0</v>
      </c>
      <c r="O284" s="93">
        <f>SUM('1:2'!O284)</f>
        <v>0</v>
      </c>
      <c r="P284" s="93">
        <f>SUM('1:2'!P284)</f>
        <v>0</v>
      </c>
      <c r="Q284" s="93">
        <f>SUM('1:2'!Q284)</f>
        <v>0</v>
      </c>
      <c r="R284" s="93">
        <f>SUM('1:2'!R284)</f>
        <v>0</v>
      </c>
      <c r="S284" s="93">
        <f>SUM('1:2'!S284)</f>
        <v>0</v>
      </c>
      <c r="T284" s="93">
        <f>SUM('1:2'!T284)</f>
        <v>0</v>
      </c>
      <c r="U284" s="93">
        <f>SUM('1:2'!U284)</f>
        <v>0</v>
      </c>
      <c r="V284" s="206">
        <f t="shared" ref="V284:V285" si="98">SUM(X284:AA284)</f>
        <v>0</v>
      </c>
      <c r="W284" s="33" t="str">
        <f t="shared" ref="W284:W285" si="99">IF(ISERROR(V284/G284),"",V284/G284)</f>
        <v/>
      </c>
      <c r="X284" s="93">
        <f>SUM('1:2'!X284)</f>
        <v>0</v>
      </c>
      <c r="Y284" s="93">
        <f>SUM('1:2'!Y284)</f>
        <v>0</v>
      </c>
      <c r="Z284" s="93">
        <f>SUM('1:2'!Z284)</f>
        <v>0</v>
      </c>
      <c r="AA284" s="93">
        <f>SUM('1:2'!AA284)</f>
        <v>0</v>
      </c>
      <c r="AB284" s="73"/>
      <c r="AC284" s="54"/>
      <c r="AD284" s="370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>
      <c r="A285" s="299">
        <v>30400002</v>
      </c>
      <c r="B285" s="65" t="s">
        <v>514</v>
      </c>
      <c r="C285" s="16" t="s">
        <v>72</v>
      </c>
      <c r="D285" s="17">
        <v>5.0599999999999996</v>
      </c>
      <c r="E285" s="17"/>
      <c r="F285" s="6"/>
      <c r="G285" s="93">
        <f>SUM('1:2'!G285)</f>
        <v>0</v>
      </c>
      <c r="H285" s="364">
        <f t="shared" si="93"/>
        <v>0</v>
      </c>
      <c r="I285" s="93">
        <f>SUM('1:2'!I285)</f>
        <v>0</v>
      </c>
      <c r="J285" s="31" t="str">
        <f t="array" ref="J285">IF(ISERROR(G285/I285),"",G285/I285)</f>
        <v/>
      </c>
      <c r="K285" s="35">
        <f t="array" ref="K285">IF(ISERROR(G285/L285),"",G285/L285)</f>
        <v>0</v>
      </c>
      <c r="L285" s="87">
        <v>15.5</v>
      </c>
      <c r="M285" s="36">
        <f t="shared" si="94"/>
        <v>0</v>
      </c>
      <c r="N285" s="31">
        <f t="shared" si="95"/>
        <v>0</v>
      </c>
      <c r="O285" s="93">
        <f>SUM('1:2'!O285)</f>
        <v>0</v>
      </c>
      <c r="P285" s="93">
        <f>SUM('1:2'!P285)</f>
        <v>0</v>
      </c>
      <c r="Q285" s="93">
        <f>SUM('1:2'!Q285)</f>
        <v>0</v>
      </c>
      <c r="R285" s="93">
        <f>SUM('1:2'!R285)</f>
        <v>0</v>
      </c>
      <c r="S285" s="93">
        <f>SUM('1:2'!S285)</f>
        <v>0</v>
      </c>
      <c r="T285" s="93">
        <f>SUM('1:2'!T285)</f>
        <v>0</v>
      </c>
      <c r="U285" s="93">
        <f>SUM('1:2'!U285)</f>
        <v>0</v>
      </c>
      <c r="V285" s="206">
        <f t="shared" si="98"/>
        <v>0</v>
      </c>
      <c r="W285" s="33" t="str">
        <f t="shared" si="99"/>
        <v/>
      </c>
      <c r="X285" s="93">
        <f>SUM('1:2'!X285)</f>
        <v>0</v>
      </c>
      <c r="Y285" s="93">
        <f>SUM('1:2'!Y285)</f>
        <v>0</v>
      </c>
      <c r="Z285" s="93">
        <f>SUM('1:2'!Z285)</f>
        <v>0</v>
      </c>
      <c r="AA285" s="93">
        <f>SUM('1:2'!AA285)</f>
        <v>0</v>
      </c>
      <c r="AB285" s="73"/>
      <c r="AC285" s="54"/>
      <c r="AD285" s="370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>
      <c r="A286" s="299">
        <v>30400004</v>
      </c>
      <c r="B286" s="215" t="s">
        <v>419</v>
      </c>
      <c r="C286" s="187" t="s">
        <v>73</v>
      </c>
      <c r="D286" s="17"/>
      <c r="E286" s="17"/>
      <c r="F286" s="6"/>
      <c r="G286" s="93">
        <f>SUM('1:2'!G286)</f>
        <v>132</v>
      </c>
      <c r="H286" s="364">
        <f t="shared" si="93"/>
        <v>0</v>
      </c>
      <c r="I286" s="93">
        <f>SUM('1:2'!I286)</f>
        <v>48</v>
      </c>
      <c r="J286" s="31"/>
      <c r="K286" s="35"/>
      <c r="L286" s="87">
        <v>24</v>
      </c>
      <c r="M286" s="36"/>
      <c r="N286" s="31"/>
      <c r="O286" s="93"/>
      <c r="P286" s="93"/>
      <c r="Q286" s="93"/>
      <c r="R286" s="93"/>
      <c r="S286" s="93"/>
      <c r="T286" s="93"/>
      <c r="U286" s="93"/>
      <c r="V286" s="206"/>
      <c r="W286" s="33"/>
      <c r="X286" s="93"/>
      <c r="Y286" s="93"/>
      <c r="Z286" s="93"/>
      <c r="AA286" s="93"/>
      <c r="AB286" s="73"/>
      <c r="AC286" s="54"/>
      <c r="AD286" s="370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>
      <c r="A287" s="299">
        <v>30400003</v>
      </c>
      <c r="B287" s="215" t="s">
        <v>419</v>
      </c>
      <c r="C287" s="187" t="s">
        <v>60</v>
      </c>
      <c r="D287" s="17"/>
      <c r="E287" s="17"/>
      <c r="F287" s="6"/>
      <c r="G287" s="93">
        <f>SUM('1:2'!G287)</f>
        <v>0</v>
      </c>
      <c r="H287" s="364">
        <f t="shared" si="93"/>
        <v>0</v>
      </c>
      <c r="I287" s="93">
        <f>SUM('1:2'!I287)</f>
        <v>0</v>
      </c>
      <c r="J287" s="31"/>
      <c r="K287" s="35"/>
      <c r="L287" s="87">
        <v>24</v>
      </c>
      <c r="M287" s="36"/>
      <c r="N287" s="31"/>
      <c r="O287" s="93"/>
      <c r="P287" s="93"/>
      <c r="Q287" s="93"/>
      <c r="R287" s="93"/>
      <c r="S287" s="93"/>
      <c r="T287" s="93"/>
      <c r="U287" s="93"/>
      <c r="V287" s="206"/>
      <c r="W287" s="33"/>
      <c r="X287" s="93"/>
      <c r="Y287" s="93"/>
      <c r="Z287" s="93"/>
      <c r="AA287" s="93"/>
      <c r="AB287" s="73"/>
      <c r="AC287" s="54"/>
      <c r="AD287" s="370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>
      <c r="A288" s="299">
        <v>30400005</v>
      </c>
      <c r="B288" s="215" t="s">
        <v>419</v>
      </c>
      <c r="C288" s="187" t="s">
        <v>422</v>
      </c>
      <c r="D288" s="17"/>
      <c r="E288" s="17"/>
      <c r="F288" s="6"/>
      <c r="G288" s="93">
        <f>SUM('1:2'!G288)</f>
        <v>260</v>
      </c>
      <c r="H288" s="364">
        <f t="shared" si="93"/>
        <v>0</v>
      </c>
      <c r="I288" s="93">
        <f>SUM('1:2'!I288)</f>
        <v>48</v>
      </c>
      <c r="J288" s="31"/>
      <c r="K288" s="35"/>
      <c r="L288" s="87">
        <v>24</v>
      </c>
      <c r="M288" s="36"/>
      <c r="N288" s="31"/>
      <c r="O288" s="93"/>
      <c r="P288" s="93"/>
      <c r="Q288" s="93"/>
      <c r="R288" s="93"/>
      <c r="S288" s="93"/>
      <c r="T288" s="93"/>
      <c r="U288" s="93"/>
      <c r="V288" s="206"/>
      <c r="W288" s="33"/>
      <c r="X288" s="93"/>
      <c r="Y288" s="93"/>
      <c r="Z288" s="93"/>
      <c r="AA288" s="93"/>
      <c r="AB288" s="73"/>
      <c r="AC288" s="54"/>
      <c r="AD288" s="370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>
      <c r="A289" s="299">
        <v>30400007</v>
      </c>
      <c r="B289" s="65" t="s">
        <v>91</v>
      </c>
      <c r="C289" s="16" t="s">
        <v>74</v>
      </c>
      <c r="D289" s="17">
        <v>5.07</v>
      </c>
      <c r="E289" s="17"/>
      <c r="F289" s="6"/>
      <c r="G289" s="93">
        <f>SUM('1:2'!G289)</f>
        <v>0</v>
      </c>
      <c r="H289" s="364">
        <f t="shared" si="93"/>
        <v>0</v>
      </c>
      <c r="I289" s="93">
        <f>SUM('1:2'!I289)</f>
        <v>0</v>
      </c>
      <c r="J289" s="31" t="str">
        <f t="array" ref="J289">IF(ISERROR(G289/I289),"",G289/I289)</f>
        <v/>
      </c>
      <c r="K289" s="35">
        <f t="array" ref="K289">IF(ISERROR(G289/L289),"",G289/L289)</f>
        <v>0</v>
      </c>
      <c r="L289" s="87">
        <v>9</v>
      </c>
      <c r="M289" s="36">
        <f t="shared" ref="M289:M291" si="100">IF(ISERROR(I289-K289),"",I289-K289)</f>
        <v>0</v>
      </c>
      <c r="N289" s="31">
        <f t="shared" ref="N289:N291" si="101">SUM(O289:U289)</f>
        <v>0</v>
      </c>
      <c r="O289" s="93">
        <f>SUM('1:2'!O289)</f>
        <v>0</v>
      </c>
      <c r="P289" s="93">
        <f>SUM('1:2'!P289)</f>
        <v>0</v>
      </c>
      <c r="Q289" s="93">
        <f>SUM('1:2'!Q289)</f>
        <v>0</v>
      </c>
      <c r="R289" s="93">
        <f>SUM('1:2'!R289)</f>
        <v>0</v>
      </c>
      <c r="S289" s="93">
        <f>SUM('1:2'!S289)</f>
        <v>0</v>
      </c>
      <c r="T289" s="93">
        <f>SUM('1:2'!T289)</f>
        <v>0</v>
      </c>
      <c r="U289" s="93">
        <f>SUM('1:2'!U289)</f>
        <v>0</v>
      </c>
      <c r="V289" s="206">
        <f t="shared" ref="V289:V291" si="102">SUM(X289:AA289)</f>
        <v>0</v>
      </c>
      <c r="W289" s="33" t="str">
        <f t="shared" ref="W289:W313" si="103">IF(ISERROR(V289/G289),"",V289/G289)</f>
        <v/>
      </c>
      <c r="X289" s="93">
        <f>SUM('1:2'!X289)</f>
        <v>0</v>
      </c>
      <c r="Y289" s="93">
        <f>SUM('1:2'!Y289)</f>
        <v>0</v>
      </c>
      <c r="Z289" s="93">
        <f>SUM('1:2'!Z289)</f>
        <v>0</v>
      </c>
      <c r="AA289" s="93">
        <f>SUM('1:2'!AA289)</f>
        <v>0</v>
      </c>
      <c r="AB289" s="73"/>
      <c r="AC289" s="54"/>
      <c r="AD289" s="370"/>
      <c r="AE289" s="54"/>
      <c r="AF289" s="54"/>
      <c r="AG289" s="54"/>
      <c r="AH289" s="54"/>
      <c r="AI289" s="57"/>
      <c r="AJ289" s="57"/>
      <c r="AK289" s="57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</row>
    <row r="290" spans="1:53">
      <c r="A290" s="299">
        <v>30400006</v>
      </c>
      <c r="B290" s="65" t="s">
        <v>91</v>
      </c>
      <c r="C290" s="16" t="s">
        <v>53</v>
      </c>
      <c r="D290" s="17">
        <v>5.07</v>
      </c>
      <c r="E290" s="17"/>
      <c r="F290" s="6"/>
      <c r="G290" s="93">
        <f>SUM('1:2'!G290)</f>
        <v>0</v>
      </c>
      <c r="H290" s="364">
        <f t="shared" si="93"/>
        <v>0</v>
      </c>
      <c r="I290" s="93">
        <f>SUM('1:2'!I290)</f>
        <v>0</v>
      </c>
      <c r="J290" s="31" t="str">
        <f t="array" ref="J290">IF(ISERROR(G290/I290),"",G290/I290)</f>
        <v/>
      </c>
      <c r="K290" s="35">
        <f t="array" ref="K290">IF(ISERROR(G290/L290),"",G290/L290)</f>
        <v>0</v>
      </c>
      <c r="L290" s="87">
        <v>9</v>
      </c>
      <c r="M290" s="36">
        <f t="shared" si="100"/>
        <v>0</v>
      </c>
      <c r="N290" s="31">
        <f t="shared" si="101"/>
        <v>0</v>
      </c>
      <c r="O290" s="93">
        <f>SUM('1:2'!O290)</f>
        <v>0</v>
      </c>
      <c r="P290" s="93">
        <f>SUM('1:2'!P290)</f>
        <v>0</v>
      </c>
      <c r="Q290" s="93">
        <f>SUM('1:2'!Q290)</f>
        <v>0</v>
      </c>
      <c r="R290" s="93">
        <f>SUM('1:2'!R290)</f>
        <v>0</v>
      </c>
      <c r="S290" s="93">
        <f>SUM('1:2'!S290)</f>
        <v>0</v>
      </c>
      <c r="T290" s="93">
        <f>SUM('1:2'!T290)</f>
        <v>0</v>
      </c>
      <c r="U290" s="93">
        <f>SUM('1:2'!U290)</f>
        <v>0</v>
      </c>
      <c r="V290" s="206">
        <f t="shared" si="102"/>
        <v>0</v>
      </c>
      <c r="W290" s="33" t="str">
        <f t="shared" si="103"/>
        <v/>
      </c>
      <c r="X290" s="93">
        <f>SUM('1:2'!X290)</f>
        <v>0</v>
      </c>
      <c r="Y290" s="93">
        <f>SUM('1:2'!Y290)</f>
        <v>0</v>
      </c>
      <c r="Z290" s="93">
        <f>SUM('1:2'!Z290)</f>
        <v>0</v>
      </c>
      <c r="AA290" s="93">
        <f>SUM('1:2'!AA290)</f>
        <v>0</v>
      </c>
      <c r="AB290" s="73"/>
      <c r="AC290" s="54"/>
      <c r="AD290" s="370"/>
      <c r="AE290" s="54"/>
      <c r="AF290" s="54"/>
      <c r="AG290" s="54"/>
      <c r="AH290" s="54"/>
      <c r="AI290" s="57"/>
      <c r="AJ290" s="57"/>
      <c r="AK290" s="57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</row>
    <row r="291" spans="1:53">
      <c r="A291" s="299">
        <v>30400006</v>
      </c>
      <c r="B291" s="65" t="s">
        <v>91</v>
      </c>
      <c r="C291" s="16" t="s">
        <v>60</v>
      </c>
      <c r="D291" s="17">
        <v>5.0599999999999996</v>
      </c>
      <c r="E291" s="17"/>
      <c r="F291" s="53"/>
      <c r="G291" s="93">
        <f>SUM('1:2'!G291)</f>
        <v>0</v>
      </c>
      <c r="H291" s="364">
        <f t="shared" si="93"/>
        <v>0</v>
      </c>
      <c r="I291" s="93">
        <f>SUM('1:2'!I291)</f>
        <v>0</v>
      </c>
      <c r="J291" s="31" t="str">
        <f t="array" ref="J291">IF(ISERROR(G291/I291),"",G291/I291)</f>
        <v/>
      </c>
      <c r="K291" s="364">
        <f t="array" ref="K291">IF(ISERROR(G291/L291),"",G291/L291)</f>
        <v>0</v>
      </c>
      <c r="L291" s="87">
        <v>9</v>
      </c>
      <c r="M291" s="36">
        <f t="shared" si="100"/>
        <v>0</v>
      </c>
      <c r="N291" s="31">
        <f t="shared" si="101"/>
        <v>0</v>
      </c>
      <c r="O291" s="93">
        <f>SUM('1:2'!O291)</f>
        <v>0</v>
      </c>
      <c r="P291" s="93">
        <f>SUM('1:2'!P291)</f>
        <v>0</v>
      </c>
      <c r="Q291" s="93">
        <f>SUM('1:2'!Q291)</f>
        <v>0</v>
      </c>
      <c r="R291" s="93">
        <f>SUM('1:2'!R291)</f>
        <v>0</v>
      </c>
      <c r="S291" s="93">
        <f>SUM('1:2'!S291)</f>
        <v>0</v>
      </c>
      <c r="T291" s="93">
        <f>SUM('1:2'!T291)</f>
        <v>0</v>
      </c>
      <c r="U291" s="93">
        <f>SUM('1:2'!U291)</f>
        <v>0</v>
      </c>
      <c r="V291" s="206">
        <f t="shared" si="102"/>
        <v>0</v>
      </c>
      <c r="W291" s="33" t="str">
        <f t="shared" si="103"/>
        <v/>
      </c>
      <c r="X291" s="93">
        <f>SUM('1:2'!X291)</f>
        <v>0</v>
      </c>
      <c r="Y291" s="93">
        <f>SUM('1:2'!Y291)</f>
        <v>0</v>
      </c>
      <c r="Z291" s="93">
        <f>SUM('1:2'!Z291)</f>
        <v>0</v>
      </c>
      <c r="AA291" s="93">
        <f>SUM('1:2'!AA291)</f>
        <v>0</v>
      </c>
      <c r="AB291" s="73"/>
      <c r="AC291" s="54"/>
      <c r="AD291" s="370"/>
      <c r="AE291" s="54"/>
      <c r="AF291" s="54"/>
      <c r="AG291" s="54"/>
      <c r="AH291" s="54"/>
      <c r="AI291" s="57"/>
      <c r="AJ291" s="57"/>
      <c r="AK291" s="57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</row>
    <row r="292" spans="1:53">
      <c r="A292" s="691" t="s">
        <v>92</v>
      </c>
      <c r="B292" s="692"/>
      <c r="C292" s="359" t="s">
        <v>71</v>
      </c>
      <c r="D292" s="20"/>
      <c r="E292" s="20"/>
      <c r="F292" s="32"/>
      <c r="G292" s="30">
        <f>SUM(G258:G291)</f>
        <v>634</v>
      </c>
      <c r="H292" s="30">
        <f>SUM(H258:H291)</f>
        <v>1217.26</v>
      </c>
      <c r="I292" s="30">
        <f>SUM(I258:I291)</f>
        <v>135</v>
      </c>
      <c r="J292" s="31">
        <f t="array" ref="J292">IF(ISERROR(G292/I292),"",G292/I292)</f>
        <v>4.6962962962962962</v>
      </c>
      <c r="K292" s="30">
        <f>SUM(K258:K291)</f>
        <v>26.021505376344084</v>
      </c>
      <c r="L292" s="98"/>
      <c r="M292" s="89">
        <f t="shared" ref="M292:V292" si="104">SUM(M258:M291)</f>
        <v>12.978494623655916</v>
      </c>
      <c r="N292" s="30">
        <f t="shared" si="104"/>
        <v>0</v>
      </c>
      <c r="O292" s="91">
        <f t="shared" si="104"/>
        <v>0</v>
      </c>
      <c r="P292" s="91">
        <f t="shared" si="104"/>
        <v>0</v>
      </c>
      <c r="Q292" s="91">
        <f t="shared" si="104"/>
        <v>0</v>
      </c>
      <c r="R292" s="91">
        <f t="shared" si="104"/>
        <v>0</v>
      </c>
      <c r="S292" s="92">
        <f t="shared" si="104"/>
        <v>0</v>
      </c>
      <c r="T292" s="91">
        <f t="shared" si="104"/>
        <v>0</v>
      </c>
      <c r="U292" s="91">
        <f t="shared" si="104"/>
        <v>0</v>
      </c>
      <c r="V292" s="206">
        <f t="shared" si="104"/>
        <v>0</v>
      </c>
      <c r="W292" s="33">
        <f t="shared" si="103"/>
        <v>0</v>
      </c>
      <c r="X292" s="92">
        <f>SUM(X258:X291)</f>
        <v>0</v>
      </c>
      <c r="Y292" s="92">
        <f>SUM(Y258:Y291)</f>
        <v>0</v>
      </c>
      <c r="Z292" s="92">
        <f>SUM(Z258:Z291)</f>
        <v>0</v>
      </c>
      <c r="AA292" s="92">
        <f>SUM(AA258:AA291)</f>
        <v>0</v>
      </c>
      <c r="AB292" s="75"/>
      <c r="AC292" s="70"/>
      <c r="AD292" s="370"/>
      <c r="AE292" s="74"/>
      <c r="AF292" s="74"/>
      <c r="AG292" s="74"/>
      <c r="AH292" s="74"/>
      <c r="AI292" s="57"/>
      <c r="AJ292" s="57"/>
      <c r="AK292" s="57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</row>
    <row r="293" spans="1:53">
      <c r="A293" s="299">
        <v>30100038</v>
      </c>
      <c r="B293" s="62" t="s">
        <v>93</v>
      </c>
      <c r="C293" s="16" t="s">
        <v>94</v>
      </c>
      <c r="D293" s="17">
        <v>5.03</v>
      </c>
      <c r="E293" s="17"/>
      <c r="F293" s="6"/>
      <c r="G293" s="93">
        <f>SUM('1:2'!G293)</f>
        <v>0</v>
      </c>
      <c r="H293" s="364">
        <f>D293*G293</f>
        <v>0</v>
      </c>
      <c r="I293" s="93">
        <f>SUM('1:2'!I293)</f>
        <v>0</v>
      </c>
      <c r="J293" s="31" t="str">
        <f t="array" ref="J293">IF(ISERROR(G293/I293),"",G293/I293)</f>
        <v/>
      </c>
      <c r="K293" s="35">
        <f t="array" ref="K293">IF(ISERROR(G293/L293),"",G293/L293)</f>
        <v>0</v>
      </c>
      <c r="L293" s="87">
        <v>25</v>
      </c>
      <c r="M293" s="36">
        <f t="shared" ref="M293:M307" si="105">IF(ISERROR(I293-K293),"",I293-K293)</f>
        <v>0</v>
      </c>
      <c r="N293" s="31">
        <f t="shared" ref="N293:N307" si="106">SUM(O293:U293)</f>
        <v>0</v>
      </c>
      <c r="O293" s="93">
        <f>SUM('1:2'!O293)</f>
        <v>0</v>
      </c>
      <c r="P293" s="93">
        <f>SUM('1:2'!P293)</f>
        <v>0</v>
      </c>
      <c r="Q293" s="93">
        <f>SUM('1:2'!Q293)</f>
        <v>0</v>
      </c>
      <c r="R293" s="93">
        <f>SUM('1:2'!R293)</f>
        <v>0</v>
      </c>
      <c r="S293" s="93">
        <f>SUM('1:2'!S293)</f>
        <v>0</v>
      </c>
      <c r="T293" s="93">
        <f>SUM('1:2'!T293)</f>
        <v>0</v>
      </c>
      <c r="U293" s="93">
        <f>SUM('1:2'!U293)</f>
        <v>0</v>
      </c>
      <c r="V293" s="206">
        <f t="shared" ref="V293:V307" si="107">SUM(X293:AA293)</f>
        <v>0</v>
      </c>
      <c r="W293" s="33" t="str">
        <f t="shared" si="103"/>
        <v/>
      </c>
      <c r="X293" s="93">
        <f>SUM('1:2'!X293)</f>
        <v>0</v>
      </c>
      <c r="Y293" s="93">
        <f>SUM('1:2'!Y293)</f>
        <v>0</v>
      </c>
      <c r="Z293" s="93">
        <f>SUM('1:2'!Z293)</f>
        <v>0</v>
      </c>
      <c r="AA293" s="93">
        <f>SUM('1:2'!AA293)</f>
        <v>0</v>
      </c>
      <c r="AB293" s="73"/>
      <c r="AC293" s="54"/>
      <c r="AD293" s="370"/>
      <c r="AE293" s="54"/>
      <c r="AF293" s="54"/>
      <c r="AG293" s="54"/>
      <c r="AH293" s="54"/>
      <c r="AI293" s="57"/>
      <c r="AJ293" s="57"/>
      <c r="AK293" s="57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</row>
    <row r="294" spans="1:53">
      <c r="A294" s="299">
        <v>30100037</v>
      </c>
      <c r="B294" s="62" t="s">
        <v>93</v>
      </c>
      <c r="C294" s="16" t="s">
        <v>74</v>
      </c>
      <c r="D294" s="17">
        <v>5.03</v>
      </c>
      <c r="E294" s="17"/>
      <c r="F294" s="6"/>
      <c r="G294" s="93">
        <f>SUM('1:2'!G294)</f>
        <v>0</v>
      </c>
      <c r="H294" s="364">
        <f t="shared" ref="H294:H307" si="108">D294*G294</f>
        <v>0</v>
      </c>
      <c r="I294" s="93">
        <f>SUM('1:2'!I294)</f>
        <v>0</v>
      </c>
      <c r="J294" s="31" t="str">
        <f t="array" ref="J294">IF(ISERROR(G294/I294),"",G294/I294)</f>
        <v/>
      </c>
      <c r="K294" s="35">
        <f t="array" ref="K294">IF(ISERROR(G294/L294),"",G294/L294)</f>
        <v>0</v>
      </c>
      <c r="L294" s="87">
        <v>25</v>
      </c>
      <c r="M294" s="36">
        <f t="shared" si="105"/>
        <v>0</v>
      </c>
      <c r="N294" s="31">
        <f t="shared" si="106"/>
        <v>0</v>
      </c>
      <c r="O294" s="93">
        <f>SUM('1:2'!O294)</f>
        <v>0</v>
      </c>
      <c r="P294" s="93">
        <f>SUM('1:2'!P294)</f>
        <v>0</v>
      </c>
      <c r="Q294" s="93">
        <f>SUM('1:2'!Q294)</f>
        <v>0</v>
      </c>
      <c r="R294" s="93">
        <f>SUM('1:2'!R294)</f>
        <v>0</v>
      </c>
      <c r="S294" s="93">
        <f>SUM('1:2'!S294)</f>
        <v>0</v>
      </c>
      <c r="T294" s="93">
        <f>SUM('1:2'!T294)</f>
        <v>0</v>
      </c>
      <c r="U294" s="93">
        <f>SUM('1:2'!U294)</f>
        <v>0</v>
      </c>
      <c r="V294" s="206">
        <f t="shared" si="107"/>
        <v>0</v>
      </c>
      <c r="W294" s="33" t="str">
        <f t="shared" si="103"/>
        <v/>
      </c>
      <c r="X294" s="93">
        <f>SUM('1:2'!X294)</f>
        <v>0</v>
      </c>
      <c r="Y294" s="93">
        <f>SUM('1:2'!Y294)</f>
        <v>0</v>
      </c>
      <c r="Z294" s="93">
        <f>SUM('1:2'!Z294)</f>
        <v>0</v>
      </c>
      <c r="AA294" s="93">
        <f>SUM('1:2'!AA294)</f>
        <v>0</v>
      </c>
      <c r="AB294" s="73"/>
      <c r="AC294" s="54"/>
      <c r="AD294" s="370"/>
      <c r="AE294" s="54"/>
      <c r="AF294" s="54"/>
      <c r="AG294" s="54"/>
      <c r="AH294" s="54"/>
      <c r="AI294" s="57"/>
      <c r="AJ294" s="57"/>
      <c r="AK294" s="57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</row>
    <row r="295" spans="1:53">
      <c r="A295" s="299">
        <v>30100051</v>
      </c>
      <c r="B295" s="62" t="s">
        <v>58</v>
      </c>
      <c r="C295" s="16" t="s">
        <v>65</v>
      </c>
      <c r="D295" s="17">
        <v>5.04</v>
      </c>
      <c r="E295" s="17"/>
      <c r="F295" s="6"/>
      <c r="G295" s="93">
        <f>SUM('1:2'!G295)</f>
        <v>88</v>
      </c>
      <c r="H295" s="364">
        <f t="shared" si="108"/>
        <v>443.52</v>
      </c>
      <c r="I295" s="93">
        <f>SUM('1:2'!I295)</f>
        <v>12</v>
      </c>
      <c r="J295" s="31">
        <f t="array" ref="J295">IF(ISERROR(G295/I295),"",G295/I295)</f>
        <v>7.333333333333333</v>
      </c>
      <c r="K295" s="35">
        <f t="array" ref="K295">IF(ISERROR(G295/L295),"",G295/L295)</f>
        <v>4.4000000000000004</v>
      </c>
      <c r="L295" s="87">
        <v>20</v>
      </c>
      <c r="M295" s="36">
        <f t="shared" si="105"/>
        <v>7.6</v>
      </c>
      <c r="N295" s="31">
        <f t="shared" si="106"/>
        <v>0</v>
      </c>
      <c r="O295" s="93">
        <f>SUM('1:2'!O295)</f>
        <v>0</v>
      </c>
      <c r="P295" s="93">
        <f>SUM('1:2'!P295)</f>
        <v>0</v>
      </c>
      <c r="Q295" s="93">
        <f>SUM('1:2'!Q295)</f>
        <v>0</v>
      </c>
      <c r="R295" s="93">
        <f>SUM('1:2'!R295)</f>
        <v>0</v>
      </c>
      <c r="S295" s="93">
        <f>SUM('1:2'!S295)</f>
        <v>0</v>
      </c>
      <c r="T295" s="93">
        <f>SUM('1:2'!T295)</f>
        <v>0</v>
      </c>
      <c r="U295" s="93">
        <f>SUM('1:2'!U295)</f>
        <v>0</v>
      </c>
      <c r="V295" s="206">
        <f t="shared" si="107"/>
        <v>0</v>
      </c>
      <c r="W295" s="33">
        <f t="shared" si="103"/>
        <v>0</v>
      </c>
      <c r="X295" s="93">
        <f>SUM('1:2'!X295)</f>
        <v>0</v>
      </c>
      <c r="Y295" s="93">
        <f>SUM('1:2'!Y295)</f>
        <v>0</v>
      </c>
      <c r="Z295" s="93">
        <f>SUM('1:2'!Z295)</f>
        <v>0</v>
      </c>
      <c r="AA295" s="93">
        <f>SUM('1:2'!AA295)</f>
        <v>0</v>
      </c>
      <c r="AB295" s="73"/>
      <c r="AC295" s="54"/>
      <c r="AD295" s="370"/>
      <c r="AE295" s="54"/>
      <c r="AF295" s="54"/>
      <c r="AG295" s="54"/>
      <c r="AH295" s="54"/>
      <c r="AI295" s="57"/>
      <c r="AJ295" s="57"/>
      <c r="AK295" s="57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</row>
    <row r="296" spans="1:53">
      <c r="A296" s="299"/>
      <c r="B296" s="63" t="s">
        <v>95</v>
      </c>
      <c r="C296" s="16" t="s">
        <v>82</v>
      </c>
      <c r="D296" s="17">
        <v>5.03</v>
      </c>
      <c r="E296" s="17"/>
      <c r="F296" s="6"/>
      <c r="G296" s="93">
        <f>SUM('1:2'!G296)</f>
        <v>0</v>
      </c>
      <c r="H296" s="364">
        <f t="shared" si="108"/>
        <v>0</v>
      </c>
      <c r="I296" s="93">
        <f>SUM('1:2'!I296)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87">
        <v>4</v>
      </c>
      <c r="M296" s="36">
        <f t="shared" si="105"/>
        <v>0</v>
      </c>
      <c r="N296" s="31">
        <f t="shared" si="106"/>
        <v>0</v>
      </c>
      <c r="O296" s="93">
        <f>SUM('1:2'!O296)</f>
        <v>0</v>
      </c>
      <c r="P296" s="93">
        <f>SUM('1:2'!P296)</f>
        <v>0</v>
      </c>
      <c r="Q296" s="93">
        <f>SUM('1:2'!Q296)</f>
        <v>0</v>
      </c>
      <c r="R296" s="93">
        <f>SUM('1:2'!R296)</f>
        <v>0</v>
      </c>
      <c r="S296" s="93">
        <f>SUM('1:2'!S296)</f>
        <v>0</v>
      </c>
      <c r="T296" s="93">
        <f>SUM('1:2'!T296)</f>
        <v>0</v>
      </c>
      <c r="U296" s="93">
        <f>SUM('1:2'!U296)</f>
        <v>0</v>
      </c>
      <c r="V296" s="206">
        <f t="shared" si="107"/>
        <v>0</v>
      </c>
      <c r="W296" s="33" t="str">
        <f t="shared" si="103"/>
        <v/>
      </c>
      <c r="X296" s="93">
        <f>SUM('1:2'!X296)</f>
        <v>0</v>
      </c>
      <c r="Y296" s="93">
        <f>SUM('1:2'!Y296)</f>
        <v>0</v>
      </c>
      <c r="Z296" s="93">
        <f>SUM('1:2'!Z296)</f>
        <v>0</v>
      </c>
      <c r="AA296" s="93">
        <f>SUM('1:2'!AA296)</f>
        <v>0</v>
      </c>
      <c r="AB296" s="73"/>
      <c r="AC296" s="54"/>
      <c r="AD296" s="370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>
      <c r="A297" s="299">
        <v>30100054</v>
      </c>
      <c r="B297" s="63" t="s">
        <v>95</v>
      </c>
      <c r="C297" s="365" t="s">
        <v>72</v>
      </c>
      <c r="D297" s="17">
        <v>5.03</v>
      </c>
      <c r="E297" s="17"/>
      <c r="F297" s="6"/>
      <c r="G297" s="93">
        <f>SUM('1:2'!G297)</f>
        <v>0</v>
      </c>
      <c r="H297" s="364">
        <f t="shared" si="108"/>
        <v>0</v>
      </c>
      <c r="I297" s="93">
        <f>SUM('1:2'!I297)</f>
        <v>0</v>
      </c>
      <c r="J297" s="31" t="str">
        <f t="array" ref="J297">IF(ISERROR(G297/I297),"",G297/I297)</f>
        <v/>
      </c>
      <c r="K297" s="35">
        <f t="array" ref="K297">IF(ISERROR(G297/L297),"",G297/L297)</f>
        <v>0</v>
      </c>
      <c r="L297" s="87">
        <v>4</v>
      </c>
      <c r="M297" s="36">
        <f t="shared" si="105"/>
        <v>0</v>
      </c>
      <c r="N297" s="31">
        <f t="shared" si="106"/>
        <v>0</v>
      </c>
      <c r="O297" s="93">
        <f>SUM('1:2'!O297)</f>
        <v>0</v>
      </c>
      <c r="P297" s="93">
        <f>SUM('1:2'!P297)</f>
        <v>0</v>
      </c>
      <c r="Q297" s="93">
        <f>SUM('1:2'!Q297)</f>
        <v>0</v>
      </c>
      <c r="R297" s="93">
        <f>SUM('1:2'!R297)</f>
        <v>0</v>
      </c>
      <c r="S297" s="93">
        <f>SUM('1:2'!S297)</f>
        <v>0</v>
      </c>
      <c r="T297" s="93">
        <f>SUM('1:2'!T297)</f>
        <v>0</v>
      </c>
      <c r="U297" s="93">
        <f>SUM('1:2'!U297)</f>
        <v>0</v>
      </c>
      <c r="V297" s="206">
        <f t="shared" si="107"/>
        <v>0</v>
      </c>
      <c r="W297" s="33" t="str">
        <f t="shared" si="103"/>
        <v/>
      </c>
      <c r="X297" s="93">
        <f>SUM('1:2'!X297)</f>
        <v>0</v>
      </c>
      <c r="Y297" s="93">
        <f>SUM('1:2'!Y297)</f>
        <v>0</v>
      </c>
      <c r="Z297" s="93">
        <f>SUM('1:2'!Z297)</f>
        <v>0</v>
      </c>
      <c r="AA297" s="93">
        <f>SUM('1:2'!AA297)</f>
        <v>0</v>
      </c>
      <c r="AB297" s="73"/>
      <c r="AC297" s="54"/>
      <c r="AD297" s="370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>
      <c r="A298" s="299">
        <v>30100053</v>
      </c>
      <c r="B298" s="63" t="s">
        <v>95</v>
      </c>
      <c r="C298" s="16" t="s">
        <v>73</v>
      </c>
      <c r="D298" s="17">
        <v>5.03</v>
      </c>
      <c r="E298" s="17"/>
      <c r="F298" s="6"/>
      <c r="G298" s="93">
        <f>SUM('1:2'!G298)</f>
        <v>0</v>
      </c>
      <c r="H298" s="364">
        <f t="shared" si="108"/>
        <v>0</v>
      </c>
      <c r="I298" s="93">
        <f>SUM('1:2'!I298)</f>
        <v>0</v>
      </c>
      <c r="J298" s="31" t="str">
        <f t="array" ref="J298">IF(ISERROR(G298/I298),"",G298/I298)</f>
        <v/>
      </c>
      <c r="K298" s="35">
        <f t="array" ref="K298">IF(ISERROR(G298/L298),"",G298/L298)</f>
        <v>0</v>
      </c>
      <c r="L298" s="87">
        <v>4</v>
      </c>
      <c r="M298" s="36">
        <f t="shared" si="105"/>
        <v>0</v>
      </c>
      <c r="N298" s="31">
        <f t="shared" si="106"/>
        <v>0</v>
      </c>
      <c r="O298" s="93">
        <f>SUM('1:2'!O298)</f>
        <v>0</v>
      </c>
      <c r="P298" s="93">
        <f>SUM('1:2'!P298)</f>
        <v>0</v>
      </c>
      <c r="Q298" s="93">
        <f>SUM('1:2'!Q298)</f>
        <v>0</v>
      </c>
      <c r="R298" s="93">
        <f>SUM('1:2'!R298)</f>
        <v>0</v>
      </c>
      <c r="S298" s="93">
        <f>SUM('1:2'!S298)</f>
        <v>0</v>
      </c>
      <c r="T298" s="93">
        <f>SUM('1:2'!T298)</f>
        <v>0</v>
      </c>
      <c r="U298" s="93">
        <f>SUM('1:2'!U298)</f>
        <v>0</v>
      </c>
      <c r="V298" s="206">
        <f t="shared" si="107"/>
        <v>0</v>
      </c>
      <c r="W298" s="33" t="str">
        <f t="shared" si="103"/>
        <v/>
      </c>
      <c r="X298" s="93">
        <f>SUM('1:2'!X298)</f>
        <v>0</v>
      </c>
      <c r="Y298" s="93">
        <f>SUM('1:2'!Y298)</f>
        <v>0</v>
      </c>
      <c r="Z298" s="93">
        <f>SUM('1:2'!Z298)</f>
        <v>0</v>
      </c>
      <c r="AA298" s="93">
        <f>SUM('1:2'!AA298)</f>
        <v>0</v>
      </c>
      <c r="AB298" s="73"/>
      <c r="AC298" s="54"/>
      <c r="AD298" s="370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>
      <c r="A299" s="299"/>
      <c r="B299" s="63" t="s">
        <v>95</v>
      </c>
      <c r="C299" s="16" t="s">
        <v>60</v>
      </c>
      <c r="D299" s="17">
        <v>5.03</v>
      </c>
      <c r="E299" s="17"/>
      <c r="F299" s="6"/>
      <c r="G299" s="93">
        <f>SUM('1:2'!G299)</f>
        <v>0</v>
      </c>
      <c r="H299" s="364">
        <f t="shared" si="108"/>
        <v>0</v>
      </c>
      <c r="I299" s="93">
        <f>SUM('1:2'!I299)</f>
        <v>0</v>
      </c>
      <c r="J299" s="31" t="str">
        <f t="array" ref="J299">IF(ISERROR(G299/I299),"",G299/I299)</f>
        <v/>
      </c>
      <c r="K299" s="35">
        <f t="array" ref="K299">IF(ISERROR(G299/L299),"",G299/L299)</f>
        <v>0</v>
      </c>
      <c r="L299" s="87">
        <v>4</v>
      </c>
      <c r="M299" s="36">
        <f t="shared" si="105"/>
        <v>0</v>
      </c>
      <c r="N299" s="31">
        <f t="shared" si="106"/>
        <v>0</v>
      </c>
      <c r="O299" s="93">
        <f>SUM('1:2'!O299)</f>
        <v>0</v>
      </c>
      <c r="P299" s="93">
        <f>SUM('1:2'!P299)</f>
        <v>0</v>
      </c>
      <c r="Q299" s="93">
        <f>SUM('1:2'!Q299)</f>
        <v>0</v>
      </c>
      <c r="R299" s="93">
        <f>SUM('1:2'!R299)</f>
        <v>0</v>
      </c>
      <c r="S299" s="93">
        <f>SUM('1:2'!S299)</f>
        <v>0</v>
      </c>
      <c r="T299" s="93">
        <f>SUM('1:2'!T299)</f>
        <v>0</v>
      </c>
      <c r="U299" s="93">
        <f>SUM('1:2'!U299)</f>
        <v>0</v>
      </c>
      <c r="V299" s="206">
        <f t="shared" si="107"/>
        <v>0</v>
      </c>
      <c r="W299" s="33" t="str">
        <f t="shared" si="103"/>
        <v/>
      </c>
      <c r="X299" s="93">
        <f>SUM('1:2'!X299)</f>
        <v>0</v>
      </c>
      <c r="Y299" s="93">
        <f>SUM('1:2'!Y299)</f>
        <v>0</v>
      </c>
      <c r="Z299" s="93">
        <f>SUM('1:2'!Z299)</f>
        <v>0</v>
      </c>
      <c r="AA299" s="93">
        <f>SUM('1:2'!AA299)</f>
        <v>0</v>
      </c>
      <c r="AB299" s="73"/>
      <c r="AC299" s="54"/>
      <c r="AD299" s="370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>
      <c r="A300" s="299"/>
      <c r="B300" s="63" t="s">
        <v>95</v>
      </c>
      <c r="C300" s="365" t="s">
        <v>96</v>
      </c>
      <c r="D300" s="17">
        <v>5.03</v>
      </c>
      <c r="E300" s="17"/>
      <c r="F300" s="6"/>
      <c r="G300" s="93">
        <f>SUM('1:2'!G300)</f>
        <v>0</v>
      </c>
      <c r="H300" s="364">
        <f t="shared" si="108"/>
        <v>0</v>
      </c>
      <c r="I300" s="93">
        <f>SUM('1:2'!I300)</f>
        <v>0</v>
      </c>
      <c r="J300" s="31" t="str">
        <f t="array" ref="J300">IF(ISERROR(G300/I300),"",G300/I300)</f>
        <v/>
      </c>
      <c r="K300" s="35">
        <f t="array" ref="K300">IF(ISERROR(G300/L300),"",G300/L300)</f>
        <v>0</v>
      </c>
      <c r="L300" s="87">
        <v>4</v>
      </c>
      <c r="M300" s="36">
        <f t="shared" si="105"/>
        <v>0</v>
      </c>
      <c r="N300" s="31">
        <f t="shared" si="106"/>
        <v>0</v>
      </c>
      <c r="O300" s="93">
        <f>SUM('1:2'!O300)</f>
        <v>0</v>
      </c>
      <c r="P300" s="93">
        <f>SUM('1:2'!P300)</f>
        <v>0</v>
      </c>
      <c r="Q300" s="93">
        <f>SUM('1:2'!Q300)</f>
        <v>0</v>
      </c>
      <c r="R300" s="93">
        <f>SUM('1:2'!R300)</f>
        <v>0</v>
      </c>
      <c r="S300" s="93">
        <f>SUM('1:2'!S300)</f>
        <v>0</v>
      </c>
      <c r="T300" s="93">
        <f>SUM('1:2'!T300)</f>
        <v>0</v>
      </c>
      <c r="U300" s="93">
        <f>SUM('1:2'!U300)</f>
        <v>0</v>
      </c>
      <c r="V300" s="206">
        <f t="shared" si="107"/>
        <v>0</v>
      </c>
      <c r="W300" s="33" t="str">
        <f t="shared" si="103"/>
        <v/>
      </c>
      <c r="X300" s="93">
        <f>SUM('1:2'!X300)</f>
        <v>0</v>
      </c>
      <c r="Y300" s="93">
        <f>SUM('1:2'!Y300)</f>
        <v>0</v>
      </c>
      <c r="Z300" s="93">
        <f>SUM('1:2'!Z300)</f>
        <v>0</v>
      </c>
      <c r="AA300" s="93">
        <f>SUM('1:2'!AA300)</f>
        <v>0</v>
      </c>
      <c r="AB300" s="73"/>
      <c r="AC300" s="54"/>
      <c r="AD300" s="370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>
      <c r="A301" s="299">
        <v>30101067</v>
      </c>
      <c r="B301" s="63" t="s">
        <v>97</v>
      </c>
      <c r="C301" s="365" t="s">
        <v>82</v>
      </c>
      <c r="D301" s="17">
        <v>5.03</v>
      </c>
      <c r="E301" s="17"/>
      <c r="F301" s="6"/>
      <c r="G301" s="93">
        <f>SUM('1:2'!G301)</f>
        <v>0</v>
      </c>
      <c r="H301" s="364">
        <f t="shared" si="108"/>
        <v>0</v>
      </c>
      <c r="I301" s="93">
        <f>SUM('1:2'!I301)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87"/>
      <c r="M301" s="36" t="str">
        <f t="shared" si="105"/>
        <v/>
      </c>
      <c r="N301" s="31">
        <f t="shared" si="106"/>
        <v>0</v>
      </c>
      <c r="O301" s="93">
        <f>SUM('1:2'!O301)</f>
        <v>0</v>
      </c>
      <c r="P301" s="93">
        <f>SUM('1:2'!P301)</f>
        <v>0</v>
      </c>
      <c r="Q301" s="93">
        <f>SUM('1:2'!Q301)</f>
        <v>0</v>
      </c>
      <c r="R301" s="93">
        <f>SUM('1:2'!R301)</f>
        <v>0</v>
      </c>
      <c r="S301" s="93">
        <f>SUM('1:2'!S301)</f>
        <v>0</v>
      </c>
      <c r="T301" s="93">
        <f>SUM('1:2'!T301)</f>
        <v>0</v>
      </c>
      <c r="U301" s="93">
        <f>SUM('1:2'!U301)</f>
        <v>0</v>
      </c>
      <c r="V301" s="206">
        <f t="shared" si="107"/>
        <v>0</v>
      </c>
      <c r="W301" s="33" t="str">
        <f t="shared" si="103"/>
        <v/>
      </c>
      <c r="X301" s="93">
        <f>SUM('1:2'!X301)</f>
        <v>0</v>
      </c>
      <c r="Y301" s="93">
        <f>SUM('1:2'!Y301)</f>
        <v>0</v>
      </c>
      <c r="Z301" s="93">
        <f>SUM('1:2'!Z301)</f>
        <v>0</v>
      </c>
      <c r="AA301" s="93">
        <f>SUM('1:2'!AA301)</f>
        <v>0</v>
      </c>
      <c r="AB301" s="73"/>
      <c r="AC301" s="54"/>
      <c r="AD301" s="370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>
      <c r="A302" s="299">
        <v>30101068</v>
      </c>
      <c r="B302" s="63" t="s">
        <v>97</v>
      </c>
      <c r="C302" s="365" t="s">
        <v>72</v>
      </c>
      <c r="D302" s="17">
        <v>5.03</v>
      </c>
      <c r="E302" s="17"/>
      <c r="F302" s="6"/>
      <c r="G302" s="93">
        <f>SUM('1:2'!G302)</f>
        <v>0</v>
      </c>
      <c r="H302" s="364">
        <f t="shared" si="108"/>
        <v>0</v>
      </c>
      <c r="I302" s="93">
        <f>SUM('1:2'!I302)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87"/>
      <c r="M302" s="36" t="str">
        <f t="shared" si="105"/>
        <v/>
      </c>
      <c r="N302" s="31">
        <f t="shared" si="106"/>
        <v>0</v>
      </c>
      <c r="O302" s="93">
        <f>SUM('1:2'!O302)</f>
        <v>0</v>
      </c>
      <c r="P302" s="93">
        <f>SUM('1:2'!P302)</f>
        <v>0</v>
      </c>
      <c r="Q302" s="93">
        <f>SUM('1:2'!Q302)</f>
        <v>0</v>
      </c>
      <c r="R302" s="93">
        <f>SUM('1:2'!R302)</f>
        <v>0</v>
      </c>
      <c r="S302" s="93">
        <f>SUM('1:2'!S302)</f>
        <v>0</v>
      </c>
      <c r="T302" s="93">
        <f>SUM('1:2'!T302)</f>
        <v>0</v>
      </c>
      <c r="U302" s="93">
        <f>SUM('1:2'!U302)</f>
        <v>0</v>
      </c>
      <c r="V302" s="206">
        <f t="shared" si="107"/>
        <v>0</v>
      </c>
      <c r="W302" s="33" t="str">
        <f t="shared" si="103"/>
        <v/>
      </c>
      <c r="X302" s="93">
        <f>SUM('1:2'!X302)</f>
        <v>0</v>
      </c>
      <c r="Y302" s="93">
        <f>SUM('1:2'!Y302)</f>
        <v>0</v>
      </c>
      <c r="Z302" s="93">
        <f>SUM('1:2'!Z302)</f>
        <v>0</v>
      </c>
      <c r="AA302" s="93">
        <f>SUM('1:2'!AA302)</f>
        <v>0</v>
      </c>
      <c r="AB302" s="73"/>
      <c r="AC302" s="54"/>
      <c r="AD302" s="370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>
      <c r="A303" s="299">
        <v>30101069</v>
      </c>
      <c r="B303" s="63" t="s">
        <v>97</v>
      </c>
      <c r="C303" s="365" t="s">
        <v>60</v>
      </c>
      <c r="D303" s="17">
        <v>5.03</v>
      </c>
      <c r="E303" s="17"/>
      <c r="F303" s="6"/>
      <c r="G303" s="93">
        <f>SUM('1:2'!G303)</f>
        <v>0</v>
      </c>
      <c r="H303" s="364">
        <f t="shared" si="108"/>
        <v>0</v>
      </c>
      <c r="I303" s="93">
        <f>SUM('1:2'!I303)</f>
        <v>0</v>
      </c>
      <c r="J303" s="31" t="str">
        <f t="array" ref="J303">IF(ISERROR(G303/I303),"",G303/I303)</f>
        <v/>
      </c>
      <c r="K303" s="35" t="str">
        <f t="array" ref="K303">IF(ISERROR(G303/L303),"",G303/L303)</f>
        <v/>
      </c>
      <c r="L303" s="87"/>
      <c r="M303" s="36" t="str">
        <f t="shared" si="105"/>
        <v/>
      </c>
      <c r="N303" s="31">
        <f t="shared" si="106"/>
        <v>0</v>
      </c>
      <c r="O303" s="93">
        <f>SUM('1:2'!O303)</f>
        <v>0</v>
      </c>
      <c r="P303" s="93">
        <f>SUM('1:2'!P303)</f>
        <v>0</v>
      </c>
      <c r="Q303" s="93">
        <f>SUM('1:2'!Q303)</f>
        <v>0</v>
      </c>
      <c r="R303" s="93">
        <f>SUM('1:2'!R303)</f>
        <v>0</v>
      </c>
      <c r="S303" s="93">
        <f>SUM('1:2'!S303)</f>
        <v>0</v>
      </c>
      <c r="T303" s="93">
        <f>SUM('1:2'!T303)</f>
        <v>0</v>
      </c>
      <c r="U303" s="93">
        <f>SUM('1:2'!U303)</f>
        <v>0</v>
      </c>
      <c r="V303" s="206">
        <f t="shared" si="107"/>
        <v>0</v>
      </c>
      <c r="W303" s="33" t="str">
        <f t="shared" si="103"/>
        <v/>
      </c>
      <c r="X303" s="93">
        <f>SUM('1:2'!X303)</f>
        <v>0</v>
      </c>
      <c r="Y303" s="93">
        <f>SUM('1:2'!Y303)</f>
        <v>0</v>
      </c>
      <c r="Z303" s="93">
        <f>SUM('1:2'!Z303)</f>
        <v>0</v>
      </c>
      <c r="AA303" s="93">
        <f>SUM('1:2'!AA303)</f>
        <v>0</v>
      </c>
      <c r="AB303" s="73"/>
      <c r="AC303" s="54"/>
      <c r="AD303" s="370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>
      <c r="A304" s="299">
        <v>30101070</v>
      </c>
      <c r="B304" s="63" t="s">
        <v>97</v>
      </c>
      <c r="C304" s="365" t="s">
        <v>96</v>
      </c>
      <c r="D304" s="17">
        <v>5.03</v>
      </c>
      <c r="E304" s="17"/>
      <c r="F304" s="6"/>
      <c r="G304" s="93">
        <f>SUM('1:2'!G304)</f>
        <v>0</v>
      </c>
      <c r="H304" s="364">
        <f t="shared" si="108"/>
        <v>0</v>
      </c>
      <c r="I304" s="93">
        <f>SUM('1:2'!I304)</f>
        <v>0</v>
      </c>
      <c r="J304" s="31" t="str">
        <f t="array" ref="J304">IF(ISERROR(G304/I304),"",G304/I304)</f>
        <v/>
      </c>
      <c r="K304" s="35" t="str">
        <f t="array" ref="K304">IF(ISERROR(G304/L304),"",G304/L304)</f>
        <v/>
      </c>
      <c r="L304" s="87"/>
      <c r="M304" s="36" t="str">
        <f t="shared" si="105"/>
        <v/>
      </c>
      <c r="N304" s="31">
        <f t="shared" si="106"/>
        <v>0</v>
      </c>
      <c r="O304" s="93">
        <f>SUM('1:2'!O304)</f>
        <v>0</v>
      </c>
      <c r="P304" s="93">
        <f>SUM('1:2'!P304)</f>
        <v>0</v>
      </c>
      <c r="Q304" s="93">
        <f>SUM('1:2'!Q304)</f>
        <v>0</v>
      </c>
      <c r="R304" s="93">
        <f>SUM('1:2'!R304)</f>
        <v>0</v>
      </c>
      <c r="S304" s="93">
        <f>SUM('1:2'!S304)</f>
        <v>0</v>
      </c>
      <c r="T304" s="93">
        <f>SUM('1:2'!T304)</f>
        <v>0</v>
      </c>
      <c r="U304" s="93">
        <f>SUM('1:2'!U304)</f>
        <v>0</v>
      </c>
      <c r="V304" s="206">
        <f t="shared" si="107"/>
        <v>0</v>
      </c>
      <c r="W304" s="33" t="str">
        <f t="shared" si="103"/>
        <v/>
      </c>
      <c r="X304" s="93">
        <f>SUM('1:2'!X304)</f>
        <v>0</v>
      </c>
      <c r="Y304" s="93">
        <f>SUM('1:2'!Y304)</f>
        <v>0</v>
      </c>
      <c r="Z304" s="93">
        <f>SUM('1:2'!Z304)</f>
        <v>0</v>
      </c>
      <c r="AA304" s="93">
        <f>SUM('1:2'!AA304)</f>
        <v>0</v>
      </c>
      <c r="AB304" s="73"/>
      <c r="AC304" s="54"/>
      <c r="AD304" s="370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>
      <c r="A305" s="299">
        <v>30101071</v>
      </c>
      <c r="B305" s="63" t="s">
        <v>97</v>
      </c>
      <c r="C305" s="365" t="s">
        <v>73</v>
      </c>
      <c r="D305" s="17">
        <v>5.03</v>
      </c>
      <c r="E305" s="17"/>
      <c r="F305" s="6"/>
      <c r="G305" s="93">
        <f>SUM('1:2'!G305)</f>
        <v>0</v>
      </c>
      <c r="H305" s="364">
        <f t="shared" si="108"/>
        <v>0</v>
      </c>
      <c r="I305" s="93">
        <f>SUM('1:2'!I305)</f>
        <v>0</v>
      </c>
      <c r="J305" s="31" t="str">
        <f t="array" ref="J305">IF(ISERROR(G305/I305),"",G305/I305)</f>
        <v/>
      </c>
      <c r="K305" s="35" t="str">
        <f t="array" ref="K305">IF(ISERROR(G305/L305),"",G305/L305)</f>
        <v/>
      </c>
      <c r="L305" s="87"/>
      <c r="M305" s="36" t="str">
        <f t="shared" si="105"/>
        <v/>
      </c>
      <c r="N305" s="31">
        <f t="shared" si="106"/>
        <v>0</v>
      </c>
      <c r="O305" s="93">
        <f>SUM('1:2'!O305)</f>
        <v>0</v>
      </c>
      <c r="P305" s="93">
        <f>SUM('1:2'!P305)</f>
        <v>0</v>
      </c>
      <c r="Q305" s="93">
        <f>SUM('1:2'!Q305)</f>
        <v>0</v>
      </c>
      <c r="R305" s="93">
        <f>SUM('1:2'!R305)</f>
        <v>0</v>
      </c>
      <c r="S305" s="93">
        <f>SUM('1:2'!S305)</f>
        <v>0</v>
      </c>
      <c r="T305" s="93">
        <f>SUM('1:2'!T305)</f>
        <v>0</v>
      </c>
      <c r="U305" s="93">
        <f>SUM('1:2'!U305)</f>
        <v>0</v>
      </c>
      <c r="V305" s="206">
        <f t="shared" si="107"/>
        <v>0</v>
      </c>
      <c r="W305" s="33" t="str">
        <f t="shared" si="103"/>
        <v/>
      </c>
      <c r="X305" s="93">
        <f>SUM('1:2'!X305)</f>
        <v>0</v>
      </c>
      <c r="Y305" s="93">
        <f>SUM('1:2'!Y305)</f>
        <v>0</v>
      </c>
      <c r="Z305" s="93">
        <f>SUM('1:2'!Z305)</f>
        <v>0</v>
      </c>
      <c r="AA305" s="93">
        <f>SUM('1:2'!AA305)</f>
        <v>0</v>
      </c>
      <c r="AB305" s="73"/>
      <c r="AC305" s="54"/>
      <c r="AD305" s="370"/>
      <c r="AE305" s="54"/>
      <c r="AF305" s="54"/>
      <c r="AG305" s="54"/>
      <c r="AH305" s="5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>
      <c r="A306" s="300">
        <v>30100001</v>
      </c>
      <c r="B306" s="62" t="s">
        <v>98</v>
      </c>
      <c r="C306" s="16" t="s">
        <v>74</v>
      </c>
      <c r="D306" s="17">
        <v>5.0599999999999996</v>
      </c>
      <c r="E306" s="17"/>
      <c r="F306" s="6"/>
      <c r="G306" s="93">
        <f>SUM('1:2'!G306)</f>
        <v>947</v>
      </c>
      <c r="H306" s="364">
        <f t="shared" si="108"/>
        <v>4791.82</v>
      </c>
      <c r="I306" s="93">
        <f>SUM('1:2'!I306)</f>
        <v>59.5</v>
      </c>
      <c r="J306" s="31">
        <f t="array" ref="J306">IF(ISERROR(G306/I306),"",G306/I306)</f>
        <v>15.915966386554622</v>
      </c>
      <c r="K306" s="35">
        <f t="array" ref="K306">IF(ISERROR(G306/L306),"",G306/L306)</f>
        <v>37.880000000000003</v>
      </c>
      <c r="L306" s="87">
        <v>25</v>
      </c>
      <c r="M306" s="36">
        <f t="shared" si="105"/>
        <v>21.619999999999997</v>
      </c>
      <c r="N306" s="31">
        <f t="shared" si="106"/>
        <v>0</v>
      </c>
      <c r="O306" s="93">
        <f>SUM('1:2'!O306)</f>
        <v>0</v>
      </c>
      <c r="P306" s="93">
        <f>SUM('1:2'!P306)</f>
        <v>0</v>
      </c>
      <c r="Q306" s="93">
        <f>SUM('1:2'!Q306)</f>
        <v>0</v>
      </c>
      <c r="R306" s="93">
        <f>SUM('1:2'!R306)</f>
        <v>0</v>
      </c>
      <c r="S306" s="93">
        <f>SUM('1:2'!S306)</f>
        <v>0</v>
      </c>
      <c r="T306" s="93">
        <f>SUM('1:2'!T306)</f>
        <v>0</v>
      </c>
      <c r="U306" s="93">
        <f>SUM('1:2'!U306)</f>
        <v>0</v>
      </c>
      <c r="V306" s="206">
        <f t="shared" si="107"/>
        <v>0</v>
      </c>
      <c r="W306" s="33">
        <f t="shared" si="103"/>
        <v>0</v>
      </c>
      <c r="X306" s="93">
        <f>SUM('1:2'!X306)</f>
        <v>0</v>
      </c>
      <c r="Y306" s="93">
        <f>SUM('1:2'!Y306)</f>
        <v>0</v>
      </c>
      <c r="Z306" s="93">
        <f>SUM('1:2'!Z306)</f>
        <v>0</v>
      </c>
      <c r="AA306" s="93">
        <f>SUM('1:2'!AA306)</f>
        <v>0</v>
      </c>
      <c r="AB306" s="73"/>
      <c r="AC306" s="54"/>
      <c r="AD306" s="370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>
      <c r="A307" s="300">
        <v>30100002</v>
      </c>
      <c r="B307" s="62" t="s">
        <v>98</v>
      </c>
      <c r="C307" s="16" t="s">
        <v>94</v>
      </c>
      <c r="D307" s="17">
        <v>5.0599999999999996</v>
      </c>
      <c r="E307" s="17"/>
      <c r="F307" s="6"/>
      <c r="G307" s="93">
        <f>SUM('1:2'!G307)</f>
        <v>721</v>
      </c>
      <c r="H307" s="364">
        <f t="shared" si="108"/>
        <v>3648.2599999999998</v>
      </c>
      <c r="I307" s="93">
        <f>SUM('1:2'!I307)</f>
        <v>34</v>
      </c>
      <c r="J307" s="31">
        <f t="array" ref="J307">IF(ISERROR(G307/I307),"",G307/I307)</f>
        <v>21.205882352941178</v>
      </c>
      <c r="K307" s="35">
        <f t="array" ref="K307">IF(ISERROR(G307/L307),"",G307/L307)</f>
        <v>28.84</v>
      </c>
      <c r="L307" s="87">
        <v>25</v>
      </c>
      <c r="M307" s="36">
        <f t="shared" si="105"/>
        <v>5.16</v>
      </c>
      <c r="N307" s="31">
        <f t="shared" si="106"/>
        <v>0</v>
      </c>
      <c r="O307" s="93">
        <f>SUM('1:2'!O307)</f>
        <v>0</v>
      </c>
      <c r="P307" s="93">
        <f>SUM('1:2'!P307)</f>
        <v>0</v>
      </c>
      <c r="Q307" s="93">
        <f>SUM('1:2'!Q307)</f>
        <v>0</v>
      </c>
      <c r="R307" s="93">
        <f>SUM('1:2'!R307)</f>
        <v>0</v>
      </c>
      <c r="S307" s="93">
        <f>SUM('1:2'!S307)</f>
        <v>0</v>
      </c>
      <c r="T307" s="93">
        <f>SUM('1:2'!T307)</f>
        <v>0</v>
      </c>
      <c r="U307" s="93">
        <f>SUM('1:2'!U307)</f>
        <v>0</v>
      </c>
      <c r="V307" s="206">
        <f t="shared" si="107"/>
        <v>0</v>
      </c>
      <c r="W307" s="33">
        <f t="shared" si="103"/>
        <v>0</v>
      </c>
      <c r="X307" s="93">
        <f>SUM('1:2'!X307)</f>
        <v>0</v>
      </c>
      <c r="Y307" s="93">
        <f>SUM('1:2'!Y307)</f>
        <v>0</v>
      </c>
      <c r="Z307" s="93">
        <f>SUM('1:2'!Z307)</f>
        <v>0</v>
      </c>
      <c r="AA307" s="93">
        <f>SUM('1:2'!AA307)</f>
        <v>0</v>
      </c>
      <c r="AB307" s="73"/>
      <c r="AC307" s="54"/>
      <c r="AD307" s="370"/>
      <c r="AE307" s="54"/>
      <c r="AF307" s="54"/>
      <c r="AG307" s="54"/>
      <c r="AH307" s="5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>
      <c r="A308" s="691" t="s">
        <v>99</v>
      </c>
      <c r="B308" s="692"/>
      <c r="C308" s="359" t="s">
        <v>71</v>
      </c>
      <c r="D308" s="20"/>
      <c r="E308" s="20"/>
      <c r="F308" s="32"/>
      <c r="G308" s="99">
        <f>SUM(G293:G307)</f>
        <v>1756</v>
      </c>
      <c r="H308" s="30">
        <f>SUM(H293:H307)</f>
        <v>8883.6</v>
      </c>
      <c r="I308" s="30">
        <f>SUM(I293:I307)</f>
        <v>105.5</v>
      </c>
      <c r="J308" s="31">
        <f t="array" ref="J308">IF(ISERROR(G308/I308),"",G308/I308)</f>
        <v>16.644549763033176</v>
      </c>
      <c r="K308" s="30">
        <f>SUM(K293:K307)</f>
        <v>71.12</v>
      </c>
      <c r="L308" s="30"/>
      <c r="M308" s="89">
        <f t="shared" ref="M308:V308" si="109">SUM(M293:M307)</f>
        <v>34.379999999999995</v>
      </c>
      <c r="N308" s="30">
        <f t="shared" si="109"/>
        <v>0</v>
      </c>
      <c r="O308" s="30">
        <f t="shared" si="109"/>
        <v>0</v>
      </c>
      <c r="P308" s="30">
        <f t="shared" si="109"/>
        <v>0</v>
      </c>
      <c r="Q308" s="30">
        <f t="shared" si="109"/>
        <v>0</v>
      </c>
      <c r="R308" s="30">
        <f t="shared" si="109"/>
        <v>0</v>
      </c>
      <c r="S308" s="30">
        <f t="shared" si="109"/>
        <v>0</v>
      </c>
      <c r="T308" s="30">
        <f t="shared" si="109"/>
        <v>0</v>
      </c>
      <c r="U308" s="30">
        <f t="shared" si="109"/>
        <v>0</v>
      </c>
      <c r="V308" s="208">
        <f t="shared" si="109"/>
        <v>0</v>
      </c>
      <c r="W308" s="33">
        <f t="shared" si="103"/>
        <v>0</v>
      </c>
      <c r="X308" s="94">
        <f>SUM(X293:X307)</f>
        <v>0</v>
      </c>
      <c r="Y308" s="94">
        <f>SUM(Y293:Y307)</f>
        <v>0</v>
      </c>
      <c r="Z308" s="94">
        <f>SUM(Z293:Z307)</f>
        <v>0</v>
      </c>
      <c r="AA308" s="94">
        <f>SUM(AA293:AA307)</f>
        <v>0</v>
      </c>
      <c r="AB308" s="75"/>
      <c r="AC308" s="70"/>
      <c r="AD308" s="370"/>
      <c r="AE308" s="74"/>
      <c r="AF308" s="74"/>
      <c r="AG308" s="74"/>
      <c r="AH308" s="7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>
      <c r="A309" s="300">
        <v>30400025</v>
      </c>
      <c r="B309" s="62" t="s">
        <v>100</v>
      </c>
      <c r="C309" s="16" t="s">
        <v>53</v>
      </c>
      <c r="D309" s="17">
        <v>5.04</v>
      </c>
      <c r="E309" s="17"/>
      <c r="F309" s="6"/>
      <c r="G309" s="93">
        <f>SUM('1:2'!G309)</f>
        <v>0</v>
      </c>
      <c r="H309" s="364">
        <f t="shared" ref="H309:H318" si="110">D309*G309</f>
        <v>0</v>
      </c>
      <c r="I309" s="93">
        <f>SUM('1:2'!I309)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87">
        <v>22</v>
      </c>
      <c r="M309" s="36">
        <f t="shared" ref="M309:M313" si="111">IF(ISERROR(I309-K309),"",I309-K309)</f>
        <v>0</v>
      </c>
      <c r="N309" s="31">
        <f t="shared" ref="N309:N313" si="112">SUM(O309:U309)</f>
        <v>0</v>
      </c>
      <c r="O309" s="93">
        <f>SUM('1:2'!O309)</f>
        <v>0</v>
      </c>
      <c r="P309" s="93">
        <f>SUM('1:2'!P309)</f>
        <v>0</v>
      </c>
      <c r="Q309" s="93">
        <f>SUM('1:2'!Q309)</f>
        <v>0</v>
      </c>
      <c r="R309" s="93">
        <f>SUM('1:2'!R309)</f>
        <v>0</v>
      </c>
      <c r="S309" s="93">
        <f>SUM('1:2'!S309)</f>
        <v>0</v>
      </c>
      <c r="T309" s="93">
        <f>SUM('1:2'!T309)</f>
        <v>0</v>
      </c>
      <c r="U309" s="93">
        <f>SUM('1:2'!U309)</f>
        <v>0</v>
      </c>
      <c r="V309" s="206">
        <f t="shared" ref="V309:V313" si="113">SUM(X309:AA309)</f>
        <v>0</v>
      </c>
      <c r="W309" s="33" t="str">
        <f t="shared" si="103"/>
        <v/>
      </c>
      <c r="X309" s="93">
        <f>SUM('1:2'!X309)</f>
        <v>0</v>
      </c>
      <c r="Y309" s="93">
        <f>SUM('1:2'!Y309)</f>
        <v>0</v>
      </c>
      <c r="Z309" s="93">
        <f>SUM('1:2'!Z309)</f>
        <v>0</v>
      </c>
      <c r="AA309" s="93">
        <f>SUM('1:2'!AA309)</f>
        <v>0</v>
      </c>
      <c r="AB309" s="73"/>
      <c r="AC309" s="54"/>
      <c r="AD309" s="370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>
      <c r="A310" s="300">
        <v>30400023</v>
      </c>
      <c r="B310" s="62" t="s">
        <v>100</v>
      </c>
      <c r="C310" s="16" t="s">
        <v>60</v>
      </c>
      <c r="D310" s="17">
        <v>5.04</v>
      </c>
      <c r="E310" s="17"/>
      <c r="F310" s="6"/>
      <c r="G310" s="93">
        <f>SUM('1:2'!G310)</f>
        <v>0</v>
      </c>
      <c r="H310" s="364">
        <f t="shared" si="110"/>
        <v>0</v>
      </c>
      <c r="I310" s="93">
        <f>SUM('1:2'!I310)</f>
        <v>0</v>
      </c>
      <c r="J310" s="31" t="str">
        <f t="array" ref="J310">IF(ISERROR(G310/I310),"",G310/I310)</f>
        <v/>
      </c>
      <c r="K310" s="35">
        <f t="array" ref="K310">IF(ISERROR(G310/L310),"",G310/L310)</f>
        <v>0</v>
      </c>
      <c r="L310" s="87">
        <v>22</v>
      </c>
      <c r="M310" s="36">
        <f t="shared" si="111"/>
        <v>0</v>
      </c>
      <c r="N310" s="31">
        <f t="shared" si="112"/>
        <v>0</v>
      </c>
      <c r="O310" s="93">
        <f>SUM('1:2'!O310)</f>
        <v>0</v>
      </c>
      <c r="P310" s="93">
        <f>SUM('1:2'!P310)</f>
        <v>0</v>
      </c>
      <c r="Q310" s="93">
        <f>SUM('1:2'!Q310)</f>
        <v>0</v>
      </c>
      <c r="R310" s="93">
        <f>SUM('1:2'!R310)</f>
        <v>0</v>
      </c>
      <c r="S310" s="93">
        <f>SUM('1:2'!S310)</f>
        <v>0</v>
      </c>
      <c r="T310" s="93">
        <f>SUM('1:2'!T310)</f>
        <v>0</v>
      </c>
      <c r="U310" s="93">
        <f>SUM('1:2'!U310)</f>
        <v>0</v>
      </c>
      <c r="V310" s="206">
        <f t="shared" si="113"/>
        <v>0</v>
      </c>
      <c r="W310" s="33" t="str">
        <f t="shared" si="103"/>
        <v/>
      </c>
      <c r="X310" s="93">
        <f>SUM('1:2'!X310)</f>
        <v>0</v>
      </c>
      <c r="Y310" s="93">
        <f>SUM('1:2'!Y310)</f>
        <v>0</v>
      </c>
      <c r="Z310" s="93">
        <f>SUM('1:2'!Z310)</f>
        <v>0</v>
      </c>
      <c r="AA310" s="93">
        <f>SUM('1:2'!AA310)</f>
        <v>0</v>
      </c>
      <c r="AB310" s="73"/>
      <c r="AC310" s="54"/>
      <c r="AD310" s="370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>
      <c r="A311" s="300">
        <v>30400024</v>
      </c>
      <c r="B311" s="62" t="s">
        <v>100</v>
      </c>
      <c r="C311" s="16" t="s">
        <v>74</v>
      </c>
      <c r="D311" s="17">
        <v>5.04</v>
      </c>
      <c r="E311" s="17"/>
      <c r="F311" s="6"/>
      <c r="G311" s="93">
        <f>SUM('1:2'!G311)</f>
        <v>0</v>
      </c>
      <c r="H311" s="364">
        <f t="shared" si="110"/>
        <v>0</v>
      </c>
      <c r="I311" s="93">
        <f>SUM('1:2'!I311)</f>
        <v>0</v>
      </c>
      <c r="J311" s="31" t="str">
        <f t="array" ref="J311">IF(ISERROR(G311/I311),"",G311/I311)</f>
        <v/>
      </c>
      <c r="K311" s="35">
        <f t="array" ref="K311">IF(ISERROR(G311/L311),"",G311/L311)</f>
        <v>0</v>
      </c>
      <c r="L311" s="87">
        <v>22</v>
      </c>
      <c r="M311" s="36">
        <f t="shared" si="111"/>
        <v>0</v>
      </c>
      <c r="N311" s="31">
        <f t="shared" si="112"/>
        <v>0</v>
      </c>
      <c r="O311" s="93">
        <f>SUM('1:2'!O311)</f>
        <v>0</v>
      </c>
      <c r="P311" s="93">
        <f>SUM('1:2'!P311)</f>
        <v>0</v>
      </c>
      <c r="Q311" s="93">
        <f>SUM('1:2'!Q311)</f>
        <v>0</v>
      </c>
      <c r="R311" s="93">
        <f>SUM('1:2'!R311)</f>
        <v>0</v>
      </c>
      <c r="S311" s="93">
        <f>SUM('1:2'!S311)</f>
        <v>0</v>
      </c>
      <c r="T311" s="93">
        <f>SUM('1:2'!T311)</f>
        <v>0</v>
      </c>
      <c r="U311" s="93">
        <f>SUM('1:2'!U311)</f>
        <v>0</v>
      </c>
      <c r="V311" s="206">
        <f t="shared" si="113"/>
        <v>0</v>
      </c>
      <c r="W311" s="33" t="str">
        <f t="shared" si="103"/>
        <v/>
      </c>
      <c r="X311" s="93">
        <f>SUM('1:2'!X311)</f>
        <v>0</v>
      </c>
      <c r="Y311" s="93">
        <f>SUM('1:2'!Y311)</f>
        <v>0</v>
      </c>
      <c r="Z311" s="93">
        <f>SUM('1:2'!Z311)</f>
        <v>0</v>
      </c>
      <c r="AA311" s="93">
        <f>SUM('1:2'!AA311)</f>
        <v>0</v>
      </c>
      <c r="AB311" s="73"/>
      <c r="AC311" s="54"/>
      <c r="AD311" s="370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>
      <c r="A312" s="300"/>
      <c r="B312" s="62" t="s">
        <v>100</v>
      </c>
      <c r="C312" s="16" t="s">
        <v>66</v>
      </c>
      <c r="D312" s="17">
        <v>5.04</v>
      </c>
      <c r="E312" s="17"/>
      <c r="F312" s="6"/>
      <c r="G312" s="93">
        <f>SUM('1:2'!G312)</f>
        <v>0</v>
      </c>
      <c r="H312" s="364">
        <f t="shared" si="110"/>
        <v>0</v>
      </c>
      <c r="I312" s="93">
        <f>SUM('1:2'!I312)</f>
        <v>0</v>
      </c>
      <c r="J312" s="31" t="str">
        <f t="array" ref="J312">IF(ISERROR(G312/I312),"",G312/I312)</f>
        <v/>
      </c>
      <c r="K312" s="35">
        <f t="array" ref="K312">IF(ISERROR(G312/L312),"",G312/L312)</f>
        <v>0</v>
      </c>
      <c r="L312" s="87">
        <v>22</v>
      </c>
      <c r="M312" s="36">
        <f t="shared" si="111"/>
        <v>0</v>
      </c>
      <c r="N312" s="31">
        <f t="shared" si="112"/>
        <v>0</v>
      </c>
      <c r="O312" s="93">
        <f>SUM('1:2'!O312)</f>
        <v>0</v>
      </c>
      <c r="P312" s="93">
        <f>SUM('1:2'!P312)</f>
        <v>0</v>
      </c>
      <c r="Q312" s="93">
        <f>SUM('1:2'!Q312)</f>
        <v>0</v>
      </c>
      <c r="R312" s="93">
        <f>SUM('1:2'!R312)</f>
        <v>0</v>
      </c>
      <c r="S312" s="93">
        <f>SUM('1:2'!S312)</f>
        <v>0</v>
      </c>
      <c r="T312" s="93">
        <f>SUM('1:2'!T312)</f>
        <v>0</v>
      </c>
      <c r="U312" s="93">
        <f>SUM('1:2'!U312)</f>
        <v>0</v>
      </c>
      <c r="V312" s="206">
        <f t="shared" si="113"/>
        <v>0</v>
      </c>
      <c r="W312" s="33" t="str">
        <f t="shared" si="103"/>
        <v/>
      </c>
      <c r="X312" s="93">
        <f>SUM('1:2'!X312)</f>
        <v>0</v>
      </c>
      <c r="Y312" s="93">
        <f>SUM('1:2'!Y312)</f>
        <v>0</v>
      </c>
      <c r="Z312" s="93">
        <f>SUM('1:2'!Z312)</f>
        <v>0</v>
      </c>
      <c r="AA312" s="93">
        <f>SUM('1:2'!AA312)</f>
        <v>0</v>
      </c>
      <c r="AB312" s="73"/>
      <c r="AC312" s="54"/>
      <c r="AD312" s="370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>
      <c r="A313" s="300"/>
      <c r="B313" s="62" t="s">
        <v>100</v>
      </c>
      <c r="C313" s="16" t="s">
        <v>101</v>
      </c>
      <c r="D313" s="17">
        <v>5.04</v>
      </c>
      <c r="E313" s="17"/>
      <c r="F313" s="6"/>
      <c r="G313" s="93">
        <f>SUM('1:2'!G313)</f>
        <v>0</v>
      </c>
      <c r="H313" s="364">
        <f t="shared" si="110"/>
        <v>0</v>
      </c>
      <c r="I313" s="93">
        <f>SUM('1:2'!I313)</f>
        <v>0</v>
      </c>
      <c r="J313" s="31" t="str">
        <f t="array" ref="J313">IF(ISERROR(G313/I313),"",G313/I313)</f>
        <v/>
      </c>
      <c r="K313" s="35">
        <f t="array" ref="K313">IF(ISERROR(G313/L313),"",G313/L313)</f>
        <v>0</v>
      </c>
      <c r="L313" s="87">
        <v>22</v>
      </c>
      <c r="M313" s="36">
        <f t="shared" si="111"/>
        <v>0</v>
      </c>
      <c r="N313" s="31">
        <f t="shared" si="112"/>
        <v>0</v>
      </c>
      <c r="O313" s="93">
        <f>SUM('1:2'!O313)</f>
        <v>0</v>
      </c>
      <c r="P313" s="93">
        <f>SUM('1:2'!P313)</f>
        <v>0</v>
      </c>
      <c r="Q313" s="93">
        <f>SUM('1:2'!Q313)</f>
        <v>0</v>
      </c>
      <c r="R313" s="93">
        <f>SUM('1:2'!R313)</f>
        <v>0</v>
      </c>
      <c r="S313" s="93">
        <f>SUM('1:2'!S313)</f>
        <v>0</v>
      </c>
      <c r="T313" s="93">
        <f>SUM('1:2'!T313)</f>
        <v>0</v>
      </c>
      <c r="U313" s="93">
        <f>SUM('1:2'!U313)</f>
        <v>0</v>
      </c>
      <c r="V313" s="206">
        <f t="shared" si="113"/>
        <v>0</v>
      </c>
      <c r="W313" s="33" t="str">
        <f t="shared" si="103"/>
        <v/>
      </c>
      <c r="X313" s="93">
        <f>SUM('1:2'!X313)</f>
        <v>0</v>
      </c>
      <c r="Y313" s="93">
        <f>SUM('1:2'!Y313)</f>
        <v>0</v>
      </c>
      <c r="Z313" s="93">
        <f>SUM('1:2'!Z313)</f>
        <v>0</v>
      </c>
      <c r="AA313" s="93">
        <f>SUM('1:2'!AA313)</f>
        <v>0</v>
      </c>
      <c r="AB313" s="73"/>
      <c r="AC313" s="54"/>
      <c r="AD313" s="370"/>
      <c r="AE313" s="54"/>
      <c r="AF313" s="54"/>
      <c r="AG313" s="54"/>
      <c r="AH313" s="5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>
      <c r="A314" s="300">
        <v>30400019</v>
      </c>
      <c r="B314" s="192" t="s">
        <v>439</v>
      </c>
      <c r="C314" s="187" t="s">
        <v>441</v>
      </c>
      <c r="D314" s="17">
        <v>5.03</v>
      </c>
      <c r="E314" s="17"/>
      <c r="F314" s="6"/>
      <c r="G314" s="93">
        <f>SUM('1:2'!G314)</f>
        <v>18</v>
      </c>
      <c r="H314" s="374">
        <f t="shared" si="110"/>
        <v>90.54</v>
      </c>
      <c r="I314" s="93">
        <f>SUM('1:2'!I314)</f>
        <v>2</v>
      </c>
      <c r="J314" s="31"/>
      <c r="K314" s="35"/>
      <c r="L314" s="87">
        <v>13.5</v>
      </c>
      <c r="M314" s="36"/>
      <c r="N314" s="31"/>
      <c r="O314" s="93"/>
      <c r="P314" s="93"/>
      <c r="Q314" s="93"/>
      <c r="R314" s="93"/>
      <c r="S314" s="93"/>
      <c r="T314" s="93"/>
      <c r="U314" s="93"/>
      <c r="V314" s="206"/>
      <c r="W314" s="33"/>
      <c r="X314" s="93"/>
      <c r="Y314" s="93"/>
      <c r="Z314" s="93"/>
      <c r="AA314" s="93"/>
      <c r="AB314" s="73"/>
      <c r="AC314" s="54"/>
      <c r="AD314" s="370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>
      <c r="A315" s="300">
        <v>30400020</v>
      </c>
      <c r="B315" s="192" t="s">
        <v>439</v>
      </c>
      <c r="C315" s="187" t="s">
        <v>516</v>
      </c>
      <c r="D315" s="17">
        <v>5.03</v>
      </c>
      <c r="E315" s="17"/>
      <c r="F315" s="6"/>
      <c r="G315" s="93"/>
      <c r="H315" s="374">
        <f t="shared" si="110"/>
        <v>0</v>
      </c>
      <c r="I315" s="93"/>
      <c r="J315" s="31"/>
      <c r="K315" s="35"/>
      <c r="L315" s="87">
        <v>13.5</v>
      </c>
      <c r="M315" s="36"/>
      <c r="N315" s="31"/>
      <c r="O315" s="93"/>
      <c r="P315" s="93"/>
      <c r="Q315" s="93"/>
      <c r="R315" s="93"/>
      <c r="S315" s="93"/>
      <c r="T315" s="93"/>
      <c r="U315" s="93"/>
      <c r="V315" s="206"/>
      <c r="W315" s="33"/>
      <c r="X315" s="93"/>
      <c r="Y315" s="93"/>
      <c r="Z315" s="93"/>
      <c r="AA315" s="93"/>
      <c r="AB315" s="73"/>
      <c r="AC315" s="54"/>
      <c r="AD315" s="375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>
      <c r="A316" s="300">
        <v>30400021</v>
      </c>
      <c r="B316" s="192" t="s">
        <v>439</v>
      </c>
      <c r="C316" s="187" t="s">
        <v>517</v>
      </c>
      <c r="D316" s="17">
        <v>5.03</v>
      </c>
      <c r="E316" s="17"/>
      <c r="F316" s="6"/>
      <c r="G316" s="93"/>
      <c r="H316" s="378">
        <f t="shared" si="110"/>
        <v>0</v>
      </c>
      <c r="I316" s="93"/>
      <c r="J316" s="31"/>
      <c r="K316" s="35"/>
      <c r="L316" s="87">
        <v>13.5</v>
      </c>
      <c r="M316" s="36"/>
      <c r="N316" s="31"/>
      <c r="O316" s="93"/>
      <c r="P316" s="93"/>
      <c r="Q316" s="93"/>
      <c r="R316" s="93"/>
      <c r="S316" s="93"/>
      <c r="T316" s="93"/>
      <c r="U316" s="93"/>
      <c r="V316" s="206"/>
      <c r="W316" s="33"/>
      <c r="X316" s="93"/>
      <c r="Y316" s="93"/>
      <c r="Z316" s="93"/>
      <c r="AA316" s="93"/>
      <c r="AB316" s="73"/>
      <c r="AC316" s="54"/>
      <c r="AD316" s="379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>
      <c r="A317" s="300">
        <v>30400018</v>
      </c>
      <c r="B317" s="192" t="s">
        <v>439</v>
      </c>
      <c r="C317" s="16" t="s">
        <v>55</v>
      </c>
      <c r="D317" s="17">
        <v>5.03</v>
      </c>
      <c r="E317" s="17"/>
      <c r="F317" s="6"/>
      <c r="G317" s="93"/>
      <c r="H317" s="450">
        <f t="shared" si="110"/>
        <v>0</v>
      </c>
      <c r="I317" s="93"/>
      <c r="J317" s="31"/>
      <c r="K317" s="35"/>
      <c r="L317" s="87"/>
      <c r="M317" s="36"/>
      <c r="N317" s="31"/>
      <c r="O317" s="93"/>
      <c r="P317" s="93"/>
      <c r="Q317" s="93"/>
      <c r="R317" s="93"/>
      <c r="S317" s="93"/>
      <c r="T317" s="93"/>
      <c r="U317" s="93"/>
      <c r="V317" s="206"/>
      <c r="W317" s="33"/>
      <c r="X317" s="93"/>
      <c r="Y317" s="93"/>
      <c r="Z317" s="93"/>
      <c r="AA317" s="93"/>
      <c r="AB317" s="73"/>
      <c r="AC317" s="54"/>
      <c r="AD317" s="451"/>
      <c r="AE317" s="54"/>
      <c r="AF317" s="54"/>
      <c r="AG317" s="54"/>
      <c r="AH317" s="5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>
      <c r="A318" s="300">
        <v>30400022</v>
      </c>
      <c r="B318" s="62" t="s">
        <v>100</v>
      </c>
      <c r="C318" s="16" t="s">
        <v>55</v>
      </c>
      <c r="D318" s="17">
        <v>5.04</v>
      </c>
      <c r="E318" s="17"/>
      <c r="F318" s="6"/>
      <c r="G318" s="93">
        <f>SUM('1:2'!G318)</f>
        <v>0</v>
      </c>
      <c r="H318" s="364">
        <f t="shared" si="110"/>
        <v>0</v>
      </c>
      <c r="I318" s="93">
        <f>SUM('1:2'!I318)</f>
        <v>0</v>
      </c>
      <c r="J318" s="31" t="str">
        <f t="array" ref="J318">IF(ISERROR(G318/I318),"",G318/I318)</f>
        <v/>
      </c>
      <c r="K318" s="35">
        <f t="array" ref="K318">IF(ISERROR(G318/L318),"",G318/L318)</f>
        <v>0</v>
      </c>
      <c r="L318" s="87">
        <v>22</v>
      </c>
      <c r="M318" s="36">
        <f t="shared" ref="M318" si="114">IF(ISERROR(I318-K318),"",I318-K318)</f>
        <v>0</v>
      </c>
      <c r="N318" s="31">
        <f t="shared" ref="N318" si="115">SUM(O318:U318)</f>
        <v>0</v>
      </c>
      <c r="O318" s="93">
        <f>SUM('1:2'!O318)</f>
        <v>0</v>
      </c>
      <c r="P318" s="93">
        <f>SUM('1:2'!P318)</f>
        <v>0</v>
      </c>
      <c r="Q318" s="93">
        <f>SUM('1:2'!Q318)</f>
        <v>0</v>
      </c>
      <c r="R318" s="93">
        <f>SUM('1:2'!R318)</f>
        <v>0</v>
      </c>
      <c r="S318" s="93">
        <f>SUM('1:2'!S318)</f>
        <v>0</v>
      </c>
      <c r="T318" s="93">
        <f>SUM('1:2'!T318)</f>
        <v>0</v>
      </c>
      <c r="U318" s="93">
        <f>SUM('1:2'!U318)</f>
        <v>0</v>
      </c>
      <c r="V318" s="206">
        <f t="shared" ref="V318" si="116">SUM(X318:AA318)</f>
        <v>0</v>
      </c>
      <c r="W318" s="33" t="str">
        <f t="shared" ref="W318:W323" si="117">IF(ISERROR(V318/G318),"",V318/G318)</f>
        <v/>
      </c>
      <c r="X318" s="93">
        <f>SUM('1:2'!X318)</f>
        <v>0</v>
      </c>
      <c r="Y318" s="93">
        <f>SUM('1:2'!Y318)</f>
        <v>0</v>
      </c>
      <c r="Z318" s="93">
        <f>SUM('1:2'!Z318)</f>
        <v>0</v>
      </c>
      <c r="AA318" s="93">
        <f>SUM('1:2'!AA318)</f>
        <v>0</v>
      </c>
      <c r="AB318" s="73"/>
      <c r="AC318" s="54"/>
      <c r="AD318" s="370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>
      <c r="A319" s="691" t="s">
        <v>102</v>
      </c>
      <c r="B319" s="692"/>
      <c r="C319" s="359" t="s">
        <v>71</v>
      </c>
      <c r="D319" s="20"/>
      <c r="E319" s="20"/>
      <c r="F319" s="32"/>
      <c r="G319" s="103">
        <f>SUM(G309:G318)</f>
        <v>18</v>
      </c>
      <c r="H319" s="30">
        <f>SUM(H309:H318)</f>
        <v>90.54</v>
      </c>
      <c r="I319" s="30">
        <f>SUM(I309:I318)</f>
        <v>2</v>
      </c>
      <c r="J319" s="31">
        <f t="array" ref="J319">IF(ISERROR(G319/I319),"",G319/I319)</f>
        <v>9</v>
      </c>
      <c r="K319" s="30">
        <f>SUM(K309:K318)</f>
        <v>0</v>
      </c>
      <c r="L319" s="98"/>
      <c r="M319" s="89">
        <f>SUM(M309:M318)</f>
        <v>0</v>
      </c>
      <c r="N319" s="30">
        <f>SUM(N309:N318)</f>
        <v>0</v>
      </c>
      <c r="O319" s="91">
        <f>SUM(O309:O318)</f>
        <v>0</v>
      </c>
      <c r="P319" s="91">
        <f>SUM(P309:P318)</f>
        <v>0</v>
      </c>
      <c r="Q319" s="91">
        <f>SUM(Q309:Q318)</f>
        <v>0</v>
      </c>
      <c r="R319" s="91"/>
      <c r="S319" s="92">
        <f>SUM(S309:S318)</f>
        <v>0</v>
      </c>
      <c r="T319" s="91">
        <f>SUM(T309:T318)</f>
        <v>0</v>
      </c>
      <c r="U319" s="91">
        <f>SUM(U309:U318)</f>
        <v>0</v>
      </c>
      <c r="V319" s="206">
        <f>SUM(V309:V318)</f>
        <v>0</v>
      </c>
      <c r="W319" s="33">
        <f t="shared" si="117"/>
        <v>0</v>
      </c>
      <c r="X319" s="92">
        <f>SUM(X309:X318)</f>
        <v>0</v>
      </c>
      <c r="Y319" s="92">
        <f>SUM(Y309:Y318)</f>
        <v>0</v>
      </c>
      <c r="Z319" s="92">
        <f>SUM(Z309:Z318)</f>
        <v>0</v>
      </c>
      <c r="AA319" s="92">
        <f>SUM(AA309:AA318)</f>
        <v>0</v>
      </c>
      <c r="AB319" s="75"/>
      <c r="AC319" s="70"/>
      <c r="AD319" s="370"/>
      <c r="AE319" s="74"/>
      <c r="AF319" s="74"/>
      <c r="AG319" s="74"/>
      <c r="AH319" s="7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>
      <c r="A320" s="299">
        <v>30700013</v>
      </c>
      <c r="B320" s="64" t="s">
        <v>103</v>
      </c>
      <c r="C320" s="358"/>
      <c r="D320" s="17">
        <v>3.65</v>
      </c>
      <c r="E320" s="17"/>
      <c r="F320" s="53"/>
      <c r="G320" s="93">
        <f>SUM('1:2'!G320)</f>
        <v>0</v>
      </c>
      <c r="H320" s="364">
        <f>D320*G320</f>
        <v>0</v>
      </c>
      <c r="I320" s="93">
        <f>SUM('1:2'!I320)</f>
        <v>0</v>
      </c>
      <c r="J320" s="31" t="str">
        <f t="array" ref="J320">IF(ISERROR(G320/I320),"",G320/I320)</f>
        <v/>
      </c>
      <c r="K320" s="364">
        <f t="array" ref="K320">IF(ISERROR(G320/L320),"",G320/L320)</f>
        <v>0</v>
      </c>
      <c r="L320" s="87">
        <v>5</v>
      </c>
      <c r="M320" s="36">
        <f t="shared" ref="M320:M323" si="118">IF(ISERROR(I320-K320),"",I320-K320)</f>
        <v>0</v>
      </c>
      <c r="N320" s="31">
        <f t="shared" ref="N320:N323" si="119">SUM(O320:U320)</f>
        <v>0</v>
      </c>
      <c r="O320" s="93">
        <f>SUM('1:2'!O320)</f>
        <v>0</v>
      </c>
      <c r="P320" s="93">
        <f>SUM('1:2'!P320)</f>
        <v>0</v>
      </c>
      <c r="Q320" s="93">
        <f>SUM('1:2'!Q320)</f>
        <v>0</v>
      </c>
      <c r="R320" s="93">
        <f>SUM('1:2'!R320)</f>
        <v>0</v>
      </c>
      <c r="S320" s="93">
        <f>SUM('1:2'!S320)</f>
        <v>0</v>
      </c>
      <c r="T320" s="93">
        <f>SUM('1:2'!T320)</f>
        <v>0</v>
      </c>
      <c r="U320" s="93">
        <f>SUM('1:2'!U320)</f>
        <v>0</v>
      </c>
      <c r="V320" s="206">
        <f t="shared" ref="V320:V323" si="120">SUM(X320:AA320)</f>
        <v>0</v>
      </c>
      <c r="W320" s="33" t="str">
        <f t="shared" si="117"/>
        <v/>
      </c>
      <c r="X320" s="93">
        <f>SUM('1:2'!X320)</f>
        <v>0</v>
      </c>
      <c r="Y320" s="93">
        <f>SUM('1:2'!Y320)</f>
        <v>0</v>
      </c>
      <c r="Z320" s="93">
        <f>SUM('1:2'!Z320)</f>
        <v>0</v>
      </c>
      <c r="AA320" s="93">
        <f>SUM('1:2'!AA320)</f>
        <v>0</v>
      </c>
      <c r="AB320" s="73"/>
      <c r="AC320" s="54"/>
      <c r="AD320" s="370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>
      <c r="A321" s="299">
        <v>30700014</v>
      </c>
      <c r="B321" s="64" t="s">
        <v>0</v>
      </c>
      <c r="C321" s="358"/>
      <c r="D321" s="17">
        <v>6.58</v>
      </c>
      <c r="E321" s="17"/>
      <c r="F321" s="6"/>
      <c r="G321" s="93">
        <f>SUM('1:2'!G321)</f>
        <v>0</v>
      </c>
      <c r="H321" s="364">
        <f t="shared" ref="H321:H333" si="121">D321*G321</f>
        <v>0</v>
      </c>
      <c r="I321" s="93">
        <f>SUM('1:2'!I321)</f>
        <v>0</v>
      </c>
      <c r="J321" s="31" t="str">
        <f t="array" ref="J321">IF(ISERROR(G321/I321),"",G321/I321)</f>
        <v/>
      </c>
      <c r="K321" s="35">
        <f t="array" ref="K321">IF(ISERROR(G321/L321),"",G321/L321)</f>
        <v>0</v>
      </c>
      <c r="L321" s="87">
        <v>5</v>
      </c>
      <c r="M321" s="36">
        <f t="shared" si="118"/>
        <v>0</v>
      </c>
      <c r="N321" s="31">
        <f t="shared" si="119"/>
        <v>0</v>
      </c>
      <c r="O321" s="93">
        <f>SUM('1:2'!O321)</f>
        <v>0</v>
      </c>
      <c r="P321" s="93">
        <f>SUM('1:2'!P321)</f>
        <v>0</v>
      </c>
      <c r="Q321" s="93">
        <f>SUM('1:2'!Q321)</f>
        <v>0</v>
      </c>
      <c r="R321" s="93">
        <f>SUM('1:2'!R321)</f>
        <v>0</v>
      </c>
      <c r="S321" s="93">
        <f>SUM('1:2'!S321)</f>
        <v>0</v>
      </c>
      <c r="T321" s="93">
        <f>SUM('1:2'!T321)</f>
        <v>0</v>
      </c>
      <c r="U321" s="93">
        <f>SUM('1:2'!U321)</f>
        <v>0</v>
      </c>
      <c r="V321" s="206">
        <f t="shared" si="120"/>
        <v>0</v>
      </c>
      <c r="W321" s="33" t="str">
        <f t="shared" si="117"/>
        <v/>
      </c>
      <c r="X321" s="93">
        <f>SUM('1:2'!X321)</f>
        <v>0</v>
      </c>
      <c r="Y321" s="93">
        <f>SUM('1:2'!Y321)</f>
        <v>0</v>
      </c>
      <c r="Z321" s="93">
        <f>SUM('1:2'!Z321)</f>
        <v>0</v>
      </c>
      <c r="AA321" s="93">
        <f>SUM('1:2'!AA321)</f>
        <v>0</v>
      </c>
      <c r="AB321" s="73"/>
      <c r="AC321" s="54"/>
      <c r="AD321" s="370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>
      <c r="A322" s="299">
        <v>30700016</v>
      </c>
      <c r="B322" s="64" t="s">
        <v>1</v>
      </c>
      <c r="C322" s="358"/>
      <c r="D322" s="17">
        <v>7.8</v>
      </c>
      <c r="E322" s="17"/>
      <c r="F322" s="6"/>
      <c r="G322" s="93">
        <f>SUM('1:2'!G322)</f>
        <v>0</v>
      </c>
      <c r="H322" s="364">
        <f t="shared" si="121"/>
        <v>0</v>
      </c>
      <c r="I322" s="93">
        <f>SUM('1:2'!I322)</f>
        <v>0</v>
      </c>
      <c r="J322" s="31" t="str">
        <f t="array" ref="J322">IF(ISERROR(G322/I322),"",G322/I322)</f>
        <v/>
      </c>
      <c r="K322" s="35">
        <f t="array" ref="K322">IF(ISERROR(G322/L322),"",G322/L322)</f>
        <v>0</v>
      </c>
      <c r="L322" s="87">
        <v>4.5999999999999996</v>
      </c>
      <c r="M322" s="36">
        <f t="shared" si="118"/>
        <v>0</v>
      </c>
      <c r="N322" s="31">
        <f t="shared" si="119"/>
        <v>0</v>
      </c>
      <c r="O322" s="93">
        <f>SUM('1:2'!O322)</f>
        <v>0</v>
      </c>
      <c r="P322" s="93">
        <f>SUM('1:2'!P322)</f>
        <v>0</v>
      </c>
      <c r="Q322" s="93">
        <f>SUM('1:2'!Q322)</f>
        <v>0</v>
      </c>
      <c r="R322" s="93">
        <f>SUM('1:2'!R322)</f>
        <v>0</v>
      </c>
      <c r="S322" s="93">
        <f>SUM('1:2'!S322)</f>
        <v>0</v>
      </c>
      <c r="T322" s="93">
        <f>SUM('1:2'!T322)</f>
        <v>0</v>
      </c>
      <c r="U322" s="93">
        <f>SUM('1:2'!U322)</f>
        <v>0</v>
      </c>
      <c r="V322" s="206">
        <f t="shared" si="120"/>
        <v>0</v>
      </c>
      <c r="W322" s="33" t="str">
        <f t="shared" si="117"/>
        <v/>
      </c>
      <c r="X322" s="93">
        <f>SUM('1:2'!X322)</f>
        <v>0</v>
      </c>
      <c r="Y322" s="93">
        <f>SUM('1:2'!Y322)</f>
        <v>0</v>
      </c>
      <c r="Z322" s="93">
        <f>SUM('1:2'!Z322)</f>
        <v>0</v>
      </c>
      <c r="AA322" s="93">
        <f>SUM('1:2'!AA322)</f>
        <v>0</v>
      </c>
      <c r="AB322" s="73"/>
      <c r="AC322" s="54"/>
      <c r="AD322" s="370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>
      <c r="A323" s="299">
        <v>30700017</v>
      </c>
      <c r="B323" s="64" t="s">
        <v>2</v>
      </c>
      <c r="C323" s="358"/>
      <c r="D323" s="17">
        <v>4.4000000000000004</v>
      </c>
      <c r="E323" s="17"/>
      <c r="F323" s="6"/>
      <c r="G323" s="93">
        <f>SUM('1:2'!G323)</f>
        <v>0</v>
      </c>
      <c r="H323" s="364">
        <f t="shared" si="121"/>
        <v>0</v>
      </c>
      <c r="I323" s="93">
        <f>SUM('1:2'!I323)</f>
        <v>0</v>
      </c>
      <c r="J323" s="31" t="str">
        <f t="array" ref="J323">IF(ISERROR(G323/I323),"",G323/I323)</f>
        <v/>
      </c>
      <c r="K323" s="35">
        <f t="array" ref="K323">IF(ISERROR(G323/L323),"",G323/L323)</f>
        <v>0</v>
      </c>
      <c r="L323" s="87">
        <v>5.8</v>
      </c>
      <c r="M323" s="36">
        <f t="shared" si="118"/>
        <v>0</v>
      </c>
      <c r="N323" s="31">
        <f t="shared" si="119"/>
        <v>0</v>
      </c>
      <c r="O323" s="93">
        <f>SUM('1:2'!O323)</f>
        <v>0</v>
      </c>
      <c r="P323" s="93">
        <f>SUM('1:2'!P323)</f>
        <v>0</v>
      </c>
      <c r="Q323" s="93">
        <f>SUM('1:2'!Q323)</f>
        <v>0</v>
      </c>
      <c r="R323" s="93">
        <f>SUM('1:2'!R323)</f>
        <v>0</v>
      </c>
      <c r="S323" s="93">
        <f>SUM('1:2'!S323)</f>
        <v>0</v>
      </c>
      <c r="T323" s="93">
        <f>SUM('1:2'!T323)</f>
        <v>0</v>
      </c>
      <c r="U323" s="93">
        <f>SUM('1:2'!U323)</f>
        <v>0</v>
      </c>
      <c r="V323" s="206">
        <f t="shared" si="120"/>
        <v>0</v>
      </c>
      <c r="W323" s="33" t="str">
        <f t="shared" si="117"/>
        <v/>
      </c>
      <c r="X323" s="93">
        <f>SUM('1:2'!X323)</f>
        <v>0</v>
      </c>
      <c r="Y323" s="93">
        <f>SUM('1:2'!Y323)</f>
        <v>0</v>
      </c>
      <c r="Z323" s="93">
        <f>SUM('1:2'!Z323)</f>
        <v>0</v>
      </c>
      <c r="AA323" s="93">
        <f>SUM('1:2'!AA323)</f>
        <v>0</v>
      </c>
      <c r="AB323" s="73"/>
      <c r="AC323" s="54"/>
      <c r="AD323" s="370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>
      <c r="A324" s="299">
        <v>30700001</v>
      </c>
      <c r="B324" s="191" t="s">
        <v>359</v>
      </c>
      <c r="C324" s="358"/>
      <c r="D324" s="17"/>
      <c r="E324" s="17"/>
      <c r="F324" s="6"/>
      <c r="G324" s="93">
        <f>SUM('1:2'!G324)</f>
        <v>0</v>
      </c>
      <c r="H324" s="364">
        <f t="shared" si="121"/>
        <v>0</v>
      </c>
      <c r="I324" s="93">
        <f>SUM('1:2'!I324)</f>
        <v>0</v>
      </c>
      <c r="J324" s="31"/>
      <c r="K324" s="35"/>
      <c r="L324" s="87">
        <v>6</v>
      </c>
      <c r="M324" s="36"/>
      <c r="N324" s="31"/>
      <c r="O324" s="93">
        <f>SUM('1:2'!O324)</f>
        <v>0</v>
      </c>
      <c r="P324" s="93">
        <f>SUM('1:2'!P324)</f>
        <v>0</v>
      </c>
      <c r="Q324" s="93">
        <f>SUM('1:2'!Q324)</f>
        <v>0</v>
      </c>
      <c r="R324" s="93">
        <f>SUM('1:2'!R324)</f>
        <v>0</v>
      </c>
      <c r="S324" s="93">
        <f>SUM('1:2'!S324)</f>
        <v>0</v>
      </c>
      <c r="T324" s="93">
        <f>SUM('1:2'!T324)</f>
        <v>0</v>
      </c>
      <c r="U324" s="93">
        <f>SUM('1:2'!U324)</f>
        <v>0</v>
      </c>
      <c r="V324" s="206"/>
      <c r="W324" s="33"/>
      <c r="X324" s="93">
        <f>SUM('1:2'!X324)</f>
        <v>0</v>
      </c>
      <c r="Y324" s="93">
        <f>SUM('1:2'!Y324)</f>
        <v>0</v>
      </c>
      <c r="Z324" s="93">
        <f>SUM('1:2'!Z324)</f>
        <v>0</v>
      </c>
      <c r="AA324" s="93">
        <f>SUM('1:2'!AA324)</f>
        <v>0</v>
      </c>
      <c r="AB324" s="73"/>
      <c r="AC324" s="54"/>
      <c r="AD324" s="370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>
      <c r="A325" s="305"/>
      <c r="B325" s="66" t="s">
        <v>104</v>
      </c>
      <c r="C325" s="358" t="s">
        <v>53</v>
      </c>
      <c r="D325" s="17">
        <v>6.04</v>
      </c>
      <c r="E325" s="17"/>
      <c r="F325" s="6"/>
      <c r="G325" s="93">
        <f>SUM('1:2'!G325)</f>
        <v>0</v>
      </c>
      <c r="H325" s="364">
        <f t="shared" si="121"/>
        <v>0</v>
      </c>
      <c r="I325" s="93">
        <f>SUM('1:2'!I325)</f>
        <v>0</v>
      </c>
      <c r="J325" s="31" t="str">
        <f t="array" ref="J325">IF(ISERROR(G325/I325),"",G325/I325)</f>
        <v/>
      </c>
      <c r="K325" s="35">
        <f t="array" ref="K325">IF(ISERROR(G325/L325),"",G325/L325)</f>
        <v>0</v>
      </c>
      <c r="L325" s="87">
        <v>6</v>
      </c>
      <c r="M325" s="36">
        <f t="shared" ref="M325:M326" si="122">IF(ISERROR(I325-K325),"",I325-K325)</f>
        <v>0</v>
      </c>
      <c r="N325" s="31">
        <f t="shared" ref="N325:N326" si="123">SUM(O325:U325)</f>
        <v>0</v>
      </c>
      <c r="O325" s="93">
        <f>SUM('1:2'!O325)</f>
        <v>0</v>
      </c>
      <c r="P325" s="93">
        <f>SUM('1:2'!P325)</f>
        <v>0</v>
      </c>
      <c r="Q325" s="93">
        <f>SUM('1:2'!Q325)</f>
        <v>0</v>
      </c>
      <c r="R325" s="93">
        <f>SUM('1:2'!R325)</f>
        <v>0</v>
      </c>
      <c r="S325" s="93">
        <f>SUM('1:2'!S325)</f>
        <v>0</v>
      </c>
      <c r="T325" s="93">
        <f>SUM('1:2'!T325)</f>
        <v>0</v>
      </c>
      <c r="U325" s="93">
        <f>SUM('1:2'!U325)</f>
        <v>0</v>
      </c>
      <c r="V325" s="206">
        <f t="shared" ref="V325:V326" si="124">SUM(X325:AA325)</f>
        <v>0</v>
      </c>
      <c r="W325" s="33" t="str">
        <f t="shared" ref="W325:W326" si="125">IF(ISERROR(V325/G325),"",V325/G325)</f>
        <v/>
      </c>
      <c r="X325" s="93">
        <f>SUM('1:2'!X325)</f>
        <v>0</v>
      </c>
      <c r="Y325" s="93">
        <f>SUM('1:2'!Y325)</f>
        <v>0</v>
      </c>
      <c r="Z325" s="93">
        <f>SUM('1:2'!Z325)</f>
        <v>0</v>
      </c>
      <c r="AA325" s="93">
        <f>SUM('1:2'!AA325)</f>
        <v>0</v>
      </c>
      <c r="AB325" s="73"/>
      <c r="AC325" s="54"/>
      <c r="AD325" s="370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>
      <c r="A326" s="305">
        <v>30700019</v>
      </c>
      <c r="B326" s="66" t="s">
        <v>104</v>
      </c>
      <c r="C326" s="358" t="s">
        <v>60</v>
      </c>
      <c r="D326" s="17">
        <v>6.04</v>
      </c>
      <c r="E326" s="17"/>
      <c r="F326" s="6"/>
      <c r="G326" s="93">
        <f>SUM('1:2'!G326)</f>
        <v>0</v>
      </c>
      <c r="H326" s="364">
        <f t="shared" si="121"/>
        <v>0</v>
      </c>
      <c r="I326" s="93">
        <f>SUM('1:2'!I326)</f>
        <v>0</v>
      </c>
      <c r="J326" s="31" t="str">
        <f t="array" ref="J326">IF(ISERROR(G326/I326),"",G326/I326)</f>
        <v/>
      </c>
      <c r="K326" s="35">
        <f t="array" ref="K326">IF(ISERROR(G326/L326),"",G326/L326)</f>
        <v>0</v>
      </c>
      <c r="L326" s="87">
        <v>6</v>
      </c>
      <c r="M326" s="36">
        <f t="shared" si="122"/>
        <v>0</v>
      </c>
      <c r="N326" s="31">
        <f t="shared" si="123"/>
        <v>0</v>
      </c>
      <c r="O326" s="93">
        <f>SUM('1:2'!O326)</f>
        <v>0</v>
      </c>
      <c r="P326" s="93">
        <f>SUM('1:2'!P326)</f>
        <v>0</v>
      </c>
      <c r="Q326" s="93">
        <f>SUM('1:2'!Q326)</f>
        <v>0</v>
      </c>
      <c r="R326" s="93">
        <f>SUM('1:2'!R326)</f>
        <v>0</v>
      </c>
      <c r="S326" s="93">
        <f>SUM('1:2'!S326)</f>
        <v>0</v>
      </c>
      <c r="T326" s="93">
        <f>SUM('1:2'!T326)</f>
        <v>0</v>
      </c>
      <c r="U326" s="93">
        <f>SUM('1:2'!U326)</f>
        <v>0</v>
      </c>
      <c r="V326" s="206">
        <f t="shared" si="124"/>
        <v>0</v>
      </c>
      <c r="W326" s="33" t="str">
        <f t="shared" si="125"/>
        <v/>
      </c>
      <c r="X326" s="93">
        <f>SUM('1:2'!X326)</f>
        <v>0</v>
      </c>
      <c r="Y326" s="93">
        <f>SUM('1:2'!Y326)</f>
        <v>0</v>
      </c>
      <c r="Z326" s="93">
        <f>SUM('1:2'!Z326)</f>
        <v>0</v>
      </c>
      <c r="AA326" s="93">
        <f>SUM('1:2'!AA326)</f>
        <v>0</v>
      </c>
      <c r="AB326" s="73"/>
      <c r="AC326" s="54"/>
      <c r="AD326" s="370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>
      <c r="A327" s="305">
        <v>30601015</v>
      </c>
      <c r="B327" s="281" t="s">
        <v>443</v>
      </c>
      <c r="C327" s="358" t="s">
        <v>53</v>
      </c>
      <c r="D327" s="17">
        <v>6</v>
      </c>
      <c r="E327" s="17"/>
      <c r="F327" s="6"/>
      <c r="G327" s="93">
        <f>SUM('1:2'!G327)</f>
        <v>0</v>
      </c>
      <c r="H327" s="364">
        <f t="shared" si="121"/>
        <v>0</v>
      </c>
      <c r="I327" s="93">
        <f>SUM('1:2'!I327)</f>
        <v>0</v>
      </c>
      <c r="J327" s="31"/>
      <c r="K327" s="35"/>
      <c r="L327" s="87"/>
      <c r="M327" s="36"/>
      <c r="N327" s="31"/>
      <c r="O327" s="93"/>
      <c r="P327" s="93"/>
      <c r="Q327" s="93"/>
      <c r="R327" s="93"/>
      <c r="S327" s="93"/>
      <c r="T327" s="93"/>
      <c r="U327" s="93"/>
      <c r="V327" s="206"/>
      <c r="W327" s="33"/>
      <c r="X327" s="93"/>
      <c r="Y327" s="93"/>
      <c r="Z327" s="93"/>
      <c r="AA327" s="93"/>
      <c r="AB327" s="73"/>
      <c r="AC327" s="54"/>
      <c r="AD327" s="370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>
      <c r="A328" s="305">
        <v>30101016</v>
      </c>
      <c r="B328" s="281" t="s">
        <v>443</v>
      </c>
      <c r="C328" s="358" t="s">
        <v>60</v>
      </c>
      <c r="D328" s="17">
        <v>6</v>
      </c>
      <c r="E328" s="17"/>
      <c r="F328" s="6"/>
      <c r="G328" s="93">
        <f>SUM('1:2'!G328)</f>
        <v>0</v>
      </c>
      <c r="H328" s="364">
        <f t="shared" si="121"/>
        <v>0</v>
      </c>
      <c r="I328" s="93">
        <f>SUM('1:2'!I328)</f>
        <v>0</v>
      </c>
      <c r="J328" s="31"/>
      <c r="K328" s="35">
        <f t="array" ref="K328">IF(ISERROR(G328/L328),"",G328/L328)</f>
        <v>0</v>
      </c>
      <c r="L328" s="87">
        <v>6</v>
      </c>
      <c r="M328" s="36"/>
      <c r="N328" s="31"/>
      <c r="O328" s="93">
        <f>SUM('1:2'!O328)</f>
        <v>0</v>
      </c>
      <c r="P328" s="93">
        <f>SUM('1:2'!P328)</f>
        <v>0</v>
      </c>
      <c r="Q328" s="93">
        <f>SUM('1:2'!Q328)</f>
        <v>0</v>
      </c>
      <c r="R328" s="93">
        <f>SUM('1:2'!R328)</f>
        <v>0</v>
      </c>
      <c r="S328" s="93">
        <f>SUM('1:2'!S328)</f>
        <v>0</v>
      </c>
      <c r="T328" s="93">
        <f>SUM('1:2'!T328)</f>
        <v>0</v>
      </c>
      <c r="U328" s="93">
        <f>SUM('1:2'!U328)</f>
        <v>0</v>
      </c>
      <c r="V328" s="206"/>
      <c r="W328" s="33"/>
      <c r="X328" s="93">
        <f>SUM('1:2'!X328)</f>
        <v>0</v>
      </c>
      <c r="Y328" s="93">
        <f>SUM('1:2'!Y328)</f>
        <v>0</v>
      </c>
      <c r="Z328" s="93">
        <f>SUM('1:2'!Z328)</f>
        <v>0</v>
      </c>
      <c r="AA328" s="93">
        <f>SUM('1:2'!AA328)</f>
        <v>0</v>
      </c>
      <c r="AB328" s="73"/>
      <c r="AC328" s="54"/>
      <c r="AD328" s="370"/>
      <c r="AE328" s="54"/>
      <c r="AF328" s="54"/>
      <c r="AG328" s="54"/>
      <c r="AH328" s="54"/>
      <c r="AI328" s="57"/>
      <c r="AJ328" s="57"/>
      <c r="AK328" s="57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</row>
    <row r="329" spans="1:53">
      <c r="A329" s="299">
        <v>30700018</v>
      </c>
      <c r="B329" s="61" t="s">
        <v>159</v>
      </c>
      <c r="C329" s="16"/>
      <c r="D329" s="17">
        <v>7.3</v>
      </c>
      <c r="E329" s="17"/>
      <c r="F329" s="6"/>
      <c r="G329" s="93"/>
      <c r="H329" s="364">
        <f t="shared" si="121"/>
        <v>0</v>
      </c>
      <c r="I329" s="93"/>
      <c r="J329" s="31"/>
      <c r="K329" s="35"/>
      <c r="L329" s="87"/>
      <c r="M329" s="36"/>
      <c r="N329" s="31"/>
      <c r="O329" s="93"/>
      <c r="P329" s="93"/>
      <c r="Q329" s="93"/>
      <c r="R329" s="93"/>
      <c r="S329" s="93"/>
      <c r="T329" s="93"/>
      <c r="U329" s="93"/>
      <c r="V329" s="206"/>
      <c r="W329" s="33"/>
      <c r="X329" s="93"/>
      <c r="Y329" s="93"/>
      <c r="Z329" s="93"/>
      <c r="AA329" s="93"/>
      <c r="AB329" s="73"/>
      <c r="AC329" s="54"/>
      <c r="AD329" s="370"/>
      <c r="AE329" s="54"/>
      <c r="AF329" s="54"/>
      <c r="AG329" s="54"/>
      <c r="AH329" s="54"/>
      <c r="AI329" s="57"/>
      <c r="AJ329" s="57"/>
      <c r="AK329" s="57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</row>
    <row r="330" spans="1:53">
      <c r="A330" s="299">
        <v>30700010</v>
      </c>
      <c r="B330" s="61" t="s">
        <v>105</v>
      </c>
      <c r="C330" s="16"/>
      <c r="D330" s="17">
        <f>78*120/1000</f>
        <v>9.36</v>
      </c>
      <c r="E330" s="17"/>
      <c r="F330" s="6"/>
      <c r="G330" s="93">
        <f>SUM('1:2'!G330)</f>
        <v>0</v>
      </c>
      <c r="H330" s="364">
        <f t="shared" si="121"/>
        <v>0</v>
      </c>
      <c r="I330" s="93">
        <f>SUM('1:2'!I330)</f>
        <v>0</v>
      </c>
      <c r="J330" s="31" t="str">
        <f t="array" ref="J330">IF(ISERROR(G330/I330),"",G330/I330)</f>
        <v/>
      </c>
      <c r="K330" s="35">
        <f t="array" ref="K330">IF(ISERROR(G330/L330),"",G330/L330)</f>
        <v>0</v>
      </c>
      <c r="L330" s="87">
        <v>7.5</v>
      </c>
      <c r="M330" s="36">
        <f t="shared" ref="M330" si="126">IF(ISERROR(I330-K330),"",I330-K330)</f>
        <v>0</v>
      </c>
      <c r="N330" s="31">
        <f t="shared" ref="N330" si="127">SUM(O330:U330)</f>
        <v>0</v>
      </c>
      <c r="O330" s="93">
        <f>SUM('1:2'!O330)</f>
        <v>0</v>
      </c>
      <c r="P330" s="93">
        <f>SUM('1:2'!P330)</f>
        <v>0</v>
      </c>
      <c r="Q330" s="93">
        <f>SUM('1:2'!Q330)</f>
        <v>0</v>
      </c>
      <c r="R330" s="93">
        <f>SUM('1:2'!R330)</f>
        <v>0</v>
      </c>
      <c r="S330" s="93">
        <f>SUM('1:2'!S330)</f>
        <v>0</v>
      </c>
      <c r="T330" s="93">
        <f>SUM('1:2'!T330)</f>
        <v>0</v>
      </c>
      <c r="U330" s="93">
        <f>SUM('1:2'!U330)</f>
        <v>0</v>
      </c>
      <c r="V330" s="206">
        <f t="shared" ref="V330" si="128">SUM(X330:AA330)</f>
        <v>0</v>
      </c>
      <c r="W330" s="33" t="str">
        <f t="shared" ref="W330" si="129">IF(ISERROR(V330/G330),"",V330/G330)</f>
        <v/>
      </c>
      <c r="X330" s="93">
        <f>SUM('1:2'!X330)</f>
        <v>0</v>
      </c>
      <c r="Y330" s="93">
        <f>SUM('1:2'!Y330)</f>
        <v>0</v>
      </c>
      <c r="Z330" s="93">
        <f>SUM('1:2'!Z330)</f>
        <v>0</v>
      </c>
      <c r="AA330" s="93">
        <f>SUM('1:2'!AA330)</f>
        <v>0</v>
      </c>
      <c r="AB330" s="73"/>
      <c r="AC330" s="54"/>
      <c r="AD330" s="370"/>
      <c r="AE330" s="54"/>
      <c r="AF330" s="54"/>
      <c r="AG330" s="54"/>
      <c r="AH330" s="54"/>
      <c r="AI330" s="57"/>
      <c r="AJ330" s="57"/>
      <c r="AK330" s="57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</row>
    <row r="331" spans="1:53">
      <c r="A331" s="299">
        <v>30700015</v>
      </c>
      <c r="B331" s="360" t="s">
        <v>159</v>
      </c>
      <c r="C331" s="16"/>
      <c r="D331" s="17">
        <v>4.5</v>
      </c>
      <c r="E331" s="17"/>
      <c r="F331" s="6"/>
      <c r="G331" s="93">
        <f>SUM('1:2'!G331)</f>
        <v>0</v>
      </c>
      <c r="H331" s="364">
        <f t="shared" si="121"/>
        <v>0</v>
      </c>
      <c r="I331" s="93">
        <f>SUM('1:2'!I331)</f>
        <v>0</v>
      </c>
      <c r="J331" s="31"/>
      <c r="K331" s="35" t="str">
        <f t="array" ref="K331">IF(ISERROR(G331/L331),"",G331/L331)</f>
        <v/>
      </c>
      <c r="L331" s="87"/>
      <c r="M331" s="36"/>
      <c r="N331" s="31"/>
      <c r="O331" s="93">
        <f>SUM('1:2'!O331)</f>
        <v>0</v>
      </c>
      <c r="P331" s="93">
        <f>SUM('1:2'!P331)</f>
        <v>0</v>
      </c>
      <c r="Q331" s="93">
        <f>SUM('1:2'!Q331)</f>
        <v>0</v>
      </c>
      <c r="R331" s="93">
        <f>SUM('1:2'!R331)</f>
        <v>0</v>
      </c>
      <c r="S331" s="93">
        <f>SUM('1:2'!S331)</f>
        <v>0</v>
      </c>
      <c r="T331" s="93">
        <f>SUM('1:2'!T331)</f>
        <v>0</v>
      </c>
      <c r="U331" s="93">
        <f>SUM('1:2'!U331)</f>
        <v>0</v>
      </c>
      <c r="V331" s="206"/>
      <c r="W331" s="33"/>
      <c r="X331" s="93">
        <f>SUM('1:2'!X331)</f>
        <v>0</v>
      </c>
      <c r="Y331" s="93">
        <f>SUM('1:2'!Y331)</f>
        <v>0</v>
      </c>
      <c r="Z331" s="93">
        <f>SUM('1:2'!Z331)</f>
        <v>0</v>
      </c>
      <c r="AA331" s="93">
        <f>SUM('1:2'!AA331)</f>
        <v>0</v>
      </c>
      <c r="AB331" s="73"/>
      <c r="AC331" s="54"/>
      <c r="AD331" s="370"/>
      <c r="AE331" s="54"/>
      <c r="AF331" s="54"/>
      <c r="AG331" s="54"/>
      <c r="AH331" s="54"/>
      <c r="AI331" s="57"/>
      <c r="AJ331" s="57"/>
      <c r="AK331" s="57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</row>
    <row r="332" spans="1:53">
      <c r="A332" s="299">
        <v>30700012</v>
      </c>
      <c r="B332" s="360" t="s">
        <v>160</v>
      </c>
      <c r="C332" s="16"/>
      <c r="D332" s="17">
        <v>4.5</v>
      </c>
      <c r="E332" s="17"/>
      <c r="F332" s="6"/>
      <c r="G332" s="93">
        <f>SUM('1:2'!G332)</f>
        <v>0</v>
      </c>
      <c r="H332" s="364">
        <f t="shared" si="121"/>
        <v>0</v>
      </c>
      <c r="I332" s="93">
        <f>SUM('1:2'!I332)</f>
        <v>0</v>
      </c>
      <c r="J332" s="31"/>
      <c r="K332" s="35">
        <f t="array" ref="K332">IF(ISERROR(G332/L332),"",G332/L332)</f>
        <v>0</v>
      </c>
      <c r="L332" s="87">
        <v>6.5</v>
      </c>
      <c r="M332" s="36">
        <f>IF(ISERROR(I332-K332),"",I332-K332)</f>
        <v>0</v>
      </c>
      <c r="N332" s="31"/>
      <c r="O332" s="93">
        <f>SUM('1:2'!O332)</f>
        <v>0</v>
      </c>
      <c r="P332" s="93">
        <f>SUM('1:2'!P332)</f>
        <v>0</v>
      </c>
      <c r="Q332" s="93">
        <f>SUM('1:2'!Q332)</f>
        <v>0</v>
      </c>
      <c r="R332" s="93">
        <f>SUM('1:2'!R332)</f>
        <v>0</v>
      </c>
      <c r="S332" s="93">
        <f>SUM('1:2'!S332)</f>
        <v>0</v>
      </c>
      <c r="T332" s="93">
        <f>SUM('1:2'!T332)</f>
        <v>0</v>
      </c>
      <c r="U332" s="93">
        <f>SUM('1:2'!U332)</f>
        <v>0</v>
      </c>
      <c r="V332" s="206"/>
      <c r="W332" s="33"/>
      <c r="X332" s="93">
        <f>SUM('1:2'!X332)</f>
        <v>0</v>
      </c>
      <c r="Y332" s="93">
        <f>SUM('1:2'!Y332)</f>
        <v>0</v>
      </c>
      <c r="Z332" s="93">
        <f>SUM('1:2'!Z332)</f>
        <v>0</v>
      </c>
      <c r="AA332" s="93">
        <f>SUM('1:2'!AA332)</f>
        <v>0</v>
      </c>
      <c r="AB332" s="73"/>
      <c r="AC332" s="54"/>
      <c r="AD332" s="370"/>
      <c r="AE332" s="54"/>
      <c r="AF332" s="54"/>
      <c r="AG332" s="54"/>
      <c r="AH332" s="54"/>
      <c r="AI332" s="57"/>
      <c r="AJ332" s="57"/>
      <c r="AK332" s="57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</row>
    <row r="333" spans="1:53">
      <c r="A333" s="299"/>
      <c r="B333" s="199" t="s">
        <v>438</v>
      </c>
      <c r="C333" s="16"/>
      <c r="D333" s="17">
        <v>4.5</v>
      </c>
      <c r="E333" s="17"/>
      <c r="F333" s="6"/>
      <c r="G333" s="93">
        <f>SUM('1:2'!G333)</f>
        <v>0</v>
      </c>
      <c r="H333" s="364">
        <f t="shared" si="121"/>
        <v>0</v>
      </c>
      <c r="I333" s="93">
        <f>SUM('1:2'!I333)</f>
        <v>0</v>
      </c>
      <c r="J333" s="31"/>
      <c r="K333" s="35">
        <f t="array" ref="K333">IF(ISERROR(G333/L333),"",G333/L333)</f>
        <v>0</v>
      </c>
      <c r="L333" s="87">
        <v>7.5</v>
      </c>
      <c r="M333" s="36">
        <f>IF(ISERROR(I333-K333),"",I333-K333)</f>
        <v>0</v>
      </c>
      <c r="N333" s="31"/>
      <c r="O333" s="93">
        <f>SUM('1:2'!O333)</f>
        <v>0</v>
      </c>
      <c r="P333" s="93">
        <f>SUM('1:2'!P333)</f>
        <v>0</v>
      </c>
      <c r="Q333" s="93">
        <f>SUM('1:2'!Q333)</f>
        <v>0</v>
      </c>
      <c r="R333" s="93">
        <f>SUM('1:2'!R333)</f>
        <v>0</v>
      </c>
      <c r="S333" s="93">
        <f>SUM('1:2'!S333)</f>
        <v>0</v>
      </c>
      <c r="T333" s="93">
        <f>SUM('1:2'!T333)</f>
        <v>0</v>
      </c>
      <c r="U333" s="93">
        <f>SUM('1:2'!U333)</f>
        <v>0</v>
      </c>
      <c r="V333" s="206"/>
      <c r="W333" s="33"/>
      <c r="X333" s="93">
        <f>SUM('1:2'!X333)</f>
        <v>0</v>
      </c>
      <c r="Y333" s="93">
        <f>SUM('1:2'!Y333)</f>
        <v>0</v>
      </c>
      <c r="Z333" s="93">
        <f>SUM('1:2'!Z333)</f>
        <v>0</v>
      </c>
      <c r="AA333" s="93">
        <f>SUM('1:2'!AA333)</f>
        <v>0</v>
      </c>
      <c r="AB333" s="73"/>
      <c r="AC333" s="54"/>
      <c r="AD333" s="370"/>
      <c r="AE333" s="54"/>
      <c r="AF333" s="54"/>
      <c r="AG333" s="54"/>
      <c r="AH333" s="54"/>
      <c r="AI333" s="57"/>
      <c r="AJ333" s="57"/>
      <c r="AK333" s="57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</row>
    <row r="334" spans="1:53">
      <c r="A334" s="691" t="s">
        <v>106</v>
      </c>
      <c r="B334" s="692"/>
      <c r="C334" s="359" t="s">
        <v>71</v>
      </c>
      <c r="D334" s="20"/>
      <c r="E334" s="20"/>
      <c r="F334" s="32"/>
      <c r="G334" s="94">
        <f>SUM(G320:G333)</f>
        <v>0</v>
      </c>
      <c r="H334" s="30">
        <f>SUM(H320:H333)</f>
        <v>0</v>
      </c>
      <c r="I334" s="30">
        <f>SUM(I320:I333)</f>
        <v>0</v>
      </c>
      <c r="J334" s="31" t="str">
        <f t="array" ref="J334">IF(ISERROR(G334/I334),"",G334/I334)</f>
        <v/>
      </c>
      <c r="K334" s="30">
        <f>SUM(K320:K330)</f>
        <v>0</v>
      </c>
      <c r="L334" s="98"/>
      <c r="M334" s="89">
        <f t="shared" ref="M334:V334" si="130">SUM(M320:M330)</f>
        <v>0</v>
      </c>
      <c r="N334" s="20">
        <f t="shared" si="130"/>
        <v>0</v>
      </c>
      <c r="O334" s="91">
        <f t="shared" si="130"/>
        <v>0</v>
      </c>
      <c r="P334" s="91">
        <f t="shared" si="130"/>
        <v>0</v>
      </c>
      <c r="Q334" s="91">
        <f t="shared" si="130"/>
        <v>0</v>
      </c>
      <c r="R334" s="91">
        <f t="shared" si="130"/>
        <v>0</v>
      </c>
      <c r="S334" s="92">
        <f t="shared" si="130"/>
        <v>0</v>
      </c>
      <c r="T334" s="91">
        <f t="shared" si="130"/>
        <v>0</v>
      </c>
      <c r="U334" s="91">
        <f t="shared" si="130"/>
        <v>0</v>
      </c>
      <c r="V334" s="206">
        <f t="shared" si="130"/>
        <v>0</v>
      </c>
      <c r="W334" s="33" t="str">
        <f t="shared" ref="W334" si="131">IF(ISERROR(V334/G334),"",V334/G334)</f>
        <v/>
      </c>
      <c r="X334" s="92">
        <f>SUM(X320:X330)</f>
        <v>0</v>
      </c>
      <c r="Y334" s="92">
        <f>SUM(Y320:Y330)</f>
        <v>0</v>
      </c>
      <c r="Z334" s="92">
        <f>SUM(Z320:Z330)</f>
        <v>0</v>
      </c>
      <c r="AA334" s="92">
        <f>SUM(AA320:AA330)</f>
        <v>0</v>
      </c>
      <c r="AB334" s="70"/>
      <c r="AC334" s="70"/>
      <c r="AD334" s="58"/>
      <c r="AE334" s="70"/>
      <c r="AF334" s="70"/>
      <c r="AG334" s="70"/>
      <c r="AH334" s="70"/>
      <c r="AI334" s="58"/>
      <c r="AJ334" s="58"/>
      <c r="AK334" s="58"/>
      <c r="AL334" s="58"/>
      <c r="AM334" s="58"/>
      <c r="AN334" s="58"/>
      <c r="AO334" s="58"/>
      <c r="AP334" s="58"/>
      <c r="AQ334" s="58"/>
      <c r="AR334" s="58"/>
      <c r="AS334" s="58"/>
      <c r="AT334" s="58"/>
      <c r="AU334" s="58"/>
      <c r="AV334" s="58"/>
      <c r="AW334" s="58"/>
      <c r="AX334" s="58"/>
      <c r="AY334" s="58"/>
      <c r="AZ334" s="58"/>
      <c r="BA334" s="58"/>
    </row>
    <row r="335" spans="1:53">
      <c r="A335" s="693" t="s">
        <v>108</v>
      </c>
      <c r="B335" s="694"/>
      <c r="C335" s="694"/>
      <c r="D335" s="694"/>
      <c r="E335" s="694"/>
      <c r="F335" s="695"/>
      <c r="G335" s="193">
        <f>SUM(G199,G257,G292,G308,G319,G334)</f>
        <v>11637</v>
      </c>
      <c r="H335" s="193">
        <f>SUM(H199,H257,H292,H308,H319,H334)</f>
        <v>56848.29</v>
      </c>
      <c r="I335" s="193">
        <f>SUM(I199,I257,I292,I308,I319,I334)</f>
        <v>727.05</v>
      </c>
      <c r="J335" s="52">
        <f t="array" ref="J335">IF(ISERROR(G335/I335),"",G335/I335)</f>
        <v>16.005776769135547</v>
      </c>
      <c r="K335" s="193">
        <f>SUM(K199,K257,K292,K308,K319,K334)</f>
        <v>456.0303107417833</v>
      </c>
      <c r="L335" s="52">
        <f>IF(ISERROR(G335/K335),"",G335/K335)</f>
        <v>25.518040634341045</v>
      </c>
      <c r="M335" s="193">
        <f t="shared" ref="M335:AA335" si="132">SUM(M199,M257,M292,M308,M319,M334)</f>
        <v>173.01968925821669</v>
      </c>
      <c r="N335" s="193">
        <f t="shared" si="132"/>
        <v>0</v>
      </c>
      <c r="O335" s="193">
        <f t="shared" si="132"/>
        <v>0</v>
      </c>
      <c r="P335" s="193">
        <f t="shared" si="132"/>
        <v>0</v>
      </c>
      <c r="Q335" s="193">
        <f t="shared" si="132"/>
        <v>0</v>
      </c>
      <c r="R335" s="193">
        <f t="shared" si="132"/>
        <v>0</v>
      </c>
      <c r="S335" s="193">
        <f t="shared" si="132"/>
        <v>0</v>
      </c>
      <c r="T335" s="193">
        <f t="shared" si="132"/>
        <v>0</v>
      </c>
      <c r="U335" s="193">
        <f t="shared" si="132"/>
        <v>0</v>
      </c>
      <c r="V335" s="193">
        <f t="shared" si="132"/>
        <v>0</v>
      </c>
      <c r="W335" s="193">
        <f t="shared" si="132"/>
        <v>0</v>
      </c>
      <c r="X335" s="193">
        <f t="shared" si="132"/>
        <v>0</v>
      </c>
      <c r="Y335" s="193">
        <f t="shared" si="132"/>
        <v>0</v>
      </c>
      <c r="Z335" s="193">
        <f t="shared" si="132"/>
        <v>0</v>
      </c>
      <c r="AA335" s="193">
        <f t="shared" si="132"/>
        <v>0</v>
      </c>
      <c r="AB335" s="76"/>
      <c r="AC335" s="71"/>
      <c r="AD335" s="370"/>
      <c r="AE335" s="77"/>
      <c r="AF335" s="77"/>
      <c r="AG335" s="77"/>
      <c r="AH335" s="77"/>
      <c r="AI335" s="57"/>
      <c r="AJ335" s="57"/>
      <c r="AK335" s="57"/>
      <c r="AL335" s="696"/>
      <c r="AM335" s="696"/>
      <c r="AN335" s="696"/>
      <c r="AO335" s="696"/>
      <c r="AP335" s="696"/>
      <c r="AQ335" s="696"/>
      <c r="AR335" s="696"/>
      <c r="AS335" s="696"/>
      <c r="AT335" s="696"/>
      <c r="AU335" s="696"/>
      <c r="AV335" s="696"/>
      <c r="AW335" s="696"/>
      <c r="AX335" s="696"/>
      <c r="AY335" s="696"/>
      <c r="AZ335" s="696"/>
      <c r="BA335" s="696"/>
    </row>
    <row r="336" spans="1:53" ht="15.75" customHeight="1">
      <c r="A336" s="583" t="s">
        <v>503</v>
      </c>
      <c r="B336" s="362" t="s">
        <v>110</v>
      </c>
      <c r="C336" s="674" t="s">
        <v>111</v>
      </c>
      <c r="D336" s="674"/>
      <c r="E336" s="684" t="s">
        <v>112</v>
      </c>
      <c r="F336" s="684"/>
      <c r="G336" s="654" t="s">
        <v>113</v>
      </c>
      <c r="H336" s="654"/>
      <c r="I336" s="684" t="s">
        <v>114</v>
      </c>
      <c r="J336" s="684"/>
      <c r="K336" s="684" t="s">
        <v>36</v>
      </c>
      <c r="L336" s="684"/>
      <c r="M336" s="684" t="s">
        <v>115</v>
      </c>
      <c r="N336" s="684"/>
      <c r="O336" s="684" t="s">
        <v>116</v>
      </c>
      <c r="P336" s="654" t="s">
        <v>117</v>
      </c>
      <c r="Q336" s="654"/>
      <c r="R336" s="654" t="s">
        <v>36</v>
      </c>
      <c r="S336" s="654"/>
      <c r="T336" s="654" t="s">
        <v>118</v>
      </c>
      <c r="U336" s="654"/>
      <c r="V336" s="654" t="s">
        <v>119</v>
      </c>
      <c r="W336" s="654"/>
      <c r="X336" s="654" t="s">
        <v>36</v>
      </c>
      <c r="Y336" s="654"/>
      <c r="Z336" s="654" t="s">
        <v>118</v>
      </c>
      <c r="AA336" s="654"/>
      <c r="AB336" s="12"/>
      <c r="AC336" s="12"/>
      <c r="AD336" s="12"/>
      <c r="AE336" s="3"/>
      <c r="AF336" s="3"/>
      <c r="AG336" s="3"/>
      <c r="AH336" s="368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21"/>
      <c r="AV336" s="21"/>
      <c r="AW336" s="21"/>
      <c r="AX336" s="21"/>
      <c r="AY336" s="21"/>
      <c r="AZ336" s="21"/>
      <c r="BA336" s="21"/>
    </row>
    <row r="337" spans="1:53" ht="15.75" customHeight="1">
      <c r="A337" s="584"/>
      <c r="B337" s="362" t="s">
        <v>120</v>
      </c>
      <c r="C337" s="689">
        <f>SUM('1:2'!C337)</f>
        <v>2</v>
      </c>
      <c r="D337" s="690"/>
      <c r="E337" s="688">
        <f>D337*11</f>
        <v>0</v>
      </c>
      <c r="F337" s="688"/>
      <c r="G337" s="689">
        <f>SUM('1:2'!G337)</f>
        <v>2</v>
      </c>
      <c r="H337" s="690"/>
      <c r="I337" s="684">
        <f>G337*11</f>
        <v>22</v>
      </c>
      <c r="J337" s="684"/>
      <c r="K337" s="684">
        <f>E337-I337</f>
        <v>-22</v>
      </c>
      <c r="L337" s="684"/>
      <c r="M337" s="686" t="str">
        <f>IF(ISERROR(K337/E337),"",K337/E337)</f>
        <v/>
      </c>
      <c r="N337" s="686"/>
      <c r="O337" s="684"/>
      <c r="P337" s="654" t="s">
        <v>70</v>
      </c>
      <c r="Q337" s="654"/>
      <c r="R337" s="677">
        <f>SUM(O199:U199)</f>
        <v>0</v>
      </c>
      <c r="S337" s="677"/>
      <c r="T337" s="685" t="str">
        <f t="array" ref="T337">IF(ISERROR(R337/R344),"",R337/R344)</f>
        <v/>
      </c>
      <c r="U337" s="685"/>
      <c r="V337" s="654" t="s">
        <v>41</v>
      </c>
      <c r="W337" s="654"/>
      <c r="X337" s="665">
        <f>SUM(P198,P256,P291,P307,P318,P333)</f>
        <v>0</v>
      </c>
      <c r="Y337" s="664"/>
      <c r="Z337" s="685" t="str">
        <f t="array" ref="Z337">IF(ISERROR(X337/X344),"",X337/X344)</f>
        <v/>
      </c>
      <c r="AA337" s="685"/>
      <c r="AB337" s="12"/>
      <c r="AC337" s="22"/>
      <c r="AD337" s="22"/>
      <c r="AE337" s="3"/>
      <c r="AF337" s="3"/>
      <c r="AG337" s="3"/>
      <c r="AH337" s="370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21"/>
      <c r="AV337" s="21"/>
      <c r="AW337" s="21"/>
      <c r="AX337" s="21"/>
      <c r="AY337" s="21"/>
      <c r="AZ337" s="21"/>
      <c r="BA337" s="21"/>
    </row>
    <row r="338" spans="1:53">
      <c r="A338" s="584"/>
      <c r="B338" s="362" t="s">
        <v>121</v>
      </c>
      <c r="C338" s="689">
        <f>SUM('1:2'!C338)</f>
        <v>0</v>
      </c>
      <c r="D338" s="690"/>
      <c r="E338" s="688">
        <f>D338*11</f>
        <v>0</v>
      </c>
      <c r="F338" s="688"/>
      <c r="G338" s="689">
        <f>SUM('1:2'!G338)</f>
        <v>0</v>
      </c>
      <c r="H338" s="690"/>
      <c r="I338" s="684">
        <f>G338*11</f>
        <v>0</v>
      </c>
      <c r="J338" s="684"/>
      <c r="K338" s="684">
        <f>E338-I338</f>
        <v>0</v>
      </c>
      <c r="L338" s="684"/>
      <c r="M338" s="686" t="str">
        <f>IF(ISERROR(K338/E338),"",K338/E338)</f>
        <v/>
      </c>
      <c r="N338" s="686"/>
      <c r="O338" s="684"/>
      <c r="P338" s="654" t="s">
        <v>86</v>
      </c>
      <c r="Q338" s="654"/>
      <c r="R338" s="677">
        <f>SUM(O257:U257)</f>
        <v>0</v>
      </c>
      <c r="S338" s="677"/>
      <c r="T338" s="685" t="str">
        <f>IF(ISERROR(R338/R344),"",R338/R344)</f>
        <v/>
      </c>
      <c r="U338" s="685"/>
      <c r="V338" s="654" t="s">
        <v>42</v>
      </c>
      <c r="W338" s="654"/>
      <c r="X338" s="665">
        <f>SUM(P199,P257,P292,P308,P319,P334)</f>
        <v>0</v>
      </c>
      <c r="Y338" s="664"/>
      <c r="Z338" s="685" t="str">
        <f>IF(ISERROR(X338/X344),"",X338/X344)</f>
        <v/>
      </c>
      <c r="AA338" s="685"/>
      <c r="AB338" s="12"/>
      <c r="AC338" s="22"/>
      <c r="AD338" s="22"/>
      <c r="AE338" s="3"/>
      <c r="AF338" s="3"/>
      <c r="AG338" s="3"/>
      <c r="AH338" s="370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21"/>
      <c r="AV338" s="21"/>
      <c r="AW338" s="21"/>
      <c r="AX338" s="21"/>
      <c r="AY338" s="21"/>
      <c r="AZ338" s="21"/>
      <c r="BA338" s="21"/>
    </row>
    <row r="339" spans="1:53">
      <c r="A339" s="584"/>
      <c r="B339" s="362" t="s">
        <v>122</v>
      </c>
      <c r="C339" s="689">
        <f>SUM('1:2'!C339)</f>
        <v>0</v>
      </c>
      <c r="D339" s="690"/>
      <c r="E339" s="688">
        <f>D339*11</f>
        <v>0</v>
      </c>
      <c r="F339" s="688"/>
      <c r="G339" s="689">
        <f>SUM('1:2'!G339)</f>
        <v>2</v>
      </c>
      <c r="H339" s="690"/>
      <c r="I339" s="684">
        <f>G339*8</f>
        <v>16</v>
      </c>
      <c r="J339" s="684"/>
      <c r="K339" s="684">
        <f>E339-I339</f>
        <v>-16</v>
      </c>
      <c r="L339" s="684"/>
      <c r="M339" s="686" t="str">
        <f>IF(ISERROR(K339/E339),"",K339/E339)</f>
        <v/>
      </c>
      <c r="N339" s="686"/>
      <c r="O339" s="684"/>
      <c r="P339" s="654" t="s">
        <v>92</v>
      </c>
      <c r="Q339" s="654"/>
      <c r="R339" s="677">
        <f>SUM(O292:U292)</f>
        <v>0</v>
      </c>
      <c r="S339" s="677"/>
      <c r="T339" s="685" t="str">
        <f>IF(ISERROR(R339/R344),"",R339/R344)</f>
        <v/>
      </c>
      <c r="U339" s="685"/>
      <c r="V339" s="654" t="s">
        <v>43</v>
      </c>
      <c r="W339" s="654"/>
      <c r="X339" s="665">
        <f>SUM(P200,P258,P293,P309,P320,P335)</f>
        <v>0</v>
      </c>
      <c r="Y339" s="664"/>
      <c r="Z339" s="685" t="str">
        <f>IF(ISERROR(X339/X344),"",X339/X344)</f>
        <v/>
      </c>
      <c r="AA339" s="685"/>
      <c r="AB339" s="12"/>
      <c r="AC339" s="22"/>
      <c r="AD339" s="22"/>
      <c r="AE339" s="3"/>
      <c r="AF339" s="3"/>
      <c r="AG339" s="370"/>
      <c r="AH339" s="370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21"/>
      <c r="AV339" s="21"/>
      <c r="AW339" s="21"/>
      <c r="AX339" s="21"/>
      <c r="AY339" s="21"/>
      <c r="AZ339" s="21"/>
      <c r="BA339" s="21"/>
    </row>
    <row r="340" spans="1:53">
      <c r="A340" s="584"/>
      <c r="B340" s="362" t="s">
        <v>47</v>
      </c>
      <c r="C340" s="689">
        <f>SUM('1:2'!C340)</f>
        <v>2</v>
      </c>
      <c r="D340" s="690"/>
      <c r="E340" s="688">
        <f>D340*11</f>
        <v>0</v>
      </c>
      <c r="F340" s="688"/>
      <c r="G340" s="689">
        <f>SUM('1:2'!G340)</f>
        <v>2</v>
      </c>
      <c r="H340" s="690"/>
      <c r="I340" s="684">
        <f>G340*11</f>
        <v>22</v>
      </c>
      <c r="J340" s="684"/>
      <c r="K340" s="684">
        <f>E340-I340</f>
        <v>-22</v>
      </c>
      <c r="L340" s="684"/>
      <c r="M340" s="686" t="str">
        <f>IF(ISERROR(K340/E340),"",K340/E340)</f>
        <v/>
      </c>
      <c r="N340" s="686"/>
      <c r="O340" s="684"/>
      <c r="P340" s="654" t="s">
        <v>99</v>
      </c>
      <c r="Q340" s="654"/>
      <c r="R340" s="677">
        <f>SUM(O308:U308)</f>
        <v>0</v>
      </c>
      <c r="S340" s="677"/>
      <c r="T340" s="685" t="str">
        <f>IF(ISERROR(R340/R344),"",R340/R344)</f>
        <v/>
      </c>
      <c r="U340" s="685"/>
      <c r="V340" s="654" t="s">
        <v>44</v>
      </c>
      <c r="W340" s="654"/>
      <c r="X340" s="665">
        <f>SUM(P202,P259,P294,P310,P321,P336)</f>
        <v>0</v>
      </c>
      <c r="Y340" s="664"/>
      <c r="Z340" s="685" t="str">
        <f>IF(ISERROR(X340/X344),"",X340/X344)</f>
        <v/>
      </c>
      <c r="AA340" s="685"/>
      <c r="AB340" s="12"/>
      <c r="AC340" s="22"/>
      <c r="AD340" s="22"/>
      <c r="AE340" s="3"/>
      <c r="AF340" s="3"/>
      <c r="AG340" s="370"/>
      <c r="AH340" s="370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21"/>
      <c r="AV340" s="21"/>
      <c r="AW340" s="21"/>
      <c r="AX340" s="21"/>
      <c r="AY340" s="21"/>
      <c r="AZ340" s="21"/>
      <c r="BA340" s="21"/>
    </row>
    <row r="341" spans="1:53">
      <c r="A341" s="585"/>
      <c r="B341" s="362" t="s">
        <v>123</v>
      </c>
      <c r="C341" s="687">
        <f>SUM(C337:D340)</f>
        <v>4</v>
      </c>
      <c r="D341" s="684"/>
      <c r="E341" s="688">
        <f>SUM(F337:F340)</f>
        <v>0</v>
      </c>
      <c r="F341" s="684"/>
      <c r="G341" s="687">
        <f>SUM(G337:H340)</f>
        <v>6</v>
      </c>
      <c r="H341" s="684"/>
      <c r="I341" s="684">
        <f>SUM(I337:J340)</f>
        <v>60</v>
      </c>
      <c r="J341" s="684"/>
      <c r="K341" s="684">
        <f>SUM(K337:L340)</f>
        <v>-60</v>
      </c>
      <c r="L341" s="684"/>
      <c r="M341" s="686" t="str">
        <f>IF(ISERROR(K341/E341),"",K341/E341)</f>
        <v/>
      </c>
      <c r="N341" s="686"/>
      <c r="O341" s="684"/>
      <c r="P341" s="654" t="s">
        <v>102</v>
      </c>
      <c r="Q341" s="654"/>
      <c r="R341" s="677">
        <f>SUM(O319:U319)</f>
        <v>0</v>
      </c>
      <c r="S341" s="677"/>
      <c r="T341" s="685" t="str">
        <f>IF(ISERROR(R341/R344),"",R341/R344)</f>
        <v/>
      </c>
      <c r="U341" s="685"/>
      <c r="V341" s="654" t="s">
        <v>45</v>
      </c>
      <c r="W341" s="654"/>
      <c r="X341" s="665">
        <f>SUM(P203,P260,P295,P311,P322,P337)</f>
        <v>0</v>
      </c>
      <c r="Y341" s="664"/>
      <c r="Z341" s="685" t="str">
        <f>IF(ISERROR(X341/X344),"",X341/X344)</f>
        <v/>
      </c>
      <c r="AA341" s="685"/>
      <c r="AB341" s="12"/>
      <c r="AC341" s="22"/>
      <c r="AD341" s="22"/>
      <c r="AE341" s="3"/>
      <c r="AF341" s="3"/>
      <c r="AG341" s="370"/>
      <c r="AH341" s="370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367"/>
      <c r="AV341" s="367"/>
      <c r="AW341" s="367"/>
      <c r="AX341" s="367"/>
      <c r="AY341" s="367"/>
      <c r="AZ341" s="367"/>
      <c r="BA341" s="367"/>
    </row>
    <row r="342" spans="1:53" ht="17.25">
      <c r="A342" s="309" t="s">
        <v>504</v>
      </c>
      <c r="B342" s="362">
        <f>G335</f>
        <v>11637</v>
      </c>
      <c r="C342" s="677" t="s">
        <v>155</v>
      </c>
      <c r="D342" s="677"/>
      <c r="E342" s="654">
        <f>H335</f>
        <v>56848.29</v>
      </c>
      <c r="F342" s="654"/>
      <c r="G342" s="654" t="s">
        <v>34</v>
      </c>
      <c r="H342" s="654"/>
      <c r="I342" s="683">
        <f>L335</f>
        <v>25.518040634341045</v>
      </c>
      <c r="J342" s="683"/>
      <c r="K342" s="684" t="s">
        <v>32</v>
      </c>
      <c r="L342" s="684"/>
      <c r="M342" s="683">
        <f>J335</f>
        <v>16.005776769135547</v>
      </c>
      <c r="N342" s="683"/>
      <c r="O342" s="684"/>
      <c r="P342" s="654" t="s">
        <v>106</v>
      </c>
      <c r="Q342" s="654"/>
      <c r="R342" s="677">
        <f>SUM(O334:U334)</f>
        <v>0</v>
      </c>
      <c r="S342" s="677"/>
      <c r="T342" s="685" t="str">
        <f>IF(ISERROR(R342/R344),"",R342/R344)</f>
        <v/>
      </c>
      <c r="U342" s="685"/>
      <c r="V342" s="654" t="s">
        <v>46</v>
      </c>
      <c r="W342" s="654"/>
      <c r="X342" s="665">
        <f>SUM(P204,P261,P296,P312,P323,P338)</f>
        <v>0</v>
      </c>
      <c r="Y342" s="664"/>
      <c r="Z342" s="685" t="str">
        <f>IF(ISERROR(X342/X344),"",X342/X344)</f>
        <v/>
      </c>
      <c r="AA342" s="685"/>
      <c r="AB342" s="12"/>
      <c r="AC342" s="22"/>
      <c r="AD342" s="22"/>
      <c r="AE342" s="3"/>
      <c r="AF342" s="3"/>
      <c r="AG342" s="370"/>
      <c r="AH342" s="370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367"/>
      <c r="AV342" s="367"/>
      <c r="AW342" s="367"/>
      <c r="AX342" s="367"/>
      <c r="AY342" s="367"/>
      <c r="AZ342" s="367"/>
      <c r="BA342" s="367"/>
    </row>
    <row r="343" spans="1:53" ht="15.75" customHeight="1">
      <c r="A343" s="310" t="s">
        <v>505</v>
      </c>
      <c r="B343" s="362">
        <f>I335+C341</f>
        <v>731.05</v>
      </c>
      <c r="C343" s="654" t="s">
        <v>114</v>
      </c>
      <c r="D343" s="654"/>
      <c r="E343" s="674">
        <f>K335+I341</f>
        <v>516.0303107417833</v>
      </c>
      <c r="F343" s="674"/>
      <c r="G343" s="654" t="s">
        <v>150</v>
      </c>
      <c r="H343" s="654"/>
      <c r="I343" s="683">
        <f>B343-E343</f>
        <v>215.01968925821666</v>
      </c>
      <c r="J343" s="683"/>
      <c r="K343" s="684" t="s">
        <v>151</v>
      </c>
      <c r="L343" s="684"/>
      <c r="M343" s="686">
        <f>IF(ISERROR(I343/B343),"",I343/B343)</f>
        <v>0.29412446379620638</v>
      </c>
      <c r="N343" s="686"/>
      <c r="O343" s="684"/>
      <c r="P343" s="654" t="s">
        <v>107</v>
      </c>
      <c r="Q343" s="654"/>
      <c r="R343" s="677"/>
      <c r="S343" s="677"/>
      <c r="T343" s="685" t="str">
        <f>IF(ISERROR(R343/R344),"",R343/R344)</f>
        <v/>
      </c>
      <c r="U343" s="685"/>
      <c r="V343" s="654" t="s">
        <v>47</v>
      </c>
      <c r="W343" s="654"/>
      <c r="X343" s="665">
        <f>SUM(P205,P262,P297,P313,P324,P339)</f>
        <v>0</v>
      </c>
      <c r="Y343" s="664"/>
      <c r="Z343" s="685" t="str">
        <f>IF(ISERROR(X343/X344),"",X343/X344)</f>
        <v/>
      </c>
      <c r="AA343" s="685"/>
      <c r="AB343" s="12"/>
      <c r="AC343" s="22"/>
      <c r="AD343" s="22"/>
      <c r="AE343" s="3"/>
      <c r="AF343" s="3"/>
      <c r="AG343" s="370"/>
      <c r="AH343" s="370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367"/>
      <c r="AV343" s="367"/>
      <c r="AW343" s="367"/>
      <c r="AX343" s="367"/>
      <c r="AY343" s="367"/>
      <c r="AZ343" s="367"/>
      <c r="BA343" s="367"/>
    </row>
    <row r="344" spans="1:53" ht="15.75" customHeight="1">
      <c r="A344" s="310" t="s">
        <v>507</v>
      </c>
      <c r="B344" s="362">
        <f>N335</f>
        <v>0</v>
      </c>
      <c r="C344" s="654" t="s">
        <v>149</v>
      </c>
      <c r="D344" s="654"/>
      <c r="E344" s="685">
        <f>IF(ISERROR(B344/B343),"",B344/B343)</f>
        <v>0</v>
      </c>
      <c r="F344" s="685"/>
      <c r="G344" s="654" t="s">
        <v>158</v>
      </c>
      <c r="H344" s="654"/>
      <c r="I344" s="684">
        <f>V335</f>
        <v>0</v>
      </c>
      <c r="J344" s="684"/>
      <c r="K344" s="684" t="s">
        <v>156</v>
      </c>
      <c r="L344" s="684"/>
      <c r="M344" s="686">
        <f t="array" ref="M344">IF(ISERROR(I344/B342),"",I344/B342)</f>
        <v>0</v>
      </c>
      <c r="N344" s="686"/>
      <c r="O344" s="684"/>
      <c r="P344" s="654" t="s">
        <v>123</v>
      </c>
      <c r="Q344" s="654"/>
      <c r="R344" s="677">
        <f>SUM(R337:S343)</f>
        <v>0</v>
      </c>
      <c r="S344" s="677"/>
      <c r="T344" s="685">
        <f>SUM(T337:U343)</f>
        <v>0</v>
      </c>
      <c r="U344" s="685"/>
      <c r="V344" s="654" t="s">
        <v>123</v>
      </c>
      <c r="W344" s="654"/>
      <c r="X344" s="677">
        <f>SUM(X337:Y343)</f>
        <v>0</v>
      </c>
      <c r="Y344" s="677"/>
      <c r="Z344" s="685">
        <f>SUM(Z337:AA343)</f>
        <v>0</v>
      </c>
      <c r="AA344" s="685"/>
      <c r="AB344" s="12"/>
      <c r="AC344" s="22"/>
      <c r="AD344" s="22"/>
      <c r="AE344" s="3"/>
      <c r="AF344" s="3"/>
      <c r="AG344" s="370"/>
      <c r="AH344" s="370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367"/>
      <c r="AV344" s="367"/>
      <c r="AW344" s="367"/>
      <c r="AX344" s="367"/>
      <c r="AY344" s="367"/>
      <c r="AZ344" s="367"/>
      <c r="BA344" s="367"/>
    </row>
    <row r="345" spans="1:53" ht="15.75" customHeight="1">
      <c r="A345" s="716" t="s">
        <v>129</v>
      </c>
      <c r="B345" s="716"/>
      <c r="C345" s="716"/>
      <c r="D345" s="716"/>
      <c r="E345" s="716"/>
      <c r="F345" s="716"/>
      <c r="G345" s="716"/>
      <c r="H345" s="716"/>
      <c r="I345" s="716"/>
      <c r="J345" s="716"/>
      <c r="K345" s="716"/>
      <c r="L345" s="716"/>
      <c r="M345" s="716"/>
      <c r="N345" s="716"/>
      <c r="O345" s="716"/>
      <c r="P345" s="716"/>
      <c r="Q345" s="716"/>
      <c r="R345" s="716"/>
      <c r="S345" s="716"/>
      <c r="T345" s="716"/>
      <c r="U345" s="716"/>
      <c r="V345" s="716"/>
      <c r="W345" s="716"/>
      <c r="X345" s="716"/>
      <c r="Y345" s="716"/>
      <c r="Z345" s="716"/>
      <c r="AA345" s="716"/>
      <c r="AB345" s="716"/>
      <c r="AC345" s="716"/>
      <c r="AD345" s="716"/>
      <c r="AE345" s="716"/>
      <c r="AF345" s="716"/>
      <c r="AG345" s="716"/>
      <c r="AH345" s="716"/>
      <c r="AI345" s="716"/>
      <c r="AJ345" s="716"/>
      <c r="AK345" s="716"/>
      <c r="AL345" s="716"/>
      <c r="AM345" s="716"/>
      <c r="AN345" s="716"/>
      <c r="AO345" s="716"/>
      <c r="AP345" s="716"/>
      <c r="AQ345" s="716"/>
      <c r="AR345" s="716"/>
      <c r="AS345" s="716"/>
      <c r="AT345" s="716"/>
      <c r="AU345" s="716"/>
      <c r="AV345" s="716"/>
      <c r="AW345" s="716"/>
      <c r="AX345" s="716"/>
      <c r="AY345" s="716"/>
      <c r="AZ345" s="716"/>
      <c r="BA345" s="716"/>
    </row>
    <row r="346" spans="1:53">
      <c r="A346" s="604" t="s">
        <v>502</v>
      </c>
      <c r="B346" s="705" t="s">
        <v>25</v>
      </c>
      <c r="C346" s="705" t="s">
        <v>26</v>
      </c>
      <c r="D346" s="705" t="s">
        <v>27</v>
      </c>
      <c r="E346" s="717" t="s">
        <v>28</v>
      </c>
      <c r="F346" s="720" t="s">
        <v>29</v>
      </c>
      <c r="G346" s="684" t="s">
        <v>30</v>
      </c>
      <c r="H346" s="684"/>
      <c r="I346" s="705" t="s">
        <v>31</v>
      </c>
      <c r="J346" s="708" t="s">
        <v>32</v>
      </c>
      <c r="K346" s="711" t="s">
        <v>33</v>
      </c>
      <c r="L346" s="705" t="s">
        <v>34</v>
      </c>
      <c r="M346" s="714" t="s">
        <v>35</v>
      </c>
      <c r="N346" s="702" t="s">
        <v>36</v>
      </c>
      <c r="O346" s="684" t="s">
        <v>37</v>
      </c>
      <c r="P346" s="684"/>
      <c r="Q346" s="684"/>
      <c r="R346" s="684"/>
      <c r="S346" s="684"/>
      <c r="T346" s="684"/>
      <c r="U346" s="684"/>
      <c r="V346" s="703" t="s">
        <v>38</v>
      </c>
      <c r="W346" s="702" t="s">
        <v>39</v>
      </c>
      <c r="X346" s="684" t="s">
        <v>40</v>
      </c>
      <c r="Y346" s="684"/>
      <c r="Z346" s="684"/>
      <c r="AA346" s="684"/>
      <c r="AB346" s="21"/>
      <c r="AC346" s="21"/>
      <c r="AD346" s="21"/>
      <c r="AE346" s="21"/>
      <c r="AF346" s="21"/>
      <c r="AG346" s="21"/>
      <c r="AH346" s="21"/>
      <c r="AI346" s="704"/>
      <c r="AJ346" s="700"/>
      <c r="AK346" s="700"/>
      <c r="AL346" s="700"/>
      <c r="AM346" s="700"/>
      <c r="AN346" s="700"/>
      <c r="AO346" s="700"/>
      <c r="AP346" s="700"/>
      <c r="AQ346" s="700"/>
      <c r="AR346" s="700"/>
      <c r="AS346" s="700"/>
      <c r="AT346" s="700"/>
      <c r="AU346" s="700"/>
      <c r="AV346" s="700"/>
      <c r="AW346" s="700"/>
      <c r="AX346" s="700"/>
      <c r="AY346" s="700"/>
      <c r="AZ346" s="700"/>
      <c r="BA346" s="700"/>
    </row>
    <row r="347" spans="1:53">
      <c r="A347" s="605"/>
      <c r="B347" s="706"/>
      <c r="C347" s="706"/>
      <c r="D347" s="706"/>
      <c r="E347" s="718"/>
      <c r="F347" s="721"/>
      <c r="G347" s="684"/>
      <c r="H347" s="684"/>
      <c r="I347" s="706"/>
      <c r="J347" s="709"/>
      <c r="K347" s="712"/>
      <c r="L347" s="706"/>
      <c r="M347" s="715"/>
      <c r="N347" s="702"/>
      <c r="O347" s="684" t="s">
        <v>41</v>
      </c>
      <c r="P347" s="684" t="s">
        <v>42</v>
      </c>
      <c r="Q347" s="684" t="s">
        <v>43</v>
      </c>
      <c r="R347" s="701" t="s">
        <v>44</v>
      </c>
      <c r="S347" s="654" t="s">
        <v>45</v>
      </c>
      <c r="T347" s="684" t="s">
        <v>46</v>
      </c>
      <c r="U347" s="684" t="s">
        <v>47</v>
      </c>
      <c r="V347" s="703"/>
      <c r="W347" s="702"/>
      <c r="X347" s="684" t="s">
        <v>13</v>
      </c>
      <c r="Y347" s="684" t="s">
        <v>48</v>
      </c>
      <c r="Z347" s="684" t="s">
        <v>49</v>
      </c>
      <c r="AA347" s="684" t="s">
        <v>47</v>
      </c>
      <c r="AB347" s="21"/>
      <c r="AC347" s="21"/>
      <c r="AD347" s="21"/>
      <c r="AE347" s="21"/>
      <c r="AF347" s="21"/>
      <c r="AG347" s="21"/>
      <c r="AH347" s="21"/>
      <c r="AI347" s="704"/>
      <c r="AJ347" s="700"/>
      <c r="AK347" s="700"/>
      <c r="AL347" s="700"/>
      <c r="AM347" s="700"/>
      <c r="AN347" s="700"/>
      <c r="AO347" s="700"/>
      <c r="AP347" s="700"/>
      <c r="AQ347" s="700"/>
      <c r="AR347" s="700"/>
      <c r="AS347" s="723"/>
      <c r="AT347" s="723"/>
      <c r="AU347" s="723"/>
      <c r="AV347" s="723"/>
      <c r="AW347" s="723"/>
      <c r="AX347" s="723"/>
      <c r="AY347" s="723"/>
      <c r="AZ347" s="723"/>
      <c r="BA347" s="723"/>
    </row>
    <row r="348" spans="1:53" ht="15.75" customHeight="1">
      <c r="A348" s="606"/>
      <c r="B348" s="707"/>
      <c r="C348" s="707"/>
      <c r="D348" s="707"/>
      <c r="E348" s="719"/>
      <c r="F348" s="722"/>
      <c r="G348" s="358" t="s">
        <v>50</v>
      </c>
      <c r="H348" s="358" t="s">
        <v>51</v>
      </c>
      <c r="I348" s="707"/>
      <c r="J348" s="710"/>
      <c r="K348" s="713"/>
      <c r="L348" s="707"/>
      <c r="M348" s="715"/>
      <c r="N348" s="702"/>
      <c r="O348" s="684"/>
      <c r="P348" s="684"/>
      <c r="Q348" s="684"/>
      <c r="R348" s="701"/>
      <c r="S348" s="654"/>
      <c r="T348" s="684"/>
      <c r="U348" s="684"/>
      <c r="V348" s="703"/>
      <c r="W348" s="702"/>
      <c r="X348" s="684"/>
      <c r="Y348" s="684"/>
      <c r="Z348" s="684"/>
      <c r="AA348" s="684"/>
      <c r="AB348" s="21"/>
      <c r="AC348" s="21"/>
      <c r="AD348" s="21"/>
      <c r="AE348" s="21"/>
      <c r="AF348" s="21"/>
      <c r="AG348" s="21"/>
      <c r="AH348" s="21"/>
      <c r="AI348" s="704"/>
      <c r="AJ348" s="700"/>
      <c r="AK348" s="700"/>
      <c r="AL348" s="367"/>
      <c r="AM348" s="367"/>
      <c r="AN348" s="367"/>
      <c r="AO348" s="367"/>
      <c r="AP348" s="367"/>
      <c r="AQ348" s="367"/>
      <c r="AR348" s="367"/>
      <c r="AS348" s="21"/>
      <c r="AT348" s="21"/>
      <c r="AU348" s="21"/>
      <c r="AV348" s="368"/>
      <c r="AW348" s="367"/>
      <c r="AX348" s="367"/>
      <c r="AY348" s="367"/>
      <c r="AZ348" s="367"/>
      <c r="BA348" s="367"/>
    </row>
    <row r="349" spans="1:53">
      <c r="A349" s="315">
        <v>30100030</v>
      </c>
      <c r="B349" s="82" t="s">
        <v>52</v>
      </c>
      <c r="C349" s="81" t="s">
        <v>53</v>
      </c>
      <c r="D349" s="80">
        <v>5.03</v>
      </c>
      <c r="E349" s="80"/>
      <c r="F349" s="83"/>
      <c r="G349" s="93">
        <f>SUM('1:2'!G349)</f>
        <v>0</v>
      </c>
      <c r="H349" s="95">
        <f t="shared" ref="H349:H369" si="133">D349*G349</f>
        <v>0</v>
      </c>
      <c r="I349" s="93">
        <f>SUM('1:2'!I349)</f>
        <v>0</v>
      </c>
      <c r="J349" s="31" t="str">
        <f t="array" ref="J349">IF(ISERROR(G349/I349),"",G349/I349)</f>
        <v/>
      </c>
      <c r="K349" s="96">
        <f t="array" ref="K349">IF(ISERROR(G349/L349),"",G349/L349)</f>
        <v>0</v>
      </c>
      <c r="L349" s="84">
        <v>16</v>
      </c>
      <c r="M349" s="97">
        <f t="shared" ref="M349:M358" si="134">IF(ISERROR(I349-K349),"",I349-K349)</f>
        <v>0</v>
      </c>
      <c r="N349" s="84">
        <f>SUM(O349:U349)</f>
        <v>0</v>
      </c>
      <c r="O349" s="93">
        <f>SUM('1:2'!O349)</f>
        <v>0</v>
      </c>
      <c r="P349" s="93">
        <f>SUM('1:2'!P349)</f>
        <v>0</v>
      </c>
      <c r="Q349" s="93">
        <f>SUM('1:2'!Q349)</f>
        <v>0</v>
      </c>
      <c r="R349" s="93">
        <f>SUM('1:2'!R349)</f>
        <v>0</v>
      </c>
      <c r="S349" s="93">
        <f>SUM('1:2'!S349)</f>
        <v>0</v>
      </c>
      <c r="T349" s="93">
        <f>SUM('1:2'!T349)</f>
        <v>0</v>
      </c>
      <c r="U349" s="93">
        <f>SUM('1:2'!U349)</f>
        <v>0</v>
      </c>
      <c r="V349" s="206">
        <f t="shared" ref="V349:V358" si="135">SUM(X349:AA349)</f>
        <v>0</v>
      </c>
      <c r="W349" s="33" t="str">
        <f t="shared" ref="W349:W358" si="136">IF(ISERROR(V349/G349),"",V349/G349)</f>
        <v/>
      </c>
      <c r="X349" s="93">
        <f>SUM('1:2'!X349)</f>
        <v>0</v>
      </c>
      <c r="Y349" s="93">
        <f>SUM('1:2'!Y349)</f>
        <v>0</v>
      </c>
      <c r="Z349" s="93">
        <f>SUM('1:2'!Z349)</f>
        <v>0</v>
      </c>
      <c r="AA349" s="93">
        <f>SUM('1:2'!AA349)</f>
        <v>0</v>
      </c>
      <c r="AB349" s="73"/>
      <c r="AC349" s="54"/>
      <c r="AD349" s="370"/>
      <c r="AE349" s="54"/>
      <c r="AF349" s="54"/>
      <c r="AG349" s="54"/>
      <c r="AH349" s="54"/>
      <c r="AI349" s="57"/>
      <c r="AJ349" s="57"/>
      <c r="AK349" s="57"/>
      <c r="AL349" s="369"/>
      <c r="AM349" s="54"/>
      <c r="AN349" s="369"/>
      <c r="AO349" s="369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</row>
    <row r="350" spans="1:53">
      <c r="A350" s="300"/>
      <c r="B350" s="62" t="s">
        <v>54</v>
      </c>
      <c r="C350" s="16" t="s">
        <v>53</v>
      </c>
      <c r="D350" s="17">
        <v>5.03</v>
      </c>
      <c r="E350" s="17"/>
      <c r="F350" s="6"/>
      <c r="G350" s="93">
        <f>SUM('1:2'!G350)</f>
        <v>0</v>
      </c>
      <c r="H350" s="95">
        <f t="shared" si="133"/>
        <v>0</v>
      </c>
      <c r="I350" s="93">
        <f>SUM('1:2'!I350)</f>
        <v>0</v>
      </c>
      <c r="J350" s="31" t="str">
        <f t="array" ref="J350">IF(ISERROR(G350/I350),"",G350/I350)</f>
        <v/>
      </c>
      <c r="K350" s="35">
        <f>IF(ISERROR(G350/L350),"",G350/L350)</f>
        <v>0</v>
      </c>
      <c r="L350" s="87">
        <v>19</v>
      </c>
      <c r="M350" s="36">
        <f t="shared" si="134"/>
        <v>0</v>
      </c>
      <c r="N350" s="31">
        <f t="shared" ref="N350:N358" si="137">SUM(O350:U350)</f>
        <v>0</v>
      </c>
      <c r="O350" s="93">
        <f>SUM('1:2'!O350)</f>
        <v>0</v>
      </c>
      <c r="P350" s="93">
        <f>SUM('1:2'!P350)</f>
        <v>0</v>
      </c>
      <c r="Q350" s="93">
        <f>SUM('1:2'!Q350)</f>
        <v>0</v>
      </c>
      <c r="R350" s="93">
        <f>SUM('1:2'!R350)</f>
        <v>0</v>
      </c>
      <c r="S350" s="93">
        <f>SUM('1:2'!S350)</f>
        <v>0</v>
      </c>
      <c r="T350" s="93">
        <f>SUM('1:2'!T350)</f>
        <v>0</v>
      </c>
      <c r="U350" s="93">
        <f>SUM('1:2'!U350)</f>
        <v>0</v>
      </c>
      <c r="V350" s="206">
        <f t="shared" si="135"/>
        <v>0</v>
      </c>
      <c r="W350" s="33" t="str">
        <f t="shared" si="136"/>
        <v/>
      </c>
      <c r="X350" s="93">
        <f>SUM('1:2'!X350)</f>
        <v>0</v>
      </c>
      <c r="Y350" s="93">
        <f>SUM('1:2'!Y350)</f>
        <v>0</v>
      </c>
      <c r="Z350" s="93">
        <f>SUM('1:2'!Z350)</f>
        <v>0</v>
      </c>
      <c r="AA350" s="93">
        <f>SUM('1:2'!AA350)</f>
        <v>0</v>
      </c>
      <c r="AB350" s="73"/>
      <c r="AC350" s="54"/>
      <c r="AD350" s="370"/>
      <c r="AE350" s="54"/>
      <c r="AF350" s="54"/>
      <c r="AG350" s="54"/>
      <c r="AH350" s="54"/>
      <c r="AI350" s="57"/>
      <c r="AJ350" s="57"/>
      <c r="AK350" s="57"/>
      <c r="AL350" s="54"/>
      <c r="AM350" s="54"/>
      <c r="AN350" s="369"/>
      <c r="AO350" s="54"/>
      <c r="AP350" s="369"/>
      <c r="AQ350" s="54"/>
      <c r="AR350" s="54"/>
      <c r="AS350" s="369"/>
      <c r="AT350" s="369"/>
      <c r="AU350" s="369"/>
      <c r="AV350" s="369"/>
      <c r="AW350" s="55"/>
      <c r="AX350" s="54"/>
      <c r="AY350" s="54"/>
      <c r="AZ350" s="54"/>
      <c r="BA350" s="54"/>
    </row>
    <row r="351" spans="1:53">
      <c r="A351" s="301"/>
      <c r="B351" s="62" t="s">
        <v>54</v>
      </c>
      <c r="C351" s="16" t="s">
        <v>55</v>
      </c>
      <c r="D351" s="17">
        <v>5.03</v>
      </c>
      <c r="E351" s="17"/>
      <c r="F351" s="6"/>
      <c r="G351" s="93">
        <f>SUM('1:2'!G351)</f>
        <v>0</v>
      </c>
      <c r="H351" s="95">
        <f t="shared" si="133"/>
        <v>0</v>
      </c>
      <c r="I351" s="93">
        <f>SUM('1:2'!I351)</f>
        <v>0</v>
      </c>
      <c r="J351" s="31" t="str">
        <f t="array" ref="J351">IF(ISERROR(G351/I351),"",G351/I351)</f>
        <v/>
      </c>
      <c r="K351" s="35">
        <f>IF(ISERROR(G351/L351),"",G351/L351)</f>
        <v>0</v>
      </c>
      <c r="L351" s="87">
        <v>19</v>
      </c>
      <c r="M351" s="36">
        <f t="shared" si="134"/>
        <v>0</v>
      </c>
      <c r="N351" s="31">
        <f t="shared" si="137"/>
        <v>0</v>
      </c>
      <c r="O351" s="93">
        <f>SUM('1:2'!O351)</f>
        <v>0</v>
      </c>
      <c r="P351" s="93">
        <f>SUM('1:2'!P351)</f>
        <v>0</v>
      </c>
      <c r="Q351" s="93">
        <f>SUM('1:2'!Q351)</f>
        <v>0</v>
      </c>
      <c r="R351" s="93">
        <f>SUM('1:2'!R351)</f>
        <v>0</v>
      </c>
      <c r="S351" s="93">
        <f>SUM('1:2'!S351)</f>
        <v>0</v>
      </c>
      <c r="T351" s="93">
        <f>SUM('1:2'!T351)</f>
        <v>0</v>
      </c>
      <c r="U351" s="93">
        <f>SUM('1:2'!U351)</f>
        <v>0</v>
      </c>
      <c r="V351" s="206">
        <f t="shared" si="135"/>
        <v>0</v>
      </c>
      <c r="W351" s="33" t="str">
        <f t="shared" si="136"/>
        <v/>
      </c>
      <c r="X351" s="93">
        <f>SUM('1:2'!X351)</f>
        <v>0</v>
      </c>
      <c r="Y351" s="93">
        <f>SUM('1:2'!Y351)</f>
        <v>0</v>
      </c>
      <c r="Z351" s="93">
        <f>SUM('1:2'!Z351)</f>
        <v>0</v>
      </c>
      <c r="AA351" s="93">
        <f>SUM('1:2'!AA351)</f>
        <v>0</v>
      </c>
      <c r="AB351" s="73"/>
      <c r="AC351" s="54"/>
      <c r="AD351" s="370"/>
      <c r="AE351" s="54"/>
      <c r="AF351" s="54"/>
      <c r="AG351" s="54"/>
      <c r="AH351" s="54"/>
      <c r="AI351" s="57"/>
      <c r="AJ351" s="57"/>
      <c r="AK351" s="57"/>
      <c r="AL351" s="54"/>
      <c r="AM351" s="54"/>
      <c r="AN351" s="54"/>
      <c r="AO351" s="369"/>
      <c r="AP351" s="54"/>
      <c r="AQ351" s="54"/>
      <c r="AR351" s="54"/>
      <c r="AS351" s="56"/>
      <c r="AT351" s="56"/>
      <c r="AU351" s="56"/>
      <c r="AV351" s="54"/>
      <c r="AW351" s="54"/>
      <c r="AX351" s="54"/>
      <c r="AY351" s="54"/>
      <c r="AZ351" s="54"/>
      <c r="BA351" s="54"/>
    </row>
    <row r="352" spans="1:53">
      <c r="A352" s="315">
        <v>30100048</v>
      </c>
      <c r="B352" s="62" t="s">
        <v>56</v>
      </c>
      <c r="C352" s="16" t="s">
        <v>53</v>
      </c>
      <c r="D352" s="17">
        <v>5.03</v>
      </c>
      <c r="E352" s="17"/>
      <c r="F352" s="6"/>
      <c r="G352" s="93">
        <f>SUM('1:2'!G352)</f>
        <v>0</v>
      </c>
      <c r="H352" s="95">
        <f t="shared" si="133"/>
        <v>0</v>
      </c>
      <c r="I352" s="93">
        <f>SUM('1:2'!I352)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87">
        <v>19</v>
      </c>
      <c r="M352" s="36">
        <f t="shared" si="134"/>
        <v>0</v>
      </c>
      <c r="N352" s="31">
        <f t="shared" si="137"/>
        <v>0</v>
      </c>
      <c r="O352" s="93">
        <f>SUM('1:2'!O352)</f>
        <v>0</v>
      </c>
      <c r="P352" s="93">
        <f>SUM('1:2'!P352)</f>
        <v>0</v>
      </c>
      <c r="Q352" s="93">
        <f>SUM('1:2'!Q352)</f>
        <v>0</v>
      </c>
      <c r="R352" s="93">
        <f>SUM('1:2'!R352)</f>
        <v>0</v>
      </c>
      <c r="S352" s="93">
        <f>SUM('1:2'!S352)</f>
        <v>0</v>
      </c>
      <c r="T352" s="93">
        <f>SUM('1:2'!T352)</f>
        <v>0</v>
      </c>
      <c r="U352" s="93">
        <f>SUM('1:2'!U352)</f>
        <v>0</v>
      </c>
      <c r="V352" s="206">
        <f t="shared" si="135"/>
        <v>0</v>
      </c>
      <c r="W352" s="33" t="str">
        <f t="shared" si="136"/>
        <v/>
      </c>
      <c r="X352" s="93">
        <f>SUM('1:2'!X352)</f>
        <v>0</v>
      </c>
      <c r="Y352" s="93">
        <f>SUM('1:2'!Y352)</f>
        <v>0</v>
      </c>
      <c r="Z352" s="93">
        <f>SUM('1:2'!Z352)</f>
        <v>0</v>
      </c>
      <c r="AA352" s="93">
        <f>SUM('1:2'!AA352)</f>
        <v>0</v>
      </c>
      <c r="AB352" s="73"/>
      <c r="AC352" s="54"/>
      <c r="AD352" s="370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5"/>
      <c r="AW352" s="55"/>
      <c r="AX352" s="55"/>
      <c r="AY352" s="54"/>
      <c r="AZ352" s="54"/>
      <c r="BA352" s="54"/>
    </row>
    <row r="353" spans="1:53">
      <c r="A353" s="315">
        <v>30100047</v>
      </c>
      <c r="B353" s="62" t="s">
        <v>56</v>
      </c>
      <c r="C353" s="16" t="s">
        <v>57</v>
      </c>
      <c r="D353" s="17">
        <v>5.03</v>
      </c>
      <c r="E353" s="17"/>
      <c r="F353" s="6"/>
      <c r="G353" s="93">
        <f>SUM('1:2'!G353)</f>
        <v>0</v>
      </c>
      <c r="H353" s="95">
        <f t="shared" si="133"/>
        <v>0</v>
      </c>
      <c r="I353" s="93">
        <f>SUM('1:2'!I353)</f>
        <v>0</v>
      </c>
      <c r="J353" s="31" t="str">
        <f t="array" ref="J353">IF(ISERROR(G353/I353),"",G353/I353)</f>
        <v/>
      </c>
      <c r="K353" s="35">
        <f t="array" ref="K353">IF(ISERROR(G353/L353),"",G353/L353)</f>
        <v>0</v>
      </c>
      <c r="L353" s="87">
        <v>20</v>
      </c>
      <c r="M353" s="36">
        <f t="shared" si="134"/>
        <v>0</v>
      </c>
      <c r="N353" s="31">
        <f t="shared" si="137"/>
        <v>0</v>
      </c>
      <c r="O353" s="93">
        <f>SUM('1:2'!O353)</f>
        <v>0</v>
      </c>
      <c r="P353" s="93">
        <f>SUM('1:2'!P353)</f>
        <v>0</v>
      </c>
      <c r="Q353" s="93">
        <f>SUM('1:2'!Q353)</f>
        <v>0</v>
      </c>
      <c r="R353" s="93">
        <f>SUM('1:2'!R353)</f>
        <v>0</v>
      </c>
      <c r="S353" s="93">
        <f>SUM('1:2'!S353)</f>
        <v>0</v>
      </c>
      <c r="T353" s="93">
        <f>SUM('1:2'!T353)</f>
        <v>0</v>
      </c>
      <c r="U353" s="93">
        <f>SUM('1:2'!U353)</f>
        <v>0</v>
      </c>
      <c r="V353" s="206">
        <f t="shared" si="135"/>
        <v>0</v>
      </c>
      <c r="W353" s="33" t="str">
        <f t="shared" si="136"/>
        <v/>
      </c>
      <c r="X353" s="93">
        <f>SUM('1:2'!X353)</f>
        <v>0</v>
      </c>
      <c r="Y353" s="93">
        <f>SUM('1:2'!Y353)</f>
        <v>0</v>
      </c>
      <c r="Z353" s="93">
        <f>SUM('1:2'!Z353)</f>
        <v>0</v>
      </c>
      <c r="AA353" s="93">
        <f>SUM('1:2'!AA353)</f>
        <v>0</v>
      </c>
      <c r="AB353" s="73"/>
      <c r="AC353" s="54"/>
      <c r="AD353" s="370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>
      <c r="A354" s="315">
        <v>30100052</v>
      </c>
      <c r="B354" s="62" t="s">
        <v>58</v>
      </c>
      <c r="C354" s="16" t="s">
        <v>53</v>
      </c>
      <c r="D354" s="17">
        <v>5.04</v>
      </c>
      <c r="E354" s="17"/>
      <c r="F354" s="6"/>
      <c r="G354" s="93">
        <f>SUM('1:2'!G354)</f>
        <v>0</v>
      </c>
      <c r="H354" s="95">
        <f t="shared" si="133"/>
        <v>0</v>
      </c>
      <c r="I354" s="93">
        <f>SUM('1:2'!I354)</f>
        <v>0</v>
      </c>
      <c r="J354" s="31" t="str">
        <f t="array" ref="J354">IF(ISERROR(G354/I354),"",G354/I354)</f>
        <v/>
      </c>
      <c r="K354" s="35">
        <f t="array" ref="K354">IF(ISERROR(G354/L354),"",G354/L354)</f>
        <v>0</v>
      </c>
      <c r="L354" s="87">
        <v>19</v>
      </c>
      <c r="M354" s="36">
        <f t="shared" si="134"/>
        <v>0</v>
      </c>
      <c r="N354" s="31">
        <f t="shared" si="137"/>
        <v>0</v>
      </c>
      <c r="O354" s="93">
        <f>SUM('1:2'!O354)</f>
        <v>0</v>
      </c>
      <c r="P354" s="93">
        <f>SUM('1:2'!P354)</f>
        <v>0</v>
      </c>
      <c r="Q354" s="93">
        <f>SUM('1:2'!Q354)</f>
        <v>0</v>
      </c>
      <c r="R354" s="93">
        <f>SUM('1:2'!R354)</f>
        <v>0</v>
      </c>
      <c r="S354" s="93">
        <f>SUM('1:2'!S354)</f>
        <v>0</v>
      </c>
      <c r="T354" s="93">
        <f>SUM('1:2'!T354)</f>
        <v>0</v>
      </c>
      <c r="U354" s="93">
        <f>SUM('1:2'!U354)</f>
        <v>0</v>
      </c>
      <c r="V354" s="206">
        <f t="shared" si="135"/>
        <v>0</v>
      </c>
      <c r="W354" s="33" t="str">
        <f t="shared" si="136"/>
        <v/>
      </c>
      <c r="X354" s="93">
        <f>SUM('1:2'!X354)</f>
        <v>0</v>
      </c>
      <c r="Y354" s="93">
        <f>SUM('1:2'!Y354)</f>
        <v>0</v>
      </c>
      <c r="Z354" s="93">
        <f>SUM('1:2'!Z354)</f>
        <v>0</v>
      </c>
      <c r="AA354" s="93">
        <f>SUM('1:2'!AA354)</f>
        <v>0</v>
      </c>
      <c r="AB354" s="73"/>
      <c r="AC354" s="54"/>
      <c r="AD354" s="370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>
      <c r="A355" s="332">
        <v>30100059</v>
      </c>
      <c r="B355" s="62" t="s">
        <v>59</v>
      </c>
      <c r="C355" s="16" t="s">
        <v>60</v>
      </c>
      <c r="D355" s="17">
        <v>5.03</v>
      </c>
      <c r="E355" s="17"/>
      <c r="F355" s="6"/>
      <c r="G355" s="93">
        <f>SUM('1:2'!G355)</f>
        <v>0</v>
      </c>
      <c r="H355" s="95">
        <f t="shared" si="133"/>
        <v>0</v>
      </c>
      <c r="I355" s="93">
        <f>SUM('1:2'!I355)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87">
        <v>3</v>
      </c>
      <c r="M355" s="36">
        <f t="shared" si="134"/>
        <v>0</v>
      </c>
      <c r="N355" s="31">
        <f t="shared" si="137"/>
        <v>0</v>
      </c>
      <c r="O355" s="93">
        <f>SUM('1:2'!O355)</f>
        <v>0</v>
      </c>
      <c r="P355" s="93">
        <f>SUM('1:2'!P355)</f>
        <v>0</v>
      </c>
      <c r="Q355" s="93">
        <f>SUM('1:2'!Q355)</f>
        <v>0</v>
      </c>
      <c r="R355" s="93">
        <f>SUM('1:2'!R355)</f>
        <v>0</v>
      </c>
      <c r="S355" s="93">
        <f>SUM('1:2'!S355)</f>
        <v>0</v>
      </c>
      <c r="T355" s="93">
        <f>SUM('1:2'!T355)</f>
        <v>0</v>
      </c>
      <c r="U355" s="93">
        <f>SUM('1:2'!U355)</f>
        <v>0</v>
      </c>
      <c r="V355" s="206">
        <f t="shared" si="135"/>
        <v>0</v>
      </c>
      <c r="W355" s="33" t="str">
        <f t="shared" si="136"/>
        <v/>
      </c>
      <c r="X355" s="93">
        <f>SUM('1:2'!X355)</f>
        <v>0</v>
      </c>
      <c r="Y355" s="93">
        <f>SUM('1:2'!Y355)</f>
        <v>0</v>
      </c>
      <c r="Z355" s="93">
        <f>SUM('1:2'!Z355)</f>
        <v>0</v>
      </c>
      <c r="AA355" s="93">
        <f>SUM('1:2'!AA355)</f>
        <v>0</v>
      </c>
      <c r="AB355" s="73"/>
      <c r="AC355" s="54"/>
      <c r="AD355" s="370"/>
      <c r="AE355" s="54"/>
      <c r="AF355" s="54"/>
      <c r="AG355" s="54"/>
      <c r="AH355" s="54"/>
      <c r="AI355" s="57"/>
      <c r="AJ355" s="57"/>
      <c r="AK355" s="57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>
      <c r="A356" s="302">
        <v>30100060</v>
      </c>
      <c r="B356" s="62" t="s">
        <v>59</v>
      </c>
      <c r="C356" s="16" t="s">
        <v>61</v>
      </c>
      <c r="D356" s="17">
        <v>5.03</v>
      </c>
      <c r="E356" s="17"/>
      <c r="F356" s="6"/>
      <c r="G356" s="93">
        <f>SUM('1:2'!G356)</f>
        <v>0</v>
      </c>
      <c r="H356" s="95">
        <f t="shared" si="133"/>
        <v>0</v>
      </c>
      <c r="I356" s="93">
        <f>SUM('1:2'!I356)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87">
        <v>3</v>
      </c>
      <c r="M356" s="36">
        <f t="shared" si="134"/>
        <v>0</v>
      </c>
      <c r="N356" s="31">
        <f t="shared" si="137"/>
        <v>0</v>
      </c>
      <c r="O356" s="93">
        <f>SUM('1:2'!O356)</f>
        <v>0</v>
      </c>
      <c r="P356" s="93">
        <f>SUM('1:2'!P356)</f>
        <v>0</v>
      </c>
      <c r="Q356" s="93">
        <f>SUM('1:2'!Q356)</f>
        <v>0</v>
      </c>
      <c r="R356" s="93">
        <f>SUM('1:2'!R356)</f>
        <v>0</v>
      </c>
      <c r="S356" s="93">
        <f>SUM('1:2'!S356)</f>
        <v>0</v>
      </c>
      <c r="T356" s="93">
        <f>SUM('1:2'!T356)</f>
        <v>0</v>
      </c>
      <c r="U356" s="93">
        <f>SUM('1:2'!U356)</f>
        <v>0</v>
      </c>
      <c r="V356" s="206">
        <f t="shared" si="135"/>
        <v>0</v>
      </c>
      <c r="W356" s="33" t="str">
        <f t="shared" si="136"/>
        <v/>
      </c>
      <c r="X356" s="93">
        <f>SUM('1:2'!X356)</f>
        <v>0</v>
      </c>
      <c r="Y356" s="93">
        <f>SUM('1:2'!Y356)</f>
        <v>0</v>
      </c>
      <c r="Z356" s="93">
        <f>SUM('1:2'!Z356)</f>
        <v>0</v>
      </c>
      <c r="AA356" s="93">
        <f>SUM('1:2'!AA356)</f>
        <v>0</v>
      </c>
      <c r="AB356" s="73"/>
      <c r="AC356" s="54"/>
      <c r="AD356" s="370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>
      <c r="A357" s="300">
        <v>30200006</v>
      </c>
      <c r="B357" s="62" t="s">
        <v>62</v>
      </c>
      <c r="C357" s="16" t="s">
        <v>63</v>
      </c>
      <c r="D357" s="17">
        <v>5.04</v>
      </c>
      <c r="E357" s="17"/>
      <c r="F357" s="79"/>
      <c r="G357" s="93">
        <f>SUM('1:2'!G357)</f>
        <v>0</v>
      </c>
      <c r="H357" s="95">
        <f t="shared" si="133"/>
        <v>0</v>
      </c>
      <c r="I357" s="93">
        <f>SUM('1:2'!I357)</f>
        <v>0</v>
      </c>
      <c r="J357" s="31" t="str">
        <f t="array" ref="J357">IF(ISERROR(G357/I357),"",G357/I357)</f>
        <v/>
      </c>
      <c r="K357" s="35">
        <f t="array" ref="K357">IF(ISERROR(G357/L357),"",G357/L357)</f>
        <v>0</v>
      </c>
      <c r="L357" s="87">
        <v>17</v>
      </c>
      <c r="M357" s="36">
        <f t="shared" si="134"/>
        <v>0</v>
      </c>
      <c r="N357" s="31">
        <f t="shared" si="137"/>
        <v>0</v>
      </c>
      <c r="O357" s="93">
        <f>SUM('1:2'!O357)</f>
        <v>0</v>
      </c>
      <c r="P357" s="93">
        <f>SUM('1:2'!P357)</f>
        <v>0</v>
      </c>
      <c r="Q357" s="93">
        <f>SUM('1:2'!Q357)</f>
        <v>0</v>
      </c>
      <c r="R357" s="93">
        <f>SUM('1:2'!R357)</f>
        <v>0</v>
      </c>
      <c r="S357" s="93">
        <f>SUM('1:2'!S357)</f>
        <v>0</v>
      </c>
      <c r="T357" s="93">
        <f>SUM('1:2'!T357)</f>
        <v>0</v>
      </c>
      <c r="U357" s="93">
        <f>SUM('1:2'!U357)</f>
        <v>0</v>
      </c>
      <c r="V357" s="206">
        <f t="shared" si="135"/>
        <v>0</v>
      </c>
      <c r="W357" s="33" t="str">
        <f t="shared" si="136"/>
        <v/>
      </c>
      <c r="X357" s="93">
        <f>SUM('1:2'!X357)</f>
        <v>0</v>
      </c>
      <c r="Y357" s="93">
        <f>SUM('1:2'!Y357)</f>
        <v>0</v>
      </c>
      <c r="Z357" s="93">
        <f>SUM('1:2'!Z357)</f>
        <v>0</v>
      </c>
      <c r="AA357" s="93">
        <f>SUM('1:2'!AA357)</f>
        <v>0</v>
      </c>
      <c r="AB357" s="73"/>
      <c r="AC357" s="54"/>
      <c r="AD357" s="370"/>
      <c r="AE357" s="54"/>
      <c r="AF357" s="54"/>
      <c r="AG357" s="54"/>
      <c r="AH357" s="54"/>
      <c r="AI357" s="57"/>
      <c r="AJ357" s="57"/>
      <c r="AK357" s="57"/>
      <c r="AL357" s="369"/>
      <c r="AM357" s="54"/>
      <c r="AN357" s="54"/>
      <c r="AO357" s="54"/>
      <c r="AP357" s="369"/>
      <c r="AQ357" s="369"/>
      <c r="AR357" s="369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>
      <c r="A358" s="300">
        <v>30200005</v>
      </c>
      <c r="B358" s="62" t="s">
        <v>62</v>
      </c>
      <c r="C358" s="16" t="s">
        <v>64</v>
      </c>
      <c r="D358" s="17">
        <v>5.04</v>
      </c>
      <c r="E358" s="17"/>
      <c r="F358" s="79"/>
      <c r="G358" s="93">
        <f>SUM('1:2'!G358)</f>
        <v>0</v>
      </c>
      <c r="H358" s="95">
        <f t="shared" si="133"/>
        <v>0</v>
      </c>
      <c r="I358" s="93">
        <f>SUM('1:2'!I358)</f>
        <v>0</v>
      </c>
      <c r="J358" s="31" t="str">
        <f t="array" ref="J358">IF(ISERROR(G358/I358),"",G358/I358)</f>
        <v/>
      </c>
      <c r="K358" s="35">
        <f t="array" ref="K358">IF(ISERROR(G358/L358),"",G358/L358)</f>
        <v>0</v>
      </c>
      <c r="L358" s="87">
        <v>17</v>
      </c>
      <c r="M358" s="36">
        <f t="shared" si="134"/>
        <v>0</v>
      </c>
      <c r="N358" s="31">
        <f t="shared" si="137"/>
        <v>0</v>
      </c>
      <c r="O358" s="93">
        <f>SUM('1:2'!O358)</f>
        <v>0</v>
      </c>
      <c r="P358" s="93">
        <f>SUM('1:2'!P358)</f>
        <v>0</v>
      </c>
      <c r="Q358" s="93">
        <f>SUM('1:2'!Q358)</f>
        <v>0</v>
      </c>
      <c r="R358" s="93">
        <f>SUM('1:2'!R358)</f>
        <v>0</v>
      </c>
      <c r="S358" s="93">
        <f>SUM('1:2'!S358)</f>
        <v>0</v>
      </c>
      <c r="T358" s="93">
        <f>SUM('1:2'!T358)</f>
        <v>0</v>
      </c>
      <c r="U358" s="93">
        <f>SUM('1:2'!U358)</f>
        <v>0</v>
      </c>
      <c r="V358" s="206">
        <f t="shared" si="135"/>
        <v>0</v>
      </c>
      <c r="W358" s="33" t="str">
        <f t="shared" si="136"/>
        <v/>
      </c>
      <c r="X358" s="93">
        <f>SUM('1:2'!X358)</f>
        <v>0</v>
      </c>
      <c r="Y358" s="93">
        <f>SUM('1:2'!Y358)</f>
        <v>0</v>
      </c>
      <c r="Z358" s="93">
        <f>SUM('1:2'!Z358)</f>
        <v>0</v>
      </c>
      <c r="AA358" s="93">
        <f>SUM('1:2'!AA358)</f>
        <v>0</v>
      </c>
      <c r="AB358" s="73"/>
      <c r="AC358" s="54"/>
      <c r="AD358" s="370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>
      <c r="A359" s="302">
        <v>30100063</v>
      </c>
      <c r="B359" s="62" t="s">
        <v>171</v>
      </c>
      <c r="C359" s="16" t="s">
        <v>172</v>
      </c>
      <c r="D359" s="17"/>
      <c r="E359" s="17"/>
      <c r="F359" s="79"/>
      <c r="G359" s="93">
        <f>SUM('1:2'!G359)</f>
        <v>0</v>
      </c>
      <c r="H359" s="95">
        <f t="shared" si="133"/>
        <v>0</v>
      </c>
      <c r="I359" s="93"/>
      <c r="J359" s="31"/>
      <c r="K359" s="35"/>
      <c r="L359" s="87"/>
      <c r="M359" s="36"/>
      <c r="N359" s="31"/>
      <c r="O359" s="93"/>
      <c r="P359" s="93"/>
      <c r="Q359" s="93"/>
      <c r="R359" s="93"/>
      <c r="S359" s="93"/>
      <c r="T359" s="93"/>
      <c r="U359" s="93"/>
      <c r="V359" s="206"/>
      <c r="W359" s="33"/>
      <c r="X359" s="93"/>
      <c r="Y359" s="93"/>
      <c r="Z359" s="93"/>
      <c r="AA359" s="93"/>
      <c r="AB359" s="73"/>
      <c r="AC359" s="54"/>
      <c r="AD359" s="370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>
      <c r="A360" s="302">
        <v>30100061</v>
      </c>
      <c r="B360" s="62" t="s">
        <v>171</v>
      </c>
      <c r="C360" s="16" t="s">
        <v>173</v>
      </c>
      <c r="D360" s="17"/>
      <c r="E360" s="17"/>
      <c r="F360" s="79"/>
      <c r="G360" s="93">
        <f>SUM('1:2'!G360)</f>
        <v>0</v>
      </c>
      <c r="H360" s="95">
        <f t="shared" si="133"/>
        <v>0</v>
      </c>
      <c r="I360" s="93"/>
      <c r="J360" s="31"/>
      <c r="K360" s="35"/>
      <c r="L360" s="87"/>
      <c r="M360" s="36"/>
      <c r="N360" s="31"/>
      <c r="O360" s="93"/>
      <c r="P360" s="93"/>
      <c r="Q360" s="93"/>
      <c r="R360" s="93"/>
      <c r="S360" s="93"/>
      <c r="T360" s="93"/>
      <c r="U360" s="93"/>
      <c r="V360" s="206"/>
      <c r="W360" s="33"/>
      <c r="X360" s="93"/>
      <c r="Y360" s="93"/>
      <c r="Z360" s="93"/>
      <c r="AA360" s="93"/>
      <c r="AB360" s="73"/>
      <c r="AC360" s="54"/>
      <c r="AD360" s="370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>
      <c r="A361" s="300">
        <v>30200001</v>
      </c>
      <c r="B361" s="62" t="s">
        <v>67</v>
      </c>
      <c r="C361" s="16" t="s">
        <v>63</v>
      </c>
      <c r="D361" s="17">
        <v>5.0599999999999996</v>
      </c>
      <c r="E361" s="17"/>
      <c r="F361" s="6"/>
      <c r="G361" s="93">
        <f>SUM('1:2'!G361)</f>
        <v>0</v>
      </c>
      <c r="H361" s="95">
        <f t="shared" si="133"/>
        <v>0</v>
      </c>
      <c r="I361" s="93">
        <f>SUM('1:2'!I361)</f>
        <v>0</v>
      </c>
      <c r="J361" s="31" t="str">
        <f t="array" ref="J361">IF(ISERROR(G361/I361),"",G361/I361)</f>
        <v/>
      </c>
      <c r="K361" s="35">
        <f t="array" ref="K361">IF(ISERROR(G361/L361),"",G361/L361)</f>
        <v>0</v>
      </c>
      <c r="L361" s="87">
        <v>19</v>
      </c>
      <c r="M361" s="36">
        <f t="shared" ref="M361:M364" si="138">IF(ISERROR(I361-K361),"",I361-K361)</f>
        <v>0</v>
      </c>
      <c r="N361" s="31">
        <f t="shared" ref="N361:N364" si="139">SUM(O361:U361)</f>
        <v>0</v>
      </c>
      <c r="O361" s="93">
        <f>SUM('1:2'!O361)</f>
        <v>0</v>
      </c>
      <c r="P361" s="93">
        <f>SUM('1:2'!P361)</f>
        <v>0</v>
      </c>
      <c r="Q361" s="93">
        <f>SUM('1:2'!Q361)</f>
        <v>0</v>
      </c>
      <c r="R361" s="93">
        <f>SUM('1:2'!R361)</f>
        <v>0</v>
      </c>
      <c r="S361" s="93">
        <f>SUM('1:2'!S361)</f>
        <v>0</v>
      </c>
      <c r="T361" s="93">
        <f>SUM('1:2'!T361)</f>
        <v>0</v>
      </c>
      <c r="U361" s="93">
        <f>SUM('1:2'!U361)</f>
        <v>0</v>
      </c>
      <c r="V361" s="206">
        <f t="shared" ref="V361:V364" si="140">SUM(X361:AA361)</f>
        <v>0</v>
      </c>
      <c r="W361" s="33" t="str">
        <f t="shared" ref="W361:W364" si="141">IF(ISERROR(V361/G361),"",V361/G361)</f>
        <v/>
      </c>
      <c r="X361" s="93">
        <f>SUM('1:2'!X361)</f>
        <v>0</v>
      </c>
      <c r="Y361" s="93">
        <f>SUM('1:2'!Y361)</f>
        <v>0</v>
      </c>
      <c r="Z361" s="93">
        <f>SUM('1:2'!Z361)</f>
        <v>0</v>
      </c>
      <c r="AA361" s="93">
        <f>SUM('1:2'!AA361)</f>
        <v>0</v>
      </c>
      <c r="AB361" s="73"/>
      <c r="AC361" s="54"/>
      <c r="AD361" s="370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>
      <c r="A362" s="300">
        <v>30200002</v>
      </c>
      <c r="B362" s="62" t="s">
        <v>68</v>
      </c>
      <c r="C362" s="16" t="s">
        <v>63</v>
      </c>
      <c r="D362" s="17">
        <v>5.09</v>
      </c>
      <c r="E362" s="17"/>
      <c r="F362" s="6"/>
      <c r="G362" s="93">
        <f>SUM('1:2'!G362)</f>
        <v>0</v>
      </c>
      <c r="H362" s="95">
        <f t="shared" si="133"/>
        <v>0</v>
      </c>
      <c r="I362" s="93">
        <f>SUM('1:2'!I362)</f>
        <v>0</v>
      </c>
      <c r="J362" s="31" t="str">
        <f t="array" ref="J362">IF(ISERROR(G362/I362),"",G362/I362)</f>
        <v/>
      </c>
      <c r="K362" s="35">
        <f t="array" ref="K362">IF(ISERROR(G362/L362),"",G362/L362)</f>
        <v>0</v>
      </c>
      <c r="L362" s="87">
        <v>23</v>
      </c>
      <c r="M362" s="36">
        <f t="shared" si="138"/>
        <v>0</v>
      </c>
      <c r="N362" s="31">
        <f t="shared" si="139"/>
        <v>0</v>
      </c>
      <c r="O362" s="93">
        <f>SUM('1:2'!O362)</f>
        <v>0</v>
      </c>
      <c r="P362" s="93">
        <f>SUM('1:2'!P362)</f>
        <v>0</v>
      </c>
      <c r="Q362" s="93">
        <f>SUM('1:2'!Q362)</f>
        <v>0</v>
      </c>
      <c r="R362" s="93">
        <f>SUM('1:2'!R362)</f>
        <v>0</v>
      </c>
      <c r="S362" s="93">
        <f>SUM('1:2'!S362)</f>
        <v>0</v>
      </c>
      <c r="T362" s="93">
        <f>SUM('1:2'!T362)</f>
        <v>0</v>
      </c>
      <c r="U362" s="93">
        <f>SUM('1:2'!U362)</f>
        <v>0</v>
      </c>
      <c r="V362" s="206">
        <f t="shared" si="140"/>
        <v>0</v>
      </c>
      <c r="W362" s="33" t="str">
        <f t="shared" si="141"/>
        <v/>
      </c>
      <c r="X362" s="93">
        <f>SUM('1:2'!X362)</f>
        <v>0</v>
      </c>
      <c r="Y362" s="93">
        <f>SUM('1:2'!Y362)</f>
        <v>0</v>
      </c>
      <c r="Z362" s="93">
        <f>SUM('1:2'!Z362)</f>
        <v>0</v>
      </c>
      <c r="AA362" s="93">
        <f>SUM('1:2'!AA362)</f>
        <v>0</v>
      </c>
      <c r="AB362" s="73"/>
      <c r="AC362" s="54"/>
      <c r="AD362" s="370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>
      <c r="A363" s="300">
        <v>30200003</v>
      </c>
      <c r="B363" s="62" t="s">
        <v>68</v>
      </c>
      <c r="C363" s="16" t="s">
        <v>64</v>
      </c>
      <c r="D363" s="17">
        <v>5.09</v>
      </c>
      <c r="E363" s="17"/>
      <c r="F363" s="6"/>
      <c r="G363" s="93">
        <f>SUM('1:2'!G363)</f>
        <v>0</v>
      </c>
      <c r="H363" s="95">
        <f t="shared" si="133"/>
        <v>0</v>
      </c>
      <c r="I363" s="93">
        <f>SUM('1:2'!I363)</f>
        <v>0</v>
      </c>
      <c r="J363" s="31" t="str">
        <f t="array" ref="J363">IF(ISERROR(G363/I363),"",G363/I363)</f>
        <v/>
      </c>
      <c r="K363" s="35">
        <f t="array" ref="K363">IF(ISERROR(G363/L363),"",G363/L363)</f>
        <v>0</v>
      </c>
      <c r="L363" s="87">
        <v>23</v>
      </c>
      <c r="M363" s="36">
        <f t="shared" si="138"/>
        <v>0</v>
      </c>
      <c r="N363" s="31">
        <f t="shared" si="139"/>
        <v>0</v>
      </c>
      <c r="O363" s="93">
        <f>SUM('1:2'!O363)</f>
        <v>0</v>
      </c>
      <c r="P363" s="93">
        <f>SUM('1:2'!P363)</f>
        <v>0</v>
      </c>
      <c r="Q363" s="93">
        <f>SUM('1:2'!Q363)</f>
        <v>0</v>
      </c>
      <c r="R363" s="93">
        <f>SUM('1:2'!R363)</f>
        <v>0</v>
      </c>
      <c r="S363" s="93">
        <f>SUM('1:2'!S363)</f>
        <v>0</v>
      </c>
      <c r="T363" s="93">
        <f>SUM('1:2'!T363)</f>
        <v>0</v>
      </c>
      <c r="U363" s="93">
        <f>SUM('1:2'!U363)</f>
        <v>0</v>
      </c>
      <c r="V363" s="206">
        <f t="shared" si="140"/>
        <v>0</v>
      </c>
      <c r="W363" s="33" t="str">
        <f t="shared" si="141"/>
        <v/>
      </c>
      <c r="X363" s="93">
        <f>SUM('1:2'!X363)</f>
        <v>0</v>
      </c>
      <c r="Y363" s="93">
        <f>SUM('1:2'!Y363)</f>
        <v>0</v>
      </c>
      <c r="Z363" s="93">
        <f>SUM('1:2'!Z363)</f>
        <v>0</v>
      </c>
      <c r="AA363" s="93">
        <f>SUM('1:2'!AA363)</f>
        <v>0</v>
      </c>
      <c r="AB363" s="73"/>
      <c r="AC363" s="54"/>
      <c r="AD363" s="370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>
      <c r="A364" s="300">
        <v>30100003</v>
      </c>
      <c r="B364" s="141" t="s">
        <v>198</v>
      </c>
      <c r="C364" s="356" t="s">
        <v>190</v>
      </c>
      <c r="D364" s="108">
        <v>4.8</v>
      </c>
      <c r="E364" s="17"/>
      <c r="F364" s="6"/>
      <c r="G364" s="93">
        <f>SUM('1:2'!G364)</f>
        <v>0</v>
      </c>
      <c r="H364" s="95">
        <f t="shared" si="133"/>
        <v>0</v>
      </c>
      <c r="I364" s="93">
        <f>SUM('1:2'!I364)</f>
        <v>0</v>
      </c>
      <c r="J364" s="31" t="str">
        <f t="array" ref="J364">IF(ISERROR(G364/I364),"",G364/I364)</f>
        <v/>
      </c>
      <c r="K364" s="35">
        <f t="array" ref="K364">IF(ISERROR(G364/L364),"",G364/L364)</f>
        <v>0</v>
      </c>
      <c r="L364" s="87">
        <v>4</v>
      </c>
      <c r="M364" s="36">
        <f t="shared" si="138"/>
        <v>0</v>
      </c>
      <c r="N364" s="31">
        <f t="shared" si="139"/>
        <v>0</v>
      </c>
      <c r="O364" s="93">
        <f>SUM('1:2'!O364)</f>
        <v>0</v>
      </c>
      <c r="P364" s="93">
        <f>SUM('1:2'!P364)</f>
        <v>0</v>
      </c>
      <c r="Q364" s="93">
        <f>SUM('1:2'!Q364)</f>
        <v>0</v>
      </c>
      <c r="R364" s="93">
        <f>SUM('1:2'!R364)</f>
        <v>0</v>
      </c>
      <c r="S364" s="93">
        <f>SUM('1:2'!S364)</f>
        <v>0</v>
      </c>
      <c r="T364" s="93">
        <f>SUM('1:2'!T364)</f>
        <v>0</v>
      </c>
      <c r="U364" s="93">
        <f>SUM('1:2'!U364)</f>
        <v>0</v>
      </c>
      <c r="V364" s="206">
        <f t="shared" si="140"/>
        <v>0</v>
      </c>
      <c r="W364" s="33" t="str">
        <f t="shared" si="141"/>
        <v/>
      </c>
      <c r="X364" s="93">
        <f>SUM('1:2'!X364)</f>
        <v>0</v>
      </c>
      <c r="Y364" s="93">
        <f>SUM('1:2'!Y364)</f>
        <v>0</v>
      </c>
      <c r="Z364" s="93">
        <f>SUM('1:2'!Z364)</f>
        <v>0</v>
      </c>
      <c r="AA364" s="93">
        <f>SUM('1:2'!AA364)</f>
        <v>0</v>
      </c>
      <c r="AB364" s="73"/>
      <c r="AC364" s="54"/>
      <c r="AD364" s="370"/>
      <c r="AE364" s="54"/>
      <c r="AF364" s="54"/>
      <c r="AG364" s="54"/>
      <c r="AH364" s="54"/>
      <c r="AI364" s="57"/>
      <c r="AJ364" s="57"/>
      <c r="AK364" s="57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</row>
    <row r="365" spans="1:53">
      <c r="A365" s="300">
        <v>30100004</v>
      </c>
      <c r="B365" s="141" t="s">
        <v>198</v>
      </c>
      <c r="C365" s="356" t="s">
        <v>187</v>
      </c>
      <c r="D365" s="108">
        <v>4.8</v>
      </c>
      <c r="E365" s="17"/>
      <c r="F365" s="6"/>
      <c r="G365" s="93">
        <f>SUM('1:2'!G365)</f>
        <v>0</v>
      </c>
      <c r="H365" s="95">
        <f t="shared" si="133"/>
        <v>0</v>
      </c>
      <c r="I365" s="93">
        <f>SUM('1:2'!I365)</f>
        <v>0</v>
      </c>
      <c r="J365" s="31"/>
      <c r="K365" s="35">
        <f t="array" ref="K365">IF(ISERROR(G365/L365),"",G365/L365)</f>
        <v>0</v>
      </c>
      <c r="L365" s="87">
        <v>4</v>
      </c>
      <c r="M365" s="36">
        <f>IF(ISERROR(I365-K365),"",I365-K365)</f>
        <v>0</v>
      </c>
      <c r="N365" s="31"/>
      <c r="O365" s="93">
        <f>SUM('1:2'!O365)</f>
        <v>0</v>
      </c>
      <c r="P365" s="93">
        <f>SUM('1:2'!P365)</f>
        <v>0</v>
      </c>
      <c r="Q365" s="93">
        <f>SUM('1:2'!Q365)</f>
        <v>0</v>
      </c>
      <c r="R365" s="93">
        <f>SUM('1:2'!R365)</f>
        <v>0</v>
      </c>
      <c r="S365" s="93">
        <f>SUM('1:2'!S365)</f>
        <v>0</v>
      </c>
      <c r="T365" s="93">
        <f>SUM('1:2'!T365)</f>
        <v>0</v>
      </c>
      <c r="U365" s="93">
        <f>SUM('1:2'!U365)</f>
        <v>0</v>
      </c>
      <c r="V365" s="206"/>
      <c r="W365" s="33"/>
      <c r="X365" s="93">
        <f>SUM('1:2'!X365)</f>
        <v>0</v>
      </c>
      <c r="Y365" s="93">
        <f>SUM('1:2'!Y365)</f>
        <v>0</v>
      </c>
      <c r="Z365" s="93">
        <f>SUM('1:2'!Z365)</f>
        <v>0</v>
      </c>
      <c r="AA365" s="93">
        <f>SUM('1:2'!AA365)</f>
        <v>0</v>
      </c>
      <c r="AB365" s="73"/>
      <c r="AC365" s="54"/>
      <c r="AD365" s="370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>
      <c r="A366" s="300">
        <v>30100006</v>
      </c>
      <c r="B366" s="141" t="s">
        <v>198</v>
      </c>
      <c r="C366" s="356" t="s">
        <v>179</v>
      </c>
      <c r="D366" s="108">
        <v>4.8</v>
      </c>
      <c r="E366" s="17"/>
      <c r="F366" s="6"/>
      <c r="G366" s="93">
        <f>SUM('1:2'!G366)</f>
        <v>0</v>
      </c>
      <c r="H366" s="95">
        <f t="shared" si="133"/>
        <v>0</v>
      </c>
      <c r="I366" s="93">
        <f>SUM('1:2'!I366)</f>
        <v>0</v>
      </c>
      <c r="J366" s="31"/>
      <c r="K366" s="35">
        <f t="array" ref="K366">IF(ISERROR(G366/L366),"",G366/L366)</f>
        <v>0</v>
      </c>
      <c r="L366" s="87">
        <v>4</v>
      </c>
      <c r="M366" s="36">
        <f>IF(ISERROR(I366-K366),"",I366-K366)</f>
        <v>0</v>
      </c>
      <c r="N366" s="31"/>
      <c r="O366" s="93">
        <f>SUM('1:2'!O366)</f>
        <v>0</v>
      </c>
      <c r="P366" s="93">
        <f>SUM('1:2'!P366)</f>
        <v>0</v>
      </c>
      <c r="Q366" s="93">
        <f>SUM('1:2'!Q366)</f>
        <v>0</v>
      </c>
      <c r="R366" s="93">
        <f>SUM('1:2'!R366)</f>
        <v>0</v>
      </c>
      <c r="S366" s="93">
        <f>SUM('1:2'!S366)</f>
        <v>0</v>
      </c>
      <c r="T366" s="93">
        <f>SUM('1:2'!T366)</f>
        <v>0</v>
      </c>
      <c r="U366" s="93">
        <f>SUM('1:2'!U366)</f>
        <v>0</v>
      </c>
      <c r="V366" s="206"/>
      <c r="W366" s="33"/>
      <c r="X366" s="93">
        <f>SUM('1:2'!X366)</f>
        <v>0</v>
      </c>
      <c r="Y366" s="93">
        <f>SUM('1:2'!Y366)</f>
        <v>0</v>
      </c>
      <c r="Z366" s="93">
        <f>SUM('1:2'!Z366)</f>
        <v>0</v>
      </c>
      <c r="AA366" s="93">
        <f>SUM('1:2'!AA366)</f>
        <v>0</v>
      </c>
      <c r="AB366" s="73"/>
      <c r="AC366" s="54"/>
      <c r="AD366" s="370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>
      <c r="A367" s="300">
        <v>30100005</v>
      </c>
      <c r="B367" s="141" t="s">
        <v>198</v>
      </c>
      <c r="C367" s="356" t="s">
        <v>199</v>
      </c>
      <c r="D367" s="108">
        <v>4.8</v>
      </c>
      <c r="E367" s="17"/>
      <c r="F367" s="6"/>
      <c r="G367" s="93">
        <f>SUM('1:2'!G367)</f>
        <v>0</v>
      </c>
      <c r="H367" s="95">
        <f t="shared" si="133"/>
        <v>0</v>
      </c>
      <c r="I367" s="93">
        <f>SUM('1:2'!I367)</f>
        <v>0</v>
      </c>
      <c r="J367" s="31"/>
      <c r="K367" s="35">
        <f t="array" ref="K367">IF(ISERROR(G367/L367),"",G367/L367)</f>
        <v>0</v>
      </c>
      <c r="L367" s="87">
        <v>4</v>
      </c>
      <c r="M367" s="36">
        <f>IF(ISERROR(I367-K367),"",I367-K367)</f>
        <v>0</v>
      </c>
      <c r="N367" s="31"/>
      <c r="O367" s="93">
        <f>SUM('1:2'!O367)</f>
        <v>0</v>
      </c>
      <c r="P367" s="93">
        <f>SUM('1:2'!P367)</f>
        <v>0</v>
      </c>
      <c r="Q367" s="93">
        <f>SUM('1:2'!Q367)</f>
        <v>0</v>
      </c>
      <c r="R367" s="93">
        <f>SUM('1:2'!R367)</f>
        <v>0</v>
      </c>
      <c r="S367" s="93">
        <f>SUM('1:2'!S367)</f>
        <v>0</v>
      </c>
      <c r="T367" s="93">
        <f>SUM('1:2'!T367)</f>
        <v>0</v>
      </c>
      <c r="U367" s="93">
        <f>SUM('1:2'!U367)</f>
        <v>0</v>
      </c>
      <c r="V367" s="206"/>
      <c r="W367" s="33"/>
      <c r="X367" s="93">
        <f>SUM('1:2'!X367)</f>
        <v>0</v>
      </c>
      <c r="Y367" s="93">
        <f>SUM('1:2'!Y367)</f>
        <v>0</v>
      </c>
      <c r="Z367" s="93">
        <f>SUM('1:2'!Z367)</f>
        <v>0</v>
      </c>
      <c r="AA367" s="93">
        <f>SUM('1:2'!AA367)</f>
        <v>0</v>
      </c>
      <c r="AB367" s="73"/>
      <c r="AC367" s="54"/>
      <c r="AD367" s="370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>
      <c r="A368" s="300">
        <v>30100009</v>
      </c>
      <c r="B368" s="141" t="s">
        <v>200</v>
      </c>
      <c r="C368" s="126" t="s">
        <v>190</v>
      </c>
      <c r="D368" s="108">
        <v>4.99</v>
      </c>
      <c r="E368" s="17"/>
      <c r="F368" s="6"/>
      <c r="G368" s="93">
        <f>SUM('1:2'!G368)</f>
        <v>0</v>
      </c>
      <c r="H368" s="95">
        <f t="shared" si="133"/>
        <v>0</v>
      </c>
      <c r="I368" s="93">
        <f>SUM('1:2'!I368)</f>
        <v>0</v>
      </c>
      <c r="J368" s="31"/>
      <c r="K368" s="35">
        <f t="array" ref="K368">IF(ISERROR(G368/L368),"",G368/L368)</f>
        <v>0</v>
      </c>
      <c r="L368" s="87">
        <v>23.5</v>
      </c>
      <c r="M368" s="36">
        <f>IF(ISERROR(I368-K368),"",I368-K368)</f>
        <v>0</v>
      </c>
      <c r="N368" s="31"/>
      <c r="O368" s="93">
        <f>SUM('1:2'!O368)</f>
        <v>0</v>
      </c>
      <c r="P368" s="93">
        <f>SUM('1:2'!P368)</f>
        <v>0</v>
      </c>
      <c r="Q368" s="93">
        <f>SUM('1:2'!Q368)</f>
        <v>0</v>
      </c>
      <c r="R368" s="93">
        <f>SUM('1:2'!R368)</f>
        <v>0</v>
      </c>
      <c r="S368" s="93">
        <f>SUM('1:2'!S368)</f>
        <v>0</v>
      </c>
      <c r="T368" s="93">
        <f>SUM('1:2'!T368)</f>
        <v>0</v>
      </c>
      <c r="U368" s="93">
        <f>SUM('1:2'!U368)</f>
        <v>0</v>
      </c>
      <c r="V368" s="206"/>
      <c r="W368" s="33"/>
      <c r="X368" s="93">
        <f>SUM('1:2'!X368)</f>
        <v>0</v>
      </c>
      <c r="Y368" s="93">
        <f>SUM('1:2'!Y368)</f>
        <v>0</v>
      </c>
      <c r="Z368" s="93">
        <f>SUM('1:2'!Z368)</f>
        <v>0</v>
      </c>
      <c r="AA368" s="93">
        <f>SUM('1:2'!AA368)</f>
        <v>0</v>
      </c>
      <c r="AB368" s="73"/>
      <c r="AC368" s="54"/>
      <c r="AD368" s="370"/>
      <c r="AE368" s="54"/>
      <c r="AF368" s="54"/>
      <c r="AG368" s="54"/>
      <c r="AH368" s="54"/>
      <c r="AI368" s="57"/>
      <c r="AJ368" s="57"/>
      <c r="AK368" s="57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</row>
    <row r="369" spans="1:53">
      <c r="A369" s="299">
        <v>30200004</v>
      </c>
      <c r="B369" s="141" t="s">
        <v>200</v>
      </c>
      <c r="C369" s="126" t="s">
        <v>189</v>
      </c>
      <c r="D369" s="108">
        <v>4.99</v>
      </c>
      <c r="E369" s="17"/>
      <c r="F369" s="13"/>
      <c r="G369" s="93">
        <f>SUM('1:2'!G369)</f>
        <v>0</v>
      </c>
      <c r="H369" s="95">
        <f t="shared" si="133"/>
        <v>0</v>
      </c>
      <c r="I369" s="93">
        <f>SUM('1:2'!I369)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87">
        <v>23.5</v>
      </c>
      <c r="M369" s="36">
        <f t="shared" ref="M369" si="142">IF(ISERROR(I369-K369),"",I369-K369)</f>
        <v>0</v>
      </c>
      <c r="N369" s="31">
        <f t="shared" ref="N369" si="143">SUM(O369:U369)</f>
        <v>0</v>
      </c>
      <c r="O369" s="93">
        <f>SUM('1:2'!O369)</f>
        <v>0</v>
      </c>
      <c r="P369" s="93">
        <f>SUM('1:2'!P369)</f>
        <v>0</v>
      </c>
      <c r="Q369" s="93">
        <f>SUM('1:2'!Q369)</f>
        <v>0</v>
      </c>
      <c r="R369" s="93">
        <f>SUM('1:2'!R369)</f>
        <v>0</v>
      </c>
      <c r="S369" s="93">
        <f>SUM('1:2'!S369)</f>
        <v>0</v>
      </c>
      <c r="T369" s="93">
        <f>SUM('1:2'!T369)</f>
        <v>0</v>
      </c>
      <c r="U369" s="93">
        <f>SUM('1:2'!U369)</f>
        <v>0</v>
      </c>
      <c r="V369" s="206">
        <f t="shared" ref="V369" si="144">SUM(X369:AA369)</f>
        <v>0</v>
      </c>
      <c r="W369" s="33" t="str">
        <f t="shared" ref="W369" si="145">IF(ISERROR(V369/G369),"",V369/G369)</f>
        <v/>
      </c>
      <c r="X369" s="93">
        <f>SUM('1:2'!X369)</f>
        <v>0</v>
      </c>
      <c r="Y369" s="93">
        <f>SUM('1:2'!Y369)</f>
        <v>0</v>
      </c>
      <c r="Z369" s="93">
        <f>SUM('1:2'!Z369)</f>
        <v>0</v>
      </c>
      <c r="AA369" s="93">
        <f>SUM('1:2'!AA369)</f>
        <v>0</v>
      </c>
      <c r="AB369" s="73"/>
      <c r="AC369" s="54"/>
      <c r="AD369" s="370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>
      <c r="A370" s="697" t="s">
        <v>70</v>
      </c>
      <c r="B370" s="698"/>
      <c r="C370" s="31" t="s">
        <v>71</v>
      </c>
      <c r="D370" s="30"/>
      <c r="E370" s="30"/>
      <c r="F370" s="30"/>
      <c r="G370" s="94">
        <f>SUM(G349:G369)</f>
        <v>0</v>
      </c>
      <c r="H370" s="30">
        <f>SUM(H349:H369)</f>
        <v>0</v>
      </c>
      <c r="I370" s="30">
        <f>SUM(I349:I369)</f>
        <v>0</v>
      </c>
      <c r="J370" s="31" t="str">
        <f t="array" ref="J370">IF(ISERROR(G370/I370),"",G370/I370)</f>
        <v/>
      </c>
      <c r="K370" s="30">
        <f>SUM(K349:K369)</f>
        <v>0</v>
      </c>
      <c r="L370" s="98"/>
      <c r="M370" s="89">
        <f t="shared" ref="M370:AA370" si="146">SUM(M349:M369)</f>
        <v>0</v>
      </c>
      <c r="N370" s="30">
        <f t="shared" si="146"/>
        <v>0</v>
      </c>
      <c r="O370" s="34">
        <f t="shared" si="146"/>
        <v>0</v>
      </c>
      <c r="P370" s="34">
        <f t="shared" si="146"/>
        <v>0</v>
      </c>
      <c r="Q370" s="34">
        <f t="shared" si="146"/>
        <v>0</v>
      </c>
      <c r="R370" s="34">
        <f t="shared" si="146"/>
        <v>0</v>
      </c>
      <c r="S370" s="34">
        <f t="shared" si="146"/>
        <v>0</v>
      </c>
      <c r="T370" s="34">
        <f t="shared" si="146"/>
        <v>0</v>
      </c>
      <c r="U370" s="34">
        <f t="shared" si="146"/>
        <v>0</v>
      </c>
      <c r="V370" s="206">
        <f t="shared" si="146"/>
        <v>0</v>
      </c>
      <c r="W370" s="33">
        <f t="shared" si="146"/>
        <v>0</v>
      </c>
      <c r="X370" s="92">
        <f t="shared" si="146"/>
        <v>0</v>
      </c>
      <c r="Y370" s="92">
        <f t="shared" si="146"/>
        <v>0</v>
      </c>
      <c r="Z370" s="92">
        <f t="shared" si="146"/>
        <v>0</v>
      </c>
      <c r="AA370" s="92">
        <f t="shared" si="146"/>
        <v>0</v>
      </c>
      <c r="AB370" s="70"/>
      <c r="AC370" s="70"/>
      <c r="AD370" s="58"/>
      <c r="AE370" s="70"/>
      <c r="AF370" s="70"/>
      <c r="AG370" s="70"/>
      <c r="AH370" s="70"/>
      <c r="AI370" s="58"/>
      <c r="AJ370" s="58"/>
      <c r="AK370" s="58"/>
      <c r="AL370" s="58"/>
      <c r="AM370" s="58"/>
      <c r="AN370" s="58"/>
      <c r="AO370" s="58"/>
      <c r="AP370" s="58"/>
      <c r="AQ370" s="58"/>
      <c r="AR370" s="58"/>
      <c r="AS370" s="58"/>
      <c r="AT370" s="58"/>
      <c r="AU370" s="58"/>
      <c r="AV370" s="58"/>
      <c r="AW370" s="58"/>
      <c r="AX370" s="58"/>
      <c r="AY370" s="58"/>
      <c r="AZ370" s="58"/>
      <c r="BA370" s="58"/>
    </row>
    <row r="371" spans="1:53">
      <c r="A371" s="300">
        <v>30100012</v>
      </c>
      <c r="B371" s="61" t="s">
        <v>76</v>
      </c>
      <c r="C371" s="16" t="s">
        <v>73</v>
      </c>
      <c r="D371" s="17">
        <v>5.03</v>
      </c>
      <c r="E371" s="17"/>
      <c r="F371" s="6"/>
      <c r="G371" s="93">
        <f>SUM('1:2'!G371)</f>
        <v>0</v>
      </c>
      <c r="H371" s="364">
        <f t="shared" ref="H371:H427" si="147">D371*G371</f>
        <v>0</v>
      </c>
      <c r="I371" s="93">
        <f>SUM('1:2'!I371)</f>
        <v>0</v>
      </c>
      <c r="J371" s="31" t="str">
        <f t="array" ref="J371">IF(ISERROR(G371/I371),"",G371/I371)</f>
        <v/>
      </c>
      <c r="K371" s="35">
        <f t="array" ref="K371">IF(ISERROR(G371/L371),"",G371/L371)</f>
        <v>0</v>
      </c>
      <c r="L371" s="87">
        <v>52</v>
      </c>
      <c r="M371" s="36">
        <f t="shared" ref="M371" si="148">IF(ISERROR(I371-K371),"",I371-K371)</f>
        <v>0</v>
      </c>
      <c r="N371" s="31">
        <f t="shared" ref="N371" si="149">SUM(O371:U371)</f>
        <v>0</v>
      </c>
      <c r="O371" s="93">
        <f>SUM('1:2'!O371)</f>
        <v>0</v>
      </c>
      <c r="P371" s="93">
        <f>SUM('1:2'!P371)</f>
        <v>0</v>
      </c>
      <c r="Q371" s="93">
        <f>SUM('1:2'!Q371)</f>
        <v>0</v>
      </c>
      <c r="R371" s="93">
        <f>SUM('1:2'!R371)</f>
        <v>0</v>
      </c>
      <c r="S371" s="93">
        <f>SUM('1:2'!S371)</f>
        <v>0</v>
      </c>
      <c r="T371" s="93">
        <f>SUM('1:2'!T371)</f>
        <v>0</v>
      </c>
      <c r="U371" s="93">
        <f>SUM('1:2'!U371)</f>
        <v>0</v>
      </c>
      <c r="V371" s="206">
        <f t="shared" ref="V371" si="150">SUM(X371:AA371)</f>
        <v>0</v>
      </c>
      <c r="W371" s="33" t="str">
        <f t="shared" ref="W371" si="151">IF(ISERROR(V371/G371),"",V371/G371)</f>
        <v/>
      </c>
      <c r="X371" s="93">
        <f>SUM('1:2'!X371)</f>
        <v>0</v>
      </c>
      <c r="Y371" s="93">
        <f>SUM('1:2'!Y371)</f>
        <v>0</v>
      </c>
      <c r="Z371" s="93">
        <f>SUM('1:2'!Z371)</f>
        <v>0</v>
      </c>
      <c r="AA371" s="93">
        <f>SUM('1:2'!AA371)</f>
        <v>0</v>
      </c>
      <c r="AB371" s="25"/>
      <c r="AC371" s="54"/>
      <c r="AD371" s="370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>
      <c r="A372" s="300">
        <v>30100011</v>
      </c>
      <c r="B372" s="190" t="s">
        <v>425</v>
      </c>
      <c r="C372" s="187" t="s">
        <v>427</v>
      </c>
      <c r="D372" s="17">
        <v>5.03</v>
      </c>
      <c r="E372" s="17"/>
      <c r="F372" s="6"/>
      <c r="G372" s="93">
        <f>SUM('1:2'!G372)</f>
        <v>0</v>
      </c>
      <c r="H372" s="364">
        <f t="shared" si="147"/>
        <v>0</v>
      </c>
      <c r="I372" s="93"/>
      <c r="J372" s="31"/>
      <c r="K372" s="35">
        <f t="array" ref="K372">IF(ISERROR(G372/L372),"",G372/L372)</f>
        <v>0</v>
      </c>
      <c r="L372" s="87">
        <v>52</v>
      </c>
      <c r="M372" s="36"/>
      <c r="N372" s="31"/>
      <c r="O372" s="93"/>
      <c r="P372" s="93"/>
      <c r="Q372" s="93"/>
      <c r="R372" s="93"/>
      <c r="S372" s="93"/>
      <c r="T372" s="93"/>
      <c r="U372" s="93"/>
      <c r="V372" s="206"/>
      <c r="W372" s="33"/>
      <c r="X372" s="93"/>
      <c r="Y372" s="93"/>
      <c r="Z372" s="93"/>
      <c r="AA372" s="93"/>
      <c r="AB372" s="25"/>
      <c r="AC372" s="54"/>
      <c r="AD372" s="370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>
      <c r="A373" s="300">
        <v>30100010</v>
      </c>
      <c r="B373" s="61" t="s">
        <v>76</v>
      </c>
      <c r="C373" s="16" t="s">
        <v>60</v>
      </c>
      <c r="D373" s="17">
        <v>5.03</v>
      </c>
      <c r="E373" s="17"/>
      <c r="F373" s="6"/>
      <c r="G373" s="93">
        <f>SUM('1:2'!G373)</f>
        <v>0</v>
      </c>
      <c r="H373" s="364">
        <f t="shared" si="147"/>
        <v>0</v>
      </c>
      <c r="I373" s="93">
        <f>SUM('1:2'!I373)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87">
        <v>52</v>
      </c>
      <c r="M373" s="36">
        <f t="shared" ref="M373:M408" si="152">IF(ISERROR(I373-K373),"",I373-K373)</f>
        <v>0</v>
      </c>
      <c r="N373" s="31">
        <f t="shared" ref="N373:N375" si="153">SUM(O373:U373)</f>
        <v>0</v>
      </c>
      <c r="O373" s="93">
        <f>SUM('1:2'!O373)</f>
        <v>0</v>
      </c>
      <c r="P373" s="93">
        <f>SUM('1:2'!P373)</f>
        <v>0</v>
      </c>
      <c r="Q373" s="93">
        <f>SUM('1:2'!Q373)</f>
        <v>0</v>
      </c>
      <c r="R373" s="93">
        <f>SUM('1:2'!R373)</f>
        <v>0</v>
      </c>
      <c r="S373" s="93">
        <f>SUM('1:2'!S373)</f>
        <v>0</v>
      </c>
      <c r="T373" s="93">
        <f>SUM('1:2'!T373)</f>
        <v>0</v>
      </c>
      <c r="U373" s="93">
        <f>SUM('1:2'!U373)</f>
        <v>0</v>
      </c>
      <c r="V373" s="206">
        <f t="shared" ref="V373:V375" si="154">SUM(X373:AA373)</f>
        <v>0</v>
      </c>
      <c r="W373" s="33" t="str">
        <f t="shared" ref="W373:W375" si="155">IF(ISERROR(V373/G373),"",V373/G373)</f>
        <v/>
      </c>
      <c r="X373" s="93">
        <f>SUM('1:2'!X373)</f>
        <v>0</v>
      </c>
      <c r="Y373" s="93">
        <f>SUM('1:2'!Y373)</f>
        <v>0</v>
      </c>
      <c r="Z373" s="93">
        <f>SUM('1:2'!Z373)</f>
        <v>0</v>
      </c>
      <c r="AA373" s="93">
        <f>SUM('1:2'!AA373)</f>
        <v>0</v>
      </c>
      <c r="AB373" s="25"/>
      <c r="AC373" s="54"/>
      <c r="AD373" s="370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 ht="17.25" customHeight="1">
      <c r="A374" s="300">
        <v>30100014</v>
      </c>
      <c r="B374" s="61" t="s">
        <v>76</v>
      </c>
      <c r="C374" s="16" t="s">
        <v>72</v>
      </c>
      <c r="D374" s="17">
        <v>5.03</v>
      </c>
      <c r="E374" s="17"/>
      <c r="F374" s="6"/>
      <c r="G374" s="93">
        <f>SUM('1:2'!G374)</f>
        <v>0</v>
      </c>
      <c r="H374" s="364">
        <f t="shared" si="147"/>
        <v>0</v>
      </c>
      <c r="I374" s="93">
        <f>SUM('1:2'!I374)</f>
        <v>0</v>
      </c>
      <c r="J374" s="31" t="str">
        <f t="array" ref="J374">IF(ISERROR(G374/I374),"",G374/I374)</f>
        <v/>
      </c>
      <c r="K374" s="35">
        <f t="array" ref="K374">IF(ISERROR(G374/L374),"",G374/L374)</f>
        <v>0</v>
      </c>
      <c r="L374" s="87">
        <v>52</v>
      </c>
      <c r="M374" s="36">
        <f t="shared" si="152"/>
        <v>0</v>
      </c>
      <c r="N374" s="31">
        <f t="shared" si="153"/>
        <v>0</v>
      </c>
      <c r="O374" s="93">
        <f>SUM('1:2'!O374)</f>
        <v>0</v>
      </c>
      <c r="P374" s="93">
        <f>SUM('1:2'!P374)</f>
        <v>0</v>
      </c>
      <c r="Q374" s="93">
        <f>SUM('1:2'!Q374)</f>
        <v>0</v>
      </c>
      <c r="R374" s="93">
        <f>SUM('1:2'!R374)</f>
        <v>0</v>
      </c>
      <c r="S374" s="93">
        <f>SUM('1:2'!S374)</f>
        <v>0</v>
      </c>
      <c r="T374" s="93">
        <f>SUM('1:2'!T374)</f>
        <v>0</v>
      </c>
      <c r="U374" s="93">
        <f>SUM('1:2'!U374)</f>
        <v>0</v>
      </c>
      <c r="V374" s="206">
        <f t="shared" si="154"/>
        <v>0</v>
      </c>
      <c r="W374" s="33" t="str">
        <f t="shared" si="155"/>
        <v/>
      </c>
      <c r="X374" s="93">
        <f>SUM('1:2'!X374)</f>
        <v>0</v>
      </c>
      <c r="Y374" s="93">
        <f>SUM('1:2'!Y374)</f>
        <v>0</v>
      </c>
      <c r="Z374" s="93">
        <f>SUM('1:2'!Z374)</f>
        <v>0</v>
      </c>
      <c r="AA374" s="93">
        <f>SUM('1:2'!AA374)</f>
        <v>0</v>
      </c>
      <c r="AB374" s="25"/>
      <c r="AC374" s="54"/>
      <c r="AD374" s="370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>
      <c r="A375" s="300">
        <v>30100013</v>
      </c>
      <c r="B375" s="61" t="s">
        <v>76</v>
      </c>
      <c r="C375" s="16" t="s">
        <v>77</v>
      </c>
      <c r="D375" s="17">
        <v>5.03</v>
      </c>
      <c r="E375" s="17"/>
      <c r="F375" s="6"/>
      <c r="G375" s="93">
        <f>SUM('1:2'!G375)</f>
        <v>0</v>
      </c>
      <c r="H375" s="364">
        <f t="shared" si="147"/>
        <v>0</v>
      </c>
      <c r="I375" s="93">
        <f>SUM('1:2'!I375)</f>
        <v>0</v>
      </c>
      <c r="J375" s="31" t="str">
        <f t="array" ref="J375">IF(ISERROR(G375/I375),"",G375/I375)</f>
        <v/>
      </c>
      <c r="K375" s="35">
        <f t="array" ref="K375">IF(ISERROR(G375/L375),"",G375/L375)</f>
        <v>0</v>
      </c>
      <c r="L375" s="87">
        <v>52</v>
      </c>
      <c r="M375" s="36">
        <f t="shared" si="152"/>
        <v>0</v>
      </c>
      <c r="N375" s="31">
        <f t="shared" si="153"/>
        <v>0</v>
      </c>
      <c r="O375" s="93">
        <f>SUM('1:2'!O375)</f>
        <v>0</v>
      </c>
      <c r="P375" s="93">
        <f>SUM('1:2'!P375)</f>
        <v>0</v>
      </c>
      <c r="Q375" s="93">
        <f>SUM('1:2'!Q375)</f>
        <v>0</v>
      </c>
      <c r="R375" s="93">
        <f>SUM('1:2'!R375)</f>
        <v>0</v>
      </c>
      <c r="S375" s="93">
        <f>SUM('1:2'!S375)</f>
        <v>0</v>
      </c>
      <c r="T375" s="93">
        <f>SUM('1:2'!T375)</f>
        <v>0</v>
      </c>
      <c r="U375" s="93">
        <f>SUM('1:2'!U375)</f>
        <v>0</v>
      </c>
      <c r="V375" s="206">
        <f t="shared" si="154"/>
        <v>0</v>
      </c>
      <c r="W375" s="33" t="str">
        <f t="shared" si="155"/>
        <v/>
      </c>
      <c r="X375" s="93">
        <f>SUM('1:2'!X375)</f>
        <v>0</v>
      </c>
      <c r="Y375" s="93">
        <f>SUM('1:2'!Y375)</f>
        <v>0</v>
      </c>
      <c r="Z375" s="93">
        <f>SUM('1:2'!Z375)</f>
        <v>0</v>
      </c>
      <c r="AA375" s="93">
        <f>SUM('1:2'!AA375)</f>
        <v>0</v>
      </c>
      <c r="AB375" s="25"/>
      <c r="AC375" s="54"/>
      <c r="AD375" s="370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>
      <c r="A376" s="300">
        <v>30100016</v>
      </c>
      <c r="B376" s="355" t="s">
        <v>414</v>
      </c>
      <c r="C376" s="187" t="s">
        <v>415</v>
      </c>
      <c r="D376" s="17"/>
      <c r="E376" s="17"/>
      <c r="F376" s="6"/>
      <c r="G376" s="93">
        <f>SUM('1:2'!G376)</f>
        <v>0</v>
      </c>
      <c r="H376" s="364">
        <f t="shared" si="147"/>
        <v>0</v>
      </c>
      <c r="I376" s="93">
        <f>SUM('1:2'!I376)</f>
        <v>0</v>
      </c>
      <c r="J376" s="31"/>
      <c r="K376" s="35">
        <f t="array" ref="K376">IF(ISERROR(G376/L376),"",G376/L376)</f>
        <v>0</v>
      </c>
      <c r="L376" s="87">
        <v>52</v>
      </c>
      <c r="M376" s="36">
        <f t="shared" si="152"/>
        <v>0</v>
      </c>
      <c r="N376" s="31"/>
      <c r="O376" s="93"/>
      <c r="P376" s="93"/>
      <c r="Q376" s="93"/>
      <c r="R376" s="93"/>
      <c r="S376" s="93"/>
      <c r="T376" s="93"/>
      <c r="U376" s="93"/>
      <c r="V376" s="206"/>
      <c r="W376" s="33"/>
      <c r="X376" s="93"/>
      <c r="Y376" s="93"/>
      <c r="Z376" s="93"/>
      <c r="AA376" s="93"/>
      <c r="AB376" s="25"/>
      <c r="AC376" s="54"/>
      <c r="AD376" s="370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>
      <c r="A377" s="300">
        <v>30100017</v>
      </c>
      <c r="B377" s="355" t="s">
        <v>414</v>
      </c>
      <c r="C377" s="187" t="s">
        <v>416</v>
      </c>
      <c r="D377" s="17"/>
      <c r="E377" s="17"/>
      <c r="F377" s="6"/>
      <c r="G377" s="93">
        <f>SUM('1:2'!G377)</f>
        <v>0</v>
      </c>
      <c r="H377" s="364">
        <f t="shared" si="147"/>
        <v>0</v>
      </c>
      <c r="I377" s="93">
        <f>SUM('1:2'!I377)</f>
        <v>0</v>
      </c>
      <c r="J377" s="31"/>
      <c r="K377" s="35">
        <f t="array" ref="K377">IF(ISERROR(G377/L377),"",G377/L377)</f>
        <v>0</v>
      </c>
      <c r="L377" s="87">
        <v>52</v>
      </c>
      <c r="M377" s="36">
        <f t="shared" si="152"/>
        <v>0</v>
      </c>
      <c r="N377" s="31"/>
      <c r="O377" s="93"/>
      <c r="P377" s="93"/>
      <c r="Q377" s="93"/>
      <c r="R377" s="93"/>
      <c r="S377" s="93"/>
      <c r="T377" s="93"/>
      <c r="U377" s="93"/>
      <c r="V377" s="206"/>
      <c r="W377" s="33"/>
      <c r="X377" s="93"/>
      <c r="Y377" s="93"/>
      <c r="Z377" s="93"/>
      <c r="AA377" s="93"/>
      <c r="AB377" s="25"/>
      <c r="AC377" s="54"/>
      <c r="AD377" s="370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>
      <c r="A378" s="300">
        <v>30100015</v>
      </c>
      <c r="B378" s="355" t="s">
        <v>414</v>
      </c>
      <c r="C378" s="187" t="s">
        <v>61</v>
      </c>
      <c r="D378" s="17"/>
      <c r="E378" s="17"/>
      <c r="F378" s="6"/>
      <c r="G378" s="93">
        <f>SUM('1:2'!G378)</f>
        <v>0</v>
      </c>
      <c r="H378" s="364">
        <f t="shared" si="147"/>
        <v>0</v>
      </c>
      <c r="I378" s="93">
        <f>SUM('1:2'!I378)</f>
        <v>0</v>
      </c>
      <c r="J378" s="31"/>
      <c r="K378" s="35">
        <f t="array" ref="K378">IF(ISERROR(G378/L378),"",G378/L378)</f>
        <v>0</v>
      </c>
      <c r="L378" s="87">
        <v>52</v>
      </c>
      <c r="M378" s="36">
        <f t="shared" si="152"/>
        <v>0</v>
      </c>
      <c r="N378" s="31"/>
      <c r="O378" s="93"/>
      <c r="P378" s="93"/>
      <c r="Q378" s="93"/>
      <c r="R378" s="93"/>
      <c r="S378" s="93"/>
      <c r="T378" s="93"/>
      <c r="U378" s="93"/>
      <c r="V378" s="206"/>
      <c r="W378" s="33"/>
      <c r="X378" s="93"/>
      <c r="Y378" s="93"/>
      <c r="Z378" s="93"/>
      <c r="AA378" s="93"/>
      <c r="AB378" s="25"/>
      <c r="AC378" s="54"/>
      <c r="AD378" s="370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>
      <c r="A379" s="300">
        <v>30100027</v>
      </c>
      <c r="B379" s="61" t="s">
        <v>78</v>
      </c>
      <c r="C379" s="16" t="s">
        <v>53</v>
      </c>
      <c r="D379" s="17">
        <v>5.08</v>
      </c>
      <c r="E379" s="17"/>
      <c r="F379" s="6"/>
      <c r="G379" s="93">
        <f>SUM('1:2'!G379)</f>
        <v>0</v>
      </c>
      <c r="H379" s="364">
        <f t="shared" si="147"/>
        <v>0</v>
      </c>
      <c r="I379" s="93">
        <f>SUM('1:2'!I379)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87">
        <v>21</v>
      </c>
      <c r="M379" s="36">
        <f t="shared" si="152"/>
        <v>0</v>
      </c>
      <c r="N379" s="31">
        <f t="shared" ref="N379:N394" si="156">SUM(O379:U379)</f>
        <v>0</v>
      </c>
      <c r="O379" s="93">
        <f>SUM('1:2'!O379)</f>
        <v>0</v>
      </c>
      <c r="P379" s="93">
        <f>SUM('1:2'!P379)</f>
        <v>0</v>
      </c>
      <c r="Q379" s="93">
        <f>SUM('1:2'!Q379)</f>
        <v>0</v>
      </c>
      <c r="R379" s="93">
        <f>SUM('1:2'!R379)</f>
        <v>0</v>
      </c>
      <c r="S379" s="93">
        <f>SUM('1:2'!S379)</f>
        <v>0</v>
      </c>
      <c r="T379" s="93">
        <f>SUM('1:2'!T379)</f>
        <v>0</v>
      </c>
      <c r="U379" s="93">
        <f>SUM('1:2'!U379)</f>
        <v>0</v>
      </c>
      <c r="V379" s="206">
        <f t="shared" ref="V379:V390" si="157">SUM(X379:AA379)</f>
        <v>0</v>
      </c>
      <c r="W379" s="33" t="str">
        <f t="shared" ref="W379:W390" si="158">IF(ISERROR(V379/G379),"",V379/G379)</f>
        <v/>
      </c>
      <c r="X379" s="93">
        <f>SUM('1:2'!X379)</f>
        <v>0</v>
      </c>
      <c r="Y379" s="93">
        <f>SUM('1:2'!Y379)</f>
        <v>0</v>
      </c>
      <c r="Z379" s="93">
        <f>SUM('1:2'!Z379)</f>
        <v>0</v>
      </c>
      <c r="AA379" s="93">
        <f>SUM('1:2'!AA379)</f>
        <v>0</v>
      </c>
      <c r="AB379" s="25"/>
      <c r="AC379" s="54"/>
      <c r="AD379" s="370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>
      <c r="A380" s="300">
        <v>30100023</v>
      </c>
      <c r="B380" s="61" t="s">
        <v>78</v>
      </c>
      <c r="C380" s="16" t="s">
        <v>74</v>
      </c>
      <c r="D380" s="17">
        <v>5.08</v>
      </c>
      <c r="E380" s="17"/>
      <c r="F380" s="6"/>
      <c r="G380" s="93">
        <f>SUM('1:2'!G380)</f>
        <v>0</v>
      </c>
      <c r="H380" s="364">
        <f t="shared" si="147"/>
        <v>0</v>
      </c>
      <c r="I380" s="93">
        <f>SUM('1:2'!I380)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87">
        <v>21</v>
      </c>
      <c r="M380" s="36">
        <f t="shared" si="152"/>
        <v>0</v>
      </c>
      <c r="N380" s="31">
        <f t="shared" si="156"/>
        <v>0</v>
      </c>
      <c r="O380" s="93">
        <f>SUM('1:2'!O380)</f>
        <v>0</v>
      </c>
      <c r="P380" s="93">
        <f>SUM('1:2'!P380)</f>
        <v>0</v>
      </c>
      <c r="Q380" s="93">
        <f>SUM('1:2'!Q380)</f>
        <v>0</v>
      </c>
      <c r="R380" s="93">
        <f>SUM('1:2'!R380)</f>
        <v>0</v>
      </c>
      <c r="S380" s="93">
        <f>SUM('1:2'!S380)</f>
        <v>0</v>
      </c>
      <c r="T380" s="93">
        <f>SUM('1:2'!T380)</f>
        <v>0</v>
      </c>
      <c r="U380" s="93">
        <f>SUM('1:2'!U380)</f>
        <v>0</v>
      </c>
      <c r="V380" s="206">
        <f t="shared" si="157"/>
        <v>0</v>
      </c>
      <c r="W380" s="33" t="str">
        <f t="shared" si="158"/>
        <v/>
      </c>
      <c r="X380" s="93">
        <f>SUM('1:2'!X380)</f>
        <v>0</v>
      </c>
      <c r="Y380" s="93">
        <f>SUM('1:2'!Y380)</f>
        <v>0</v>
      </c>
      <c r="Z380" s="93">
        <f>SUM('1:2'!Z380)</f>
        <v>0</v>
      </c>
      <c r="AA380" s="93">
        <f>SUM('1:2'!AA380)</f>
        <v>0</v>
      </c>
      <c r="AB380" s="25"/>
      <c r="AC380" s="54"/>
      <c r="AD380" s="370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>
      <c r="A381" s="300">
        <v>30100024</v>
      </c>
      <c r="B381" s="61" t="s">
        <v>78</v>
      </c>
      <c r="C381" s="16" t="s">
        <v>75</v>
      </c>
      <c r="D381" s="17">
        <v>5.08</v>
      </c>
      <c r="E381" s="17"/>
      <c r="F381" s="6"/>
      <c r="G381" s="93">
        <f>SUM('1:2'!G381)</f>
        <v>0</v>
      </c>
      <c r="H381" s="364">
        <f t="shared" si="147"/>
        <v>0</v>
      </c>
      <c r="I381" s="93">
        <f>SUM('1:2'!I381)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87">
        <v>21</v>
      </c>
      <c r="M381" s="36">
        <f t="shared" si="152"/>
        <v>0</v>
      </c>
      <c r="N381" s="31">
        <f t="shared" si="156"/>
        <v>0</v>
      </c>
      <c r="O381" s="93">
        <f>SUM('1:2'!O381)</f>
        <v>0</v>
      </c>
      <c r="P381" s="93">
        <f>SUM('1:2'!P381)</f>
        <v>0</v>
      </c>
      <c r="Q381" s="93">
        <f>SUM('1:2'!Q381)</f>
        <v>0</v>
      </c>
      <c r="R381" s="93">
        <f>SUM('1:2'!R381)</f>
        <v>0</v>
      </c>
      <c r="S381" s="93">
        <f>SUM('1:2'!S381)</f>
        <v>0</v>
      </c>
      <c r="T381" s="93">
        <f>SUM('1:2'!T381)</f>
        <v>0</v>
      </c>
      <c r="U381" s="93">
        <f>SUM('1:2'!U381)</f>
        <v>0</v>
      </c>
      <c r="V381" s="206">
        <f t="shared" si="157"/>
        <v>0</v>
      </c>
      <c r="W381" s="33" t="str">
        <f t="shared" si="158"/>
        <v/>
      </c>
      <c r="X381" s="93">
        <f>SUM('1:2'!X381)</f>
        <v>0</v>
      </c>
      <c r="Y381" s="93">
        <f>SUM('1:2'!Y381)</f>
        <v>0</v>
      </c>
      <c r="Z381" s="93">
        <f>SUM('1:2'!Z381)</f>
        <v>0</v>
      </c>
      <c r="AA381" s="93">
        <f>SUM('1:2'!AA381)</f>
        <v>0</v>
      </c>
      <c r="AB381" s="25"/>
      <c r="AC381" s="54"/>
      <c r="AD381" s="370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>
      <c r="A382" s="300">
        <v>30100022</v>
      </c>
      <c r="B382" s="61" t="s">
        <v>78</v>
      </c>
      <c r="C382" s="16" t="s">
        <v>60</v>
      </c>
      <c r="D382" s="17">
        <v>5.08</v>
      </c>
      <c r="E382" s="17"/>
      <c r="F382" s="6"/>
      <c r="G382" s="93">
        <f>SUM('1:2'!G382)</f>
        <v>0</v>
      </c>
      <c r="H382" s="364">
        <f t="shared" si="147"/>
        <v>0</v>
      </c>
      <c r="I382" s="93">
        <f>SUM('1:2'!I382)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87">
        <v>21</v>
      </c>
      <c r="M382" s="36">
        <f t="shared" si="152"/>
        <v>0</v>
      </c>
      <c r="N382" s="31">
        <f t="shared" si="156"/>
        <v>0</v>
      </c>
      <c r="O382" s="93">
        <f>SUM('1:2'!O382)</f>
        <v>0</v>
      </c>
      <c r="P382" s="93">
        <f>SUM('1:2'!P382)</f>
        <v>0</v>
      </c>
      <c r="Q382" s="93">
        <f>SUM('1:2'!Q382)</f>
        <v>0</v>
      </c>
      <c r="R382" s="93">
        <f>SUM('1:2'!R382)</f>
        <v>0</v>
      </c>
      <c r="S382" s="93">
        <f>SUM('1:2'!S382)</f>
        <v>0</v>
      </c>
      <c r="T382" s="93">
        <f>SUM('1:2'!T382)</f>
        <v>0</v>
      </c>
      <c r="U382" s="93">
        <f>SUM('1:2'!U382)</f>
        <v>0</v>
      </c>
      <c r="V382" s="206">
        <f t="shared" si="157"/>
        <v>0</v>
      </c>
      <c r="W382" s="33" t="str">
        <f t="shared" si="158"/>
        <v/>
      </c>
      <c r="X382" s="93">
        <f>SUM('1:2'!X382)</f>
        <v>0</v>
      </c>
      <c r="Y382" s="93">
        <f>SUM('1:2'!Y382)</f>
        <v>0</v>
      </c>
      <c r="Z382" s="93">
        <f>SUM('1:2'!Z382)</f>
        <v>0</v>
      </c>
      <c r="AA382" s="93">
        <f>SUM('1:2'!AA382)</f>
        <v>0</v>
      </c>
      <c r="AB382" s="25"/>
      <c r="AC382" s="54"/>
      <c r="AD382" s="370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>
      <c r="A383" s="300">
        <v>30100029</v>
      </c>
      <c r="B383" s="61" t="s">
        <v>78</v>
      </c>
      <c r="C383" s="16" t="s">
        <v>72</v>
      </c>
      <c r="D383" s="17">
        <v>5.08</v>
      </c>
      <c r="E383" s="17"/>
      <c r="F383" s="6"/>
      <c r="G383" s="93">
        <f>SUM('1:2'!G383)</f>
        <v>0</v>
      </c>
      <c r="H383" s="364">
        <f t="shared" si="147"/>
        <v>0</v>
      </c>
      <c r="I383" s="93">
        <f>SUM('1:2'!I383)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87">
        <v>21</v>
      </c>
      <c r="M383" s="36">
        <f t="shared" si="152"/>
        <v>0</v>
      </c>
      <c r="N383" s="31">
        <f t="shared" si="156"/>
        <v>0</v>
      </c>
      <c r="O383" s="93">
        <f>SUM('1:2'!O383)</f>
        <v>0</v>
      </c>
      <c r="P383" s="93">
        <f>SUM('1:2'!P383)</f>
        <v>0</v>
      </c>
      <c r="Q383" s="93">
        <f>SUM('1:2'!Q383)</f>
        <v>0</v>
      </c>
      <c r="R383" s="93">
        <f>SUM('1:2'!R383)</f>
        <v>0</v>
      </c>
      <c r="S383" s="93">
        <f>SUM('1:2'!S383)</f>
        <v>0</v>
      </c>
      <c r="T383" s="93">
        <f>SUM('1:2'!T383)</f>
        <v>0</v>
      </c>
      <c r="U383" s="93">
        <f>SUM('1:2'!U383)</f>
        <v>0</v>
      </c>
      <c r="V383" s="206">
        <f t="shared" si="157"/>
        <v>0</v>
      </c>
      <c r="W383" s="33" t="str">
        <f t="shared" si="158"/>
        <v/>
      </c>
      <c r="X383" s="93">
        <f>SUM('1:2'!X383)</f>
        <v>0</v>
      </c>
      <c r="Y383" s="93">
        <f>SUM('1:2'!Y383)</f>
        <v>0</v>
      </c>
      <c r="Z383" s="93">
        <f>SUM('1:2'!Z383)</f>
        <v>0</v>
      </c>
      <c r="AA383" s="93">
        <f>SUM('1:2'!AA383)</f>
        <v>0</v>
      </c>
      <c r="AB383" s="25"/>
      <c r="AC383" s="54"/>
      <c r="AD383" s="370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>
      <c r="A384" s="300">
        <v>30100026</v>
      </c>
      <c r="B384" s="61" t="s">
        <v>78</v>
      </c>
      <c r="C384" s="16" t="s">
        <v>73</v>
      </c>
      <c r="D384" s="17">
        <v>5.08</v>
      </c>
      <c r="E384" s="17"/>
      <c r="F384" s="6"/>
      <c r="G384" s="93">
        <f>SUM('1:2'!G384)</f>
        <v>0</v>
      </c>
      <c r="H384" s="364">
        <f t="shared" si="147"/>
        <v>0</v>
      </c>
      <c r="I384" s="93">
        <f>SUM('1:2'!I384)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87">
        <v>21</v>
      </c>
      <c r="M384" s="36">
        <f t="shared" si="152"/>
        <v>0</v>
      </c>
      <c r="N384" s="31">
        <f t="shared" si="156"/>
        <v>0</v>
      </c>
      <c r="O384" s="93">
        <f>SUM('1:2'!O384)</f>
        <v>0</v>
      </c>
      <c r="P384" s="93">
        <f>SUM('1:2'!P384)</f>
        <v>0</v>
      </c>
      <c r="Q384" s="93">
        <f>SUM('1:2'!Q384)</f>
        <v>0</v>
      </c>
      <c r="R384" s="93">
        <f>SUM('1:2'!R384)</f>
        <v>0</v>
      </c>
      <c r="S384" s="93">
        <f>SUM('1:2'!S384)</f>
        <v>0</v>
      </c>
      <c r="T384" s="93">
        <f>SUM('1:2'!T384)</f>
        <v>0</v>
      </c>
      <c r="U384" s="93">
        <f>SUM('1:2'!U384)</f>
        <v>0</v>
      </c>
      <c r="V384" s="206">
        <f t="shared" si="157"/>
        <v>0</v>
      </c>
      <c r="W384" s="33" t="str">
        <f t="shared" si="158"/>
        <v/>
      </c>
      <c r="X384" s="93">
        <f>SUM('1:2'!X384)</f>
        <v>0</v>
      </c>
      <c r="Y384" s="93">
        <f>SUM('1:2'!Y384)</f>
        <v>0</v>
      </c>
      <c r="Z384" s="93">
        <f>SUM('1:2'!Z384)</f>
        <v>0</v>
      </c>
      <c r="AA384" s="93">
        <f>SUM('1:2'!AA384)</f>
        <v>0</v>
      </c>
      <c r="AB384" s="73"/>
      <c r="AC384" s="54"/>
      <c r="AD384" s="370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>
      <c r="A385" s="300">
        <v>30100025</v>
      </c>
      <c r="B385" s="61" t="s">
        <v>78</v>
      </c>
      <c r="C385" s="16" t="s">
        <v>61</v>
      </c>
      <c r="D385" s="17">
        <v>5.08</v>
      </c>
      <c r="E385" s="17"/>
      <c r="F385" s="6"/>
      <c r="G385" s="93">
        <f>SUM('1:2'!G385)</f>
        <v>0</v>
      </c>
      <c r="H385" s="364">
        <f t="shared" si="147"/>
        <v>0</v>
      </c>
      <c r="I385" s="93">
        <f>SUM('1:2'!I385)</f>
        <v>0</v>
      </c>
      <c r="J385" s="31" t="str">
        <f t="array" ref="J385">IF(ISERROR(G385/I385),"",G385/I385)</f>
        <v/>
      </c>
      <c r="K385" s="35">
        <f t="array" ref="K385">IF(ISERROR(G385/L385),"",G385/L385)</f>
        <v>0</v>
      </c>
      <c r="L385" s="87">
        <v>21</v>
      </c>
      <c r="M385" s="36">
        <f t="shared" si="152"/>
        <v>0</v>
      </c>
      <c r="N385" s="31">
        <f t="shared" si="156"/>
        <v>0</v>
      </c>
      <c r="O385" s="93">
        <f>SUM('1:2'!O385)</f>
        <v>0</v>
      </c>
      <c r="P385" s="93">
        <f>SUM('1:2'!P385)</f>
        <v>0</v>
      </c>
      <c r="Q385" s="93">
        <f>SUM('1:2'!Q385)</f>
        <v>0</v>
      </c>
      <c r="R385" s="93">
        <f>SUM('1:2'!R385)</f>
        <v>0</v>
      </c>
      <c r="S385" s="93">
        <f>SUM('1:2'!S385)</f>
        <v>0</v>
      </c>
      <c r="T385" s="93">
        <f>SUM('1:2'!T385)</f>
        <v>0</v>
      </c>
      <c r="U385" s="93">
        <f>SUM('1:2'!U385)</f>
        <v>0</v>
      </c>
      <c r="V385" s="206">
        <f t="shared" si="157"/>
        <v>0</v>
      </c>
      <c r="W385" s="33" t="str">
        <f t="shared" si="158"/>
        <v/>
      </c>
      <c r="X385" s="93">
        <f>SUM('1:2'!X385)</f>
        <v>0</v>
      </c>
      <c r="Y385" s="93">
        <f>SUM('1:2'!Y385)</f>
        <v>0</v>
      </c>
      <c r="Z385" s="93">
        <f>SUM('1:2'!Z385)</f>
        <v>0</v>
      </c>
      <c r="AA385" s="93">
        <f>SUM('1:2'!AA385)</f>
        <v>0</v>
      </c>
      <c r="AB385" s="25"/>
      <c r="AC385" s="54"/>
      <c r="AD385" s="370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>
      <c r="A386" s="300">
        <v>30100028</v>
      </c>
      <c r="B386" s="61" t="s">
        <v>78</v>
      </c>
      <c r="C386" s="16" t="s">
        <v>77</v>
      </c>
      <c r="D386" s="17">
        <v>5.08</v>
      </c>
      <c r="E386" s="17"/>
      <c r="F386" s="6"/>
      <c r="G386" s="93">
        <f>SUM('1:2'!G386)</f>
        <v>0</v>
      </c>
      <c r="H386" s="364">
        <f t="shared" si="147"/>
        <v>0</v>
      </c>
      <c r="I386" s="93">
        <f>SUM('1:2'!I386)</f>
        <v>0</v>
      </c>
      <c r="J386" s="31" t="str">
        <f t="array" ref="J386">IF(ISERROR(G386/I386),"",G386/I386)</f>
        <v/>
      </c>
      <c r="K386" s="35">
        <f t="array" ref="K386">IF(ISERROR(G386/L386),"",G386/L386)</f>
        <v>0</v>
      </c>
      <c r="L386" s="87">
        <v>21</v>
      </c>
      <c r="M386" s="36">
        <f t="shared" si="152"/>
        <v>0</v>
      </c>
      <c r="N386" s="31">
        <f t="shared" si="156"/>
        <v>0</v>
      </c>
      <c r="O386" s="93">
        <f>SUM('1:2'!O386)</f>
        <v>0</v>
      </c>
      <c r="P386" s="93">
        <f>SUM('1:2'!P386)</f>
        <v>0</v>
      </c>
      <c r="Q386" s="93">
        <f>SUM('1:2'!Q386)</f>
        <v>0</v>
      </c>
      <c r="R386" s="93">
        <f>SUM('1:2'!R386)</f>
        <v>0</v>
      </c>
      <c r="S386" s="93">
        <f>SUM('1:2'!S386)</f>
        <v>0</v>
      </c>
      <c r="T386" s="93">
        <f>SUM('1:2'!T386)</f>
        <v>0</v>
      </c>
      <c r="U386" s="93">
        <f>SUM('1:2'!U386)</f>
        <v>0</v>
      </c>
      <c r="V386" s="206">
        <f t="shared" si="157"/>
        <v>0</v>
      </c>
      <c r="W386" s="33" t="str">
        <f t="shared" si="158"/>
        <v/>
      </c>
      <c r="X386" s="93">
        <f>SUM('1:2'!X386)</f>
        <v>0</v>
      </c>
      <c r="Y386" s="93">
        <f>SUM('1:2'!Y386)</f>
        <v>0</v>
      </c>
      <c r="Z386" s="93">
        <f>SUM('1:2'!Z386)</f>
        <v>0</v>
      </c>
      <c r="AA386" s="93">
        <f>SUM('1:2'!AA386)</f>
        <v>0</v>
      </c>
      <c r="AB386" s="73"/>
      <c r="AC386" s="54"/>
      <c r="AD386" s="370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>
      <c r="A387" s="300">
        <v>30100032</v>
      </c>
      <c r="B387" s="61" t="s">
        <v>79</v>
      </c>
      <c r="C387" s="16" t="s">
        <v>65</v>
      </c>
      <c r="D387" s="17">
        <v>5.03</v>
      </c>
      <c r="E387" s="17"/>
      <c r="F387" s="6"/>
      <c r="G387" s="93">
        <f>SUM('1:2'!G387)</f>
        <v>0</v>
      </c>
      <c r="H387" s="364">
        <f t="shared" si="147"/>
        <v>0</v>
      </c>
      <c r="I387" s="93">
        <f>SUM('1:2'!I387)</f>
        <v>0</v>
      </c>
      <c r="J387" s="31" t="str">
        <f t="array" ref="J387">IF(ISERROR(G387/I387),"",G387/I387)</f>
        <v/>
      </c>
      <c r="K387" s="35">
        <f t="array" ref="K387">IF(ISERROR(G387/L387),"",G387/L387)</f>
        <v>0</v>
      </c>
      <c r="L387" s="87">
        <v>56</v>
      </c>
      <c r="M387" s="36">
        <f t="shared" si="152"/>
        <v>0</v>
      </c>
      <c r="N387" s="31">
        <f t="shared" si="156"/>
        <v>0</v>
      </c>
      <c r="O387" s="93">
        <f>SUM('1:2'!O387)</f>
        <v>0</v>
      </c>
      <c r="P387" s="93">
        <f>SUM('1:2'!P387)</f>
        <v>0</v>
      </c>
      <c r="Q387" s="93">
        <f>SUM('1:2'!Q387)</f>
        <v>0</v>
      </c>
      <c r="R387" s="93">
        <f>SUM('1:2'!R387)</f>
        <v>0</v>
      </c>
      <c r="S387" s="93">
        <f>SUM('1:2'!S387)</f>
        <v>0</v>
      </c>
      <c r="T387" s="93">
        <f>SUM('1:2'!T387)</f>
        <v>0</v>
      </c>
      <c r="U387" s="93">
        <f>SUM('1:2'!U387)</f>
        <v>0</v>
      </c>
      <c r="V387" s="206">
        <f t="shared" si="157"/>
        <v>0</v>
      </c>
      <c r="W387" s="33" t="str">
        <f t="shared" si="158"/>
        <v/>
      </c>
      <c r="X387" s="93">
        <f>SUM('1:2'!X387)</f>
        <v>0</v>
      </c>
      <c r="Y387" s="93">
        <f>SUM('1:2'!Y387)</f>
        <v>0</v>
      </c>
      <c r="Z387" s="93">
        <f>SUM('1:2'!Z387)</f>
        <v>0</v>
      </c>
      <c r="AA387" s="93">
        <f>SUM('1:2'!AA387)</f>
        <v>0</v>
      </c>
      <c r="AB387" s="25"/>
      <c r="AC387" s="54"/>
      <c r="AD387" s="370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>
      <c r="A388" s="300">
        <v>30100033</v>
      </c>
      <c r="B388" s="61" t="s">
        <v>79</v>
      </c>
      <c r="C388" s="16" t="s">
        <v>53</v>
      </c>
      <c r="D388" s="17">
        <v>5.03</v>
      </c>
      <c r="E388" s="17"/>
      <c r="F388" s="6"/>
      <c r="G388" s="93">
        <f>SUM('1:2'!G388)</f>
        <v>0</v>
      </c>
      <c r="H388" s="364">
        <f t="shared" si="147"/>
        <v>0</v>
      </c>
      <c r="I388" s="93">
        <f>SUM('1:2'!I388)</f>
        <v>0</v>
      </c>
      <c r="J388" s="31" t="str">
        <f t="array" ref="J388">IF(ISERROR(G388/I388),"",G388/I388)</f>
        <v/>
      </c>
      <c r="K388" s="35">
        <f t="array" ref="K388">IF(ISERROR(G388/L388),"",G388/L388)</f>
        <v>0</v>
      </c>
      <c r="L388" s="87">
        <v>56</v>
      </c>
      <c r="M388" s="36">
        <f t="shared" si="152"/>
        <v>0</v>
      </c>
      <c r="N388" s="31">
        <f t="shared" si="156"/>
        <v>0</v>
      </c>
      <c r="O388" s="93">
        <f>SUM('1:2'!O388)</f>
        <v>0</v>
      </c>
      <c r="P388" s="93">
        <f>SUM('1:2'!P388)</f>
        <v>0</v>
      </c>
      <c r="Q388" s="93">
        <f>SUM('1:2'!Q388)</f>
        <v>0</v>
      </c>
      <c r="R388" s="93">
        <f>SUM('1:2'!R388)</f>
        <v>0</v>
      </c>
      <c r="S388" s="93">
        <f>SUM('1:2'!S388)</f>
        <v>0</v>
      </c>
      <c r="T388" s="93">
        <f>SUM('1:2'!T388)</f>
        <v>0</v>
      </c>
      <c r="U388" s="93">
        <f>SUM('1:2'!U388)</f>
        <v>0</v>
      </c>
      <c r="V388" s="206">
        <f t="shared" si="157"/>
        <v>0</v>
      </c>
      <c r="W388" s="33" t="str">
        <f t="shared" si="158"/>
        <v/>
      </c>
      <c r="X388" s="93">
        <f>SUM('1:2'!X388)</f>
        <v>0</v>
      </c>
      <c r="Y388" s="93">
        <f>SUM('1:2'!Y388)</f>
        <v>0</v>
      </c>
      <c r="Z388" s="93">
        <f>SUM('1:2'!Z388)</f>
        <v>0</v>
      </c>
      <c r="AA388" s="93">
        <f>SUM('1:2'!AA388)</f>
        <v>0</v>
      </c>
      <c r="AB388" s="25"/>
      <c r="AC388" s="54"/>
      <c r="AD388" s="370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>
      <c r="A389" s="300">
        <v>30100062</v>
      </c>
      <c r="B389" s="61" t="s">
        <v>79</v>
      </c>
      <c r="C389" s="16" t="s">
        <v>66</v>
      </c>
      <c r="D389" s="17">
        <v>5.03</v>
      </c>
      <c r="E389" s="17"/>
      <c r="F389" s="6"/>
      <c r="G389" s="93">
        <f>SUM('1:2'!G389)</f>
        <v>0</v>
      </c>
      <c r="H389" s="364">
        <f t="shared" si="147"/>
        <v>0</v>
      </c>
      <c r="I389" s="93">
        <f>SUM('1:2'!I389)</f>
        <v>0</v>
      </c>
      <c r="J389" s="31" t="str">
        <f t="array" ref="J389">IF(ISERROR(G389/I389),"",G389/I389)</f>
        <v/>
      </c>
      <c r="K389" s="35">
        <f t="array" ref="K389">IF(ISERROR(G389/L389),"",G389/L389)</f>
        <v>0</v>
      </c>
      <c r="L389" s="87">
        <v>56</v>
      </c>
      <c r="M389" s="36">
        <f t="shared" si="152"/>
        <v>0</v>
      </c>
      <c r="N389" s="31">
        <f t="shared" si="156"/>
        <v>0</v>
      </c>
      <c r="O389" s="93">
        <f>SUM('1:2'!O389)</f>
        <v>0</v>
      </c>
      <c r="P389" s="93">
        <f>SUM('1:2'!P389)</f>
        <v>0</v>
      </c>
      <c r="Q389" s="93">
        <f>SUM('1:2'!Q389)</f>
        <v>0</v>
      </c>
      <c r="R389" s="93">
        <f>SUM('1:2'!R389)</f>
        <v>0</v>
      </c>
      <c r="S389" s="93">
        <f>SUM('1:2'!S389)</f>
        <v>0</v>
      </c>
      <c r="T389" s="93">
        <f>SUM('1:2'!T389)</f>
        <v>0</v>
      </c>
      <c r="U389" s="93">
        <f>SUM('1:2'!U389)</f>
        <v>0</v>
      </c>
      <c r="V389" s="206">
        <f t="shared" si="157"/>
        <v>0</v>
      </c>
      <c r="W389" s="33" t="str">
        <f t="shared" si="158"/>
        <v/>
      </c>
      <c r="X389" s="93">
        <f>SUM('1:2'!X389)</f>
        <v>0</v>
      </c>
      <c r="Y389" s="93">
        <f>SUM('1:2'!Y389)</f>
        <v>0</v>
      </c>
      <c r="Z389" s="93">
        <f>SUM('1:2'!Z389)</f>
        <v>0</v>
      </c>
      <c r="AA389" s="93">
        <f>SUM('1:2'!AA389)</f>
        <v>0</v>
      </c>
      <c r="AB389" s="25"/>
      <c r="AC389" s="54"/>
      <c r="AD389" s="370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>
      <c r="A390" s="300">
        <v>30100031</v>
      </c>
      <c r="B390" s="61" t="s">
        <v>79</v>
      </c>
      <c r="C390" s="16" t="s">
        <v>74</v>
      </c>
      <c r="D390" s="17">
        <v>5.03</v>
      </c>
      <c r="E390" s="17"/>
      <c r="F390" s="6"/>
      <c r="G390" s="93">
        <f>SUM('1:2'!G390)</f>
        <v>0</v>
      </c>
      <c r="H390" s="364">
        <f t="shared" si="147"/>
        <v>0</v>
      </c>
      <c r="I390" s="93">
        <f>SUM('1:2'!I390)</f>
        <v>0</v>
      </c>
      <c r="J390" s="31" t="str">
        <f t="array" ref="J390">IF(ISERROR(G390/I390),"",G390/I390)</f>
        <v/>
      </c>
      <c r="K390" s="35">
        <f t="array" ref="K390">IF(ISERROR(G390/L390),"",G390/L390)</f>
        <v>0</v>
      </c>
      <c r="L390" s="87">
        <v>56</v>
      </c>
      <c r="M390" s="36">
        <f t="shared" si="152"/>
        <v>0</v>
      </c>
      <c r="N390" s="31">
        <f t="shared" si="156"/>
        <v>0</v>
      </c>
      <c r="O390" s="93">
        <f>SUM('1:2'!O390)</f>
        <v>0</v>
      </c>
      <c r="P390" s="93">
        <f>SUM('1:2'!P390)</f>
        <v>0</v>
      </c>
      <c r="Q390" s="93">
        <f>SUM('1:2'!Q390)</f>
        <v>0</v>
      </c>
      <c r="R390" s="93">
        <f>SUM('1:2'!R390)</f>
        <v>0</v>
      </c>
      <c r="S390" s="93">
        <f>SUM('1:2'!S390)</f>
        <v>0</v>
      </c>
      <c r="T390" s="93">
        <f>SUM('1:2'!T390)</f>
        <v>0</v>
      </c>
      <c r="U390" s="93">
        <f>SUM('1:2'!U390)</f>
        <v>0</v>
      </c>
      <c r="V390" s="206">
        <f t="shared" si="157"/>
        <v>0</v>
      </c>
      <c r="W390" s="33" t="str">
        <f t="shared" si="158"/>
        <v/>
      </c>
      <c r="X390" s="93">
        <f>SUM('1:2'!X390)</f>
        <v>0</v>
      </c>
      <c r="Y390" s="93">
        <f>SUM('1:2'!Y390)</f>
        <v>0</v>
      </c>
      <c r="Z390" s="93">
        <f>SUM('1:2'!Z390)</f>
        <v>0</v>
      </c>
      <c r="AA390" s="93">
        <f>SUM('1:2'!AA390)</f>
        <v>0</v>
      </c>
      <c r="AB390" s="25"/>
      <c r="AC390" s="54"/>
      <c r="AD390" s="370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>
      <c r="A391" s="300">
        <v>30100019</v>
      </c>
      <c r="B391" s="61" t="s">
        <v>385</v>
      </c>
      <c r="C391" s="16" t="s">
        <v>386</v>
      </c>
      <c r="D391" s="17">
        <v>5.03</v>
      </c>
      <c r="E391" s="17"/>
      <c r="F391" s="6"/>
      <c r="G391" s="93">
        <f>SUM('1:2'!G391)</f>
        <v>0</v>
      </c>
      <c r="H391" s="364">
        <f t="shared" si="147"/>
        <v>0</v>
      </c>
      <c r="I391" s="93">
        <f>SUM('1:2'!I391)</f>
        <v>0</v>
      </c>
      <c r="J391" s="31"/>
      <c r="K391" s="35">
        <f t="array" ref="K391">IF(ISERROR(G391/L391),"",G391/L391)</f>
        <v>0</v>
      </c>
      <c r="L391" s="87">
        <v>54</v>
      </c>
      <c r="M391" s="36">
        <f t="shared" si="152"/>
        <v>0</v>
      </c>
      <c r="N391" s="31">
        <f t="shared" si="156"/>
        <v>0</v>
      </c>
      <c r="O391" s="93">
        <f>SUM('1:2'!O391)</f>
        <v>0</v>
      </c>
      <c r="P391" s="93">
        <f>SUM('1:2'!P391)</f>
        <v>0</v>
      </c>
      <c r="Q391" s="93">
        <f>SUM('1:2'!Q391)</f>
        <v>0</v>
      </c>
      <c r="R391" s="93">
        <f>SUM('1:2'!R391)</f>
        <v>0</v>
      </c>
      <c r="S391" s="93">
        <f>SUM('1:2'!S391)</f>
        <v>0</v>
      </c>
      <c r="T391" s="93">
        <f>SUM('1:2'!T391)</f>
        <v>0</v>
      </c>
      <c r="U391" s="93">
        <f>SUM('1:2'!U391)</f>
        <v>0</v>
      </c>
      <c r="V391" s="206"/>
      <c r="W391" s="33"/>
      <c r="X391" s="93">
        <f>SUM('1:2'!X391)</f>
        <v>0</v>
      </c>
      <c r="Y391" s="93">
        <f>SUM('1:2'!Y391)</f>
        <v>0</v>
      </c>
      <c r="Z391" s="93">
        <f>SUM('1:2'!Z391)</f>
        <v>0</v>
      </c>
      <c r="AA391" s="93">
        <f>SUM('1:2'!AA391)</f>
        <v>0</v>
      </c>
      <c r="AB391" s="25"/>
      <c r="AC391" s="54"/>
      <c r="AD391" s="370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>
      <c r="A392" s="300">
        <v>30100020</v>
      </c>
      <c r="B392" s="61" t="s">
        <v>385</v>
      </c>
      <c r="C392" s="16" t="s">
        <v>387</v>
      </c>
      <c r="D392" s="17">
        <v>5.03</v>
      </c>
      <c r="E392" s="17"/>
      <c r="F392" s="6"/>
      <c r="G392" s="93">
        <f>SUM('1:2'!G392)</f>
        <v>0</v>
      </c>
      <c r="H392" s="364">
        <f t="shared" si="147"/>
        <v>0</v>
      </c>
      <c r="I392" s="93">
        <f>SUM('1:2'!I392)</f>
        <v>0</v>
      </c>
      <c r="J392" s="31"/>
      <c r="K392" s="35">
        <f t="array" ref="K392">IF(ISERROR(G392/L392),"",G392/L392)</f>
        <v>0</v>
      </c>
      <c r="L392" s="87">
        <v>54</v>
      </c>
      <c r="M392" s="36">
        <f t="shared" si="152"/>
        <v>0</v>
      </c>
      <c r="N392" s="31">
        <f t="shared" si="156"/>
        <v>0</v>
      </c>
      <c r="O392" s="93">
        <f>SUM('1:2'!O392)</f>
        <v>0</v>
      </c>
      <c r="P392" s="93">
        <f>SUM('1:2'!P392)</f>
        <v>0</v>
      </c>
      <c r="Q392" s="93">
        <f>SUM('1:2'!Q392)</f>
        <v>0</v>
      </c>
      <c r="R392" s="93">
        <f>SUM('1:2'!R392)</f>
        <v>0</v>
      </c>
      <c r="S392" s="93">
        <f>SUM('1:2'!S392)</f>
        <v>0</v>
      </c>
      <c r="T392" s="93">
        <f>SUM('1:2'!T392)</f>
        <v>0</v>
      </c>
      <c r="U392" s="93">
        <f>SUM('1:2'!U392)</f>
        <v>0</v>
      </c>
      <c r="V392" s="206"/>
      <c r="W392" s="33"/>
      <c r="X392" s="93">
        <f>SUM('1:2'!X392)</f>
        <v>0</v>
      </c>
      <c r="Y392" s="93">
        <f>SUM('1:2'!Y392)</f>
        <v>0</v>
      </c>
      <c r="Z392" s="93">
        <f>SUM('1:2'!Z392)</f>
        <v>0</v>
      </c>
      <c r="AA392" s="93">
        <f>SUM('1:2'!AA392)</f>
        <v>0</v>
      </c>
      <c r="AB392" s="25"/>
      <c r="AC392" s="54"/>
      <c r="AD392" s="370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>
      <c r="A393" s="300">
        <v>30100021</v>
      </c>
      <c r="B393" s="190" t="s">
        <v>382</v>
      </c>
      <c r="C393" s="16" t="s">
        <v>389</v>
      </c>
      <c r="D393" s="17">
        <v>5.03</v>
      </c>
      <c r="E393" s="17"/>
      <c r="F393" s="6"/>
      <c r="G393" s="93">
        <f>SUM('1:2'!G393)</f>
        <v>0</v>
      </c>
      <c r="H393" s="364">
        <f t="shared" si="147"/>
        <v>0</v>
      </c>
      <c r="I393" s="93">
        <f>SUM('1:2'!I393)</f>
        <v>0</v>
      </c>
      <c r="J393" s="31"/>
      <c r="K393" s="35">
        <f t="array" ref="K393">IF(ISERROR(G393/L393),"",G393/L393)</f>
        <v>0</v>
      </c>
      <c r="L393" s="87">
        <v>54</v>
      </c>
      <c r="M393" s="36">
        <f t="shared" si="152"/>
        <v>0</v>
      </c>
      <c r="N393" s="31">
        <f t="shared" si="156"/>
        <v>0</v>
      </c>
      <c r="O393" s="93">
        <f>SUM('1:2'!O393)</f>
        <v>0</v>
      </c>
      <c r="P393" s="93">
        <f>SUM('1:2'!P393)</f>
        <v>0</v>
      </c>
      <c r="Q393" s="93">
        <f>SUM('1:2'!Q393)</f>
        <v>0</v>
      </c>
      <c r="R393" s="93">
        <f>SUM('1:2'!R393)</f>
        <v>0</v>
      </c>
      <c r="S393" s="93">
        <f>SUM('1:2'!S393)</f>
        <v>0</v>
      </c>
      <c r="T393" s="93">
        <f>SUM('1:2'!T393)</f>
        <v>0</v>
      </c>
      <c r="U393" s="93">
        <f>SUM('1:2'!U393)</f>
        <v>0</v>
      </c>
      <c r="V393" s="206"/>
      <c r="W393" s="33"/>
      <c r="X393" s="93">
        <f>SUM('1:2'!X393)</f>
        <v>0</v>
      </c>
      <c r="Y393" s="93">
        <f>SUM('1:2'!Y393)</f>
        <v>0</v>
      </c>
      <c r="Z393" s="93">
        <f>SUM('1:2'!Z393)</f>
        <v>0</v>
      </c>
      <c r="AA393" s="93">
        <f>SUM('1:2'!AA393)</f>
        <v>0</v>
      </c>
      <c r="AB393" s="25"/>
      <c r="AC393" s="54"/>
      <c r="AD393" s="370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>
      <c r="A394" s="300">
        <v>30100018</v>
      </c>
      <c r="B394" s="190" t="s">
        <v>382</v>
      </c>
      <c r="C394" s="16" t="s">
        <v>391</v>
      </c>
      <c r="D394" s="17">
        <v>5.03</v>
      </c>
      <c r="E394" s="17"/>
      <c r="F394" s="6"/>
      <c r="G394" s="93">
        <f>SUM('1:2'!G394)</f>
        <v>0</v>
      </c>
      <c r="H394" s="364">
        <f t="shared" si="147"/>
        <v>0</v>
      </c>
      <c r="I394" s="93">
        <f>SUM('1:2'!I394)</f>
        <v>0</v>
      </c>
      <c r="J394" s="31"/>
      <c r="K394" s="35">
        <f t="array" ref="K394">IF(ISERROR(G394/L394),"",G394/L394)</f>
        <v>0</v>
      </c>
      <c r="L394" s="87">
        <v>54</v>
      </c>
      <c r="M394" s="36">
        <f t="shared" si="152"/>
        <v>0</v>
      </c>
      <c r="N394" s="31">
        <f t="shared" si="156"/>
        <v>0</v>
      </c>
      <c r="O394" s="93">
        <f>SUM('1:2'!O394)</f>
        <v>0</v>
      </c>
      <c r="P394" s="93">
        <f>SUM('1:2'!P394)</f>
        <v>0</v>
      </c>
      <c r="Q394" s="93">
        <f>SUM('1:2'!Q394)</f>
        <v>0</v>
      </c>
      <c r="R394" s="93">
        <f>SUM('1:2'!R394)</f>
        <v>0</v>
      </c>
      <c r="S394" s="93">
        <f>SUM('1:2'!S394)</f>
        <v>0</v>
      </c>
      <c r="T394" s="93">
        <f>SUM('1:2'!T394)</f>
        <v>0</v>
      </c>
      <c r="U394" s="93">
        <f>SUM('1:2'!U394)</f>
        <v>0</v>
      </c>
      <c r="V394" s="206"/>
      <c r="W394" s="33"/>
      <c r="X394" s="93">
        <f>SUM('1:2'!X394)</f>
        <v>0</v>
      </c>
      <c r="Y394" s="93">
        <f>SUM('1:2'!Y394)</f>
        <v>0</v>
      </c>
      <c r="Z394" s="93">
        <f>SUM('1:2'!Z394)</f>
        <v>0</v>
      </c>
      <c r="AA394" s="93">
        <f>SUM('1:2'!AA394)</f>
        <v>0</v>
      </c>
      <c r="AB394" s="25"/>
      <c r="AC394" s="54"/>
      <c r="AD394" s="370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>
      <c r="A395" s="303">
        <v>30700007</v>
      </c>
      <c r="B395" s="190" t="s">
        <v>418</v>
      </c>
      <c r="C395" s="187" t="s">
        <v>364</v>
      </c>
      <c r="D395" s="17">
        <v>5.03</v>
      </c>
      <c r="E395" s="17"/>
      <c r="F395" s="6"/>
      <c r="G395" s="93">
        <f>SUM('1:2'!G395)</f>
        <v>0</v>
      </c>
      <c r="H395" s="364">
        <f t="shared" si="147"/>
        <v>0</v>
      </c>
      <c r="I395" s="93">
        <f>SUM('1:2'!I395)</f>
        <v>0</v>
      </c>
      <c r="J395" s="31"/>
      <c r="K395" s="35">
        <f t="array" ref="K395">IF(ISERROR(G395/L395),"",G395/L395)</f>
        <v>0</v>
      </c>
      <c r="L395" s="87">
        <v>4</v>
      </c>
      <c r="M395" s="36">
        <f t="shared" si="152"/>
        <v>0</v>
      </c>
      <c r="N395" s="31"/>
      <c r="O395" s="93">
        <f>SUM('1:2'!O395)</f>
        <v>0</v>
      </c>
      <c r="P395" s="93">
        <f>SUM('1:2'!P395)</f>
        <v>0</v>
      </c>
      <c r="Q395" s="93">
        <f>SUM('1:2'!Q395)</f>
        <v>0</v>
      </c>
      <c r="R395" s="93">
        <f>SUM('1:2'!R395)</f>
        <v>0</v>
      </c>
      <c r="S395" s="93">
        <f>SUM('1:2'!S395)</f>
        <v>0</v>
      </c>
      <c r="T395" s="93">
        <f>SUM('1:2'!T395)</f>
        <v>0</v>
      </c>
      <c r="U395" s="93">
        <f>SUM('1:2'!U395)</f>
        <v>0</v>
      </c>
      <c r="V395" s="206"/>
      <c r="W395" s="33"/>
      <c r="X395" s="93">
        <f>SUM('1:2'!X395)</f>
        <v>0</v>
      </c>
      <c r="Y395" s="93">
        <f>SUM('1:2'!Y395)</f>
        <v>0</v>
      </c>
      <c r="Z395" s="93">
        <f>SUM('1:2'!Z395)</f>
        <v>0</v>
      </c>
      <c r="AA395" s="93">
        <f>SUM('1:2'!AA395)</f>
        <v>0</v>
      </c>
      <c r="AB395" s="25"/>
      <c r="AC395" s="54"/>
      <c r="AD395" s="370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>
      <c r="A396" s="303">
        <v>30700006</v>
      </c>
      <c r="B396" s="190" t="s">
        <v>418</v>
      </c>
      <c r="C396" s="187" t="s">
        <v>365</v>
      </c>
      <c r="D396" s="17">
        <v>5.03</v>
      </c>
      <c r="E396" s="17"/>
      <c r="F396" s="6"/>
      <c r="G396" s="93">
        <f>SUM('1:2'!G396)</f>
        <v>0</v>
      </c>
      <c r="H396" s="364">
        <f t="shared" si="147"/>
        <v>0</v>
      </c>
      <c r="I396" s="93">
        <f>SUM('1:2'!I396)</f>
        <v>0</v>
      </c>
      <c r="J396" s="31"/>
      <c r="K396" s="35">
        <f t="array" ref="K396">IF(ISERROR(G396/L396),"",G396/L396)</f>
        <v>0</v>
      </c>
      <c r="L396" s="87">
        <v>4</v>
      </c>
      <c r="M396" s="36">
        <f t="shared" si="152"/>
        <v>0</v>
      </c>
      <c r="N396" s="31"/>
      <c r="O396" s="93">
        <f>SUM('1:2'!O396)</f>
        <v>0</v>
      </c>
      <c r="P396" s="93">
        <f>SUM('1:2'!P396)</f>
        <v>0</v>
      </c>
      <c r="Q396" s="93">
        <f>SUM('1:2'!Q396)</f>
        <v>0</v>
      </c>
      <c r="R396" s="93">
        <f>SUM('1:2'!R396)</f>
        <v>0</v>
      </c>
      <c r="S396" s="93">
        <f>SUM('1:2'!S396)</f>
        <v>0</v>
      </c>
      <c r="T396" s="93">
        <f>SUM('1:2'!T396)</f>
        <v>0</v>
      </c>
      <c r="U396" s="93">
        <f>SUM('1:2'!U396)</f>
        <v>0</v>
      </c>
      <c r="V396" s="206"/>
      <c r="W396" s="33"/>
      <c r="X396" s="93">
        <f>SUM('1:2'!X396)</f>
        <v>0</v>
      </c>
      <c r="Y396" s="93">
        <f>SUM('1:2'!Y396)</f>
        <v>0</v>
      </c>
      <c r="Z396" s="93">
        <f>SUM('1:2'!Z396)</f>
        <v>0</v>
      </c>
      <c r="AA396" s="93">
        <f>SUM('1:2'!AA396)</f>
        <v>0</v>
      </c>
      <c r="AB396" s="25"/>
      <c r="AC396" s="54"/>
      <c r="AD396" s="370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>
      <c r="A397" s="303">
        <v>30700008</v>
      </c>
      <c r="B397" s="190" t="s">
        <v>418</v>
      </c>
      <c r="C397" s="187" t="s">
        <v>366</v>
      </c>
      <c r="D397" s="17">
        <v>5.03</v>
      </c>
      <c r="E397" s="17"/>
      <c r="F397" s="6"/>
      <c r="G397" s="93">
        <f>SUM('1:2'!G397)</f>
        <v>0</v>
      </c>
      <c r="H397" s="364">
        <f t="shared" si="147"/>
        <v>0</v>
      </c>
      <c r="I397" s="93">
        <f>SUM('1:2'!I397)</f>
        <v>0</v>
      </c>
      <c r="J397" s="31"/>
      <c r="K397" s="35">
        <f t="array" ref="K397">IF(ISERROR(G397/L397),"",G397/L397)</f>
        <v>0</v>
      </c>
      <c r="L397" s="87">
        <v>4</v>
      </c>
      <c r="M397" s="36">
        <f t="shared" si="152"/>
        <v>0</v>
      </c>
      <c r="N397" s="31"/>
      <c r="O397" s="93">
        <f>SUM('1:2'!O397)</f>
        <v>0</v>
      </c>
      <c r="P397" s="93">
        <f>SUM('1:2'!P397)</f>
        <v>0</v>
      </c>
      <c r="Q397" s="93">
        <f>SUM('1:2'!Q397)</f>
        <v>0</v>
      </c>
      <c r="R397" s="93">
        <f>SUM('1:2'!R397)</f>
        <v>0</v>
      </c>
      <c r="S397" s="93">
        <f>SUM('1:2'!S397)</f>
        <v>0</v>
      </c>
      <c r="T397" s="93">
        <f>SUM('1:2'!T397)</f>
        <v>0</v>
      </c>
      <c r="U397" s="93">
        <f>SUM('1:2'!U397)</f>
        <v>0</v>
      </c>
      <c r="V397" s="206"/>
      <c r="W397" s="33"/>
      <c r="X397" s="93">
        <f>SUM('1:2'!X397)</f>
        <v>0</v>
      </c>
      <c r="Y397" s="93">
        <f>SUM('1:2'!Y397)</f>
        <v>0</v>
      </c>
      <c r="Z397" s="93">
        <f>SUM('1:2'!Z397)</f>
        <v>0</v>
      </c>
      <c r="AA397" s="93">
        <f>SUM('1:2'!AA397)</f>
        <v>0</v>
      </c>
      <c r="AB397" s="25"/>
      <c r="AC397" s="54"/>
      <c r="AD397" s="370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>
      <c r="A398" s="303">
        <v>30700009</v>
      </c>
      <c r="B398" s="190" t="s">
        <v>418</v>
      </c>
      <c r="C398" s="187" t="s">
        <v>367</v>
      </c>
      <c r="D398" s="17">
        <v>5.03</v>
      </c>
      <c r="E398" s="17"/>
      <c r="F398" s="6"/>
      <c r="G398" s="93">
        <f>SUM('1:2'!G398)</f>
        <v>0</v>
      </c>
      <c r="H398" s="364">
        <f t="shared" si="147"/>
        <v>0</v>
      </c>
      <c r="I398" s="93">
        <f>SUM('1:2'!I398)</f>
        <v>0</v>
      </c>
      <c r="J398" s="31"/>
      <c r="K398" s="35">
        <f t="array" ref="K398">IF(ISERROR(G398/L398),"",G398/L398)</f>
        <v>0</v>
      </c>
      <c r="L398" s="87">
        <v>4</v>
      </c>
      <c r="M398" s="36">
        <f t="shared" si="152"/>
        <v>0</v>
      </c>
      <c r="N398" s="31"/>
      <c r="O398" s="93">
        <f>SUM('1:2'!O398)</f>
        <v>0</v>
      </c>
      <c r="P398" s="93">
        <f>SUM('1:2'!P398)</f>
        <v>0</v>
      </c>
      <c r="Q398" s="93">
        <f>SUM('1:2'!Q398)</f>
        <v>0</v>
      </c>
      <c r="R398" s="93">
        <f>SUM('1:2'!R398)</f>
        <v>0</v>
      </c>
      <c r="S398" s="93">
        <f>SUM('1:2'!S398)</f>
        <v>0</v>
      </c>
      <c r="T398" s="93">
        <f>SUM('1:2'!T398)</f>
        <v>0</v>
      </c>
      <c r="U398" s="93">
        <f>SUM('1:2'!U398)</f>
        <v>0</v>
      </c>
      <c r="V398" s="206"/>
      <c r="W398" s="33"/>
      <c r="X398" s="93">
        <f>SUM('1:2'!X398)</f>
        <v>0</v>
      </c>
      <c r="Y398" s="93">
        <f>SUM('1:2'!Y398)</f>
        <v>0</v>
      </c>
      <c r="Z398" s="93">
        <f>SUM('1:2'!Z398)</f>
        <v>0</v>
      </c>
      <c r="AA398" s="93">
        <f>SUM('1:2'!AA398)</f>
        <v>0</v>
      </c>
      <c r="AB398" s="25"/>
      <c r="AC398" s="54"/>
      <c r="AD398" s="370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>
      <c r="A399" s="300">
        <v>30100036</v>
      </c>
      <c r="B399" s="62" t="s">
        <v>80</v>
      </c>
      <c r="C399" s="16" t="s">
        <v>61</v>
      </c>
      <c r="D399" s="17">
        <v>5.03</v>
      </c>
      <c r="E399" s="17"/>
      <c r="F399" s="6"/>
      <c r="G399" s="93">
        <f>SUM('1:2'!G399)</f>
        <v>0</v>
      </c>
      <c r="H399" s="364">
        <f t="shared" si="147"/>
        <v>0</v>
      </c>
      <c r="I399" s="93">
        <f>SUM('1:2'!I399)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87">
        <v>40</v>
      </c>
      <c r="M399" s="36">
        <f t="shared" si="152"/>
        <v>0</v>
      </c>
      <c r="N399" s="31">
        <f t="shared" ref="N399:N408" si="159">SUM(O399:U399)</f>
        <v>0</v>
      </c>
      <c r="O399" s="93">
        <f>SUM('1:2'!O399)</f>
        <v>0</v>
      </c>
      <c r="P399" s="93">
        <f>SUM('1:2'!P399)</f>
        <v>0</v>
      </c>
      <c r="Q399" s="93">
        <f>SUM('1:2'!Q399)</f>
        <v>0</v>
      </c>
      <c r="R399" s="93">
        <f>SUM('1:2'!R399)</f>
        <v>0</v>
      </c>
      <c r="S399" s="93">
        <f>SUM('1:2'!S399)</f>
        <v>0</v>
      </c>
      <c r="T399" s="93">
        <f>SUM('1:2'!T399)</f>
        <v>0</v>
      </c>
      <c r="U399" s="93">
        <f>SUM('1:2'!U399)</f>
        <v>0</v>
      </c>
      <c r="V399" s="206">
        <f t="shared" ref="V399:V408" si="160">SUM(X399:AA399)</f>
        <v>0</v>
      </c>
      <c r="W399" s="33" t="str">
        <f t="shared" ref="W399:W408" si="161">IF(ISERROR(V399/G399),"",V399/G399)</f>
        <v/>
      </c>
      <c r="X399" s="93">
        <f>SUM('1:2'!X399)</f>
        <v>0</v>
      </c>
      <c r="Y399" s="93">
        <f>SUM('1:2'!Y399)</f>
        <v>0</v>
      </c>
      <c r="Z399" s="93">
        <f>SUM('1:2'!Z399)</f>
        <v>0</v>
      </c>
      <c r="AA399" s="93">
        <f>SUM('1:2'!AA399)</f>
        <v>0</v>
      </c>
      <c r="AB399" s="73"/>
      <c r="AC399" s="54"/>
      <c r="AD399" s="370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>
      <c r="A400" s="300">
        <v>30100034</v>
      </c>
      <c r="B400" s="62" t="s">
        <v>80</v>
      </c>
      <c r="C400" s="16" t="s">
        <v>60</v>
      </c>
      <c r="D400" s="17">
        <v>5.03</v>
      </c>
      <c r="E400" s="17"/>
      <c r="F400" s="6"/>
      <c r="G400" s="93">
        <f>SUM('1:2'!G400)</f>
        <v>0</v>
      </c>
      <c r="H400" s="364">
        <f t="shared" si="147"/>
        <v>0</v>
      </c>
      <c r="I400" s="93">
        <f>SUM('1:2'!I400)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87">
        <v>40</v>
      </c>
      <c r="M400" s="36">
        <f t="shared" si="152"/>
        <v>0</v>
      </c>
      <c r="N400" s="31">
        <f t="shared" si="159"/>
        <v>0</v>
      </c>
      <c r="O400" s="93">
        <f>SUM('1:2'!O400)</f>
        <v>0</v>
      </c>
      <c r="P400" s="93">
        <f>SUM('1:2'!P400)</f>
        <v>0</v>
      </c>
      <c r="Q400" s="93">
        <f>SUM('1:2'!Q400)</f>
        <v>0</v>
      </c>
      <c r="R400" s="93">
        <f>SUM('1:2'!R400)</f>
        <v>0</v>
      </c>
      <c r="S400" s="93">
        <f>SUM('1:2'!S400)</f>
        <v>0</v>
      </c>
      <c r="T400" s="93">
        <f>SUM('1:2'!T400)</f>
        <v>0</v>
      </c>
      <c r="U400" s="93">
        <f>SUM('1:2'!U400)</f>
        <v>0</v>
      </c>
      <c r="V400" s="206">
        <f t="shared" si="160"/>
        <v>0</v>
      </c>
      <c r="W400" s="33" t="str">
        <f t="shared" si="161"/>
        <v/>
      </c>
      <c r="X400" s="93">
        <f>SUM('1:2'!X400)</f>
        <v>0</v>
      </c>
      <c r="Y400" s="93">
        <f>SUM('1:2'!Y400)</f>
        <v>0</v>
      </c>
      <c r="Z400" s="93">
        <f>SUM('1:2'!Z400)</f>
        <v>0</v>
      </c>
      <c r="AA400" s="93">
        <f>SUM('1:2'!AA400)</f>
        <v>0</v>
      </c>
      <c r="AB400" s="73"/>
      <c r="AC400" s="54"/>
      <c r="AD400" s="370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>
      <c r="A401" s="300">
        <v>30100035</v>
      </c>
      <c r="B401" s="62" t="s">
        <v>80</v>
      </c>
      <c r="C401" s="16" t="s">
        <v>65</v>
      </c>
      <c r="D401" s="17">
        <v>5.03</v>
      </c>
      <c r="E401" s="17"/>
      <c r="F401" s="6"/>
      <c r="G401" s="93">
        <f>SUM('1:2'!G401)</f>
        <v>0</v>
      </c>
      <c r="H401" s="364">
        <f t="shared" si="147"/>
        <v>0</v>
      </c>
      <c r="I401" s="93">
        <f>SUM('1:2'!I401)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87">
        <v>40</v>
      </c>
      <c r="M401" s="36">
        <f t="shared" si="152"/>
        <v>0</v>
      </c>
      <c r="N401" s="31">
        <f t="shared" si="159"/>
        <v>0</v>
      </c>
      <c r="O401" s="93">
        <f>SUM('1:2'!O401)</f>
        <v>0</v>
      </c>
      <c r="P401" s="93">
        <f>SUM('1:2'!P401)</f>
        <v>0</v>
      </c>
      <c r="Q401" s="93">
        <f>SUM('1:2'!Q401)</f>
        <v>0</v>
      </c>
      <c r="R401" s="93">
        <f>SUM('1:2'!R401)</f>
        <v>0</v>
      </c>
      <c r="S401" s="93">
        <f>SUM('1:2'!S401)</f>
        <v>0</v>
      </c>
      <c r="T401" s="93">
        <f>SUM('1:2'!T401)</f>
        <v>0</v>
      </c>
      <c r="U401" s="93">
        <f>SUM('1:2'!U401)</f>
        <v>0</v>
      </c>
      <c r="V401" s="206">
        <f t="shared" si="160"/>
        <v>0</v>
      </c>
      <c r="W401" s="33" t="str">
        <f t="shared" si="161"/>
        <v/>
      </c>
      <c r="X401" s="93">
        <f>SUM('1:2'!X401)</f>
        <v>0</v>
      </c>
      <c r="Y401" s="93">
        <f>SUM('1:2'!Y401)</f>
        <v>0</v>
      </c>
      <c r="Z401" s="93">
        <f>SUM('1:2'!Z401)</f>
        <v>0</v>
      </c>
      <c r="AA401" s="93">
        <f>SUM('1:2'!AA401)</f>
        <v>0</v>
      </c>
      <c r="AB401" s="73"/>
      <c r="AC401" s="54"/>
      <c r="AD401" s="370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>
      <c r="A402" s="300">
        <v>30100040</v>
      </c>
      <c r="B402" s="62" t="s">
        <v>81</v>
      </c>
      <c r="C402" s="16" t="s">
        <v>82</v>
      </c>
      <c r="D402" s="17">
        <v>5.03</v>
      </c>
      <c r="E402" s="17"/>
      <c r="F402" s="6"/>
      <c r="G402" s="93">
        <f>SUM('1:2'!G402)</f>
        <v>0</v>
      </c>
      <c r="H402" s="364">
        <f t="shared" si="147"/>
        <v>0</v>
      </c>
      <c r="I402" s="93">
        <f>SUM('1:2'!I402)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87">
        <v>50</v>
      </c>
      <c r="M402" s="36">
        <f t="shared" si="152"/>
        <v>0</v>
      </c>
      <c r="N402" s="31">
        <f t="shared" si="159"/>
        <v>0</v>
      </c>
      <c r="O402" s="93">
        <f>SUM('1:2'!O402)</f>
        <v>0</v>
      </c>
      <c r="P402" s="93">
        <f>SUM('1:2'!P402)</f>
        <v>0</v>
      </c>
      <c r="Q402" s="93">
        <f>SUM('1:2'!Q402)</f>
        <v>0</v>
      </c>
      <c r="R402" s="93">
        <f>SUM('1:2'!R402)</f>
        <v>0</v>
      </c>
      <c r="S402" s="93">
        <f>SUM('1:2'!S402)</f>
        <v>0</v>
      </c>
      <c r="T402" s="93">
        <f>SUM('1:2'!T402)</f>
        <v>0</v>
      </c>
      <c r="U402" s="93">
        <f>SUM('1:2'!U402)</f>
        <v>0</v>
      </c>
      <c r="V402" s="206">
        <f t="shared" si="160"/>
        <v>0</v>
      </c>
      <c r="W402" s="33" t="str">
        <f t="shared" si="161"/>
        <v/>
      </c>
      <c r="X402" s="93">
        <f>SUM('1:2'!X402)</f>
        <v>0</v>
      </c>
      <c r="Y402" s="93">
        <f>SUM('1:2'!Y402)</f>
        <v>0</v>
      </c>
      <c r="Z402" s="93">
        <f>SUM('1:2'!Z402)</f>
        <v>0</v>
      </c>
      <c r="AA402" s="93">
        <f>SUM('1:2'!AA402)</f>
        <v>0</v>
      </c>
      <c r="AB402" s="73"/>
      <c r="AC402" s="54"/>
      <c r="AD402" s="370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>
      <c r="A403" s="300">
        <v>30100039</v>
      </c>
      <c r="B403" s="62" t="s">
        <v>81</v>
      </c>
      <c r="C403" s="16" t="s">
        <v>60</v>
      </c>
      <c r="D403" s="17">
        <v>5.03</v>
      </c>
      <c r="E403" s="17"/>
      <c r="F403" s="6"/>
      <c r="G403" s="93">
        <f>SUM('1:2'!G403)</f>
        <v>0</v>
      </c>
      <c r="H403" s="364">
        <f t="shared" si="147"/>
        <v>0</v>
      </c>
      <c r="I403" s="93">
        <f>SUM('1:2'!I403)</f>
        <v>0</v>
      </c>
      <c r="J403" s="31" t="str">
        <f t="array" ref="J403">IF(ISERROR(G403/I403),"",G403/I403)</f>
        <v/>
      </c>
      <c r="K403" s="35">
        <f t="array" ref="K403">IF(ISERROR(G403/L403),"",G403/L403)</f>
        <v>0</v>
      </c>
      <c r="L403" s="87">
        <v>50</v>
      </c>
      <c r="M403" s="36">
        <f t="shared" si="152"/>
        <v>0</v>
      </c>
      <c r="N403" s="31">
        <f t="shared" si="159"/>
        <v>0</v>
      </c>
      <c r="O403" s="93">
        <f>SUM('1:2'!O403)</f>
        <v>0</v>
      </c>
      <c r="P403" s="93">
        <f>SUM('1:2'!P403)</f>
        <v>0</v>
      </c>
      <c r="Q403" s="93">
        <f>SUM('1:2'!Q403)</f>
        <v>0</v>
      </c>
      <c r="R403" s="93">
        <f>SUM('1:2'!R403)</f>
        <v>0</v>
      </c>
      <c r="S403" s="93">
        <f>SUM('1:2'!S403)</f>
        <v>0</v>
      </c>
      <c r="T403" s="93">
        <f>SUM('1:2'!T403)</f>
        <v>0</v>
      </c>
      <c r="U403" s="93">
        <f>SUM('1:2'!U403)</f>
        <v>0</v>
      </c>
      <c r="V403" s="206">
        <f t="shared" si="160"/>
        <v>0</v>
      </c>
      <c r="W403" s="33" t="str">
        <f t="shared" si="161"/>
        <v/>
      </c>
      <c r="X403" s="93">
        <f>SUM('1:2'!X403)</f>
        <v>0</v>
      </c>
      <c r="Y403" s="93">
        <f>SUM('1:2'!Y403)</f>
        <v>0</v>
      </c>
      <c r="Z403" s="93">
        <f>SUM('1:2'!Z403)</f>
        <v>0</v>
      </c>
      <c r="AA403" s="93">
        <f>SUM('1:2'!AA403)</f>
        <v>0</v>
      </c>
      <c r="AB403" s="73"/>
      <c r="AC403" s="54"/>
      <c r="AD403" s="370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>
      <c r="A404" s="300">
        <v>30100042</v>
      </c>
      <c r="B404" s="62" t="s">
        <v>81</v>
      </c>
      <c r="C404" s="16" t="s">
        <v>61</v>
      </c>
      <c r="D404" s="17">
        <v>5.03</v>
      </c>
      <c r="E404" s="17"/>
      <c r="F404" s="6"/>
      <c r="G404" s="93">
        <f>SUM('1:2'!G404)</f>
        <v>0</v>
      </c>
      <c r="H404" s="364">
        <f t="shared" si="147"/>
        <v>0</v>
      </c>
      <c r="I404" s="93">
        <f>SUM('1:2'!I404)</f>
        <v>0</v>
      </c>
      <c r="J404" s="31" t="str">
        <f t="array" ref="J404">IF(ISERROR(G404/I404),"",G404/I404)</f>
        <v/>
      </c>
      <c r="K404" s="35">
        <f t="array" ref="K404">IF(ISERROR(G404/L404),"",G404/L404)</f>
        <v>0</v>
      </c>
      <c r="L404" s="87">
        <v>50</v>
      </c>
      <c r="M404" s="36">
        <f t="shared" si="152"/>
        <v>0</v>
      </c>
      <c r="N404" s="31">
        <f t="shared" si="159"/>
        <v>0</v>
      </c>
      <c r="O404" s="93">
        <f>SUM('1:2'!O404)</f>
        <v>0</v>
      </c>
      <c r="P404" s="93">
        <f>SUM('1:2'!P404)</f>
        <v>0</v>
      </c>
      <c r="Q404" s="93">
        <f>SUM('1:2'!Q404)</f>
        <v>0</v>
      </c>
      <c r="R404" s="93">
        <f>SUM('1:2'!R404)</f>
        <v>0</v>
      </c>
      <c r="S404" s="93">
        <f>SUM('1:2'!S404)</f>
        <v>0</v>
      </c>
      <c r="T404" s="93">
        <f>SUM('1:2'!T404)</f>
        <v>0</v>
      </c>
      <c r="U404" s="93">
        <f>SUM('1:2'!U404)</f>
        <v>0</v>
      </c>
      <c r="V404" s="206">
        <f t="shared" si="160"/>
        <v>0</v>
      </c>
      <c r="W404" s="33" t="str">
        <f t="shared" si="161"/>
        <v/>
      </c>
      <c r="X404" s="93">
        <f>SUM('1:2'!X404)</f>
        <v>0</v>
      </c>
      <c r="Y404" s="93">
        <f>SUM('1:2'!Y404)</f>
        <v>0</v>
      </c>
      <c r="Z404" s="93">
        <f>SUM('1:2'!Z404)</f>
        <v>0</v>
      </c>
      <c r="AA404" s="93">
        <f>SUM('1:2'!AA404)</f>
        <v>0</v>
      </c>
      <c r="AB404" s="73"/>
      <c r="AC404" s="54"/>
      <c r="AD404" s="370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>
      <c r="A405" s="300">
        <v>30100041</v>
      </c>
      <c r="B405" s="62" t="s">
        <v>81</v>
      </c>
      <c r="C405" s="16" t="s">
        <v>65</v>
      </c>
      <c r="D405" s="17">
        <v>5.03</v>
      </c>
      <c r="E405" s="17"/>
      <c r="F405" s="6"/>
      <c r="G405" s="93">
        <f>SUM('1:2'!G405)</f>
        <v>0</v>
      </c>
      <c r="H405" s="364">
        <f t="shared" si="147"/>
        <v>0</v>
      </c>
      <c r="I405" s="93">
        <f>SUM('1:2'!I405)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87">
        <v>50</v>
      </c>
      <c r="M405" s="36">
        <f t="shared" si="152"/>
        <v>0</v>
      </c>
      <c r="N405" s="31">
        <f t="shared" si="159"/>
        <v>0</v>
      </c>
      <c r="O405" s="93">
        <f>SUM('1:2'!O405)</f>
        <v>0</v>
      </c>
      <c r="P405" s="93">
        <f>SUM('1:2'!P405)</f>
        <v>0</v>
      </c>
      <c r="Q405" s="93">
        <f>SUM('1:2'!Q405)</f>
        <v>0</v>
      </c>
      <c r="R405" s="93">
        <f>SUM('1:2'!R405)</f>
        <v>0</v>
      </c>
      <c r="S405" s="93">
        <f>SUM('1:2'!S405)</f>
        <v>0</v>
      </c>
      <c r="T405" s="93">
        <f>SUM('1:2'!T405)</f>
        <v>0</v>
      </c>
      <c r="U405" s="93">
        <f>SUM('1:2'!U405)</f>
        <v>0</v>
      </c>
      <c r="V405" s="206">
        <f t="shared" si="160"/>
        <v>0</v>
      </c>
      <c r="W405" s="33" t="str">
        <f t="shared" si="161"/>
        <v/>
      </c>
      <c r="X405" s="93">
        <f>SUM('1:2'!X405)</f>
        <v>0</v>
      </c>
      <c r="Y405" s="93">
        <f>SUM('1:2'!Y405)</f>
        <v>0</v>
      </c>
      <c r="Z405" s="93">
        <f>SUM('1:2'!Z405)</f>
        <v>0</v>
      </c>
      <c r="AA405" s="93">
        <f>SUM('1:2'!AA405)</f>
        <v>0</v>
      </c>
      <c r="AB405" s="73"/>
      <c r="AC405" s="54"/>
      <c r="AD405" s="370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>
      <c r="A406" s="300">
        <v>30100045</v>
      </c>
      <c r="B406" s="62" t="s">
        <v>83</v>
      </c>
      <c r="C406" s="16" t="s">
        <v>73</v>
      </c>
      <c r="D406" s="17">
        <v>5.03</v>
      </c>
      <c r="E406" s="17"/>
      <c r="F406" s="6"/>
      <c r="G406" s="93">
        <f>SUM('1:2'!G406)</f>
        <v>0</v>
      </c>
      <c r="H406" s="364">
        <f t="shared" si="147"/>
        <v>0</v>
      </c>
      <c r="I406" s="93">
        <f>SUM('1:2'!I406)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87">
        <v>50</v>
      </c>
      <c r="M406" s="36">
        <f t="shared" si="152"/>
        <v>0</v>
      </c>
      <c r="N406" s="31">
        <f t="shared" si="159"/>
        <v>0</v>
      </c>
      <c r="O406" s="93">
        <f>SUM('1:2'!O406)</f>
        <v>0</v>
      </c>
      <c r="P406" s="93">
        <f>SUM('1:2'!P406)</f>
        <v>0</v>
      </c>
      <c r="Q406" s="93">
        <f>SUM('1:2'!Q406)</f>
        <v>0</v>
      </c>
      <c r="R406" s="93">
        <f>SUM('1:2'!R406)</f>
        <v>0</v>
      </c>
      <c r="S406" s="93">
        <f>SUM('1:2'!S406)</f>
        <v>0</v>
      </c>
      <c r="T406" s="93">
        <f>SUM('1:2'!T406)</f>
        <v>0</v>
      </c>
      <c r="U406" s="93">
        <f>SUM('1:2'!U406)</f>
        <v>0</v>
      </c>
      <c r="V406" s="206">
        <f t="shared" si="160"/>
        <v>0</v>
      </c>
      <c r="W406" s="33" t="str">
        <f t="shared" si="161"/>
        <v/>
      </c>
      <c r="X406" s="93">
        <f>SUM('1:2'!X406)</f>
        <v>0</v>
      </c>
      <c r="Y406" s="93">
        <f>SUM('1:2'!Y406)</f>
        <v>0</v>
      </c>
      <c r="Z406" s="93">
        <f>SUM('1:2'!Z406)</f>
        <v>0</v>
      </c>
      <c r="AA406" s="93">
        <f>SUM('1:2'!AA406)</f>
        <v>0</v>
      </c>
      <c r="AB406" s="73"/>
      <c r="AC406" s="54"/>
      <c r="AD406" s="370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>
      <c r="A407" s="300">
        <v>30100044</v>
      </c>
      <c r="B407" s="62" t="s">
        <v>83</v>
      </c>
      <c r="C407" s="16" t="s">
        <v>61</v>
      </c>
      <c r="D407" s="17">
        <v>5.03</v>
      </c>
      <c r="E407" s="17"/>
      <c r="F407" s="6"/>
      <c r="G407" s="93">
        <f>SUM('1:2'!G407)</f>
        <v>0</v>
      </c>
      <c r="H407" s="364">
        <f t="shared" si="147"/>
        <v>0</v>
      </c>
      <c r="I407" s="93">
        <f>SUM('1:2'!I407)</f>
        <v>0</v>
      </c>
      <c r="J407" s="31" t="str">
        <f t="array" ref="J407">IF(ISERROR(G407/I407),"",G407/I407)</f>
        <v/>
      </c>
      <c r="K407" s="35">
        <f t="array" ref="K407">IF(ISERROR(G407/L407),"",G407/L407)</f>
        <v>0</v>
      </c>
      <c r="L407" s="87">
        <v>50</v>
      </c>
      <c r="M407" s="36">
        <f t="shared" si="152"/>
        <v>0</v>
      </c>
      <c r="N407" s="31">
        <f t="shared" si="159"/>
        <v>0</v>
      </c>
      <c r="O407" s="93">
        <f>SUM('1:2'!O407)</f>
        <v>0</v>
      </c>
      <c r="P407" s="93">
        <f>SUM('1:2'!P407)</f>
        <v>0</v>
      </c>
      <c r="Q407" s="93">
        <f>SUM('1:2'!Q407)</f>
        <v>0</v>
      </c>
      <c r="R407" s="93">
        <f>SUM('1:2'!R407)</f>
        <v>0</v>
      </c>
      <c r="S407" s="93">
        <f>SUM('1:2'!S407)</f>
        <v>0</v>
      </c>
      <c r="T407" s="93">
        <f>SUM('1:2'!T407)</f>
        <v>0</v>
      </c>
      <c r="U407" s="93">
        <f>SUM('1:2'!U407)</f>
        <v>0</v>
      </c>
      <c r="V407" s="206">
        <f t="shared" si="160"/>
        <v>0</v>
      </c>
      <c r="W407" s="33" t="str">
        <f t="shared" si="161"/>
        <v/>
      </c>
      <c r="X407" s="93">
        <f>SUM('1:2'!X407)</f>
        <v>0</v>
      </c>
      <c r="Y407" s="93">
        <f>SUM('1:2'!Y407)</f>
        <v>0</v>
      </c>
      <c r="Z407" s="93">
        <f>SUM('1:2'!Z407)</f>
        <v>0</v>
      </c>
      <c r="AA407" s="93">
        <f>SUM('1:2'!AA407)</f>
        <v>0</v>
      </c>
      <c r="AB407" s="73"/>
      <c r="AC407" s="54"/>
      <c r="AD407" s="370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>
      <c r="A408" s="300">
        <v>30100046</v>
      </c>
      <c r="B408" s="62" t="s">
        <v>83</v>
      </c>
      <c r="C408" s="16" t="s">
        <v>77</v>
      </c>
      <c r="D408" s="17">
        <v>5.03</v>
      </c>
      <c r="E408" s="17"/>
      <c r="F408" s="6"/>
      <c r="G408" s="93">
        <f>SUM('1:2'!G408)</f>
        <v>0</v>
      </c>
      <c r="H408" s="364">
        <f t="shared" si="147"/>
        <v>0</v>
      </c>
      <c r="I408" s="93">
        <f>SUM('1:2'!I408)</f>
        <v>0</v>
      </c>
      <c r="J408" s="31" t="str">
        <f t="array" ref="J408">IF(ISERROR(G408/I408),"",G408/I408)</f>
        <v/>
      </c>
      <c r="K408" s="35">
        <f t="array" ref="K408">IF(ISERROR(G408/L408),"",G408/L408)</f>
        <v>0</v>
      </c>
      <c r="L408" s="87">
        <v>50</v>
      </c>
      <c r="M408" s="36">
        <f t="shared" si="152"/>
        <v>0</v>
      </c>
      <c r="N408" s="31">
        <f t="shared" si="159"/>
        <v>0</v>
      </c>
      <c r="O408" s="93">
        <f>SUM('1:2'!O408)</f>
        <v>0</v>
      </c>
      <c r="P408" s="93">
        <f>SUM('1:2'!P408)</f>
        <v>0</v>
      </c>
      <c r="Q408" s="93">
        <f>SUM('1:2'!Q408)</f>
        <v>0</v>
      </c>
      <c r="R408" s="93">
        <f>SUM('1:2'!R408)</f>
        <v>0</v>
      </c>
      <c r="S408" s="93">
        <f>SUM('1:2'!S408)</f>
        <v>0</v>
      </c>
      <c r="T408" s="93">
        <f>SUM('1:2'!T408)</f>
        <v>0</v>
      </c>
      <c r="U408" s="93">
        <f>SUM('1:2'!U408)</f>
        <v>0</v>
      </c>
      <c r="V408" s="206">
        <f t="shared" si="160"/>
        <v>0</v>
      </c>
      <c r="W408" s="33" t="str">
        <f t="shared" si="161"/>
        <v/>
      </c>
      <c r="X408" s="93">
        <f>SUM('1:2'!X408)</f>
        <v>0</v>
      </c>
      <c r="Y408" s="93">
        <f>SUM('1:2'!Y408)</f>
        <v>0</v>
      </c>
      <c r="Z408" s="93">
        <f>SUM('1:2'!Z408)</f>
        <v>0</v>
      </c>
      <c r="AA408" s="93">
        <f>SUM('1:2'!AA408)</f>
        <v>0</v>
      </c>
      <c r="AB408" s="73"/>
      <c r="AC408" s="54"/>
      <c r="AD408" s="370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>
      <c r="A409" s="300">
        <v>30100043</v>
      </c>
      <c r="B409" s="192" t="s">
        <v>429</v>
      </c>
      <c r="C409" s="187" t="s">
        <v>427</v>
      </c>
      <c r="D409" s="17">
        <v>50.3</v>
      </c>
      <c r="E409" s="17"/>
      <c r="F409" s="6"/>
      <c r="G409" s="93">
        <f>SUM('1:2'!G409)</f>
        <v>0</v>
      </c>
      <c r="H409" s="364">
        <f t="shared" si="147"/>
        <v>0</v>
      </c>
      <c r="I409" s="93"/>
      <c r="J409" s="31"/>
      <c r="K409" s="35">
        <f t="array" ref="K409">IF(ISERROR(G409/L409),"",G409/L409)</f>
        <v>0</v>
      </c>
      <c r="L409" s="87">
        <v>50</v>
      </c>
      <c r="M409" s="36"/>
      <c r="N409" s="31"/>
      <c r="O409" s="93"/>
      <c r="P409" s="93"/>
      <c r="Q409" s="93"/>
      <c r="R409" s="93"/>
      <c r="S409" s="93"/>
      <c r="T409" s="93"/>
      <c r="U409" s="93"/>
      <c r="V409" s="206"/>
      <c r="W409" s="33"/>
      <c r="X409" s="93"/>
      <c r="Y409" s="93"/>
      <c r="Z409" s="93"/>
      <c r="AA409" s="93"/>
      <c r="AB409" s="73"/>
      <c r="AC409" s="54"/>
      <c r="AD409" s="370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>
      <c r="A410" s="300">
        <v>30100064</v>
      </c>
      <c r="B410" s="192" t="s">
        <v>400</v>
      </c>
      <c r="C410" s="187" t="s">
        <v>398</v>
      </c>
      <c r="D410" s="17">
        <v>5</v>
      </c>
      <c r="E410" s="17"/>
      <c r="F410" s="6"/>
      <c r="G410" s="93">
        <f>SUM('1:2'!G410)</f>
        <v>0</v>
      </c>
      <c r="H410" s="364">
        <f t="shared" si="147"/>
        <v>0</v>
      </c>
      <c r="I410" s="93">
        <f>SUM('1:2'!I410)</f>
        <v>0</v>
      </c>
      <c r="J410" s="31"/>
      <c r="K410" s="35"/>
      <c r="L410" s="87">
        <v>50</v>
      </c>
      <c r="M410" s="36"/>
      <c r="N410" s="31"/>
      <c r="O410" s="93">
        <f>SUM('1:2'!O410)</f>
        <v>0</v>
      </c>
      <c r="P410" s="93">
        <f>SUM('1:2'!P410)</f>
        <v>0</v>
      </c>
      <c r="Q410" s="93">
        <f>SUM('1:2'!Q410)</f>
        <v>0</v>
      </c>
      <c r="R410" s="93">
        <f>SUM('1:2'!R410)</f>
        <v>0</v>
      </c>
      <c r="S410" s="93">
        <f>SUM('1:2'!S410)</f>
        <v>0</v>
      </c>
      <c r="T410" s="93">
        <f>SUM('1:2'!T410)</f>
        <v>0</v>
      </c>
      <c r="U410" s="93">
        <f>SUM('1:2'!U410)</f>
        <v>0</v>
      </c>
      <c r="V410" s="206"/>
      <c r="W410" s="33"/>
      <c r="X410" s="93">
        <f>SUM('1:2'!X410)</f>
        <v>0</v>
      </c>
      <c r="Y410" s="93">
        <f>SUM('1:2'!Y410)</f>
        <v>0</v>
      </c>
      <c r="Z410" s="93">
        <f>SUM('1:2'!Z410)</f>
        <v>0</v>
      </c>
      <c r="AA410" s="93">
        <f>SUM('1:2'!AA410)</f>
        <v>0</v>
      </c>
      <c r="AB410" s="73"/>
      <c r="AC410" s="54"/>
      <c r="AD410" s="370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>
      <c r="A411" s="300">
        <v>30100049</v>
      </c>
      <c r="B411" s="62" t="s">
        <v>84</v>
      </c>
      <c r="C411" s="16" t="s">
        <v>64</v>
      </c>
      <c r="D411" s="17">
        <v>5.03</v>
      </c>
      <c r="E411" s="17"/>
      <c r="F411" s="6"/>
      <c r="G411" s="93">
        <f>SUM('1:2'!G411)</f>
        <v>0</v>
      </c>
      <c r="H411" s="364">
        <f t="shared" si="147"/>
        <v>0</v>
      </c>
      <c r="I411" s="93">
        <f>SUM('1:2'!I411)</f>
        <v>0</v>
      </c>
      <c r="J411" s="31" t="str">
        <f t="array" ref="J411">IF(ISERROR(G411/I411),"",G411/I411)</f>
        <v/>
      </c>
      <c r="K411" s="35">
        <f t="array" ref="K411">IF(ISERROR(G411/L411),"",G411/L411)</f>
        <v>0</v>
      </c>
      <c r="L411" s="87">
        <v>21.5</v>
      </c>
      <c r="M411" s="36">
        <f t="shared" ref="M411:M412" si="162">IF(ISERROR(I411-K411),"",I411-K411)</f>
        <v>0</v>
      </c>
      <c r="N411" s="31">
        <f t="shared" ref="N411:N412" si="163">SUM(O411:U411)</f>
        <v>0</v>
      </c>
      <c r="O411" s="93">
        <f>SUM('1:2'!O411)</f>
        <v>0</v>
      </c>
      <c r="P411" s="93">
        <f>SUM('1:2'!P411)</f>
        <v>0</v>
      </c>
      <c r="Q411" s="93">
        <f>SUM('1:2'!Q411)</f>
        <v>0</v>
      </c>
      <c r="R411" s="93">
        <f>SUM('1:2'!R411)</f>
        <v>0</v>
      </c>
      <c r="S411" s="93">
        <f>SUM('1:2'!S411)</f>
        <v>0</v>
      </c>
      <c r="T411" s="93">
        <f>SUM('1:2'!T411)</f>
        <v>0</v>
      </c>
      <c r="U411" s="93">
        <f>SUM('1:2'!U411)</f>
        <v>0</v>
      </c>
      <c r="V411" s="206">
        <f t="shared" ref="V411:V412" si="164">SUM(X411:AA411)</f>
        <v>0</v>
      </c>
      <c r="W411" s="33" t="str">
        <f t="shared" ref="W411:W412" si="165">IF(ISERROR(V411/G411),"",V411/G411)</f>
        <v/>
      </c>
      <c r="X411" s="93">
        <f>SUM('1:2'!X411)</f>
        <v>0</v>
      </c>
      <c r="Y411" s="93">
        <f>SUM('1:2'!Y411)</f>
        <v>0</v>
      </c>
      <c r="Z411" s="93">
        <f>SUM('1:2'!Z411)</f>
        <v>0</v>
      </c>
      <c r="AA411" s="93">
        <f>SUM('1:2'!AA411)</f>
        <v>0</v>
      </c>
      <c r="AB411" s="73"/>
      <c r="AC411" s="54"/>
      <c r="AD411" s="370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>
      <c r="A412" s="300">
        <v>30100050</v>
      </c>
      <c r="B412" s="62" t="s">
        <v>84</v>
      </c>
      <c r="C412" s="16" t="s">
        <v>65</v>
      </c>
      <c r="D412" s="17">
        <v>5.03</v>
      </c>
      <c r="E412" s="17"/>
      <c r="F412" s="6"/>
      <c r="G412" s="93">
        <f>SUM('1:2'!G412)</f>
        <v>0</v>
      </c>
      <c r="H412" s="364">
        <f t="shared" si="147"/>
        <v>0</v>
      </c>
      <c r="I412" s="93">
        <f>SUM('1:2'!I412)</f>
        <v>0</v>
      </c>
      <c r="J412" s="31" t="str">
        <f t="array" ref="J412">IF(ISERROR(G412/I412),"",G412/I412)</f>
        <v/>
      </c>
      <c r="K412" s="35">
        <f t="array" ref="K412">IF(ISERROR(G412/L412),"",G412/L412)</f>
        <v>0</v>
      </c>
      <c r="L412" s="87">
        <v>21.5</v>
      </c>
      <c r="M412" s="36">
        <f t="shared" si="162"/>
        <v>0</v>
      </c>
      <c r="N412" s="31">
        <f t="shared" si="163"/>
        <v>0</v>
      </c>
      <c r="O412" s="93">
        <f>SUM('1:2'!O412)</f>
        <v>0</v>
      </c>
      <c r="P412" s="93">
        <f>SUM('1:2'!P412)</f>
        <v>0</v>
      </c>
      <c r="Q412" s="93">
        <f>SUM('1:2'!Q412)</f>
        <v>0</v>
      </c>
      <c r="R412" s="93">
        <f>SUM('1:2'!R412)</f>
        <v>0</v>
      </c>
      <c r="S412" s="93">
        <f>SUM('1:2'!S412)</f>
        <v>0</v>
      </c>
      <c r="T412" s="93">
        <f>SUM('1:2'!T412)</f>
        <v>0</v>
      </c>
      <c r="U412" s="93">
        <f>SUM('1:2'!U412)</f>
        <v>0</v>
      </c>
      <c r="V412" s="206">
        <f t="shared" si="164"/>
        <v>0</v>
      </c>
      <c r="W412" s="33" t="str">
        <f t="shared" si="165"/>
        <v/>
      </c>
      <c r="X412" s="93">
        <f>SUM('1:2'!X412)</f>
        <v>0</v>
      </c>
      <c r="Y412" s="93">
        <f>SUM('1:2'!Y412)</f>
        <v>0</v>
      </c>
      <c r="Z412" s="93">
        <f>SUM('1:2'!Z412)</f>
        <v>0</v>
      </c>
      <c r="AA412" s="93">
        <f>SUM('1:2'!AA412)</f>
        <v>0</v>
      </c>
      <c r="AB412" s="73"/>
      <c r="AC412" s="54"/>
      <c r="AD412" s="370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>
      <c r="A413" s="300"/>
      <c r="B413" s="192" t="s">
        <v>360</v>
      </c>
      <c r="C413" s="187" t="s">
        <v>361</v>
      </c>
      <c r="D413" s="17"/>
      <c r="E413" s="17"/>
      <c r="F413" s="6"/>
      <c r="G413" s="93">
        <f>SUM('1:2'!G413)</f>
        <v>0</v>
      </c>
      <c r="H413" s="364">
        <f t="shared" si="147"/>
        <v>0</v>
      </c>
      <c r="I413" s="93">
        <f>SUM('1:2'!I413)</f>
        <v>0</v>
      </c>
      <c r="J413" s="31"/>
      <c r="K413" s="35"/>
      <c r="L413" s="87"/>
      <c r="M413" s="36"/>
      <c r="N413" s="31"/>
      <c r="O413" s="93">
        <f>SUM('1:2'!O413)</f>
        <v>0</v>
      </c>
      <c r="P413" s="93">
        <f>SUM('1:2'!P413)</f>
        <v>0</v>
      </c>
      <c r="Q413" s="93">
        <f>SUM('1:2'!Q413)</f>
        <v>0</v>
      </c>
      <c r="R413" s="93">
        <f>SUM('1:2'!R413)</f>
        <v>0</v>
      </c>
      <c r="S413" s="93">
        <f>SUM('1:2'!S413)</f>
        <v>0</v>
      </c>
      <c r="T413" s="93">
        <f>SUM('1:2'!T413)</f>
        <v>0</v>
      </c>
      <c r="U413" s="93">
        <f>SUM('1:2'!U413)</f>
        <v>0</v>
      </c>
      <c r="V413" s="206"/>
      <c r="W413" s="33"/>
      <c r="X413" s="93">
        <f>SUM('1:2'!X413)</f>
        <v>0</v>
      </c>
      <c r="Y413" s="93">
        <f>SUM('1:2'!Y413)</f>
        <v>0</v>
      </c>
      <c r="Z413" s="93">
        <f>SUM('1:2'!Z413)</f>
        <v>0</v>
      </c>
      <c r="AA413" s="93">
        <f>SUM('1:2'!AA413)</f>
        <v>0</v>
      </c>
      <c r="AB413" s="73"/>
      <c r="AC413" s="54"/>
      <c r="AD413" s="370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>
      <c r="A414" s="300">
        <v>30100055</v>
      </c>
      <c r="B414" s="63" t="s">
        <v>85</v>
      </c>
      <c r="C414" s="16" t="s">
        <v>60</v>
      </c>
      <c r="D414" s="17">
        <v>5.0599999999999996</v>
      </c>
      <c r="E414" s="17"/>
      <c r="F414" s="6"/>
      <c r="G414" s="93">
        <f>SUM('1:2'!G414)</f>
        <v>0</v>
      </c>
      <c r="H414" s="364">
        <f t="shared" si="147"/>
        <v>0</v>
      </c>
      <c r="I414" s="93">
        <f>SUM('1:2'!I414)</f>
        <v>0</v>
      </c>
      <c r="J414" s="31" t="str">
        <f t="array" ref="J414">IF(ISERROR(G414/I414),"",G414/I414)</f>
        <v/>
      </c>
      <c r="K414" s="35" t="str">
        <f t="array" ref="K414">IF(ISERROR(G414/L414),"",G414/L414)</f>
        <v/>
      </c>
      <c r="L414" s="87"/>
      <c r="M414" s="36" t="str">
        <f t="shared" ref="M414:M427" si="166">IF(ISERROR(I414-K414),"",I414-K414)</f>
        <v/>
      </c>
      <c r="N414" s="31">
        <f t="shared" ref="N414:N417" si="167">SUM(O414:U414)</f>
        <v>0</v>
      </c>
      <c r="O414" s="93">
        <f>SUM('1:2'!O414)</f>
        <v>0</v>
      </c>
      <c r="P414" s="93">
        <f>SUM('1:2'!P414)</f>
        <v>0</v>
      </c>
      <c r="Q414" s="93">
        <f>SUM('1:2'!Q414)</f>
        <v>0</v>
      </c>
      <c r="R414" s="93">
        <f>SUM('1:2'!R414)</f>
        <v>0</v>
      </c>
      <c r="S414" s="93">
        <f>SUM('1:2'!S414)</f>
        <v>0</v>
      </c>
      <c r="T414" s="93">
        <f>SUM('1:2'!T414)</f>
        <v>0</v>
      </c>
      <c r="U414" s="93">
        <f>SUM('1:2'!U414)</f>
        <v>0</v>
      </c>
      <c r="V414" s="206">
        <f t="shared" ref="V414:V417" si="168">SUM(X414:AA414)</f>
        <v>0</v>
      </c>
      <c r="W414" s="33" t="str">
        <f t="shared" ref="W414:W417" si="169">IF(ISERROR(V414/G414),"",V414/G414)</f>
        <v/>
      </c>
      <c r="X414" s="93">
        <f>SUM('1:2'!X414)</f>
        <v>0</v>
      </c>
      <c r="Y414" s="93">
        <f>SUM('1:2'!Y414)</f>
        <v>0</v>
      </c>
      <c r="Z414" s="93">
        <f>SUM('1:2'!Z414)</f>
        <v>0</v>
      </c>
      <c r="AA414" s="93">
        <f>SUM('1:2'!AA414)</f>
        <v>0</v>
      </c>
      <c r="AB414" s="73"/>
      <c r="AC414" s="54"/>
      <c r="AD414" s="370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>
      <c r="A415" s="300">
        <v>30100056</v>
      </c>
      <c r="B415" s="63" t="s">
        <v>85</v>
      </c>
      <c r="C415" s="16" t="s">
        <v>74</v>
      </c>
      <c r="D415" s="17">
        <v>5.0599999999999996</v>
      </c>
      <c r="E415" s="17"/>
      <c r="F415" s="6"/>
      <c r="G415" s="93">
        <f>SUM('1:2'!G415)</f>
        <v>0</v>
      </c>
      <c r="H415" s="364">
        <f t="shared" si="147"/>
        <v>0</v>
      </c>
      <c r="I415" s="93">
        <f>SUM('1:2'!I415)</f>
        <v>0</v>
      </c>
      <c r="J415" s="31" t="str">
        <f t="array" ref="J415">IF(ISERROR(G415/I415),"",G415/I415)</f>
        <v/>
      </c>
      <c r="K415" s="35" t="str">
        <f t="array" ref="K415">IF(ISERROR(G415/L415),"",G415/L415)</f>
        <v/>
      </c>
      <c r="L415" s="87"/>
      <c r="M415" s="36" t="str">
        <f t="shared" si="166"/>
        <v/>
      </c>
      <c r="N415" s="31">
        <f t="shared" si="167"/>
        <v>0</v>
      </c>
      <c r="O415" s="93">
        <f>SUM('1:2'!O415)</f>
        <v>0</v>
      </c>
      <c r="P415" s="93">
        <f>SUM('1:2'!P415)</f>
        <v>0</v>
      </c>
      <c r="Q415" s="93">
        <f>SUM('1:2'!Q415)</f>
        <v>0</v>
      </c>
      <c r="R415" s="93">
        <f>SUM('1:2'!R415)</f>
        <v>0</v>
      </c>
      <c r="S415" s="93">
        <f>SUM('1:2'!S415)</f>
        <v>0</v>
      </c>
      <c r="T415" s="93">
        <f>SUM('1:2'!T415)</f>
        <v>0</v>
      </c>
      <c r="U415" s="93">
        <f>SUM('1:2'!U415)</f>
        <v>0</v>
      </c>
      <c r="V415" s="206">
        <f t="shared" si="168"/>
        <v>0</v>
      </c>
      <c r="W415" s="33" t="str">
        <f t="shared" si="169"/>
        <v/>
      </c>
      <c r="X415" s="93">
        <f>SUM('1:2'!X415)</f>
        <v>0</v>
      </c>
      <c r="Y415" s="93">
        <f>SUM('1:2'!Y415)</f>
        <v>0</v>
      </c>
      <c r="Z415" s="93">
        <f>SUM('1:2'!Z415)</f>
        <v>0</v>
      </c>
      <c r="AA415" s="93">
        <f>SUM('1:2'!AA415)</f>
        <v>0</v>
      </c>
      <c r="AB415" s="73"/>
      <c r="AC415" s="54"/>
      <c r="AD415" s="370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>
      <c r="A416" s="300">
        <v>30100057</v>
      </c>
      <c r="B416" s="63" t="s">
        <v>85</v>
      </c>
      <c r="C416" s="16" t="s">
        <v>65</v>
      </c>
      <c r="D416" s="17">
        <v>5.0599999999999996</v>
      </c>
      <c r="E416" s="17"/>
      <c r="F416" s="6"/>
      <c r="G416" s="93">
        <f>SUM('1:2'!G416)</f>
        <v>0</v>
      </c>
      <c r="H416" s="364">
        <f t="shared" si="147"/>
        <v>0</v>
      </c>
      <c r="I416" s="93">
        <f>SUM('1:2'!I416)</f>
        <v>0</v>
      </c>
      <c r="J416" s="31" t="str">
        <f t="array" ref="J416">IF(ISERROR(G416/I416),"",G416/I416)</f>
        <v/>
      </c>
      <c r="K416" s="35" t="str">
        <f t="array" ref="K416">IF(ISERROR(G416/L416),"",G416/L416)</f>
        <v/>
      </c>
      <c r="L416" s="87"/>
      <c r="M416" s="36" t="str">
        <f t="shared" si="166"/>
        <v/>
      </c>
      <c r="N416" s="31">
        <f t="shared" si="167"/>
        <v>0</v>
      </c>
      <c r="O416" s="93">
        <f>SUM('1:2'!O416)</f>
        <v>0</v>
      </c>
      <c r="P416" s="93">
        <f>SUM('1:2'!P416)</f>
        <v>0</v>
      </c>
      <c r="Q416" s="93">
        <f>SUM('1:2'!Q416)</f>
        <v>0</v>
      </c>
      <c r="R416" s="93">
        <f>SUM('1:2'!R416)</f>
        <v>0</v>
      </c>
      <c r="S416" s="93">
        <f>SUM('1:2'!S416)</f>
        <v>0</v>
      </c>
      <c r="T416" s="93">
        <f>SUM('1:2'!T416)</f>
        <v>0</v>
      </c>
      <c r="U416" s="93">
        <f>SUM('1:2'!U416)</f>
        <v>0</v>
      </c>
      <c r="V416" s="206">
        <f t="shared" si="168"/>
        <v>0</v>
      </c>
      <c r="W416" s="33" t="str">
        <f t="shared" si="169"/>
        <v/>
      </c>
      <c r="X416" s="93">
        <f>SUM('1:2'!X416)</f>
        <v>0</v>
      </c>
      <c r="Y416" s="93">
        <f>SUM('1:2'!Y416)</f>
        <v>0</v>
      </c>
      <c r="Z416" s="93">
        <f>SUM('1:2'!Z416)</f>
        <v>0</v>
      </c>
      <c r="AA416" s="93">
        <f>SUM('1:2'!AA416)</f>
        <v>0</v>
      </c>
      <c r="AB416" s="73"/>
      <c r="AC416" s="54"/>
      <c r="AD416" s="370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>
      <c r="A417" s="300">
        <v>30100058</v>
      </c>
      <c r="B417" s="63" t="s">
        <v>85</v>
      </c>
      <c r="C417" s="16" t="s">
        <v>61</v>
      </c>
      <c r="D417" s="17">
        <v>5.0599999999999996</v>
      </c>
      <c r="E417" s="17"/>
      <c r="F417" s="6"/>
      <c r="G417" s="93">
        <f>SUM('1:2'!G417)</f>
        <v>0</v>
      </c>
      <c r="H417" s="364">
        <f t="shared" si="147"/>
        <v>0</v>
      </c>
      <c r="I417" s="93">
        <f>SUM('1:2'!I417)</f>
        <v>0</v>
      </c>
      <c r="J417" s="31" t="str">
        <f t="array" ref="J417">IF(ISERROR(G417/I417),"",G417/I417)</f>
        <v/>
      </c>
      <c r="K417" s="35" t="str">
        <f t="array" ref="K417">IF(ISERROR(G417/L417),"",G417/L417)</f>
        <v/>
      </c>
      <c r="L417" s="87"/>
      <c r="M417" s="36" t="str">
        <f t="shared" si="166"/>
        <v/>
      </c>
      <c r="N417" s="31">
        <f t="shared" si="167"/>
        <v>0</v>
      </c>
      <c r="O417" s="93">
        <f>SUM('1:2'!O417)</f>
        <v>0</v>
      </c>
      <c r="P417" s="93">
        <f>SUM('1:2'!P417)</f>
        <v>0</v>
      </c>
      <c r="Q417" s="93">
        <f>SUM('1:2'!Q417)</f>
        <v>0</v>
      </c>
      <c r="R417" s="93">
        <f>SUM('1:2'!R417)</f>
        <v>0</v>
      </c>
      <c r="S417" s="93">
        <f>SUM('1:2'!S417)</f>
        <v>0</v>
      </c>
      <c r="T417" s="93">
        <f>SUM('1:2'!T417)</f>
        <v>0</v>
      </c>
      <c r="U417" s="93">
        <f>SUM('1:2'!U417)</f>
        <v>0</v>
      </c>
      <c r="V417" s="206">
        <f t="shared" si="168"/>
        <v>0</v>
      </c>
      <c r="W417" s="33" t="str">
        <f t="shared" si="169"/>
        <v/>
      </c>
      <c r="X417" s="93">
        <f>SUM('1:2'!X417)</f>
        <v>0</v>
      </c>
      <c r="Y417" s="93">
        <f>SUM('1:2'!Y417)</f>
        <v>0</v>
      </c>
      <c r="Z417" s="93">
        <f>SUM('1:2'!Z417)</f>
        <v>0</v>
      </c>
      <c r="AA417" s="93">
        <f>SUM('1:2'!AA417)</f>
        <v>0</v>
      </c>
      <c r="AB417" s="73"/>
      <c r="AC417" s="54"/>
      <c r="AD417" s="370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302">
        <v>30600013</v>
      </c>
      <c r="B418" s="197" t="s">
        <v>368</v>
      </c>
      <c r="C418" s="187" t="s">
        <v>374</v>
      </c>
      <c r="D418" s="17"/>
      <c r="E418" s="17"/>
      <c r="F418" s="6"/>
      <c r="G418" s="93">
        <f>SUM('1:2'!G418)</f>
        <v>0</v>
      </c>
      <c r="H418" s="364">
        <f t="shared" si="147"/>
        <v>0</v>
      </c>
      <c r="I418" s="93">
        <f>SUM('1:2'!I418)</f>
        <v>0</v>
      </c>
      <c r="J418" s="31"/>
      <c r="K418" s="35">
        <f t="array" ref="K418">IF(ISERROR(G418/L418),"",G418/L418)</f>
        <v>0</v>
      </c>
      <c r="L418" s="87">
        <v>24</v>
      </c>
      <c r="M418" s="36">
        <f t="shared" si="166"/>
        <v>0</v>
      </c>
      <c r="N418" s="31"/>
      <c r="O418" s="93">
        <f>SUM('1:2'!O418)</f>
        <v>0</v>
      </c>
      <c r="P418" s="93">
        <f>SUM('1:2'!P418)</f>
        <v>0</v>
      </c>
      <c r="Q418" s="93">
        <f>SUM('1:2'!Q418)</f>
        <v>0</v>
      </c>
      <c r="R418" s="93">
        <f>SUM('1:2'!R418)</f>
        <v>0</v>
      </c>
      <c r="S418" s="93">
        <f>SUM('1:2'!S418)</f>
        <v>0</v>
      </c>
      <c r="T418" s="93">
        <f>SUM('1:2'!T418)</f>
        <v>0</v>
      </c>
      <c r="U418" s="93">
        <f>SUM('1:2'!U418)</f>
        <v>0</v>
      </c>
      <c r="V418" s="206"/>
      <c r="W418" s="33"/>
      <c r="X418" s="93">
        <f>SUM('1:2'!X418)</f>
        <v>0</v>
      </c>
      <c r="Y418" s="93">
        <f>SUM('1:2'!Y418)</f>
        <v>0</v>
      </c>
      <c r="Z418" s="93">
        <f>SUM('1:2'!Z418)</f>
        <v>0</v>
      </c>
      <c r="AA418" s="93">
        <f>SUM('1:2'!AA418)</f>
        <v>0</v>
      </c>
      <c r="AB418" s="73"/>
      <c r="AC418" s="54"/>
      <c r="AD418" s="370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302">
        <v>30600014</v>
      </c>
      <c r="B419" s="197" t="s">
        <v>368</v>
      </c>
      <c r="C419" s="187" t="s">
        <v>369</v>
      </c>
      <c r="D419" s="17"/>
      <c r="E419" s="17"/>
      <c r="F419" s="6"/>
      <c r="G419" s="93">
        <f>SUM('1:2'!G419)</f>
        <v>0</v>
      </c>
      <c r="H419" s="364">
        <f t="shared" si="147"/>
        <v>0</v>
      </c>
      <c r="I419" s="93">
        <f>SUM('1:2'!I419)</f>
        <v>0</v>
      </c>
      <c r="J419" s="31"/>
      <c r="K419" s="35">
        <f t="array" ref="K419">IF(ISERROR(G419/L419),"",G419/L419)</f>
        <v>0</v>
      </c>
      <c r="L419" s="87">
        <v>24</v>
      </c>
      <c r="M419" s="36">
        <f t="shared" si="166"/>
        <v>0</v>
      </c>
      <c r="N419" s="31"/>
      <c r="O419" s="93">
        <f>SUM('1:2'!O419)</f>
        <v>0</v>
      </c>
      <c r="P419" s="93">
        <f>SUM('1:2'!P419)</f>
        <v>0</v>
      </c>
      <c r="Q419" s="93">
        <f>SUM('1:2'!Q419)</f>
        <v>0</v>
      </c>
      <c r="R419" s="93">
        <f>SUM('1:2'!R419)</f>
        <v>0</v>
      </c>
      <c r="S419" s="93">
        <f>SUM('1:2'!S419)</f>
        <v>0</v>
      </c>
      <c r="T419" s="93">
        <f>SUM('1:2'!T419)</f>
        <v>0</v>
      </c>
      <c r="U419" s="93">
        <f>SUM('1:2'!U419)</f>
        <v>0</v>
      </c>
      <c r="V419" s="206"/>
      <c r="W419" s="33"/>
      <c r="X419" s="93">
        <f>SUM('1:2'!X419)</f>
        <v>0</v>
      </c>
      <c r="Y419" s="93">
        <f>SUM('1:2'!Y419)</f>
        <v>0</v>
      </c>
      <c r="Z419" s="93">
        <f>SUM('1:2'!Z419)</f>
        <v>0</v>
      </c>
      <c r="AA419" s="93">
        <f>SUM('1:2'!AA419)</f>
        <v>0</v>
      </c>
      <c r="AB419" s="73"/>
      <c r="AC419" s="54"/>
      <c r="AD419" s="370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302">
        <v>30600012</v>
      </c>
      <c r="B420" s="197" t="s">
        <v>368</v>
      </c>
      <c r="C420" s="187" t="s">
        <v>370</v>
      </c>
      <c r="D420" s="17"/>
      <c r="E420" s="17"/>
      <c r="F420" s="6"/>
      <c r="G420" s="93">
        <f>SUM('1:2'!G420)</f>
        <v>0</v>
      </c>
      <c r="H420" s="364">
        <f t="shared" si="147"/>
        <v>0</v>
      </c>
      <c r="I420" s="93">
        <f>SUM('1:2'!I420)</f>
        <v>0</v>
      </c>
      <c r="J420" s="31"/>
      <c r="K420" s="35">
        <f t="array" ref="K420">IF(ISERROR(G420/L420),"",G420/L420)</f>
        <v>0</v>
      </c>
      <c r="L420" s="87">
        <v>24</v>
      </c>
      <c r="M420" s="36">
        <f t="shared" si="166"/>
        <v>0</v>
      </c>
      <c r="N420" s="31"/>
      <c r="O420" s="93">
        <f>SUM('1:2'!O420)</f>
        <v>0</v>
      </c>
      <c r="P420" s="93">
        <f>SUM('1:2'!P420)</f>
        <v>0</v>
      </c>
      <c r="Q420" s="93">
        <f>SUM('1:2'!Q420)</f>
        <v>0</v>
      </c>
      <c r="R420" s="93">
        <f>SUM('1:2'!R420)</f>
        <v>0</v>
      </c>
      <c r="S420" s="93">
        <f>SUM('1:2'!S420)</f>
        <v>0</v>
      </c>
      <c r="T420" s="93">
        <f>SUM('1:2'!T420)</f>
        <v>0</v>
      </c>
      <c r="U420" s="93">
        <f>SUM('1:2'!U420)</f>
        <v>0</v>
      </c>
      <c r="V420" s="206"/>
      <c r="W420" s="33"/>
      <c r="X420" s="93">
        <f>SUM('1:2'!X420)</f>
        <v>0</v>
      </c>
      <c r="Y420" s="93">
        <f>SUM('1:2'!Y420)</f>
        <v>0</v>
      </c>
      <c r="Z420" s="93">
        <f>SUM('1:2'!Z420)</f>
        <v>0</v>
      </c>
      <c r="AA420" s="93">
        <f>SUM('1:2'!AA420)</f>
        <v>0</v>
      </c>
      <c r="AB420" s="73"/>
      <c r="AC420" s="54"/>
      <c r="AD420" s="370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302">
        <v>30600011</v>
      </c>
      <c r="B421" s="197" t="s">
        <v>368</v>
      </c>
      <c r="C421" s="187" t="s">
        <v>371</v>
      </c>
      <c r="D421" s="17"/>
      <c r="E421" s="17"/>
      <c r="F421" s="6"/>
      <c r="G421" s="93">
        <f>SUM('1:2'!G421)</f>
        <v>0</v>
      </c>
      <c r="H421" s="364">
        <f t="shared" si="147"/>
        <v>0</v>
      </c>
      <c r="I421" s="93">
        <f>SUM('1:2'!I421)</f>
        <v>0</v>
      </c>
      <c r="J421" s="31"/>
      <c r="K421" s="35">
        <f t="array" ref="K421">IF(ISERROR(G421/L421),"",G421/L421)</f>
        <v>0</v>
      </c>
      <c r="L421" s="87">
        <v>24</v>
      </c>
      <c r="M421" s="36">
        <f t="shared" si="166"/>
        <v>0</v>
      </c>
      <c r="N421" s="31"/>
      <c r="O421" s="93">
        <f>SUM('1:2'!O421)</f>
        <v>0</v>
      </c>
      <c r="P421" s="93">
        <f>SUM('1:2'!P421)</f>
        <v>0</v>
      </c>
      <c r="Q421" s="93">
        <f>SUM('1:2'!Q421)</f>
        <v>0</v>
      </c>
      <c r="R421" s="93">
        <f>SUM('1:2'!R421)</f>
        <v>0</v>
      </c>
      <c r="S421" s="93">
        <f>SUM('1:2'!S421)</f>
        <v>0</v>
      </c>
      <c r="T421" s="93">
        <f>SUM('1:2'!T421)</f>
        <v>0</v>
      </c>
      <c r="U421" s="93">
        <f>SUM('1:2'!U421)</f>
        <v>0</v>
      </c>
      <c r="V421" s="206"/>
      <c r="W421" s="33"/>
      <c r="X421" s="93">
        <f>SUM('1:2'!X421)</f>
        <v>0</v>
      </c>
      <c r="Y421" s="93">
        <f>SUM('1:2'!Y421)</f>
        <v>0</v>
      </c>
      <c r="Z421" s="93">
        <f>SUM('1:2'!Z421)</f>
        <v>0</v>
      </c>
      <c r="AA421" s="93">
        <f>SUM('1:2'!AA421)</f>
        <v>0</v>
      </c>
      <c r="AB421" s="73"/>
      <c r="AC421" s="54"/>
      <c r="AD421" s="370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 ht="15" customHeight="1">
      <c r="A422" s="302">
        <v>30300002</v>
      </c>
      <c r="B422" s="197" t="s">
        <v>407</v>
      </c>
      <c r="C422" s="187" t="s">
        <v>408</v>
      </c>
      <c r="D422" s="17"/>
      <c r="E422" s="17"/>
      <c r="F422" s="6"/>
      <c r="G422" s="93">
        <f>SUM('1:2'!G422)</f>
        <v>0</v>
      </c>
      <c r="H422" s="364">
        <f t="shared" si="147"/>
        <v>0</v>
      </c>
      <c r="I422" s="93">
        <f>SUM('1:2'!I422)</f>
        <v>0</v>
      </c>
      <c r="J422" s="31"/>
      <c r="K422" s="35">
        <f t="array" ref="K422">IF(ISERROR(G422/L422),"",G422/L422)</f>
        <v>0</v>
      </c>
      <c r="L422" s="87">
        <v>4</v>
      </c>
      <c r="M422" s="36">
        <f t="shared" si="166"/>
        <v>0</v>
      </c>
      <c r="N422" s="31"/>
      <c r="O422" s="93"/>
      <c r="P422" s="93"/>
      <c r="Q422" s="93"/>
      <c r="R422" s="93"/>
      <c r="S422" s="93"/>
      <c r="T422" s="93"/>
      <c r="U422" s="93"/>
      <c r="V422" s="206"/>
      <c r="W422" s="33"/>
      <c r="X422" s="93"/>
      <c r="Y422" s="93"/>
      <c r="Z422" s="93"/>
      <c r="AA422" s="93"/>
      <c r="AB422" s="73"/>
      <c r="AC422" s="54"/>
      <c r="AD422" s="370"/>
      <c r="AE422" s="54"/>
      <c r="AF422" s="54"/>
      <c r="AG422" s="54"/>
      <c r="AH422" s="5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 ht="15" customHeight="1">
      <c r="A423" s="302">
        <v>30300001</v>
      </c>
      <c r="B423" s="197" t="s">
        <v>407</v>
      </c>
      <c r="C423" s="187" t="s">
        <v>409</v>
      </c>
      <c r="D423" s="17"/>
      <c r="E423" s="17"/>
      <c r="F423" s="6"/>
      <c r="G423" s="93">
        <f>SUM('1:2'!G423)</f>
        <v>0</v>
      </c>
      <c r="H423" s="364">
        <f t="shared" si="147"/>
        <v>0</v>
      </c>
      <c r="I423" s="93">
        <f>SUM('1:2'!I423)</f>
        <v>0</v>
      </c>
      <c r="J423" s="31"/>
      <c r="K423" s="35">
        <f t="array" ref="K423">IF(ISERROR(G423/L423),"",G423/L423)</f>
        <v>0</v>
      </c>
      <c r="L423" s="87">
        <v>4</v>
      </c>
      <c r="M423" s="36">
        <f t="shared" si="166"/>
        <v>0</v>
      </c>
      <c r="N423" s="31"/>
      <c r="O423" s="93"/>
      <c r="P423" s="93"/>
      <c r="Q423" s="93"/>
      <c r="R423" s="93"/>
      <c r="S423" s="93"/>
      <c r="T423" s="93"/>
      <c r="U423" s="93"/>
      <c r="V423" s="206"/>
      <c r="W423" s="33"/>
      <c r="X423" s="93"/>
      <c r="Y423" s="93"/>
      <c r="Z423" s="93"/>
      <c r="AA423" s="93"/>
      <c r="AB423" s="73"/>
      <c r="AC423" s="54"/>
      <c r="AD423" s="370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 ht="15" customHeight="1">
      <c r="A424" s="302">
        <v>30300003</v>
      </c>
      <c r="B424" s="197" t="s">
        <v>407</v>
      </c>
      <c r="C424" s="187" t="s">
        <v>410</v>
      </c>
      <c r="D424" s="17"/>
      <c r="E424" s="17"/>
      <c r="F424" s="6"/>
      <c r="G424" s="93">
        <f>SUM('1:2'!G424)</f>
        <v>0</v>
      </c>
      <c r="H424" s="364">
        <f t="shared" si="147"/>
        <v>0</v>
      </c>
      <c r="I424" s="93">
        <f>SUM('1:2'!I424)</f>
        <v>0</v>
      </c>
      <c r="J424" s="31"/>
      <c r="K424" s="35">
        <f t="array" ref="K424">IF(ISERROR(G424/L424),"",G424/L424)</f>
        <v>0</v>
      </c>
      <c r="L424" s="87">
        <v>4</v>
      </c>
      <c r="M424" s="36">
        <f t="shared" si="166"/>
        <v>0</v>
      </c>
      <c r="N424" s="31"/>
      <c r="O424" s="93"/>
      <c r="P424" s="93"/>
      <c r="Q424" s="93"/>
      <c r="R424" s="93"/>
      <c r="S424" s="93"/>
      <c r="T424" s="93"/>
      <c r="U424" s="93"/>
      <c r="V424" s="206"/>
      <c r="W424" s="33"/>
      <c r="X424" s="93"/>
      <c r="Y424" s="93"/>
      <c r="Z424" s="93"/>
      <c r="AA424" s="93"/>
      <c r="AB424" s="73"/>
      <c r="AC424" s="54"/>
      <c r="AD424" s="370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 ht="15" customHeight="1">
      <c r="A425" s="302">
        <v>30300005</v>
      </c>
      <c r="B425" s="63" t="s">
        <v>362</v>
      </c>
      <c r="C425" s="16" t="s">
        <v>337</v>
      </c>
      <c r="D425" s="17"/>
      <c r="E425" s="17"/>
      <c r="F425" s="6"/>
      <c r="G425" s="93">
        <f>SUM('1:2'!G425)</f>
        <v>0</v>
      </c>
      <c r="H425" s="364">
        <f t="shared" si="147"/>
        <v>0</v>
      </c>
      <c r="I425" s="93">
        <f>SUM('1:2'!I425)</f>
        <v>0</v>
      </c>
      <c r="J425" s="31"/>
      <c r="K425" s="35">
        <f t="array" ref="K425">IF(ISERROR(G425/L425),"",G425/L425)</f>
        <v>0</v>
      </c>
      <c r="L425" s="87">
        <v>4</v>
      </c>
      <c r="M425" s="36">
        <f t="shared" si="166"/>
        <v>0</v>
      </c>
      <c r="N425" s="31"/>
      <c r="O425" s="93">
        <f>SUM('1:2'!O425)</f>
        <v>0</v>
      </c>
      <c r="P425" s="93">
        <f>SUM('1:2'!P425)</f>
        <v>0</v>
      </c>
      <c r="Q425" s="93">
        <f>SUM('1:2'!Q425)</f>
        <v>0</v>
      </c>
      <c r="R425" s="93">
        <f>SUM('1:2'!R425)</f>
        <v>0</v>
      </c>
      <c r="S425" s="93">
        <f>SUM('1:2'!S425)</f>
        <v>0</v>
      </c>
      <c r="T425" s="93">
        <f>SUM('1:2'!T425)</f>
        <v>0</v>
      </c>
      <c r="U425" s="93">
        <f>SUM('1:2'!U425)</f>
        <v>0</v>
      </c>
      <c r="V425" s="206"/>
      <c r="W425" s="33"/>
      <c r="X425" s="93">
        <f>SUM('1:2'!X425)</f>
        <v>0</v>
      </c>
      <c r="Y425" s="93">
        <f>SUM('1:2'!Y425)</f>
        <v>0</v>
      </c>
      <c r="Z425" s="93">
        <f>SUM('1:2'!Z425)</f>
        <v>0</v>
      </c>
      <c r="AA425" s="93">
        <f>SUM('1:2'!AA425)</f>
        <v>0</v>
      </c>
      <c r="AB425" s="73"/>
      <c r="AC425" s="54"/>
      <c r="AD425" s="370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 ht="15" customHeight="1">
      <c r="A426" s="302">
        <v>30300004</v>
      </c>
      <c r="B426" s="63" t="s">
        <v>362</v>
      </c>
      <c r="C426" s="16" t="s">
        <v>339</v>
      </c>
      <c r="D426" s="17"/>
      <c r="E426" s="17"/>
      <c r="F426" s="6"/>
      <c r="G426" s="93">
        <f>SUM('1:2'!G426)</f>
        <v>0</v>
      </c>
      <c r="H426" s="364">
        <f t="shared" si="147"/>
        <v>0</v>
      </c>
      <c r="I426" s="93">
        <f>SUM('1:2'!I426)</f>
        <v>0</v>
      </c>
      <c r="J426" s="31"/>
      <c r="K426" s="35">
        <f t="array" ref="K426">IF(ISERROR(G426/L426),"",G426/L426)</f>
        <v>0</v>
      </c>
      <c r="L426" s="87">
        <v>4</v>
      </c>
      <c r="M426" s="36">
        <f t="shared" si="166"/>
        <v>0</v>
      </c>
      <c r="N426" s="31"/>
      <c r="O426" s="93">
        <f>SUM('1:2'!O426)</f>
        <v>0</v>
      </c>
      <c r="P426" s="93">
        <f>SUM('1:2'!P426)</f>
        <v>0</v>
      </c>
      <c r="Q426" s="93">
        <f>SUM('1:2'!Q426)</f>
        <v>0</v>
      </c>
      <c r="R426" s="93">
        <f>SUM('1:2'!R426)</f>
        <v>0</v>
      </c>
      <c r="S426" s="93">
        <f>SUM('1:2'!S426)</f>
        <v>0</v>
      </c>
      <c r="T426" s="93">
        <f>SUM('1:2'!T426)</f>
        <v>0</v>
      </c>
      <c r="U426" s="93">
        <f>SUM('1:2'!U426)</f>
        <v>0</v>
      </c>
      <c r="V426" s="206"/>
      <c r="W426" s="33"/>
      <c r="X426" s="93">
        <f>SUM('1:2'!X426)</f>
        <v>0</v>
      </c>
      <c r="Y426" s="93">
        <f>SUM('1:2'!Y426)</f>
        <v>0</v>
      </c>
      <c r="Z426" s="93">
        <f>SUM('1:2'!Z426)</f>
        <v>0</v>
      </c>
      <c r="AA426" s="93">
        <f>SUM('1:2'!AA426)</f>
        <v>0</v>
      </c>
      <c r="AB426" s="73"/>
      <c r="AC426" s="54"/>
      <c r="AD426" s="370"/>
      <c r="AE426" s="54"/>
      <c r="AF426" s="54"/>
      <c r="AG426" s="54"/>
      <c r="AH426" s="5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 ht="15" customHeight="1">
      <c r="A427" s="302">
        <v>30300006</v>
      </c>
      <c r="B427" s="63" t="s">
        <v>362</v>
      </c>
      <c r="C427" s="16" t="s">
        <v>341</v>
      </c>
      <c r="D427" s="17"/>
      <c r="E427" s="17"/>
      <c r="F427" s="6"/>
      <c r="G427" s="93">
        <f>SUM('1:2'!G427)</f>
        <v>0</v>
      </c>
      <c r="H427" s="364">
        <f t="shared" si="147"/>
        <v>0</v>
      </c>
      <c r="I427" s="93">
        <f>SUM('1:2'!I427)</f>
        <v>0</v>
      </c>
      <c r="J427" s="31"/>
      <c r="K427" s="35">
        <f t="array" ref="K427">IF(ISERROR(G427/L427),"",G427/L427)</f>
        <v>0</v>
      </c>
      <c r="L427" s="87">
        <v>4</v>
      </c>
      <c r="M427" s="36">
        <f t="shared" si="166"/>
        <v>0</v>
      </c>
      <c r="N427" s="31"/>
      <c r="O427" s="93">
        <f>SUM('1:2'!O427)</f>
        <v>0</v>
      </c>
      <c r="P427" s="93">
        <f>SUM('1:2'!P427)</f>
        <v>0</v>
      </c>
      <c r="Q427" s="93">
        <f>SUM('1:2'!Q427)</f>
        <v>0</v>
      </c>
      <c r="R427" s="93">
        <f>SUM('1:2'!R427)</f>
        <v>0</v>
      </c>
      <c r="S427" s="93">
        <f>SUM('1:2'!S427)</f>
        <v>0</v>
      </c>
      <c r="T427" s="93">
        <f>SUM('1:2'!T427)</f>
        <v>0</v>
      </c>
      <c r="U427" s="93">
        <f>SUM('1:2'!U427)</f>
        <v>0</v>
      </c>
      <c r="V427" s="206"/>
      <c r="W427" s="33"/>
      <c r="X427" s="93">
        <f>SUM('1:2'!X427)</f>
        <v>0</v>
      </c>
      <c r="Y427" s="93">
        <f>SUM('1:2'!Y427)</f>
        <v>0</v>
      </c>
      <c r="Z427" s="93">
        <f>SUM('1:2'!Z427)</f>
        <v>0</v>
      </c>
      <c r="AA427" s="93">
        <f>SUM('1:2'!AA427)</f>
        <v>0</v>
      </c>
      <c r="AB427" s="73"/>
      <c r="AC427" s="54"/>
      <c r="AD427" s="370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>
      <c r="A428" s="699" t="s">
        <v>86</v>
      </c>
      <c r="B428" s="699"/>
      <c r="C428" s="359" t="s">
        <v>71</v>
      </c>
      <c r="D428" s="20"/>
      <c r="E428" s="20"/>
      <c r="F428" s="32"/>
      <c r="G428" s="94">
        <f>SUM(G371:G427)</f>
        <v>0</v>
      </c>
      <c r="H428" s="30">
        <f>SUM(H371:H427)</f>
        <v>0</v>
      </c>
      <c r="I428" s="30">
        <f>SUM(I371:I427)</f>
        <v>0</v>
      </c>
      <c r="J428" s="31" t="str">
        <f t="array" ref="J428">IF(ISERROR(G428/I428),"",G428/I428)</f>
        <v/>
      </c>
      <c r="K428" s="30">
        <f>SUM(K371:K427)</f>
        <v>0</v>
      </c>
      <c r="L428" s="87"/>
      <c r="M428" s="89">
        <f t="shared" ref="M428:V428" si="170">SUM(M371:M427)</f>
        <v>0</v>
      </c>
      <c r="N428" s="30">
        <f t="shared" si="170"/>
        <v>0</v>
      </c>
      <c r="O428" s="91">
        <f t="shared" si="170"/>
        <v>0</v>
      </c>
      <c r="P428" s="91">
        <f t="shared" si="170"/>
        <v>0</v>
      </c>
      <c r="Q428" s="91">
        <f t="shared" si="170"/>
        <v>0</v>
      </c>
      <c r="R428" s="91">
        <f t="shared" si="170"/>
        <v>0</v>
      </c>
      <c r="S428" s="92">
        <f t="shared" si="170"/>
        <v>0</v>
      </c>
      <c r="T428" s="91">
        <f t="shared" si="170"/>
        <v>0</v>
      </c>
      <c r="U428" s="91">
        <f t="shared" si="170"/>
        <v>0</v>
      </c>
      <c r="V428" s="206">
        <f t="shared" si="170"/>
        <v>0</v>
      </c>
      <c r="W428" s="33" t="str">
        <f t="shared" ref="W428:W435" si="171">IF(ISERROR(V428/G428),"",V428/G428)</f>
        <v/>
      </c>
      <c r="X428" s="92">
        <f>SUM(X371:X427)</f>
        <v>0</v>
      </c>
      <c r="Y428" s="92">
        <f>SUM(Y371:Y427)</f>
        <v>0</v>
      </c>
      <c r="Z428" s="92">
        <f>SUM(Z371:Z427)</f>
        <v>0</v>
      </c>
      <c r="AA428" s="92">
        <f>SUM(AA371:AA427)</f>
        <v>0</v>
      </c>
      <c r="AB428" s="75"/>
      <c r="AC428" s="70"/>
      <c r="AD428" s="370"/>
      <c r="AE428" s="74"/>
      <c r="AF428" s="74"/>
      <c r="AG428" s="74"/>
      <c r="AH428" s="7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>
      <c r="A429" s="299">
        <v>30400012</v>
      </c>
      <c r="B429" s="61" t="s">
        <v>87</v>
      </c>
      <c r="C429" s="16" t="s">
        <v>53</v>
      </c>
      <c r="D429" s="17">
        <v>5.03</v>
      </c>
      <c r="E429" s="17"/>
      <c r="F429" s="6"/>
      <c r="G429" s="93">
        <f>SUM('1:2'!G429)</f>
        <v>841</v>
      </c>
      <c r="H429" s="364">
        <f>D429*G429</f>
        <v>4230.2300000000005</v>
      </c>
      <c r="I429" s="93">
        <f>SUM('1:2'!I429)</f>
        <v>65</v>
      </c>
      <c r="J429" s="31">
        <f t="array" ref="J429">IF(ISERROR(G429/I429),"",G429/I429)</f>
        <v>12.938461538461539</v>
      </c>
      <c r="K429" s="35">
        <f t="array" ref="K429">IF(ISERROR(G429/L429),"",G429/L429)</f>
        <v>95.568181818181813</v>
      </c>
      <c r="L429" s="87">
        <v>8.8000000000000007</v>
      </c>
      <c r="M429" s="36">
        <f t="shared" ref="M429:M436" si="172">IF(ISERROR(I429-K429),"",I429-K429)</f>
        <v>-30.568181818181813</v>
      </c>
      <c r="N429" s="31">
        <f t="shared" ref="N429:N436" si="173">SUM(O429:U429)</f>
        <v>0</v>
      </c>
      <c r="O429" s="93">
        <f>SUM('1:2'!O429)</f>
        <v>0</v>
      </c>
      <c r="P429" s="93">
        <f>SUM('1:2'!P429)</f>
        <v>0</v>
      </c>
      <c r="Q429" s="93">
        <f>SUM('1:2'!Q429)</f>
        <v>0</v>
      </c>
      <c r="R429" s="93">
        <f>SUM('1:2'!R429)</f>
        <v>0</v>
      </c>
      <c r="S429" s="93">
        <f>SUM('1:2'!S429)</f>
        <v>0</v>
      </c>
      <c r="T429" s="93">
        <f>SUM('1:2'!T429)</f>
        <v>0</v>
      </c>
      <c r="U429" s="93">
        <f>SUM('1:2'!U429)</f>
        <v>0</v>
      </c>
      <c r="V429" s="206">
        <f t="shared" ref="V429:V435" si="174">SUM(X429:AA429)</f>
        <v>0</v>
      </c>
      <c r="W429" s="33">
        <f t="shared" si="171"/>
        <v>0</v>
      </c>
      <c r="X429" s="93">
        <f>SUM('1:2'!X429)</f>
        <v>0</v>
      </c>
      <c r="Y429" s="93">
        <f>SUM('1:2'!Y429)</f>
        <v>0</v>
      </c>
      <c r="Z429" s="93">
        <f>SUM('1:2'!Z429)</f>
        <v>0</v>
      </c>
      <c r="AA429" s="93">
        <f>SUM('1:2'!AA429)</f>
        <v>0</v>
      </c>
      <c r="AB429" s="73"/>
      <c r="AC429" s="54"/>
      <c r="AD429" s="370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>
      <c r="A430" s="299">
        <v>30400010</v>
      </c>
      <c r="B430" s="61" t="s">
        <v>87</v>
      </c>
      <c r="C430" s="16" t="s">
        <v>60</v>
      </c>
      <c r="D430" s="17">
        <v>5.03</v>
      </c>
      <c r="E430" s="17"/>
      <c r="F430" s="6"/>
      <c r="G430" s="93">
        <f>SUM('1:2'!G430)</f>
        <v>0</v>
      </c>
      <c r="H430" s="364">
        <f t="shared" ref="H430:H462" si="175">D430*G430</f>
        <v>0</v>
      </c>
      <c r="I430" s="93">
        <f>SUM('1:2'!I430)</f>
        <v>0</v>
      </c>
      <c r="J430" s="31" t="str">
        <f t="array" ref="J430">IF(ISERROR(G430/I430),"",G430/I430)</f>
        <v/>
      </c>
      <c r="K430" s="35">
        <f t="array" ref="K430">IF(ISERROR(G430/L430),"",G430/L430)</f>
        <v>0</v>
      </c>
      <c r="L430" s="87">
        <v>8.8000000000000007</v>
      </c>
      <c r="M430" s="36">
        <f t="shared" si="172"/>
        <v>0</v>
      </c>
      <c r="N430" s="31">
        <f t="shared" si="173"/>
        <v>0</v>
      </c>
      <c r="O430" s="93">
        <f>SUM('1:2'!O430)</f>
        <v>0</v>
      </c>
      <c r="P430" s="93">
        <f>SUM('1:2'!P430)</f>
        <v>0</v>
      </c>
      <c r="Q430" s="93">
        <f>SUM('1:2'!Q430)</f>
        <v>0</v>
      </c>
      <c r="R430" s="93">
        <f>SUM('1:2'!R430)</f>
        <v>0</v>
      </c>
      <c r="S430" s="93">
        <f>SUM('1:2'!S430)</f>
        <v>0</v>
      </c>
      <c r="T430" s="93">
        <f>SUM('1:2'!T430)</f>
        <v>0</v>
      </c>
      <c r="U430" s="93">
        <f>SUM('1:2'!U430)</f>
        <v>0</v>
      </c>
      <c r="V430" s="206">
        <f t="shared" si="174"/>
        <v>0</v>
      </c>
      <c r="W430" s="33" t="str">
        <f t="shared" si="171"/>
        <v/>
      </c>
      <c r="X430" s="93">
        <f>SUM('1:2'!X430)</f>
        <v>0</v>
      </c>
      <c r="Y430" s="93">
        <f>SUM('1:2'!Y430)</f>
        <v>0</v>
      </c>
      <c r="Z430" s="93">
        <f>SUM('1:2'!Z430)</f>
        <v>0</v>
      </c>
      <c r="AA430" s="93">
        <f>SUM('1:2'!AA430)</f>
        <v>0</v>
      </c>
      <c r="AB430" s="73"/>
      <c r="AC430" s="54"/>
      <c r="AD430" s="370"/>
      <c r="AE430" s="54"/>
      <c r="AF430" s="54"/>
      <c r="AG430" s="54"/>
      <c r="AH430" s="54"/>
      <c r="AI430" s="57"/>
      <c r="AJ430" s="57"/>
      <c r="AK430" s="57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</row>
    <row r="431" spans="1:53">
      <c r="A431" s="299">
        <v>30400011</v>
      </c>
      <c r="B431" s="61" t="s">
        <v>87</v>
      </c>
      <c r="C431" s="16" t="s">
        <v>74</v>
      </c>
      <c r="D431" s="17">
        <v>5.03</v>
      </c>
      <c r="E431" s="17"/>
      <c r="F431" s="6"/>
      <c r="G431" s="93">
        <f>SUM('1:2'!G431)</f>
        <v>0</v>
      </c>
      <c r="H431" s="364">
        <f t="shared" si="175"/>
        <v>0</v>
      </c>
      <c r="I431" s="93">
        <f>SUM('1:2'!I431)</f>
        <v>0</v>
      </c>
      <c r="J431" s="31" t="str">
        <f t="array" ref="J431">IF(ISERROR(G431/I431),"",G431/I431)</f>
        <v/>
      </c>
      <c r="K431" s="35">
        <f t="array" ref="K431">IF(ISERROR(G431/L431),"",G431/L431)</f>
        <v>0</v>
      </c>
      <c r="L431" s="87">
        <v>8.8000000000000007</v>
      </c>
      <c r="M431" s="36">
        <f t="shared" si="172"/>
        <v>0</v>
      </c>
      <c r="N431" s="31">
        <f t="shared" si="173"/>
        <v>0</v>
      </c>
      <c r="O431" s="93">
        <f>SUM('1:2'!O431)</f>
        <v>0</v>
      </c>
      <c r="P431" s="93">
        <f>SUM('1:2'!P431)</f>
        <v>0</v>
      </c>
      <c r="Q431" s="93">
        <f>SUM('1:2'!Q431)</f>
        <v>0</v>
      </c>
      <c r="R431" s="93">
        <f>SUM('1:2'!R431)</f>
        <v>0</v>
      </c>
      <c r="S431" s="93">
        <f>SUM('1:2'!S431)</f>
        <v>0</v>
      </c>
      <c r="T431" s="93">
        <f>SUM('1:2'!T431)</f>
        <v>0</v>
      </c>
      <c r="U431" s="93">
        <f>SUM('1:2'!U431)</f>
        <v>0</v>
      </c>
      <c r="V431" s="206">
        <f t="shared" si="174"/>
        <v>0</v>
      </c>
      <c r="W431" s="33" t="str">
        <f t="shared" si="171"/>
        <v/>
      </c>
      <c r="X431" s="93">
        <f>SUM('1:2'!X431)</f>
        <v>0</v>
      </c>
      <c r="Y431" s="93">
        <f>SUM('1:2'!Y431)</f>
        <v>0</v>
      </c>
      <c r="Z431" s="93">
        <f>SUM('1:2'!Z431)</f>
        <v>0</v>
      </c>
      <c r="AA431" s="93">
        <f>SUM('1:2'!AA431)</f>
        <v>0</v>
      </c>
      <c r="AB431" s="73"/>
      <c r="AC431" s="54"/>
      <c r="AD431" s="370"/>
      <c r="AE431" s="54"/>
      <c r="AF431" s="54"/>
      <c r="AG431" s="54"/>
      <c r="AH431" s="54"/>
      <c r="AI431" s="57"/>
      <c r="AJ431" s="57"/>
      <c r="AK431" s="57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</row>
    <row r="432" spans="1:53">
      <c r="A432" s="299">
        <v>30400014</v>
      </c>
      <c r="B432" s="215" t="s">
        <v>513</v>
      </c>
      <c r="C432" s="16" t="s">
        <v>53</v>
      </c>
      <c r="D432" s="17">
        <v>5.03</v>
      </c>
      <c r="E432" s="17"/>
      <c r="F432" s="6"/>
      <c r="G432" s="93">
        <f>SUM('1:2'!G432)</f>
        <v>0</v>
      </c>
      <c r="H432" s="364">
        <f t="shared" si="175"/>
        <v>0</v>
      </c>
      <c r="I432" s="93">
        <f>SUM('1:2'!I432)</f>
        <v>0</v>
      </c>
      <c r="J432" s="31" t="str">
        <f t="array" ref="J432">IF(ISERROR(G432/I432),"",G432/I432)</f>
        <v/>
      </c>
      <c r="K432" s="35">
        <f t="array" ref="K432">IF(ISERROR(G432/L432),"",G432/L432)</f>
        <v>0</v>
      </c>
      <c r="L432" s="87">
        <v>9.3000000000000007</v>
      </c>
      <c r="M432" s="36">
        <f t="shared" si="172"/>
        <v>0</v>
      </c>
      <c r="N432" s="31">
        <f t="shared" si="173"/>
        <v>0</v>
      </c>
      <c r="O432" s="93">
        <f>SUM('1:2'!O432)</f>
        <v>0</v>
      </c>
      <c r="P432" s="93">
        <f>SUM('1:2'!P432)</f>
        <v>0</v>
      </c>
      <c r="Q432" s="93">
        <f>SUM('1:2'!Q432)</f>
        <v>0</v>
      </c>
      <c r="R432" s="93">
        <f>SUM('1:2'!R432)</f>
        <v>0</v>
      </c>
      <c r="S432" s="93">
        <f>SUM('1:2'!S432)</f>
        <v>0</v>
      </c>
      <c r="T432" s="93">
        <f>SUM('1:2'!T432)</f>
        <v>0</v>
      </c>
      <c r="U432" s="93">
        <f>SUM('1:2'!U432)</f>
        <v>0</v>
      </c>
      <c r="V432" s="206">
        <f t="shared" si="174"/>
        <v>0</v>
      </c>
      <c r="W432" s="33" t="str">
        <f t="shared" si="171"/>
        <v/>
      </c>
      <c r="X432" s="93">
        <f>SUM('1:2'!X432)</f>
        <v>0</v>
      </c>
      <c r="Y432" s="93">
        <f>SUM('1:2'!Y432)</f>
        <v>0</v>
      </c>
      <c r="Z432" s="93">
        <f>SUM('1:2'!Z432)</f>
        <v>0</v>
      </c>
      <c r="AA432" s="93">
        <f>SUM('1:2'!AA432)</f>
        <v>0</v>
      </c>
      <c r="AB432" s="73"/>
      <c r="AC432" s="54"/>
      <c r="AD432" s="370"/>
      <c r="AE432" s="54"/>
      <c r="AF432" s="54"/>
      <c r="AG432" s="54"/>
      <c r="AH432" s="54"/>
      <c r="AI432" s="57"/>
      <c r="AJ432" s="57"/>
      <c r="AK432" s="57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</row>
    <row r="433" spans="1:53">
      <c r="A433" s="299">
        <v>30400013</v>
      </c>
      <c r="B433" s="215" t="s">
        <v>473</v>
      </c>
      <c r="C433" s="16" t="s">
        <v>72</v>
      </c>
      <c r="D433" s="17">
        <v>5.03</v>
      </c>
      <c r="E433" s="17"/>
      <c r="F433" s="6"/>
      <c r="G433" s="93">
        <f>SUM('1:2'!G433)</f>
        <v>0</v>
      </c>
      <c r="H433" s="364">
        <f t="shared" si="175"/>
        <v>0</v>
      </c>
      <c r="I433" s="93">
        <f>SUM('1:2'!I433)</f>
        <v>0</v>
      </c>
      <c r="J433" s="31" t="str">
        <f t="array" ref="J433">IF(ISERROR(G433/I433),"",G433/I433)</f>
        <v/>
      </c>
      <c r="K433" s="35">
        <f t="array" ref="K433">IF(ISERROR(G433/L433),"",G433/L433)</f>
        <v>0</v>
      </c>
      <c r="L433" s="87">
        <v>9.3000000000000007</v>
      </c>
      <c r="M433" s="36">
        <f t="shared" si="172"/>
        <v>0</v>
      </c>
      <c r="N433" s="31">
        <f t="shared" si="173"/>
        <v>0</v>
      </c>
      <c r="O433" s="93">
        <f>SUM('1:2'!O433)</f>
        <v>0</v>
      </c>
      <c r="P433" s="93">
        <f>SUM('1:2'!P433)</f>
        <v>0</v>
      </c>
      <c r="Q433" s="93">
        <f>SUM('1:2'!Q433)</f>
        <v>0</v>
      </c>
      <c r="R433" s="93">
        <f>SUM('1:2'!R433)</f>
        <v>0</v>
      </c>
      <c r="S433" s="93">
        <f>SUM('1:2'!S433)</f>
        <v>0</v>
      </c>
      <c r="T433" s="93">
        <f>SUM('1:2'!T433)</f>
        <v>0</v>
      </c>
      <c r="U433" s="93">
        <f>SUM('1:2'!U433)</f>
        <v>0</v>
      </c>
      <c r="V433" s="206">
        <f t="shared" si="174"/>
        <v>0</v>
      </c>
      <c r="W433" s="33" t="str">
        <f t="shared" si="171"/>
        <v/>
      </c>
      <c r="X433" s="93">
        <f>SUM('1:2'!X433)</f>
        <v>0</v>
      </c>
      <c r="Y433" s="93">
        <f>SUM('1:2'!Y433)</f>
        <v>0</v>
      </c>
      <c r="Z433" s="93">
        <f>SUM('1:2'!Z433)</f>
        <v>0</v>
      </c>
      <c r="AA433" s="93">
        <f>SUM('1:2'!AA433)</f>
        <v>0</v>
      </c>
      <c r="AB433" s="73"/>
      <c r="AC433" s="54"/>
      <c r="AD433" s="370"/>
      <c r="AE433" s="54"/>
      <c r="AF433" s="54"/>
      <c r="AG433" s="54"/>
      <c r="AH433" s="54"/>
      <c r="AI433" s="57"/>
      <c r="AJ433" s="57"/>
      <c r="AK433" s="57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</row>
    <row r="434" spans="1:53">
      <c r="A434" s="299">
        <v>30400016</v>
      </c>
      <c r="B434" s="215" t="s">
        <v>513</v>
      </c>
      <c r="C434" s="16" t="s">
        <v>60</v>
      </c>
      <c r="D434" s="17">
        <v>5.03</v>
      </c>
      <c r="E434" s="17"/>
      <c r="F434" s="6"/>
      <c r="G434" s="93">
        <f>SUM('1:2'!G434)</f>
        <v>57</v>
      </c>
      <c r="H434" s="364">
        <f t="shared" si="175"/>
        <v>286.71000000000004</v>
      </c>
      <c r="I434" s="93">
        <f>SUM('1:2'!I434)</f>
        <v>31.5</v>
      </c>
      <c r="J434" s="31">
        <f t="array" ref="J434">IF(ISERROR(G434/I434),"",G434/I434)</f>
        <v>1.8095238095238095</v>
      </c>
      <c r="K434" s="35">
        <f t="array" ref="K434">IF(ISERROR(G434/L434),"",G434/L434)</f>
        <v>6.129032258064516</v>
      </c>
      <c r="L434" s="87">
        <v>9.3000000000000007</v>
      </c>
      <c r="M434" s="36">
        <f t="shared" si="172"/>
        <v>25.370967741935484</v>
      </c>
      <c r="N434" s="31">
        <f t="shared" si="173"/>
        <v>0</v>
      </c>
      <c r="O434" s="93">
        <f>SUM('1:2'!O434)</f>
        <v>0</v>
      </c>
      <c r="P434" s="93">
        <f>SUM('1:2'!P434)</f>
        <v>0</v>
      </c>
      <c r="Q434" s="93">
        <f>SUM('1:2'!Q434)</f>
        <v>0</v>
      </c>
      <c r="R434" s="93">
        <f>SUM('1:2'!R434)</f>
        <v>0</v>
      </c>
      <c r="S434" s="93">
        <f>SUM('1:2'!S434)</f>
        <v>0</v>
      </c>
      <c r="T434" s="93">
        <f>SUM('1:2'!T434)</f>
        <v>0</v>
      </c>
      <c r="U434" s="93">
        <f>SUM('1:2'!U434)</f>
        <v>0</v>
      </c>
      <c r="V434" s="206">
        <f t="shared" si="174"/>
        <v>0</v>
      </c>
      <c r="W434" s="33">
        <f t="shared" si="171"/>
        <v>0</v>
      </c>
      <c r="X434" s="93">
        <f>SUM('1:2'!X434)</f>
        <v>0</v>
      </c>
      <c r="Y434" s="93">
        <f>SUM('1:2'!Y434)</f>
        <v>0</v>
      </c>
      <c r="Z434" s="93">
        <f>SUM('1:2'!Z434)</f>
        <v>0</v>
      </c>
      <c r="AA434" s="93">
        <f>SUM('1:2'!AA434)</f>
        <v>0</v>
      </c>
      <c r="AB434" s="73"/>
      <c r="AC434" s="54"/>
      <c r="AD434" s="370"/>
      <c r="AE434" s="54"/>
      <c r="AF434" s="54"/>
      <c r="AG434" s="54"/>
      <c r="AH434" s="54"/>
      <c r="AI434" s="57"/>
      <c r="AJ434" s="57"/>
      <c r="AK434" s="57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</row>
    <row r="435" spans="1:53">
      <c r="A435" s="299">
        <v>30400017</v>
      </c>
      <c r="B435" s="215" t="s">
        <v>513</v>
      </c>
      <c r="C435" s="16" t="s">
        <v>66</v>
      </c>
      <c r="D435" s="17">
        <v>5.03</v>
      </c>
      <c r="E435" s="17"/>
      <c r="F435" s="6"/>
      <c r="G435" s="93">
        <f>SUM('1:2'!G435)</f>
        <v>0</v>
      </c>
      <c r="H435" s="364">
        <f t="shared" si="175"/>
        <v>0</v>
      </c>
      <c r="I435" s="93">
        <f>SUM('1:2'!I435)</f>
        <v>0</v>
      </c>
      <c r="J435" s="31" t="str">
        <f t="array" ref="J435">IF(ISERROR(G435/I435),"",G435/I435)</f>
        <v/>
      </c>
      <c r="K435" s="35">
        <f t="array" ref="K435">IF(ISERROR(G435/L435),"",G435/L435)</f>
        <v>0</v>
      </c>
      <c r="L435" s="87">
        <v>9.3000000000000007</v>
      </c>
      <c r="M435" s="36">
        <f t="shared" si="172"/>
        <v>0</v>
      </c>
      <c r="N435" s="31">
        <f t="shared" si="173"/>
        <v>0</v>
      </c>
      <c r="O435" s="93">
        <f>SUM('1:2'!O435)</f>
        <v>0</v>
      </c>
      <c r="P435" s="93">
        <f>SUM('1:2'!P435)</f>
        <v>0</v>
      </c>
      <c r="Q435" s="93">
        <f>SUM('1:2'!Q435)</f>
        <v>0</v>
      </c>
      <c r="R435" s="93">
        <f>SUM('1:2'!R435)</f>
        <v>0</v>
      </c>
      <c r="S435" s="93">
        <f>SUM('1:2'!S435)</f>
        <v>0</v>
      </c>
      <c r="T435" s="93">
        <f>SUM('1:2'!T435)</f>
        <v>0</v>
      </c>
      <c r="U435" s="93">
        <f>SUM('1:2'!U435)</f>
        <v>0</v>
      </c>
      <c r="V435" s="206">
        <f t="shared" si="174"/>
        <v>0</v>
      </c>
      <c r="W435" s="33" t="str">
        <f t="shared" si="171"/>
        <v/>
      </c>
      <c r="X435" s="93">
        <f>SUM('1:2'!X435)</f>
        <v>0</v>
      </c>
      <c r="Y435" s="93">
        <f>SUM('1:2'!Y435)</f>
        <v>0</v>
      </c>
      <c r="Z435" s="93">
        <f>SUM('1:2'!Z435)</f>
        <v>0</v>
      </c>
      <c r="AA435" s="93">
        <f>SUM('1:2'!AA435)</f>
        <v>0</v>
      </c>
      <c r="AB435" s="73"/>
      <c r="AC435" s="54"/>
      <c r="AD435" s="370"/>
      <c r="AE435" s="54"/>
      <c r="AF435" s="54"/>
      <c r="AG435" s="54"/>
      <c r="AH435" s="54"/>
      <c r="AI435" s="57"/>
      <c r="AJ435" s="57"/>
      <c r="AK435" s="57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</row>
    <row r="436" spans="1:53">
      <c r="A436" s="299">
        <v>30400015</v>
      </c>
      <c r="B436" s="65" t="s">
        <v>512</v>
      </c>
      <c r="C436" s="16" t="s">
        <v>177</v>
      </c>
      <c r="D436" s="17">
        <v>5.03</v>
      </c>
      <c r="E436" s="17"/>
      <c r="F436" s="6"/>
      <c r="G436" s="93">
        <f>SUM('1:2'!G436)</f>
        <v>834</v>
      </c>
      <c r="H436" s="364">
        <f t="shared" si="175"/>
        <v>4195.0200000000004</v>
      </c>
      <c r="I436" s="93">
        <f>SUM('1:2'!I436)</f>
        <v>77</v>
      </c>
      <c r="J436" s="31"/>
      <c r="K436" s="35">
        <f t="array" ref="K436">IF(ISERROR(G436/L436),"",G436/L436)</f>
        <v>89.677419354838705</v>
      </c>
      <c r="L436" s="87">
        <v>9.3000000000000007</v>
      </c>
      <c r="M436" s="36">
        <f t="shared" si="172"/>
        <v>-12.677419354838705</v>
      </c>
      <c r="N436" s="31">
        <f t="shared" si="173"/>
        <v>0</v>
      </c>
      <c r="O436" s="93">
        <f>SUM('1:2'!O436)</f>
        <v>0</v>
      </c>
      <c r="P436" s="93">
        <f>SUM('1:2'!P436)</f>
        <v>0</v>
      </c>
      <c r="Q436" s="93">
        <f>SUM('1:2'!Q436)</f>
        <v>0</v>
      </c>
      <c r="R436" s="93">
        <f>SUM('1:2'!R436)</f>
        <v>0</v>
      </c>
      <c r="S436" s="93">
        <f>SUM('1:2'!S436)</f>
        <v>0</v>
      </c>
      <c r="T436" s="93">
        <f>SUM('1:2'!T436)</f>
        <v>0</v>
      </c>
      <c r="U436" s="93">
        <f>SUM('1:2'!U436)</f>
        <v>0</v>
      </c>
      <c r="V436" s="207"/>
      <c r="W436" s="33"/>
      <c r="X436" s="93">
        <f>SUM('1:2'!X436)</f>
        <v>0</v>
      </c>
      <c r="Y436" s="93">
        <f>SUM('1:2'!Y436)</f>
        <v>0</v>
      </c>
      <c r="Z436" s="93">
        <f>SUM('1:2'!Z436)</f>
        <v>0</v>
      </c>
      <c r="AA436" s="93">
        <f>SUM('1:2'!AA436)</f>
        <v>0</v>
      </c>
      <c r="AD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</row>
    <row r="437" spans="1:53">
      <c r="A437" s="304">
        <v>30600004</v>
      </c>
      <c r="B437" s="65" t="s">
        <v>162</v>
      </c>
      <c r="C437" s="16" t="s">
        <v>53</v>
      </c>
      <c r="D437" s="17">
        <v>5.03</v>
      </c>
      <c r="E437" s="17"/>
      <c r="F437" s="6"/>
      <c r="G437" s="93">
        <f>SUM('1:2'!G437)</f>
        <v>0</v>
      </c>
      <c r="H437" s="364">
        <f t="shared" si="175"/>
        <v>0</v>
      </c>
      <c r="I437" s="93">
        <f>SUM('1:2'!I437)</f>
        <v>0</v>
      </c>
      <c r="J437" s="31" t="str">
        <f t="array" ref="J437">IF(ISERROR(G437/I437),"",G437/I437)</f>
        <v/>
      </c>
      <c r="K437" s="35">
        <f t="array" ref="K437">IF(ISERROR(G437/L437),"",G437/L437)</f>
        <v>0</v>
      </c>
      <c r="L437" s="87">
        <v>8</v>
      </c>
      <c r="M437" s="36">
        <f>IF(ISERROR(I437-K437),"",I437-K437)</f>
        <v>0</v>
      </c>
      <c r="N437" s="31">
        <f>SUM(O437:U437)</f>
        <v>0</v>
      </c>
      <c r="O437" s="93">
        <f>SUM('1:2'!O437)</f>
        <v>0</v>
      </c>
      <c r="P437" s="93">
        <f>SUM('1:2'!P437)</f>
        <v>0</v>
      </c>
      <c r="Q437" s="93">
        <f>SUM('1:2'!Q437)</f>
        <v>0</v>
      </c>
      <c r="R437" s="93">
        <f>SUM('1:2'!R437)</f>
        <v>0</v>
      </c>
      <c r="S437" s="93">
        <f>SUM('1:2'!S437)</f>
        <v>0</v>
      </c>
      <c r="T437" s="93">
        <f>SUM('1:2'!T437)</f>
        <v>0</v>
      </c>
      <c r="U437" s="93">
        <f>SUM('1:2'!U437)</f>
        <v>0</v>
      </c>
      <c r="V437" s="207">
        <f>SUM(X437:AA437)</f>
        <v>0</v>
      </c>
      <c r="W437" s="33" t="str">
        <f>IF(ISERROR(V437/G437),"",V437/G437)</f>
        <v/>
      </c>
      <c r="X437" s="93">
        <f>SUM('1:2'!X437)</f>
        <v>0</v>
      </c>
      <c r="Y437" s="93">
        <f>SUM('1:2'!Y437)</f>
        <v>0</v>
      </c>
      <c r="Z437" s="93">
        <f>SUM('1:2'!Z437)</f>
        <v>0</v>
      </c>
      <c r="AA437" s="93">
        <f>SUM('1:2'!AA437)</f>
        <v>0</v>
      </c>
      <c r="AD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</row>
    <row r="438" spans="1:53">
      <c r="A438" s="304">
        <v>30600001</v>
      </c>
      <c r="B438" s="65" t="s">
        <v>162</v>
      </c>
      <c r="C438" s="16" t="s">
        <v>55</v>
      </c>
      <c r="D438" s="17">
        <v>5.03</v>
      </c>
      <c r="E438" s="17"/>
      <c r="F438" s="6"/>
      <c r="G438" s="93">
        <f>SUM('1:2'!G438)</f>
        <v>0</v>
      </c>
      <c r="H438" s="364">
        <f t="shared" si="175"/>
        <v>0</v>
      </c>
      <c r="I438" s="93">
        <f>SUM('1:2'!I438)</f>
        <v>0</v>
      </c>
      <c r="J438" s="31" t="str">
        <f t="array" ref="J438">IF(ISERROR(G438/I438),"",G438/I438)</f>
        <v/>
      </c>
      <c r="K438" s="35">
        <f t="array" ref="K438">IF(ISERROR(G438/L438),"",G438/L438)</f>
        <v>0</v>
      </c>
      <c r="L438" s="87">
        <v>8</v>
      </c>
      <c r="M438" s="36">
        <f>IF(ISERROR(I438-K438),"",I438-K438)</f>
        <v>0</v>
      </c>
      <c r="N438" s="31">
        <f>SUM(O438:U438)</f>
        <v>0</v>
      </c>
      <c r="O438" s="93">
        <f>SUM('1:2'!O438)</f>
        <v>0</v>
      </c>
      <c r="P438" s="93">
        <f>SUM('1:2'!P438)</f>
        <v>0</v>
      </c>
      <c r="Q438" s="93">
        <f>SUM('1:2'!Q438)</f>
        <v>0</v>
      </c>
      <c r="R438" s="93">
        <f>SUM('1:2'!R438)</f>
        <v>0</v>
      </c>
      <c r="S438" s="93">
        <f>SUM('1:2'!S438)</f>
        <v>0</v>
      </c>
      <c r="T438" s="93">
        <f>SUM('1:2'!T438)</f>
        <v>0</v>
      </c>
      <c r="U438" s="93">
        <f>SUM('1:2'!U438)</f>
        <v>0</v>
      </c>
      <c r="V438" s="207">
        <f>SUM(X438:AA438)</f>
        <v>0</v>
      </c>
      <c r="W438" s="33" t="str">
        <f>IF(ISERROR(V438/G438),"",V438/G438)</f>
        <v/>
      </c>
      <c r="X438" s="93">
        <f>SUM('1:2'!X438)</f>
        <v>0</v>
      </c>
      <c r="Y438" s="93">
        <f>SUM('1:2'!Y438)</f>
        <v>0</v>
      </c>
      <c r="Z438" s="93">
        <f>SUM('1:2'!Z438)</f>
        <v>0</v>
      </c>
      <c r="AA438" s="93">
        <f>SUM('1:2'!AA438)</f>
        <v>0</v>
      </c>
      <c r="AD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</row>
    <row r="439" spans="1:53">
      <c r="A439" s="304">
        <v>30600002</v>
      </c>
      <c r="B439" s="65" t="s">
        <v>162</v>
      </c>
      <c r="C439" s="16" t="s">
        <v>60</v>
      </c>
      <c r="D439" s="17">
        <v>5.03</v>
      </c>
      <c r="E439" s="17"/>
      <c r="F439" s="6"/>
      <c r="G439" s="93">
        <f>SUM('1:2'!G439)</f>
        <v>0</v>
      </c>
      <c r="H439" s="364">
        <f t="shared" si="175"/>
        <v>0</v>
      </c>
      <c r="I439" s="93">
        <f>SUM('1:2'!I439)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87">
        <v>8</v>
      </c>
      <c r="M439" s="36">
        <f>IF(ISERROR(I439-K439),"",I439-K439)</f>
        <v>0</v>
      </c>
      <c r="N439" s="31">
        <f>SUM(O439:U439)</f>
        <v>0</v>
      </c>
      <c r="O439" s="93">
        <f>SUM('1:2'!O439)</f>
        <v>0</v>
      </c>
      <c r="P439" s="93">
        <f>SUM('1:2'!P439)</f>
        <v>0</v>
      </c>
      <c r="Q439" s="93">
        <f>SUM('1:2'!Q439)</f>
        <v>0</v>
      </c>
      <c r="R439" s="93">
        <f>SUM('1:2'!R439)</f>
        <v>0</v>
      </c>
      <c r="S439" s="93">
        <f>SUM('1:2'!S439)</f>
        <v>0</v>
      </c>
      <c r="T439" s="93">
        <f>SUM('1:2'!T439)</f>
        <v>0</v>
      </c>
      <c r="U439" s="93">
        <f>SUM('1:2'!U439)</f>
        <v>0</v>
      </c>
      <c r="V439" s="207">
        <f>SUM(X439:AA439)</f>
        <v>0</v>
      </c>
      <c r="W439" s="33" t="str">
        <f>IF(ISERROR(V439/G439),"",V439/G439)</f>
        <v/>
      </c>
      <c r="X439" s="93">
        <f>SUM('1:2'!X439)</f>
        <v>0</v>
      </c>
      <c r="Y439" s="93">
        <f>SUM('1:2'!Y439)</f>
        <v>0</v>
      </c>
      <c r="Z439" s="93">
        <f>SUM('1:2'!Z439)</f>
        <v>0</v>
      </c>
      <c r="AA439" s="93">
        <f>SUM('1:2'!AA439)</f>
        <v>0</v>
      </c>
      <c r="AD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</row>
    <row r="440" spans="1:53">
      <c r="A440" s="304">
        <v>30600003</v>
      </c>
      <c r="B440" s="65" t="s">
        <v>162</v>
      </c>
      <c r="C440" s="195" t="s">
        <v>89</v>
      </c>
      <c r="D440" s="17">
        <v>5.03</v>
      </c>
      <c r="E440" s="17"/>
      <c r="F440" s="6"/>
      <c r="G440" s="93">
        <f>SUM('1:2'!G440)</f>
        <v>0</v>
      </c>
      <c r="H440" s="364">
        <f t="shared" si="175"/>
        <v>0</v>
      </c>
      <c r="I440" s="93">
        <f>SUM('1:2'!I440)</f>
        <v>0</v>
      </c>
      <c r="J440" s="31" t="str">
        <f t="array" ref="J440">IF(ISERROR(G440/I440),"",G440/I440)</f>
        <v/>
      </c>
      <c r="K440" s="35">
        <f t="array" ref="K440">IF(ISERROR(G440/L440),"",G440/L440)</f>
        <v>0</v>
      </c>
      <c r="L440" s="87">
        <v>8</v>
      </c>
      <c r="M440" s="36">
        <f>IF(ISERROR(I440-K440),"",I440-K440)</f>
        <v>0</v>
      </c>
      <c r="N440" s="31">
        <f>SUM(O440:U440)</f>
        <v>0</v>
      </c>
      <c r="O440" s="93">
        <f>SUM('1:2'!O440)</f>
        <v>0</v>
      </c>
      <c r="P440" s="93">
        <f>SUM('1:2'!P440)</f>
        <v>0</v>
      </c>
      <c r="Q440" s="93">
        <f>SUM('1:2'!Q440)</f>
        <v>0</v>
      </c>
      <c r="R440" s="93">
        <f>SUM('1:2'!R440)</f>
        <v>0</v>
      </c>
      <c r="S440" s="93">
        <f>SUM('1:2'!S440)</f>
        <v>0</v>
      </c>
      <c r="T440" s="93">
        <f>SUM('1:2'!T440)</f>
        <v>0</v>
      </c>
      <c r="U440" s="93">
        <f>SUM('1:2'!U440)</f>
        <v>0</v>
      </c>
      <c r="V440" s="207">
        <f>SUM(X440:AA440)</f>
        <v>0</v>
      </c>
      <c r="W440" s="33" t="str">
        <f>IF(ISERROR(V440/G440),"",V440/G440)</f>
        <v/>
      </c>
      <c r="X440" s="93">
        <f>SUM('1:2'!X440)</f>
        <v>0</v>
      </c>
      <c r="Y440" s="93">
        <f>SUM('1:2'!Y440)</f>
        <v>0</v>
      </c>
      <c r="Z440" s="93">
        <f>SUM('1:2'!Z440)</f>
        <v>0</v>
      </c>
      <c r="AA440" s="93">
        <f>SUM('1:2'!AA440)</f>
        <v>0</v>
      </c>
      <c r="AD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</row>
    <row r="441" spans="1:53">
      <c r="A441" s="304">
        <v>30400030</v>
      </c>
      <c r="B441" s="65" t="s">
        <v>88</v>
      </c>
      <c r="C441" s="16" t="s">
        <v>53</v>
      </c>
      <c r="D441" s="17">
        <v>5.03</v>
      </c>
      <c r="E441" s="17"/>
      <c r="F441" s="6"/>
      <c r="G441" s="93">
        <f>SUM('1:2'!G441)</f>
        <v>0</v>
      </c>
      <c r="H441" s="364">
        <f t="shared" si="175"/>
        <v>0</v>
      </c>
      <c r="I441" s="93">
        <f>SUM('1:2'!I441)</f>
        <v>0</v>
      </c>
      <c r="J441" s="31" t="str">
        <f t="array" ref="J441">IF(ISERROR(G441/I441),"",G441/I441)</f>
        <v/>
      </c>
      <c r="K441" s="35">
        <f t="array" ref="K441">IF(ISERROR(G441/L441),"",G441/L441)</f>
        <v>0</v>
      </c>
      <c r="L441" s="87">
        <v>10</v>
      </c>
      <c r="M441" s="36">
        <f t="shared" ref="M441:M462" si="176">IF(ISERROR(I441-K441),"",I441-K441)</f>
        <v>0</v>
      </c>
      <c r="N441" s="31">
        <f t="shared" ref="N441:N456" si="177">SUM(O441:U441)</f>
        <v>0</v>
      </c>
      <c r="O441" s="93">
        <f>SUM('1:2'!O441)</f>
        <v>0</v>
      </c>
      <c r="P441" s="93">
        <f>SUM('1:2'!P441)</f>
        <v>0</v>
      </c>
      <c r="Q441" s="93">
        <f>SUM('1:2'!Q441)</f>
        <v>0</v>
      </c>
      <c r="R441" s="93">
        <f>SUM('1:2'!R441)</f>
        <v>0</v>
      </c>
      <c r="S441" s="93">
        <f>SUM('1:2'!S441)</f>
        <v>0</v>
      </c>
      <c r="T441" s="93">
        <f>SUM('1:2'!T441)</f>
        <v>0</v>
      </c>
      <c r="U441" s="93">
        <f>SUM('1:2'!U441)</f>
        <v>0</v>
      </c>
      <c r="V441" s="206">
        <f t="shared" ref="V441:V448" si="178">SUM(X441:AA441)</f>
        <v>0</v>
      </c>
      <c r="W441" s="33" t="str">
        <f t="shared" ref="W441:W448" si="179">IF(ISERROR(V441/G441),"",V441/G441)</f>
        <v/>
      </c>
      <c r="X441" s="93">
        <f>SUM('1:2'!X441)</f>
        <v>0</v>
      </c>
      <c r="Y441" s="93">
        <f>SUM('1:2'!Y441)</f>
        <v>0</v>
      </c>
      <c r="Z441" s="93">
        <f>SUM('1:2'!Z441)</f>
        <v>0</v>
      </c>
      <c r="AA441" s="93">
        <f>SUM('1:2'!AA441)</f>
        <v>0</v>
      </c>
      <c r="AB441" s="73"/>
      <c r="AC441" s="54"/>
      <c r="AD441" s="370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>
      <c r="A442" s="304"/>
      <c r="B442" s="65" t="s">
        <v>88</v>
      </c>
      <c r="C442" s="16" t="s">
        <v>72</v>
      </c>
      <c r="D442" s="17">
        <v>5.03</v>
      </c>
      <c r="E442" s="17"/>
      <c r="F442" s="6"/>
      <c r="G442" s="93">
        <f>SUM('1:2'!G442)</f>
        <v>0</v>
      </c>
      <c r="H442" s="364">
        <f t="shared" si="175"/>
        <v>0</v>
      </c>
      <c r="I442" s="93">
        <f>SUM('1:2'!I442)</f>
        <v>0</v>
      </c>
      <c r="J442" s="31" t="str">
        <f t="array" ref="J442">IF(ISERROR(G442/I442),"",G442/I442)</f>
        <v/>
      </c>
      <c r="K442" s="35" t="str">
        <f t="array" ref="K442">IF(ISERROR(G442/L442),"",G442/L442)</f>
        <v/>
      </c>
      <c r="L442" s="87"/>
      <c r="M442" s="36" t="str">
        <f t="shared" si="176"/>
        <v/>
      </c>
      <c r="N442" s="31">
        <f t="shared" si="177"/>
        <v>0</v>
      </c>
      <c r="O442" s="93">
        <f>SUM('1:2'!O442)</f>
        <v>0</v>
      </c>
      <c r="P442" s="93">
        <f>SUM('1:2'!P442)</f>
        <v>0</v>
      </c>
      <c r="Q442" s="93">
        <f>SUM('1:2'!Q442)</f>
        <v>0</v>
      </c>
      <c r="R442" s="93">
        <f>SUM('1:2'!R442)</f>
        <v>0</v>
      </c>
      <c r="S442" s="93">
        <f>SUM('1:2'!S442)</f>
        <v>0</v>
      </c>
      <c r="T442" s="93">
        <f>SUM('1:2'!T442)</f>
        <v>0</v>
      </c>
      <c r="U442" s="93">
        <f>SUM('1:2'!U442)</f>
        <v>0</v>
      </c>
      <c r="V442" s="206">
        <f t="shared" si="178"/>
        <v>0</v>
      </c>
      <c r="W442" s="33" t="str">
        <f t="shared" si="179"/>
        <v/>
      </c>
      <c r="X442" s="93">
        <f>SUM('1:2'!X442)</f>
        <v>0</v>
      </c>
      <c r="Y442" s="93">
        <f>SUM('1:2'!Y442)</f>
        <v>0</v>
      </c>
      <c r="Z442" s="93">
        <f>SUM('1:2'!Z442)</f>
        <v>0</v>
      </c>
      <c r="AA442" s="93">
        <f>SUM('1:2'!AA442)</f>
        <v>0</v>
      </c>
      <c r="AB442" s="73"/>
      <c r="AC442" s="54"/>
      <c r="AD442" s="370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>
      <c r="A443" s="304"/>
      <c r="B443" s="65" t="s">
        <v>88</v>
      </c>
      <c r="C443" s="16" t="s">
        <v>60</v>
      </c>
      <c r="D443" s="17">
        <v>5.03</v>
      </c>
      <c r="E443" s="17"/>
      <c r="F443" s="6"/>
      <c r="G443" s="93">
        <f>SUM('1:2'!G443)</f>
        <v>0</v>
      </c>
      <c r="H443" s="364">
        <f t="shared" si="175"/>
        <v>0</v>
      </c>
      <c r="I443" s="93">
        <f>SUM('1:2'!I443)</f>
        <v>0</v>
      </c>
      <c r="J443" s="31" t="str">
        <f t="array" ref="J443">IF(ISERROR(G443/I443),"",G443/I443)</f>
        <v/>
      </c>
      <c r="K443" s="35" t="str">
        <f t="array" ref="K443">IF(ISERROR(G443/L443),"",G443/L443)</f>
        <v/>
      </c>
      <c r="L443" s="87"/>
      <c r="M443" s="36" t="str">
        <f t="shared" si="176"/>
        <v/>
      </c>
      <c r="N443" s="31">
        <f t="shared" si="177"/>
        <v>0</v>
      </c>
      <c r="O443" s="93">
        <f>SUM('1:2'!O443)</f>
        <v>0</v>
      </c>
      <c r="P443" s="93">
        <f>SUM('1:2'!P443)</f>
        <v>0</v>
      </c>
      <c r="Q443" s="93">
        <f>SUM('1:2'!Q443)</f>
        <v>0</v>
      </c>
      <c r="R443" s="93">
        <f>SUM('1:2'!R443)</f>
        <v>0</v>
      </c>
      <c r="S443" s="93">
        <f>SUM('1:2'!S443)</f>
        <v>0</v>
      </c>
      <c r="T443" s="93">
        <f>SUM('1:2'!T443)</f>
        <v>0</v>
      </c>
      <c r="U443" s="93">
        <f>SUM('1:2'!U443)</f>
        <v>0</v>
      </c>
      <c r="V443" s="206">
        <f t="shared" si="178"/>
        <v>0</v>
      </c>
      <c r="W443" s="33" t="str">
        <f t="shared" si="179"/>
        <v/>
      </c>
      <c r="X443" s="93">
        <f>SUM('1:2'!X443)</f>
        <v>0</v>
      </c>
      <c r="Y443" s="93">
        <f>SUM('1:2'!Y443)</f>
        <v>0</v>
      </c>
      <c r="Z443" s="93">
        <f>SUM('1:2'!Z443)</f>
        <v>0</v>
      </c>
      <c r="AA443" s="93">
        <f>SUM('1:2'!AA443)</f>
        <v>0</v>
      </c>
      <c r="AB443" s="73"/>
      <c r="AC443" s="54"/>
      <c r="AD443" s="370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>
      <c r="A444" s="304">
        <v>30401031</v>
      </c>
      <c r="B444" s="65" t="s">
        <v>88</v>
      </c>
      <c r="C444" s="16" t="s">
        <v>66</v>
      </c>
      <c r="D444" s="17">
        <v>5.03</v>
      </c>
      <c r="E444" s="17"/>
      <c r="F444" s="6"/>
      <c r="G444" s="93">
        <f>SUM('1:2'!G444)</f>
        <v>0</v>
      </c>
      <c r="H444" s="364">
        <f t="shared" si="175"/>
        <v>0</v>
      </c>
      <c r="I444" s="93">
        <f>SUM('1:2'!I444)</f>
        <v>0</v>
      </c>
      <c r="J444" s="31" t="str">
        <f t="array" ref="J444">IF(ISERROR(G444/I444),"",G444/I444)</f>
        <v/>
      </c>
      <c r="K444" s="35" t="str">
        <f t="array" ref="K444">IF(ISERROR(G444/L444),"",G444/L444)</f>
        <v/>
      </c>
      <c r="L444" s="87"/>
      <c r="M444" s="36" t="str">
        <f t="shared" si="176"/>
        <v/>
      </c>
      <c r="N444" s="31">
        <f t="shared" si="177"/>
        <v>0</v>
      </c>
      <c r="O444" s="93">
        <f>SUM('1:2'!O444)</f>
        <v>0</v>
      </c>
      <c r="P444" s="93">
        <f>SUM('1:2'!P444)</f>
        <v>0</v>
      </c>
      <c r="Q444" s="93">
        <f>SUM('1:2'!Q444)</f>
        <v>0</v>
      </c>
      <c r="R444" s="93">
        <f>SUM('1:2'!R444)</f>
        <v>0</v>
      </c>
      <c r="S444" s="93">
        <f>SUM('1:2'!S444)</f>
        <v>0</v>
      </c>
      <c r="T444" s="93">
        <f>SUM('1:2'!T444)</f>
        <v>0</v>
      </c>
      <c r="U444" s="93">
        <f>SUM('1:2'!U444)</f>
        <v>0</v>
      </c>
      <c r="V444" s="206">
        <f t="shared" si="178"/>
        <v>0</v>
      </c>
      <c r="W444" s="33" t="str">
        <f t="shared" si="179"/>
        <v/>
      </c>
      <c r="X444" s="93">
        <f>SUM('1:2'!X444)</f>
        <v>0</v>
      </c>
      <c r="Y444" s="93">
        <f>SUM('1:2'!Y444)</f>
        <v>0</v>
      </c>
      <c r="Z444" s="93">
        <f>SUM('1:2'!Z444)</f>
        <v>0</v>
      </c>
      <c r="AA444" s="93">
        <f>SUM('1:2'!AA444)</f>
        <v>0</v>
      </c>
      <c r="AB444" s="73"/>
      <c r="AC444" s="54"/>
      <c r="AD444" s="370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>
      <c r="A445" s="304">
        <v>30600005</v>
      </c>
      <c r="B445" s="61" t="s">
        <v>90</v>
      </c>
      <c r="C445" s="16" t="s">
        <v>55</v>
      </c>
      <c r="D445" s="17">
        <v>9.36</v>
      </c>
      <c r="E445" s="17"/>
      <c r="F445" s="6"/>
      <c r="G445" s="93">
        <f>SUM('1:2'!G445)</f>
        <v>0</v>
      </c>
      <c r="H445" s="364">
        <f t="shared" si="175"/>
        <v>0</v>
      </c>
      <c r="I445" s="93">
        <f>SUM('1:2'!I445)</f>
        <v>0</v>
      </c>
      <c r="J445" s="31" t="str">
        <f t="array" ref="J445">IF(ISERROR(G445/I445),"",G445/I445)</f>
        <v/>
      </c>
      <c r="K445" s="35">
        <f t="array" ref="K445">IF(ISERROR(G445/L445),"",G445/L445)</f>
        <v>0</v>
      </c>
      <c r="L445" s="87">
        <v>6</v>
      </c>
      <c r="M445" s="36">
        <f t="shared" si="176"/>
        <v>0</v>
      </c>
      <c r="N445" s="31">
        <f t="shared" si="177"/>
        <v>0</v>
      </c>
      <c r="O445" s="93">
        <f>SUM('1:2'!O445)</f>
        <v>0</v>
      </c>
      <c r="P445" s="93">
        <f>SUM('1:2'!P445)</f>
        <v>0</v>
      </c>
      <c r="Q445" s="93">
        <f>SUM('1:2'!Q445)</f>
        <v>0</v>
      </c>
      <c r="R445" s="93">
        <f>SUM('1:2'!R445)</f>
        <v>0</v>
      </c>
      <c r="S445" s="93">
        <f>SUM('1:2'!S445)</f>
        <v>0</v>
      </c>
      <c r="T445" s="93">
        <f>SUM('1:2'!T445)</f>
        <v>0</v>
      </c>
      <c r="U445" s="93">
        <f>SUM('1:2'!U445)</f>
        <v>0</v>
      </c>
      <c r="V445" s="206">
        <f t="shared" si="178"/>
        <v>0</v>
      </c>
      <c r="W445" s="33" t="str">
        <f t="shared" si="179"/>
        <v/>
      </c>
      <c r="X445" s="93">
        <f>SUM('1:2'!X445)</f>
        <v>0</v>
      </c>
      <c r="Y445" s="93">
        <f>SUM('1:2'!Y445)</f>
        <v>0</v>
      </c>
      <c r="Z445" s="93">
        <f>SUM('1:2'!Z445)</f>
        <v>0</v>
      </c>
      <c r="AA445" s="93">
        <f>SUM('1:2'!AA445)</f>
        <v>0</v>
      </c>
      <c r="AB445" s="73"/>
      <c r="AC445" s="54"/>
      <c r="AD445" s="370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>
      <c r="A446" s="304">
        <v>30600008</v>
      </c>
      <c r="B446" s="61" t="s">
        <v>90</v>
      </c>
      <c r="C446" s="16" t="s">
        <v>53</v>
      </c>
      <c r="D446" s="17">
        <v>9.36</v>
      </c>
      <c r="E446" s="17"/>
      <c r="F446" s="6"/>
      <c r="G446" s="93">
        <f>SUM('1:2'!G446)</f>
        <v>0</v>
      </c>
      <c r="H446" s="364">
        <f t="shared" si="175"/>
        <v>0</v>
      </c>
      <c r="I446" s="93">
        <f>SUM('1:2'!I446)</f>
        <v>0</v>
      </c>
      <c r="J446" s="31" t="str">
        <f t="array" ref="J446">IF(ISERROR(G446/I446),"",G446/I446)</f>
        <v/>
      </c>
      <c r="K446" s="35">
        <f t="array" ref="K446">IF(ISERROR(G446/L446),"",G446/L446)</f>
        <v>0</v>
      </c>
      <c r="L446" s="87">
        <v>6</v>
      </c>
      <c r="M446" s="36">
        <f t="shared" si="176"/>
        <v>0</v>
      </c>
      <c r="N446" s="31">
        <f t="shared" si="177"/>
        <v>0</v>
      </c>
      <c r="O446" s="93">
        <f>SUM('1:2'!O446)</f>
        <v>0</v>
      </c>
      <c r="P446" s="93">
        <f>SUM('1:2'!P446)</f>
        <v>0</v>
      </c>
      <c r="Q446" s="93">
        <f>SUM('1:2'!Q446)</f>
        <v>0</v>
      </c>
      <c r="R446" s="93">
        <f>SUM('1:2'!R446)</f>
        <v>0</v>
      </c>
      <c r="S446" s="93">
        <f>SUM('1:2'!S446)</f>
        <v>0</v>
      </c>
      <c r="T446" s="93">
        <f>SUM('1:2'!T446)</f>
        <v>0</v>
      </c>
      <c r="U446" s="93">
        <f>SUM('1:2'!U446)</f>
        <v>0</v>
      </c>
      <c r="V446" s="206">
        <f t="shared" si="178"/>
        <v>0</v>
      </c>
      <c r="W446" s="33" t="str">
        <f t="shared" si="179"/>
        <v/>
      </c>
      <c r="X446" s="93">
        <f>SUM('1:2'!X446)</f>
        <v>0</v>
      </c>
      <c r="Y446" s="93">
        <f>SUM('1:2'!Y446)</f>
        <v>0</v>
      </c>
      <c r="Z446" s="93">
        <f>SUM('1:2'!Z446)</f>
        <v>0</v>
      </c>
      <c r="AA446" s="93">
        <f>SUM('1:2'!AA446)</f>
        <v>0</v>
      </c>
      <c r="AB446" s="73"/>
      <c r="AC446" s="54"/>
      <c r="AD446" s="370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>
      <c r="A447" s="304">
        <v>30600007</v>
      </c>
      <c r="B447" s="61" t="s">
        <v>90</v>
      </c>
      <c r="C447" s="16" t="s">
        <v>89</v>
      </c>
      <c r="D447" s="17">
        <v>9.36</v>
      </c>
      <c r="E447" s="17"/>
      <c r="F447" s="6"/>
      <c r="G447" s="93">
        <f>SUM('1:2'!G447)</f>
        <v>0</v>
      </c>
      <c r="H447" s="364">
        <f t="shared" si="175"/>
        <v>0</v>
      </c>
      <c r="I447" s="93">
        <f>SUM('1:2'!I447)</f>
        <v>0</v>
      </c>
      <c r="J447" s="31" t="str">
        <f t="array" ref="J447">IF(ISERROR(G447/I447),"",G447/I447)</f>
        <v/>
      </c>
      <c r="K447" s="35">
        <f t="array" ref="K447">IF(ISERROR(G447/L447),"",G447/L447)</f>
        <v>0</v>
      </c>
      <c r="L447" s="87">
        <v>6</v>
      </c>
      <c r="M447" s="36">
        <f t="shared" si="176"/>
        <v>0</v>
      </c>
      <c r="N447" s="31">
        <f t="shared" si="177"/>
        <v>0</v>
      </c>
      <c r="O447" s="93">
        <f>SUM('1:2'!O447)</f>
        <v>0</v>
      </c>
      <c r="P447" s="93">
        <f>SUM('1:2'!P447)</f>
        <v>0</v>
      </c>
      <c r="Q447" s="93">
        <f>SUM('1:2'!Q447)</f>
        <v>0</v>
      </c>
      <c r="R447" s="93">
        <f>SUM('1:2'!R447)</f>
        <v>0</v>
      </c>
      <c r="S447" s="93">
        <f>SUM('1:2'!S447)</f>
        <v>0</v>
      </c>
      <c r="T447" s="93">
        <f>SUM('1:2'!T447)</f>
        <v>0</v>
      </c>
      <c r="U447" s="93">
        <f>SUM('1:2'!U447)</f>
        <v>0</v>
      </c>
      <c r="V447" s="206">
        <f t="shared" si="178"/>
        <v>0</v>
      </c>
      <c r="W447" s="33" t="str">
        <f t="shared" si="179"/>
        <v/>
      </c>
      <c r="X447" s="93">
        <f>SUM('1:2'!X447)</f>
        <v>0</v>
      </c>
      <c r="Y447" s="93">
        <f>SUM('1:2'!Y447)</f>
        <v>0</v>
      </c>
      <c r="Z447" s="93">
        <f>SUM('1:2'!Z447)</f>
        <v>0</v>
      </c>
      <c r="AA447" s="93">
        <f>SUM('1:2'!AA447)</f>
        <v>0</v>
      </c>
      <c r="AB447" s="73"/>
      <c r="AC447" s="54"/>
      <c r="AD447" s="370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>
      <c r="A448" s="304">
        <v>30600006</v>
      </c>
      <c r="B448" s="61" t="s">
        <v>90</v>
      </c>
      <c r="C448" s="16" t="s">
        <v>60</v>
      </c>
      <c r="D448" s="17">
        <v>9.36</v>
      </c>
      <c r="E448" s="17"/>
      <c r="F448" s="6"/>
      <c r="G448" s="93">
        <f>SUM('1:2'!G448)</f>
        <v>0</v>
      </c>
      <c r="H448" s="364">
        <f t="shared" si="175"/>
        <v>0</v>
      </c>
      <c r="I448" s="93">
        <f>SUM('1:2'!I448)</f>
        <v>0</v>
      </c>
      <c r="J448" s="31" t="str">
        <f t="array" ref="J448">IF(ISERROR(G448/I448),"",G448/I448)</f>
        <v/>
      </c>
      <c r="K448" s="35">
        <f t="array" ref="K448">IF(ISERROR(G448/L448),"",G448/L448)</f>
        <v>0</v>
      </c>
      <c r="L448" s="87">
        <v>6</v>
      </c>
      <c r="M448" s="36">
        <f t="shared" si="176"/>
        <v>0</v>
      </c>
      <c r="N448" s="31">
        <f t="shared" si="177"/>
        <v>0</v>
      </c>
      <c r="O448" s="93">
        <f>SUM('1:2'!O448)</f>
        <v>0</v>
      </c>
      <c r="P448" s="93">
        <f>SUM('1:2'!P448)</f>
        <v>0</v>
      </c>
      <c r="Q448" s="93">
        <f>SUM('1:2'!Q448)</f>
        <v>0</v>
      </c>
      <c r="R448" s="93">
        <f>SUM('1:2'!R448)</f>
        <v>0</v>
      </c>
      <c r="S448" s="93">
        <f>SUM('1:2'!S448)</f>
        <v>0</v>
      </c>
      <c r="T448" s="93">
        <f>SUM('1:2'!T448)</f>
        <v>0</v>
      </c>
      <c r="U448" s="93">
        <f>SUM('1:2'!U448)</f>
        <v>0</v>
      </c>
      <c r="V448" s="206">
        <f t="shared" si="178"/>
        <v>0</v>
      </c>
      <c r="W448" s="33" t="str">
        <f t="shared" si="179"/>
        <v/>
      </c>
      <c r="X448" s="93">
        <f>SUM('1:2'!X448)</f>
        <v>0</v>
      </c>
      <c r="Y448" s="93">
        <f>SUM('1:2'!Y448)</f>
        <v>0</v>
      </c>
      <c r="Z448" s="93">
        <f>SUM('1:2'!Z448)</f>
        <v>0</v>
      </c>
      <c r="AA448" s="93">
        <f>SUM('1:2'!AA448)</f>
        <v>0</v>
      </c>
      <c r="AB448" s="73"/>
      <c r="AC448" s="54"/>
      <c r="AD448" s="370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>
      <c r="A449" s="299">
        <v>30400026</v>
      </c>
      <c r="B449" s="190" t="s">
        <v>393</v>
      </c>
      <c r="C449" s="187" t="s">
        <v>395</v>
      </c>
      <c r="D449" s="17">
        <v>5</v>
      </c>
      <c r="E449" s="17"/>
      <c r="F449" s="6"/>
      <c r="G449" s="93">
        <f>SUM('1:2'!G449)</f>
        <v>0</v>
      </c>
      <c r="H449" s="364">
        <f t="shared" si="175"/>
        <v>0</v>
      </c>
      <c r="I449" s="93">
        <f>SUM('1:2'!I449)</f>
        <v>0</v>
      </c>
      <c r="J449" s="31"/>
      <c r="K449" s="35">
        <f t="array" ref="K449">IF(ISERROR(G449/L449),"",G449/L449)</f>
        <v>0</v>
      </c>
      <c r="L449" s="87">
        <v>5</v>
      </c>
      <c r="M449" s="36">
        <f t="shared" si="176"/>
        <v>0</v>
      </c>
      <c r="N449" s="31">
        <f t="shared" si="177"/>
        <v>0</v>
      </c>
      <c r="O449" s="93">
        <f>SUM('1:2'!O449)</f>
        <v>0</v>
      </c>
      <c r="P449" s="93">
        <f>SUM('1:2'!P449)</f>
        <v>0</v>
      </c>
      <c r="Q449" s="93">
        <f>SUM('1:2'!Q449)</f>
        <v>0</v>
      </c>
      <c r="R449" s="93">
        <f>SUM('1:2'!R449)</f>
        <v>0</v>
      </c>
      <c r="S449" s="93">
        <f>SUM('1:2'!S449)</f>
        <v>0</v>
      </c>
      <c r="T449" s="93">
        <f>SUM('1:2'!T449)</f>
        <v>0</v>
      </c>
      <c r="U449" s="93">
        <f>SUM('1:2'!U449)</f>
        <v>0</v>
      </c>
      <c r="V449" s="206"/>
      <c r="W449" s="33"/>
      <c r="X449" s="93">
        <f>SUM('1:2'!X449)</f>
        <v>0</v>
      </c>
      <c r="Y449" s="93">
        <f>SUM('1:2'!Y449)</f>
        <v>0</v>
      </c>
      <c r="Z449" s="93">
        <f>SUM('1:2'!Z449)</f>
        <v>0</v>
      </c>
      <c r="AA449" s="93">
        <f>SUM('1:2'!AA449)</f>
        <v>0</v>
      </c>
      <c r="AB449" s="73"/>
      <c r="AC449" s="54"/>
      <c r="AD449" s="370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>
      <c r="A450" s="299">
        <v>30400028</v>
      </c>
      <c r="B450" s="190" t="s">
        <v>393</v>
      </c>
      <c r="C450" s="187" t="s">
        <v>402</v>
      </c>
      <c r="D450" s="17">
        <v>5</v>
      </c>
      <c r="E450" s="17"/>
      <c r="F450" s="6"/>
      <c r="G450" s="93">
        <f>SUM('1:2'!G450)</f>
        <v>0</v>
      </c>
      <c r="H450" s="364">
        <f t="shared" si="175"/>
        <v>0</v>
      </c>
      <c r="I450" s="93">
        <f>SUM('1:2'!I450)</f>
        <v>0</v>
      </c>
      <c r="J450" s="31"/>
      <c r="K450" s="35">
        <f t="array" ref="K450">IF(ISERROR(G450/L450),"",G450/L450)</f>
        <v>0</v>
      </c>
      <c r="L450" s="87">
        <v>5</v>
      </c>
      <c r="M450" s="36">
        <f t="shared" si="176"/>
        <v>0</v>
      </c>
      <c r="N450" s="31">
        <f t="shared" si="177"/>
        <v>0</v>
      </c>
      <c r="O450" s="93">
        <f>SUM('1:2'!O450)</f>
        <v>0</v>
      </c>
      <c r="P450" s="93">
        <f>SUM('1:2'!P450)</f>
        <v>0</v>
      </c>
      <c r="Q450" s="93">
        <f>SUM('1:2'!Q450)</f>
        <v>0</v>
      </c>
      <c r="R450" s="93">
        <f>SUM('1:2'!R450)</f>
        <v>0</v>
      </c>
      <c r="S450" s="93">
        <f>SUM('1:2'!S450)</f>
        <v>0</v>
      </c>
      <c r="T450" s="93">
        <f>SUM('1:2'!T450)</f>
        <v>0</v>
      </c>
      <c r="U450" s="93">
        <f>SUM('1:2'!U450)</f>
        <v>0</v>
      </c>
      <c r="V450" s="206"/>
      <c r="W450" s="33"/>
      <c r="X450" s="93">
        <f>SUM('1:2'!X450)</f>
        <v>0</v>
      </c>
      <c r="Y450" s="93">
        <f>SUM('1:2'!Y450)</f>
        <v>0</v>
      </c>
      <c r="Z450" s="93">
        <f>SUM('1:2'!Z450)</f>
        <v>0</v>
      </c>
      <c r="AA450" s="93">
        <f>SUM('1:2'!AA450)</f>
        <v>0</v>
      </c>
      <c r="AB450" s="73"/>
      <c r="AC450" s="54"/>
      <c r="AD450" s="370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>
      <c r="A451" s="299">
        <v>30400027</v>
      </c>
      <c r="B451" s="190" t="s">
        <v>404</v>
      </c>
      <c r="C451" s="187" t="s">
        <v>405</v>
      </c>
      <c r="D451" s="17">
        <v>5</v>
      </c>
      <c r="E451" s="17"/>
      <c r="F451" s="6"/>
      <c r="G451" s="93">
        <f>SUM('1:2'!G451)</f>
        <v>0</v>
      </c>
      <c r="H451" s="364">
        <f t="shared" si="175"/>
        <v>0</v>
      </c>
      <c r="I451" s="93">
        <f>SUM('1:2'!I451)</f>
        <v>0</v>
      </c>
      <c r="J451" s="31"/>
      <c r="K451" s="35">
        <f t="array" ref="K451">IF(ISERROR(G451/L451),"",G451/L451)</f>
        <v>0</v>
      </c>
      <c r="L451" s="87">
        <v>5</v>
      </c>
      <c r="M451" s="36">
        <f t="shared" si="176"/>
        <v>0</v>
      </c>
      <c r="N451" s="31">
        <f t="shared" si="177"/>
        <v>0</v>
      </c>
      <c r="O451" s="93">
        <f>SUM('1:2'!O451)</f>
        <v>0</v>
      </c>
      <c r="P451" s="93">
        <f>SUM('1:2'!P451)</f>
        <v>0</v>
      </c>
      <c r="Q451" s="93">
        <f>SUM('1:2'!Q451)</f>
        <v>0</v>
      </c>
      <c r="R451" s="93">
        <f>SUM('1:2'!R451)</f>
        <v>0</v>
      </c>
      <c r="S451" s="93">
        <f>SUM('1:2'!S451)</f>
        <v>0</v>
      </c>
      <c r="T451" s="93">
        <f>SUM('1:2'!T451)</f>
        <v>0</v>
      </c>
      <c r="U451" s="93">
        <f>SUM('1:2'!U451)</f>
        <v>0</v>
      </c>
      <c r="V451" s="206"/>
      <c r="W451" s="33"/>
      <c r="X451" s="93">
        <f>SUM('1:2'!X451)</f>
        <v>0</v>
      </c>
      <c r="Y451" s="93">
        <f>SUM('1:2'!Y451)</f>
        <v>0</v>
      </c>
      <c r="Z451" s="93">
        <f>SUM('1:2'!Z451)</f>
        <v>0</v>
      </c>
      <c r="AA451" s="93">
        <f>SUM('1:2'!AA451)</f>
        <v>0</v>
      </c>
      <c r="AB451" s="73"/>
      <c r="AC451" s="54"/>
      <c r="AD451" s="370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>
      <c r="A452" s="299"/>
      <c r="B452" s="61" t="s">
        <v>342</v>
      </c>
      <c r="C452" s="187" t="s">
        <v>372</v>
      </c>
      <c r="D452" s="17">
        <v>5</v>
      </c>
      <c r="E452" s="17"/>
      <c r="F452" s="6"/>
      <c r="G452" s="93">
        <f>SUM('1:2'!G452)</f>
        <v>0</v>
      </c>
      <c r="H452" s="364">
        <f t="shared" si="175"/>
        <v>0</v>
      </c>
      <c r="I452" s="93">
        <f>SUM('1:2'!I452)</f>
        <v>0</v>
      </c>
      <c r="J452" s="31"/>
      <c r="K452" s="35">
        <f t="array" ref="K452">IF(ISERROR(G452/L452),"",G452/L452)</f>
        <v>0</v>
      </c>
      <c r="L452" s="87">
        <v>5</v>
      </c>
      <c r="M452" s="36">
        <f t="shared" si="176"/>
        <v>0</v>
      </c>
      <c r="N452" s="31">
        <f t="shared" si="177"/>
        <v>0</v>
      </c>
      <c r="O452" s="93">
        <f>SUM('1:2'!O452)</f>
        <v>0</v>
      </c>
      <c r="P452" s="93">
        <f>SUM('1:2'!P452)</f>
        <v>0</v>
      </c>
      <c r="Q452" s="93">
        <f>SUM('1:2'!Q452)</f>
        <v>0</v>
      </c>
      <c r="R452" s="93">
        <f>SUM('1:2'!R452)</f>
        <v>0</v>
      </c>
      <c r="S452" s="93">
        <f>SUM('1:2'!S452)</f>
        <v>0</v>
      </c>
      <c r="T452" s="93">
        <f>SUM('1:2'!T452)</f>
        <v>0</v>
      </c>
      <c r="U452" s="93">
        <f>SUM('1:2'!U452)</f>
        <v>0</v>
      </c>
      <c r="V452" s="206"/>
      <c r="W452" s="33"/>
      <c r="X452" s="93">
        <f>SUM('1:2'!X452)</f>
        <v>0</v>
      </c>
      <c r="Y452" s="93">
        <f>SUM('1:2'!Y452)</f>
        <v>0</v>
      </c>
      <c r="Z452" s="93">
        <f>SUM('1:2'!Z452)</f>
        <v>0</v>
      </c>
      <c r="AA452" s="93">
        <f>SUM('1:2'!AA452)</f>
        <v>0</v>
      </c>
      <c r="AB452" s="73"/>
      <c r="AC452" s="54"/>
      <c r="AD452" s="370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>
      <c r="A453" s="299">
        <v>30600009</v>
      </c>
      <c r="B453" s="61" t="s">
        <v>343</v>
      </c>
      <c r="C453" s="16" t="s">
        <v>345</v>
      </c>
      <c r="D453" s="17">
        <v>5</v>
      </c>
      <c r="E453" s="17"/>
      <c r="F453" s="6"/>
      <c r="G453" s="93">
        <f>SUM('1:2'!G453)</f>
        <v>0</v>
      </c>
      <c r="H453" s="364">
        <f t="shared" si="175"/>
        <v>0</v>
      </c>
      <c r="I453" s="93">
        <f>SUM('1:2'!I453)</f>
        <v>0</v>
      </c>
      <c r="J453" s="31"/>
      <c r="K453" s="35">
        <f t="array" ref="K453">IF(ISERROR(G453/L453),"",G453/L453)</f>
        <v>0</v>
      </c>
      <c r="L453" s="87">
        <v>5</v>
      </c>
      <c r="M453" s="36">
        <f t="shared" si="176"/>
        <v>0</v>
      </c>
      <c r="N453" s="31">
        <f t="shared" si="177"/>
        <v>0</v>
      </c>
      <c r="O453" s="93">
        <f>SUM('1:2'!O453)</f>
        <v>0</v>
      </c>
      <c r="P453" s="93">
        <f>SUM('1:2'!P453)</f>
        <v>0</v>
      </c>
      <c r="Q453" s="93">
        <f>SUM('1:2'!Q453)</f>
        <v>0</v>
      </c>
      <c r="R453" s="93">
        <f>SUM('1:2'!R453)</f>
        <v>0</v>
      </c>
      <c r="S453" s="93">
        <f>SUM('1:2'!S453)</f>
        <v>0</v>
      </c>
      <c r="T453" s="93">
        <f>SUM('1:2'!T453)</f>
        <v>0</v>
      </c>
      <c r="U453" s="93">
        <f>SUM('1:2'!U453)</f>
        <v>0</v>
      </c>
      <c r="V453" s="206"/>
      <c r="W453" s="33"/>
      <c r="X453" s="93">
        <f>SUM('1:2'!X453)</f>
        <v>0</v>
      </c>
      <c r="Y453" s="93">
        <f>SUM('1:2'!Y453)</f>
        <v>0</v>
      </c>
      <c r="Z453" s="93">
        <f>SUM('1:2'!Z453)</f>
        <v>0</v>
      </c>
      <c r="AA453" s="93">
        <f>SUM('1:2'!AA453)</f>
        <v>0</v>
      </c>
      <c r="AB453" s="73"/>
      <c r="AC453" s="54"/>
      <c r="AD453" s="370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>
      <c r="A454" s="299">
        <v>30600010</v>
      </c>
      <c r="B454" s="61" t="s">
        <v>343</v>
      </c>
      <c r="C454" s="16" t="s">
        <v>347</v>
      </c>
      <c r="D454" s="17">
        <v>5</v>
      </c>
      <c r="E454" s="17"/>
      <c r="F454" s="6"/>
      <c r="G454" s="93">
        <f>SUM('1:2'!G454)</f>
        <v>0</v>
      </c>
      <c r="H454" s="364">
        <f t="shared" si="175"/>
        <v>0</v>
      </c>
      <c r="I454" s="93">
        <f>SUM('1:2'!I454)</f>
        <v>0</v>
      </c>
      <c r="J454" s="31"/>
      <c r="K454" s="35">
        <f t="array" ref="K454">IF(ISERROR(G454/L454),"",G454/L454)</f>
        <v>0</v>
      </c>
      <c r="L454" s="87">
        <v>5</v>
      </c>
      <c r="M454" s="36">
        <f t="shared" si="176"/>
        <v>0</v>
      </c>
      <c r="N454" s="31">
        <f t="shared" si="177"/>
        <v>0</v>
      </c>
      <c r="O454" s="93">
        <f>SUM('1:2'!O454)</f>
        <v>0</v>
      </c>
      <c r="P454" s="93">
        <f>SUM('1:2'!P454)</f>
        <v>0</v>
      </c>
      <c r="Q454" s="93">
        <f>SUM('1:2'!Q454)</f>
        <v>0</v>
      </c>
      <c r="R454" s="93">
        <f>SUM('1:2'!R454)</f>
        <v>0</v>
      </c>
      <c r="S454" s="93">
        <f>SUM('1:2'!S454)</f>
        <v>0</v>
      </c>
      <c r="T454" s="93">
        <f>SUM('1:2'!T454)</f>
        <v>0</v>
      </c>
      <c r="U454" s="93">
        <f>SUM('1:2'!U454)</f>
        <v>0</v>
      </c>
      <c r="V454" s="206"/>
      <c r="W454" s="33"/>
      <c r="X454" s="93">
        <f>SUM('1:2'!X454)</f>
        <v>0</v>
      </c>
      <c r="Y454" s="93">
        <f>SUM('1:2'!Y454)</f>
        <v>0</v>
      </c>
      <c r="Z454" s="93">
        <f>SUM('1:2'!Z454)</f>
        <v>0</v>
      </c>
      <c r="AA454" s="93">
        <f>SUM('1:2'!AA454)</f>
        <v>0</v>
      </c>
      <c r="AB454" s="73"/>
      <c r="AC454" s="54"/>
      <c r="AD454" s="370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>
      <c r="A455" s="299">
        <v>30400001</v>
      </c>
      <c r="B455" s="65" t="s">
        <v>514</v>
      </c>
      <c r="C455" s="16" t="s">
        <v>61</v>
      </c>
      <c r="D455" s="17">
        <v>5.0599999999999996</v>
      </c>
      <c r="E455" s="17"/>
      <c r="F455" s="6"/>
      <c r="G455" s="93">
        <f>SUM('1:2'!G455)</f>
        <v>0</v>
      </c>
      <c r="H455" s="364">
        <f t="shared" si="175"/>
        <v>0</v>
      </c>
      <c r="I455" s="93">
        <f>SUM('1:2'!I455)</f>
        <v>0</v>
      </c>
      <c r="J455" s="31" t="str">
        <f t="array" ref="J455">IF(ISERROR(G455/I455),"",G455/I455)</f>
        <v/>
      </c>
      <c r="K455" s="35">
        <f t="array" ref="K455">IF(ISERROR(G455/L455),"",G455/L455)</f>
        <v>0</v>
      </c>
      <c r="L455" s="87">
        <v>15.5</v>
      </c>
      <c r="M455" s="36">
        <f t="shared" si="176"/>
        <v>0</v>
      </c>
      <c r="N455" s="31">
        <f t="shared" si="177"/>
        <v>0</v>
      </c>
      <c r="O455" s="93">
        <f>SUM('1:2'!O455)</f>
        <v>0</v>
      </c>
      <c r="P455" s="93">
        <f>SUM('1:2'!P455)</f>
        <v>0</v>
      </c>
      <c r="Q455" s="93">
        <f>SUM('1:2'!Q455)</f>
        <v>0</v>
      </c>
      <c r="R455" s="93">
        <f>SUM('1:2'!R455)</f>
        <v>0</v>
      </c>
      <c r="S455" s="93">
        <f>SUM('1:2'!S455)</f>
        <v>0</v>
      </c>
      <c r="T455" s="93">
        <f>SUM('1:2'!T455)</f>
        <v>0</v>
      </c>
      <c r="U455" s="93">
        <f>SUM('1:2'!U455)</f>
        <v>0</v>
      </c>
      <c r="V455" s="206">
        <f t="shared" ref="V455:V456" si="180">SUM(X455:AA455)</f>
        <v>0</v>
      </c>
      <c r="W455" s="33" t="str">
        <f t="shared" ref="W455:W456" si="181">IF(ISERROR(V455/G455),"",V455/G455)</f>
        <v/>
      </c>
      <c r="X455" s="93">
        <f>SUM('1:2'!X455)</f>
        <v>0</v>
      </c>
      <c r="Y455" s="93">
        <f>SUM('1:2'!Y455)</f>
        <v>0</v>
      </c>
      <c r="Z455" s="93">
        <f>SUM('1:2'!Z455)</f>
        <v>0</v>
      </c>
      <c r="AA455" s="93">
        <f>SUM('1:2'!AA455)</f>
        <v>0</v>
      </c>
      <c r="AB455" s="73"/>
      <c r="AC455" s="54"/>
      <c r="AD455" s="370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>
      <c r="A456" s="299">
        <v>30400002</v>
      </c>
      <c r="B456" s="65" t="s">
        <v>514</v>
      </c>
      <c r="C456" s="16" t="s">
        <v>72</v>
      </c>
      <c r="D456" s="17">
        <v>5.0599999999999996</v>
      </c>
      <c r="E456" s="17"/>
      <c r="F456" s="6"/>
      <c r="G456" s="93">
        <f>SUM('1:2'!G456)</f>
        <v>0</v>
      </c>
      <c r="H456" s="364">
        <f t="shared" si="175"/>
        <v>0</v>
      </c>
      <c r="I456" s="93">
        <f>SUM('1:2'!I456)</f>
        <v>0</v>
      </c>
      <c r="J456" s="31" t="str">
        <f t="array" ref="J456">IF(ISERROR(G456/I456),"",G456/I456)</f>
        <v/>
      </c>
      <c r="K456" s="35">
        <f t="array" ref="K456">IF(ISERROR(G456/L456),"",G456/L456)</f>
        <v>0</v>
      </c>
      <c r="L456" s="87">
        <v>15.5</v>
      </c>
      <c r="M456" s="36">
        <f t="shared" si="176"/>
        <v>0</v>
      </c>
      <c r="N456" s="31">
        <f t="shared" si="177"/>
        <v>0</v>
      </c>
      <c r="O456" s="93">
        <f>SUM('1:2'!O456)</f>
        <v>0</v>
      </c>
      <c r="P456" s="93">
        <f>SUM('1:2'!P456)</f>
        <v>0</v>
      </c>
      <c r="Q456" s="93">
        <f>SUM('1:2'!Q456)</f>
        <v>0</v>
      </c>
      <c r="R456" s="93">
        <f>SUM('1:2'!R456)</f>
        <v>0</v>
      </c>
      <c r="S456" s="93">
        <f>SUM('1:2'!S456)</f>
        <v>0</v>
      </c>
      <c r="T456" s="93">
        <f>SUM('1:2'!T456)</f>
        <v>0</v>
      </c>
      <c r="U456" s="93">
        <f>SUM('1:2'!U456)</f>
        <v>0</v>
      </c>
      <c r="V456" s="206">
        <f t="shared" si="180"/>
        <v>0</v>
      </c>
      <c r="W456" s="33" t="str">
        <f t="shared" si="181"/>
        <v/>
      </c>
      <c r="X456" s="93">
        <f>SUM('1:2'!X456)</f>
        <v>0</v>
      </c>
      <c r="Y456" s="93">
        <f>SUM('1:2'!Y456)</f>
        <v>0</v>
      </c>
      <c r="Z456" s="93">
        <f>SUM('1:2'!Z456)</f>
        <v>0</v>
      </c>
      <c r="AA456" s="93">
        <f>SUM('1:2'!AA456)</f>
        <v>0</v>
      </c>
      <c r="AB456" s="73"/>
      <c r="AC456" s="54"/>
      <c r="AD456" s="370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>
      <c r="A457" s="299">
        <v>30400004</v>
      </c>
      <c r="B457" s="215" t="s">
        <v>419</v>
      </c>
      <c r="C457" s="187" t="s">
        <v>73</v>
      </c>
      <c r="D457" s="17"/>
      <c r="E457" s="17"/>
      <c r="F457" s="6"/>
      <c r="G457" s="93">
        <f>SUM('1:2'!G457)</f>
        <v>0</v>
      </c>
      <c r="H457" s="364">
        <f t="shared" si="175"/>
        <v>0</v>
      </c>
      <c r="I457" s="93">
        <f>SUM('1:2'!I457)</f>
        <v>0</v>
      </c>
      <c r="J457" s="31"/>
      <c r="K457" s="35">
        <f t="array" ref="K457">IF(ISERROR(G457/L457),"",G457/L457)</f>
        <v>0</v>
      </c>
      <c r="L457" s="87">
        <v>24</v>
      </c>
      <c r="M457" s="36">
        <f t="shared" si="176"/>
        <v>0</v>
      </c>
      <c r="N457" s="31"/>
      <c r="O457" s="93"/>
      <c r="P457" s="93"/>
      <c r="Q457" s="93"/>
      <c r="R457" s="93"/>
      <c r="S457" s="93"/>
      <c r="T457" s="93"/>
      <c r="U457" s="93"/>
      <c r="V457" s="206"/>
      <c r="W457" s="33"/>
      <c r="X457" s="93"/>
      <c r="Y457" s="93"/>
      <c r="Z457" s="93"/>
      <c r="AA457" s="93"/>
      <c r="AB457" s="73"/>
      <c r="AC457" s="54"/>
      <c r="AD457" s="370"/>
      <c r="AE457" s="54"/>
      <c r="AF457" s="54"/>
      <c r="AG457" s="54"/>
      <c r="AH457" s="5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>
      <c r="A458" s="299">
        <v>30400003</v>
      </c>
      <c r="B458" s="215" t="s">
        <v>419</v>
      </c>
      <c r="C458" s="187" t="s">
        <v>60</v>
      </c>
      <c r="D458" s="17"/>
      <c r="E458" s="17"/>
      <c r="F458" s="6"/>
      <c r="G458" s="93">
        <f>SUM('1:2'!G458)</f>
        <v>0</v>
      </c>
      <c r="H458" s="364">
        <f t="shared" si="175"/>
        <v>0</v>
      </c>
      <c r="I458" s="93">
        <f>SUM('1:2'!I458)</f>
        <v>0</v>
      </c>
      <c r="J458" s="31"/>
      <c r="K458" s="35">
        <f t="array" ref="K458">IF(ISERROR(G458/L458),"",G458/L458)</f>
        <v>0</v>
      </c>
      <c r="L458" s="87">
        <v>24</v>
      </c>
      <c r="M458" s="36">
        <f t="shared" si="176"/>
        <v>0</v>
      </c>
      <c r="N458" s="31"/>
      <c r="O458" s="93"/>
      <c r="P458" s="93"/>
      <c r="Q458" s="93"/>
      <c r="R458" s="93"/>
      <c r="S458" s="93"/>
      <c r="T458" s="93"/>
      <c r="U458" s="93"/>
      <c r="V458" s="206"/>
      <c r="W458" s="33"/>
      <c r="X458" s="93"/>
      <c r="Y458" s="93"/>
      <c r="Z458" s="93"/>
      <c r="AA458" s="93"/>
      <c r="AB458" s="73"/>
      <c r="AC458" s="54"/>
      <c r="AD458" s="370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>
      <c r="A459" s="299">
        <v>30400005</v>
      </c>
      <c r="B459" s="215" t="s">
        <v>419</v>
      </c>
      <c r="C459" s="187" t="s">
        <v>422</v>
      </c>
      <c r="D459" s="17"/>
      <c r="E459" s="17"/>
      <c r="F459" s="6"/>
      <c r="G459" s="93">
        <f>SUM('1:2'!G459)</f>
        <v>0</v>
      </c>
      <c r="H459" s="364">
        <f t="shared" si="175"/>
        <v>0</v>
      </c>
      <c r="I459" s="93">
        <f>SUM('1:2'!I459)</f>
        <v>0</v>
      </c>
      <c r="J459" s="31"/>
      <c r="K459" s="35">
        <f t="array" ref="K459">IF(ISERROR(G459/L459),"",G459/L459)</f>
        <v>0</v>
      </c>
      <c r="L459" s="87">
        <v>24</v>
      </c>
      <c r="M459" s="36">
        <f t="shared" si="176"/>
        <v>0</v>
      </c>
      <c r="N459" s="31"/>
      <c r="O459" s="93"/>
      <c r="P459" s="93"/>
      <c r="Q459" s="93"/>
      <c r="R459" s="93"/>
      <c r="S459" s="93"/>
      <c r="T459" s="93"/>
      <c r="U459" s="93"/>
      <c r="V459" s="206"/>
      <c r="W459" s="33"/>
      <c r="X459" s="93"/>
      <c r="Y459" s="93"/>
      <c r="Z459" s="93"/>
      <c r="AA459" s="93"/>
      <c r="AB459" s="73"/>
      <c r="AC459" s="54"/>
      <c r="AD459" s="370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>
      <c r="A460" s="299">
        <v>30400007</v>
      </c>
      <c r="B460" s="65" t="s">
        <v>91</v>
      </c>
      <c r="C460" s="16" t="s">
        <v>74</v>
      </c>
      <c r="D460" s="17">
        <v>5.07</v>
      </c>
      <c r="E460" s="17"/>
      <c r="F460" s="6"/>
      <c r="G460" s="93">
        <f>SUM('1:2'!G460)</f>
        <v>0</v>
      </c>
      <c r="H460" s="364">
        <f t="shared" si="175"/>
        <v>0</v>
      </c>
      <c r="I460" s="93">
        <f>SUM('1:2'!I460)</f>
        <v>0</v>
      </c>
      <c r="J460" s="31" t="str">
        <f t="array" ref="J460">IF(ISERROR(G460/I460),"",G460/I460)</f>
        <v/>
      </c>
      <c r="K460" s="35">
        <f t="array" ref="K460">IF(ISERROR(G460/L460),"",G460/L460)</f>
        <v>0</v>
      </c>
      <c r="L460" s="87">
        <v>9</v>
      </c>
      <c r="M460" s="36">
        <f t="shared" si="176"/>
        <v>0</v>
      </c>
      <c r="N460" s="31">
        <f t="shared" ref="N460:N462" si="182">SUM(O460:U460)</f>
        <v>0</v>
      </c>
      <c r="O460" s="93">
        <f>SUM('1:2'!O460)</f>
        <v>0</v>
      </c>
      <c r="P460" s="93">
        <f>SUM('1:2'!P460)</f>
        <v>0</v>
      </c>
      <c r="Q460" s="93">
        <f>SUM('1:2'!Q460)</f>
        <v>0</v>
      </c>
      <c r="R460" s="93">
        <f>SUM('1:2'!R460)</f>
        <v>0</v>
      </c>
      <c r="S460" s="93">
        <f>SUM('1:2'!S460)</f>
        <v>0</v>
      </c>
      <c r="T460" s="93">
        <f>SUM('1:2'!T460)</f>
        <v>0</v>
      </c>
      <c r="U460" s="93">
        <f>SUM('1:2'!U460)</f>
        <v>0</v>
      </c>
      <c r="V460" s="206">
        <f t="shared" ref="V460:V462" si="183">SUM(X460:AA460)</f>
        <v>0</v>
      </c>
      <c r="W460" s="33" t="str">
        <f t="shared" ref="W460:W484" si="184">IF(ISERROR(V460/G460),"",V460/G460)</f>
        <v/>
      </c>
      <c r="X460" s="93">
        <f>SUM('1:2'!X460)</f>
        <v>0</v>
      </c>
      <c r="Y460" s="93">
        <f>SUM('1:2'!Y460)</f>
        <v>0</v>
      </c>
      <c r="Z460" s="93">
        <f>SUM('1:2'!Z460)</f>
        <v>0</v>
      </c>
      <c r="AA460" s="93">
        <f>SUM('1:2'!AA460)</f>
        <v>0</v>
      </c>
      <c r="AB460" s="73"/>
      <c r="AC460" s="54"/>
      <c r="AD460" s="370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>
      <c r="A461" s="299">
        <v>30400006</v>
      </c>
      <c r="B461" s="65" t="s">
        <v>91</v>
      </c>
      <c r="C461" s="16" t="s">
        <v>53</v>
      </c>
      <c r="D461" s="17">
        <v>5.07</v>
      </c>
      <c r="E461" s="17"/>
      <c r="F461" s="6"/>
      <c r="G461" s="93">
        <f>SUM('1:2'!G461)</f>
        <v>0</v>
      </c>
      <c r="H461" s="364">
        <f t="shared" si="175"/>
        <v>0</v>
      </c>
      <c r="I461" s="93">
        <f>SUM('1:2'!I461)</f>
        <v>0</v>
      </c>
      <c r="J461" s="31" t="str">
        <f t="array" ref="J461">IF(ISERROR(G461/I461),"",G461/I461)</f>
        <v/>
      </c>
      <c r="K461" s="35">
        <f t="array" ref="K461">IF(ISERROR(G461/L461),"",G461/L461)</f>
        <v>0</v>
      </c>
      <c r="L461" s="87">
        <v>9</v>
      </c>
      <c r="M461" s="36">
        <f t="shared" si="176"/>
        <v>0</v>
      </c>
      <c r="N461" s="31">
        <f t="shared" si="182"/>
        <v>0</v>
      </c>
      <c r="O461" s="93">
        <f>SUM('1:2'!O461)</f>
        <v>0</v>
      </c>
      <c r="P461" s="93">
        <f>SUM('1:2'!P461)</f>
        <v>0</v>
      </c>
      <c r="Q461" s="93">
        <f>SUM('1:2'!Q461)</f>
        <v>0</v>
      </c>
      <c r="R461" s="93">
        <f>SUM('1:2'!R461)</f>
        <v>0</v>
      </c>
      <c r="S461" s="93">
        <f>SUM('1:2'!S461)</f>
        <v>0</v>
      </c>
      <c r="T461" s="93">
        <f>SUM('1:2'!T461)</f>
        <v>0</v>
      </c>
      <c r="U461" s="93">
        <f>SUM('1:2'!U461)</f>
        <v>0</v>
      </c>
      <c r="V461" s="206">
        <f t="shared" si="183"/>
        <v>0</v>
      </c>
      <c r="W461" s="33" t="str">
        <f t="shared" si="184"/>
        <v/>
      </c>
      <c r="X461" s="93">
        <f>SUM('1:2'!X461)</f>
        <v>0</v>
      </c>
      <c r="Y461" s="93">
        <f>SUM('1:2'!Y461)</f>
        <v>0</v>
      </c>
      <c r="Z461" s="93">
        <f>SUM('1:2'!Z461)</f>
        <v>0</v>
      </c>
      <c r="AA461" s="93">
        <f>SUM('1:2'!AA461)</f>
        <v>0</v>
      </c>
      <c r="AB461" s="73"/>
      <c r="AC461" s="54"/>
      <c r="AD461" s="370"/>
      <c r="AE461" s="54"/>
      <c r="AF461" s="54"/>
      <c r="AG461" s="54"/>
      <c r="AH461" s="5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>
      <c r="A462" s="299">
        <v>30400006</v>
      </c>
      <c r="B462" s="65" t="s">
        <v>91</v>
      </c>
      <c r="C462" s="16" t="s">
        <v>60</v>
      </c>
      <c r="D462" s="17">
        <v>5.0599999999999996</v>
      </c>
      <c r="E462" s="17"/>
      <c r="F462" s="53"/>
      <c r="G462" s="93">
        <f>SUM('1:2'!G462)</f>
        <v>0</v>
      </c>
      <c r="H462" s="364">
        <f t="shared" si="175"/>
        <v>0</v>
      </c>
      <c r="I462" s="93">
        <f>SUM('1:2'!I462)</f>
        <v>0</v>
      </c>
      <c r="J462" s="31" t="str">
        <f t="array" ref="J462">IF(ISERROR(G462/I462),"",G462/I462)</f>
        <v/>
      </c>
      <c r="K462" s="364">
        <f t="array" ref="K462">IF(ISERROR(G462/L462),"",G462/L462)</f>
        <v>0</v>
      </c>
      <c r="L462" s="87">
        <v>9</v>
      </c>
      <c r="M462" s="36">
        <f t="shared" si="176"/>
        <v>0</v>
      </c>
      <c r="N462" s="31">
        <f t="shared" si="182"/>
        <v>0</v>
      </c>
      <c r="O462" s="93">
        <f>SUM('1:2'!O462)</f>
        <v>0</v>
      </c>
      <c r="P462" s="93">
        <f>SUM('1:2'!P462)</f>
        <v>0</v>
      </c>
      <c r="Q462" s="93">
        <f>SUM('1:2'!Q462)</f>
        <v>0</v>
      </c>
      <c r="R462" s="93">
        <f>SUM('1:2'!R462)</f>
        <v>0</v>
      </c>
      <c r="S462" s="93">
        <f>SUM('1:2'!S462)</f>
        <v>0</v>
      </c>
      <c r="T462" s="93">
        <f>SUM('1:2'!T462)</f>
        <v>0</v>
      </c>
      <c r="U462" s="93">
        <f>SUM('1:2'!U462)</f>
        <v>0</v>
      </c>
      <c r="V462" s="206">
        <f t="shared" si="183"/>
        <v>0</v>
      </c>
      <c r="W462" s="33" t="str">
        <f t="shared" si="184"/>
        <v/>
      </c>
      <c r="X462" s="93">
        <f>SUM('1:2'!X462)</f>
        <v>0</v>
      </c>
      <c r="Y462" s="93">
        <f>SUM('1:2'!Y462)</f>
        <v>0</v>
      </c>
      <c r="Z462" s="93">
        <f>SUM('1:2'!Z462)</f>
        <v>0</v>
      </c>
      <c r="AA462" s="93">
        <f>SUM('1:2'!AA462)</f>
        <v>0</v>
      </c>
      <c r="AB462" s="73"/>
      <c r="AC462" s="54"/>
      <c r="AD462" s="370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>
      <c r="A463" s="691" t="s">
        <v>92</v>
      </c>
      <c r="B463" s="692"/>
      <c r="C463" s="359" t="s">
        <v>71</v>
      </c>
      <c r="D463" s="20"/>
      <c r="E463" s="20"/>
      <c r="F463" s="32"/>
      <c r="G463" s="99">
        <f>SUM(G429:G462)</f>
        <v>1732</v>
      </c>
      <c r="H463" s="30">
        <f>SUM(H429:H462)</f>
        <v>8711.9600000000009</v>
      </c>
      <c r="I463" s="30">
        <f>SUM(I429:I462)</f>
        <v>173.5</v>
      </c>
      <c r="J463" s="31">
        <f t="array" ref="J463">IF(ISERROR(G463/I463),"",G463/I463)</f>
        <v>9.9827089337175785</v>
      </c>
      <c r="K463" s="30">
        <f>SUM(K429:K462)</f>
        <v>191.37463343108504</v>
      </c>
      <c r="L463" s="98"/>
      <c r="M463" s="89">
        <f t="shared" ref="M463:V463" si="185">SUM(M429:M462)</f>
        <v>-17.874633431085034</v>
      </c>
      <c r="N463" s="30">
        <f t="shared" si="185"/>
        <v>0</v>
      </c>
      <c r="O463" s="91">
        <f t="shared" si="185"/>
        <v>0</v>
      </c>
      <c r="P463" s="91">
        <f t="shared" si="185"/>
        <v>0</v>
      </c>
      <c r="Q463" s="91">
        <f t="shared" si="185"/>
        <v>0</v>
      </c>
      <c r="R463" s="91">
        <f t="shared" si="185"/>
        <v>0</v>
      </c>
      <c r="S463" s="92">
        <f t="shared" si="185"/>
        <v>0</v>
      </c>
      <c r="T463" s="91">
        <f t="shared" si="185"/>
        <v>0</v>
      </c>
      <c r="U463" s="91">
        <f t="shared" si="185"/>
        <v>0</v>
      </c>
      <c r="V463" s="206">
        <f t="shared" si="185"/>
        <v>0</v>
      </c>
      <c r="W463" s="33">
        <f t="shared" si="184"/>
        <v>0</v>
      </c>
      <c r="X463" s="92">
        <f>SUM(X429:X462)</f>
        <v>0</v>
      </c>
      <c r="Y463" s="92">
        <f>SUM(Y429:Y462)</f>
        <v>0</v>
      </c>
      <c r="Z463" s="92">
        <f>SUM(Z429:Z462)</f>
        <v>0</v>
      </c>
      <c r="AA463" s="92">
        <f>SUM(AA429:AA462)</f>
        <v>0</v>
      </c>
      <c r="AB463" s="75"/>
      <c r="AC463" s="70"/>
      <c r="AD463" s="370"/>
      <c r="AE463" s="74"/>
      <c r="AF463" s="74"/>
      <c r="AG463" s="74"/>
      <c r="AH463" s="7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>
      <c r="A464" s="299">
        <v>30100038</v>
      </c>
      <c r="B464" s="62" t="s">
        <v>93</v>
      </c>
      <c r="C464" s="16" t="s">
        <v>94</v>
      </c>
      <c r="D464" s="17">
        <v>5.03</v>
      </c>
      <c r="E464" s="17"/>
      <c r="F464" s="6"/>
      <c r="G464" s="93">
        <f>SUM('1:2'!G464)</f>
        <v>0</v>
      </c>
      <c r="H464" s="364">
        <f>D464*G464</f>
        <v>0</v>
      </c>
      <c r="I464" s="93">
        <f>SUM('1:2'!I464)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87">
        <v>25</v>
      </c>
      <c r="M464" s="36">
        <f t="shared" ref="M464:M478" si="186">IF(ISERROR(I464-K464),"",I464-K464)</f>
        <v>0</v>
      </c>
      <c r="N464" s="31">
        <f t="shared" ref="N464:N478" si="187">SUM(O464:U464)</f>
        <v>0</v>
      </c>
      <c r="O464" s="93">
        <f>SUM('1:2'!O464)</f>
        <v>0</v>
      </c>
      <c r="P464" s="93">
        <f>SUM('1:2'!P464)</f>
        <v>0</v>
      </c>
      <c r="Q464" s="93">
        <f>SUM('1:2'!Q464)</f>
        <v>0</v>
      </c>
      <c r="R464" s="93">
        <f>SUM('1:2'!R464)</f>
        <v>0</v>
      </c>
      <c r="S464" s="93">
        <f>SUM('1:2'!S464)</f>
        <v>0</v>
      </c>
      <c r="T464" s="93">
        <f>SUM('1:2'!T464)</f>
        <v>0</v>
      </c>
      <c r="U464" s="93">
        <f>SUM('1:2'!U464)</f>
        <v>0</v>
      </c>
      <c r="V464" s="206">
        <f t="shared" ref="V464:V478" si="188">SUM(X464:AA464)</f>
        <v>0</v>
      </c>
      <c r="W464" s="33" t="str">
        <f t="shared" si="184"/>
        <v/>
      </c>
      <c r="X464" s="93">
        <f>SUM('1:2'!X464)</f>
        <v>0</v>
      </c>
      <c r="Y464" s="93">
        <f>SUM('1:2'!Y464)</f>
        <v>0</v>
      </c>
      <c r="Z464" s="93">
        <f>SUM('1:2'!Z464)</f>
        <v>0</v>
      </c>
      <c r="AA464" s="93">
        <f>SUM('1:2'!AA464)</f>
        <v>0</v>
      </c>
      <c r="AB464" s="73"/>
      <c r="AC464" s="54"/>
      <c r="AD464" s="370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>
      <c r="A465" s="299">
        <v>30100037</v>
      </c>
      <c r="B465" s="62" t="s">
        <v>93</v>
      </c>
      <c r="C465" s="16" t="s">
        <v>74</v>
      </c>
      <c r="D465" s="17">
        <v>5.03</v>
      </c>
      <c r="E465" s="17"/>
      <c r="F465" s="6"/>
      <c r="G465" s="93">
        <f>SUM('1:2'!G465)</f>
        <v>0</v>
      </c>
      <c r="H465" s="364">
        <f t="shared" ref="H465:H478" si="189">D465*G465</f>
        <v>0</v>
      </c>
      <c r="I465" s="93">
        <f>SUM('1:2'!I465)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87">
        <v>25</v>
      </c>
      <c r="M465" s="36">
        <f t="shared" si="186"/>
        <v>0</v>
      </c>
      <c r="N465" s="31">
        <f t="shared" si="187"/>
        <v>0</v>
      </c>
      <c r="O465" s="93">
        <f>SUM('1:2'!O465)</f>
        <v>0</v>
      </c>
      <c r="P465" s="93">
        <f>SUM('1:2'!P465)</f>
        <v>0</v>
      </c>
      <c r="Q465" s="93">
        <f>SUM('1:2'!Q465)</f>
        <v>0</v>
      </c>
      <c r="R465" s="93">
        <f>SUM('1:2'!R465)</f>
        <v>0</v>
      </c>
      <c r="S465" s="93">
        <f>SUM('1:2'!S465)</f>
        <v>0</v>
      </c>
      <c r="T465" s="93">
        <f>SUM('1:2'!T465)</f>
        <v>0</v>
      </c>
      <c r="U465" s="93">
        <f>SUM('1:2'!U465)</f>
        <v>0</v>
      </c>
      <c r="V465" s="206">
        <f t="shared" si="188"/>
        <v>0</v>
      </c>
      <c r="W465" s="33" t="str">
        <f t="shared" si="184"/>
        <v/>
      </c>
      <c r="X465" s="93">
        <f>SUM('1:2'!X465)</f>
        <v>0</v>
      </c>
      <c r="Y465" s="93">
        <f>SUM('1:2'!Y465)</f>
        <v>0</v>
      </c>
      <c r="Z465" s="93">
        <f>SUM('1:2'!Z465)</f>
        <v>0</v>
      </c>
      <c r="AA465" s="93">
        <f>SUM('1:2'!AA465)</f>
        <v>0</v>
      </c>
      <c r="AB465" s="73"/>
      <c r="AC465" s="54"/>
      <c r="AD465" s="370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>
      <c r="A466" s="299">
        <v>30100051</v>
      </c>
      <c r="B466" s="62" t="s">
        <v>58</v>
      </c>
      <c r="C466" s="16" t="s">
        <v>65</v>
      </c>
      <c r="D466" s="17">
        <v>5.04</v>
      </c>
      <c r="E466" s="17"/>
      <c r="F466" s="6"/>
      <c r="G466" s="93">
        <f>SUM('1:2'!G466)</f>
        <v>0</v>
      </c>
      <c r="H466" s="364">
        <f t="shared" si="189"/>
        <v>0</v>
      </c>
      <c r="I466" s="93">
        <f>SUM('1:2'!I466)</f>
        <v>0</v>
      </c>
      <c r="J466" s="31" t="str">
        <f t="array" ref="J466">IF(ISERROR(G466/I466),"",G466/I466)</f>
        <v/>
      </c>
      <c r="K466" s="35">
        <f t="array" ref="K466">IF(ISERROR(G466/L466),"",G466/L466)</f>
        <v>0</v>
      </c>
      <c r="L466" s="87">
        <v>20</v>
      </c>
      <c r="M466" s="36">
        <f t="shared" si="186"/>
        <v>0</v>
      </c>
      <c r="N466" s="31">
        <f t="shared" si="187"/>
        <v>0</v>
      </c>
      <c r="O466" s="93">
        <f>SUM('1:2'!O466)</f>
        <v>0</v>
      </c>
      <c r="P466" s="93">
        <f>SUM('1:2'!P466)</f>
        <v>0</v>
      </c>
      <c r="Q466" s="93">
        <f>SUM('1:2'!Q466)</f>
        <v>0</v>
      </c>
      <c r="R466" s="93">
        <f>SUM('1:2'!R466)</f>
        <v>0</v>
      </c>
      <c r="S466" s="93">
        <f>SUM('1:2'!S466)</f>
        <v>0</v>
      </c>
      <c r="T466" s="93">
        <f>SUM('1:2'!T466)</f>
        <v>0</v>
      </c>
      <c r="U466" s="93">
        <f>SUM('1:2'!U466)</f>
        <v>0</v>
      </c>
      <c r="V466" s="206">
        <f t="shared" si="188"/>
        <v>0</v>
      </c>
      <c r="W466" s="33" t="str">
        <f t="shared" si="184"/>
        <v/>
      </c>
      <c r="X466" s="93">
        <f>SUM('1:2'!X466)</f>
        <v>0</v>
      </c>
      <c r="Y466" s="93">
        <f>SUM('1:2'!Y466)</f>
        <v>0</v>
      </c>
      <c r="Z466" s="93">
        <f>SUM('1:2'!Z466)</f>
        <v>0</v>
      </c>
      <c r="AA466" s="93">
        <f>SUM('1:2'!AA466)</f>
        <v>0</v>
      </c>
      <c r="AB466" s="73"/>
      <c r="AC466" s="54"/>
      <c r="AD466" s="370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>
      <c r="A467" s="299"/>
      <c r="B467" s="63" t="s">
        <v>95</v>
      </c>
      <c r="C467" s="16" t="s">
        <v>82</v>
      </c>
      <c r="D467" s="17">
        <v>5.03</v>
      </c>
      <c r="E467" s="17"/>
      <c r="F467" s="6"/>
      <c r="G467" s="93">
        <f>SUM('1:2'!G467)</f>
        <v>0</v>
      </c>
      <c r="H467" s="364">
        <f t="shared" si="189"/>
        <v>0</v>
      </c>
      <c r="I467" s="93">
        <f>SUM('1:2'!I467)</f>
        <v>0</v>
      </c>
      <c r="J467" s="31" t="str">
        <f t="array" ref="J467">IF(ISERROR(G467/I467),"",G467/I467)</f>
        <v/>
      </c>
      <c r="K467" s="35">
        <f t="array" ref="K467">IF(ISERROR(G467/L467),"",G467/L467)</f>
        <v>0</v>
      </c>
      <c r="L467" s="87">
        <v>4</v>
      </c>
      <c r="M467" s="36">
        <f t="shared" si="186"/>
        <v>0</v>
      </c>
      <c r="N467" s="31">
        <f t="shared" si="187"/>
        <v>0</v>
      </c>
      <c r="O467" s="93">
        <f>SUM('1:2'!O467)</f>
        <v>0</v>
      </c>
      <c r="P467" s="93">
        <f>SUM('1:2'!P467)</f>
        <v>0</v>
      </c>
      <c r="Q467" s="93">
        <f>SUM('1:2'!Q467)</f>
        <v>0</v>
      </c>
      <c r="R467" s="93">
        <f>SUM('1:2'!R467)</f>
        <v>0</v>
      </c>
      <c r="S467" s="93">
        <f>SUM('1:2'!S467)</f>
        <v>0</v>
      </c>
      <c r="T467" s="93">
        <f>SUM('1:2'!T467)</f>
        <v>0</v>
      </c>
      <c r="U467" s="93">
        <f>SUM('1:2'!U467)</f>
        <v>0</v>
      </c>
      <c r="V467" s="206">
        <f t="shared" si="188"/>
        <v>0</v>
      </c>
      <c r="W467" s="33" t="str">
        <f t="shared" si="184"/>
        <v/>
      </c>
      <c r="X467" s="93">
        <f>SUM('1:2'!X467)</f>
        <v>0</v>
      </c>
      <c r="Y467" s="93">
        <f>SUM('1:2'!Y467)</f>
        <v>0</v>
      </c>
      <c r="Z467" s="93">
        <f>SUM('1:2'!Z467)</f>
        <v>0</v>
      </c>
      <c r="AA467" s="93">
        <f>SUM('1:2'!AA467)</f>
        <v>0</v>
      </c>
      <c r="AB467" s="73"/>
      <c r="AC467" s="54"/>
      <c r="AD467" s="370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>
      <c r="A468" s="299">
        <v>30100054</v>
      </c>
      <c r="B468" s="63" t="s">
        <v>95</v>
      </c>
      <c r="C468" s="365" t="s">
        <v>72</v>
      </c>
      <c r="D468" s="17">
        <v>5.03</v>
      </c>
      <c r="E468" s="17"/>
      <c r="F468" s="6"/>
      <c r="G468" s="93">
        <f>SUM('1:2'!G468)</f>
        <v>0</v>
      </c>
      <c r="H468" s="364">
        <f t="shared" si="189"/>
        <v>0</v>
      </c>
      <c r="I468" s="93">
        <f>SUM('1:2'!I468)</f>
        <v>0</v>
      </c>
      <c r="J468" s="31" t="str">
        <f t="array" ref="J468">IF(ISERROR(G468/I468),"",G468/I468)</f>
        <v/>
      </c>
      <c r="K468" s="35">
        <f t="array" ref="K468">IF(ISERROR(G468/L468),"",G468/L468)</f>
        <v>0</v>
      </c>
      <c r="L468" s="87">
        <v>4</v>
      </c>
      <c r="M468" s="36">
        <f t="shared" si="186"/>
        <v>0</v>
      </c>
      <c r="N468" s="31">
        <f t="shared" si="187"/>
        <v>0</v>
      </c>
      <c r="O468" s="93">
        <f>SUM('1:2'!O468)</f>
        <v>0</v>
      </c>
      <c r="P468" s="93">
        <f>SUM('1:2'!P468)</f>
        <v>0</v>
      </c>
      <c r="Q468" s="93">
        <f>SUM('1:2'!Q468)</f>
        <v>0</v>
      </c>
      <c r="R468" s="93">
        <f>SUM('1:2'!R468)</f>
        <v>0</v>
      </c>
      <c r="S468" s="93">
        <f>SUM('1:2'!S468)</f>
        <v>0</v>
      </c>
      <c r="T468" s="93">
        <f>SUM('1:2'!T468)</f>
        <v>0</v>
      </c>
      <c r="U468" s="93">
        <f>SUM('1:2'!U468)</f>
        <v>0</v>
      </c>
      <c r="V468" s="206">
        <f t="shared" si="188"/>
        <v>0</v>
      </c>
      <c r="W468" s="33" t="str">
        <f t="shared" si="184"/>
        <v/>
      </c>
      <c r="X468" s="93">
        <f>SUM('1:2'!X468)</f>
        <v>0</v>
      </c>
      <c r="Y468" s="93">
        <f>SUM('1:2'!Y468)</f>
        <v>0</v>
      </c>
      <c r="Z468" s="93">
        <f>SUM('1:2'!Z468)</f>
        <v>0</v>
      </c>
      <c r="AA468" s="93">
        <f>SUM('1:2'!AA468)</f>
        <v>0</v>
      </c>
      <c r="AB468" s="73"/>
      <c r="AC468" s="54"/>
      <c r="AD468" s="370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>
      <c r="A469" s="299">
        <v>30100053</v>
      </c>
      <c r="B469" s="63" t="s">
        <v>95</v>
      </c>
      <c r="C469" s="16" t="s">
        <v>73</v>
      </c>
      <c r="D469" s="17">
        <v>5.03</v>
      </c>
      <c r="E469" s="17"/>
      <c r="F469" s="6"/>
      <c r="G469" s="93">
        <f>SUM('1:2'!G469)</f>
        <v>0</v>
      </c>
      <c r="H469" s="364">
        <f t="shared" si="189"/>
        <v>0</v>
      </c>
      <c r="I469" s="93">
        <f>SUM('1:2'!I469)</f>
        <v>0</v>
      </c>
      <c r="J469" s="31" t="str">
        <f t="array" ref="J469">IF(ISERROR(G469/I469),"",G469/I469)</f>
        <v/>
      </c>
      <c r="K469" s="35">
        <f t="array" ref="K469">IF(ISERROR(G469/L469),"",G469/L469)</f>
        <v>0</v>
      </c>
      <c r="L469" s="87">
        <v>4</v>
      </c>
      <c r="M469" s="36">
        <f t="shared" si="186"/>
        <v>0</v>
      </c>
      <c r="N469" s="31">
        <f t="shared" si="187"/>
        <v>0</v>
      </c>
      <c r="O469" s="93">
        <f>SUM('1:2'!O469)</f>
        <v>0</v>
      </c>
      <c r="P469" s="93">
        <f>SUM('1:2'!P469)</f>
        <v>0</v>
      </c>
      <c r="Q469" s="93">
        <f>SUM('1:2'!Q469)</f>
        <v>0</v>
      </c>
      <c r="R469" s="93">
        <f>SUM('1:2'!R469)</f>
        <v>0</v>
      </c>
      <c r="S469" s="93">
        <f>SUM('1:2'!S469)</f>
        <v>0</v>
      </c>
      <c r="T469" s="93">
        <f>SUM('1:2'!T469)</f>
        <v>0</v>
      </c>
      <c r="U469" s="93">
        <f>SUM('1:2'!U469)</f>
        <v>0</v>
      </c>
      <c r="V469" s="206">
        <f t="shared" si="188"/>
        <v>0</v>
      </c>
      <c r="W469" s="33" t="str">
        <f t="shared" si="184"/>
        <v/>
      </c>
      <c r="X469" s="93">
        <f>SUM('1:2'!X469)</f>
        <v>0</v>
      </c>
      <c r="Y469" s="93">
        <f>SUM('1:2'!Y469)</f>
        <v>0</v>
      </c>
      <c r="Z469" s="93">
        <f>SUM('1:2'!Z469)</f>
        <v>0</v>
      </c>
      <c r="AA469" s="93">
        <f>SUM('1:2'!AA469)</f>
        <v>0</v>
      </c>
      <c r="AB469" s="73"/>
      <c r="AC469" s="54"/>
      <c r="AD469" s="370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>
      <c r="A470" s="299"/>
      <c r="B470" s="63" t="s">
        <v>95</v>
      </c>
      <c r="C470" s="16" t="s">
        <v>60</v>
      </c>
      <c r="D470" s="17">
        <v>5.03</v>
      </c>
      <c r="E470" s="17"/>
      <c r="F470" s="6"/>
      <c r="G470" s="93">
        <f>SUM('1:2'!G470)</f>
        <v>0</v>
      </c>
      <c r="H470" s="364">
        <f t="shared" si="189"/>
        <v>0</v>
      </c>
      <c r="I470" s="93">
        <f>SUM('1:2'!I470)</f>
        <v>0</v>
      </c>
      <c r="J470" s="31" t="str">
        <f t="array" ref="J470">IF(ISERROR(G470/I470),"",G470/I470)</f>
        <v/>
      </c>
      <c r="K470" s="35">
        <f t="array" ref="K470">IF(ISERROR(G470/L470),"",G470/L470)</f>
        <v>0</v>
      </c>
      <c r="L470" s="87">
        <v>4</v>
      </c>
      <c r="M470" s="36">
        <f t="shared" si="186"/>
        <v>0</v>
      </c>
      <c r="N470" s="31">
        <f t="shared" si="187"/>
        <v>0</v>
      </c>
      <c r="O470" s="93">
        <f>SUM('1:2'!O470)</f>
        <v>0</v>
      </c>
      <c r="P470" s="93">
        <f>SUM('1:2'!P470)</f>
        <v>0</v>
      </c>
      <c r="Q470" s="93">
        <f>SUM('1:2'!Q470)</f>
        <v>0</v>
      </c>
      <c r="R470" s="93">
        <f>SUM('1:2'!R470)</f>
        <v>0</v>
      </c>
      <c r="S470" s="93">
        <f>SUM('1:2'!S470)</f>
        <v>0</v>
      </c>
      <c r="T470" s="93">
        <f>SUM('1:2'!T470)</f>
        <v>0</v>
      </c>
      <c r="U470" s="93">
        <f>SUM('1:2'!U470)</f>
        <v>0</v>
      </c>
      <c r="V470" s="206">
        <f t="shared" si="188"/>
        <v>0</v>
      </c>
      <c r="W470" s="33" t="str">
        <f t="shared" si="184"/>
        <v/>
      </c>
      <c r="X470" s="93">
        <f>SUM('1:2'!X470)</f>
        <v>0</v>
      </c>
      <c r="Y470" s="93">
        <f>SUM('1:2'!Y470)</f>
        <v>0</v>
      </c>
      <c r="Z470" s="93">
        <f>SUM('1:2'!Z470)</f>
        <v>0</v>
      </c>
      <c r="AA470" s="93">
        <f>SUM('1:2'!AA470)</f>
        <v>0</v>
      </c>
      <c r="AB470" s="73"/>
      <c r="AC470" s="54"/>
      <c r="AD470" s="370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>
      <c r="A471" s="299"/>
      <c r="B471" s="63" t="s">
        <v>95</v>
      </c>
      <c r="C471" s="365" t="s">
        <v>96</v>
      </c>
      <c r="D471" s="17">
        <v>5.03</v>
      </c>
      <c r="E471" s="17"/>
      <c r="F471" s="6"/>
      <c r="G471" s="93">
        <f>SUM('1:2'!G471)</f>
        <v>0</v>
      </c>
      <c r="H471" s="364">
        <f t="shared" si="189"/>
        <v>0</v>
      </c>
      <c r="I471" s="93">
        <f>SUM('1:2'!I471)</f>
        <v>0</v>
      </c>
      <c r="J471" s="31" t="str">
        <f t="array" ref="J471">IF(ISERROR(G471/I471),"",G471/I471)</f>
        <v/>
      </c>
      <c r="K471" s="35">
        <f t="array" ref="K471">IF(ISERROR(G471/L471),"",G471/L471)</f>
        <v>0</v>
      </c>
      <c r="L471" s="87">
        <v>4</v>
      </c>
      <c r="M471" s="36">
        <f t="shared" si="186"/>
        <v>0</v>
      </c>
      <c r="N471" s="31">
        <f t="shared" si="187"/>
        <v>0</v>
      </c>
      <c r="O471" s="93">
        <f>SUM('1:2'!O471)</f>
        <v>0</v>
      </c>
      <c r="P471" s="93">
        <f>SUM('1:2'!P471)</f>
        <v>0</v>
      </c>
      <c r="Q471" s="93">
        <f>SUM('1:2'!Q471)</f>
        <v>0</v>
      </c>
      <c r="R471" s="93">
        <f>SUM('1:2'!R471)</f>
        <v>0</v>
      </c>
      <c r="S471" s="93">
        <f>SUM('1:2'!S471)</f>
        <v>0</v>
      </c>
      <c r="T471" s="93">
        <f>SUM('1:2'!T471)</f>
        <v>0</v>
      </c>
      <c r="U471" s="93">
        <f>SUM('1:2'!U471)</f>
        <v>0</v>
      </c>
      <c r="V471" s="206">
        <f t="shared" si="188"/>
        <v>0</v>
      </c>
      <c r="W471" s="33" t="str">
        <f t="shared" si="184"/>
        <v/>
      </c>
      <c r="X471" s="93">
        <f>SUM('1:2'!X471)</f>
        <v>0</v>
      </c>
      <c r="Y471" s="93">
        <f>SUM('1:2'!Y471)</f>
        <v>0</v>
      </c>
      <c r="Z471" s="93">
        <f>SUM('1:2'!Z471)</f>
        <v>0</v>
      </c>
      <c r="AA471" s="93">
        <f>SUM('1:2'!AA471)</f>
        <v>0</v>
      </c>
      <c r="AB471" s="73"/>
      <c r="AC471" s="54"/>
      <c r="AD471" s="370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>
      <c r="A472" s="299">
        <v>30101067</v>
      </c>
      <c r="B472" s="63" t="s">
        <v>97</v>
      </c>
      <c r="C472" s="365" t="s">
        <v>82</v>
      </c>
      <c r="D472" s="17">
        <v>5.03</v>
      </c>
      <c r="E472" s="17"/>
      <c r="F472" s="6"/>
      <c r="G472" s="93">
        <f>SUM('1:2'!G472)</f>
        <v>0</v>
      </c>
      <c r="H472" s="364">
        <f t="shared" si="189"/>
        <v>0</v>
      </c>
      <c r="I472" s="93">
        <f>SUM('1:2'!I472)</f>
        <v>0</v>
      </c>
      <c r="J472" s="31" t="str">
        <f t="array" ref="J472">IF(ISERROR(G472/I472),"",G472/I472)</f>
        <v/>
      </c>
      <c r="K472" s="35" t="str">
        <f t="array" ref="K472">IF(ISERROR(G472/L472),"",G472/L472)</f>
        <v/>
      </c>
      <c r="L472" s="87"/>
      <c r="M472" s="36" t="str">
        <f t="shared" si="186"/>
        <v/>
      </c>
      <c r="N472" s="31">
        <f t="shared" si="187"/>
        <v>0</v>
      </c>
      <c r="O472" s="93">
        <f>SUM('1:2'!O472)</f>
        <v>0</v>
      </c>
      <c r="P472" s="93">
        <f>SUM('1:2'!P472)</f>
        <v>0</v>
      </c>
      <c r="Q472" s="93">
        <f>SUM('1:2'!Q472)</f>
        <v>0</v>
      </c>
      <c r="R472" s="93">
        <f>SUM('1:2'!R472)</f>
        <v>0</v>
      </c>
      <c r="S472" s="93">
        <f>SUM('1:2'!S472)</f>
        <v>0</v>
      </c>
      <c r="T472" s="93">
        <f>SUM('1:2'!T472)</f>
        <v>0</v>
      </c>
      <c r="U472" s="93">
        <f>SUM('1:2'!U472)</f>
        <v>0</v>
      </c>
      <c r="V472" s="206">
        <f t="shared" si="188"/>
        <v>0</v>
      </c>
      <c r="W472" s="33" t="str">
        <f t="shared" si="184"/>
        <v/>
      </c>
      <c r="X472" s="93">
        <f>SUM('1:2'!X472)</f>
        <v>0</v>
      </c>
      <c r="Y472" s="93">
        <f>SUM('1:2'!Y472)</f>
        <v>0</v>
      </c>
      <c r="Z472" s="93">
        <f>SUM('1:2'!Z472)</f>
        <v>0</v>
      </c>
      <c r="AA472" s="93">
        <f>SUM('1:2'!AA472)</f>
        <v>0</v>
      </c>
      <c r="AB472" s="73"/>
      <c r="AC472" s="54"/>
      <c r="AD472" s="370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>
      <c r="A473" s="299">
        <v>30101068</v>
      </c>
      <c r="B473" s="63" t="s">
        <v>97</v>
      </c>
      <c r="C473" s="365" t="s">
        <v>72</v>
      </c>
      <c r="D473" s="17">
        <v>5.03</v>
      </c>
      <c r="E473" s="17"/>
      <c r="F473" s="6"/>
      <c r="G473" s="93">
        <f>SUM('1:2'!G473)</f>
        <v>0</v>
      </c>
      <c r="H473" s="364">
        <f t="shared" si="189"/>
        <v>0</v>
      </c>
      <c r="I473" s="93">
        <f>SUM('1:2'!I473)</f>
        <v>0</v>
      </c>
      <c r="J473" s="31" t="str">
        <f t="array" ref="J473">IF(ISERROR(G473/I473),"",G473/I473)</f>
        <v/>
      </c>
      <c r="K473" s="35" t="str">
        <f t="array" ref="K473">IF(ISERROR(G473/L473),"",G473/L473)</f>
        <v/>
      </c>
      <c r="L473" s="87"/>
      <c r="M473" s="36" t="str">
        <f t="shared" si="186"/>
        <v/>
      </c>
      <c r="N473" s="31">
        <f t="shared" si="187"/>
        <v>0</v>
      </c>
      <c r="O473" s="93">
        <f>SUM('1:2'!O473)</f>
        <v>0</v>
      </c>
      <c r="P473" s="93">
        <f>SUM('1:2'!P473)</f>
        <v>0</v>
      </c>
      <c r="Q473" s="93">
        <f>SUM('1:2'!Q473)</f>
        <v>0</v>
      </c>
      <c r="R473" s="93">
        <f>SUM('1:2'!R473)</f>
        <v>0</v>
      </c>
      <c r="S473" s="93">
        <f>SUM('1:2'!S473)</f>
        <v>0</v>
      </c>
      <c r="T473" s="93">
        <f>SUM('1:2'!T473)</f>
        <v>0</v>
      </c>
      <c r="U473" s="93">
        <f>SUM('1:2'!U473)</f>
        <v>0</v>
      </c>
      <c r="V473" s="206">
        <f t="shared" si="188"/>
        <v>0</v>
      </c>
      <c r="W473" s="33" t="str">
        <f t="shared" si="184"/>
        <v/>
      </c>
      <c r="X473" s="93">
        <f>SUM('1:2'!X473)</f>
        <v>0</v>
      </c>
      <c r="Y473" s="93">
        <f>SUM('1:2'!Y473)</f>
        <v>0</v>
      </c>
      <c r="Z473" s="93">
        <f>SUM('1:2'!Z473)</f>
        <v>0</v>
      </c>
      <c r="AA473" s="93">
        <f>SUM('1:2'!AA473)</f>
        <v>0</v>
      </c>
      <c r="AB473" s="73"/>
      <c r="AC473" s="54"/>
      <c r="AD473" s="370"/>
      <c r="AE473" s="54"/>
      <c r="AF473" s="54"/>
      <c r="AG473" s="54"/>
      <c r="AH473" s="5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>
      <c r="A474" s="299">
        <v>30101069</v>
      </c>
      <c r="B474" s="63" t="s">
        <v>97</v>
      </c>
      <c r="C474" s="365" t="s">
        <v>60</v>
      </c>
      <c r="D474" s="17">
        <v>5.03</v>
      </c>
      <c r="E474" s="17"/>
      <c r="F474" s="6"/>
      <c r="G474" s="93">
        <f>SUM('1:2'!G474)</f>
        <v>0</v>
      </c>
      <c r="H474" s="364">
        <f t="shared" si="189"/>
        <v>0</v>
      </c>
      <c r="I474" s="93">
        <f>SUM('1:2'!I474)</f>
        <v>0</v>
      </c>
      <c r="J474" s="31" t="str">
        <f t="array" ref="J474">IF(ISERROR(G474/I474),"",G474/I474)</f>
        <v/>
      </c>
      <c r="K474" s="35" t="str">
        <f t="array" ref="K474">IF(ISERROR(G474/L474),"",G474/L474)</f>
        <v/>
      </c>
      <c r="L474" s="87"/>
      <c r="M474" s="36" t="str">
        <f t="shared" si="186"/>
        <v/>
      </c>
      <c r="N474" s="31">
        <f t="shared" si="187"/>
        <v>0</v>
      </c>
      <c r="O474" s="93">
        <f>SUM('1:2'!O474)</f>
        <v>0</v>
      </c>
      <c r="P474" s="93">
        <f>SUM('1:2'!P474)</f>
        <v>0</v>
      </c>
      <c r="Q474" s="93">
        <f>SUM('1:2'!Q474)</f>
        <v>0</v>
      </c>
      <c r="R474" s="93">
        <f>SUM('1:2'!R474)</f>
        <v>0</v>
      </c>
      <c r="S474" s="93">
        <f>SUM('1:2'!S474)</f>
        <v>0</v>
      </c>
      <c r="T474" s="93">
        <f>SUM('1:2'!T474)</f>
        <v>0</v>
      </c>
      <c r="U474" s="93">
        <f>SUM('1:2'!U474)</f>
        <v>0</v>
      </c>
      <c r="V474" s="206">
        <f t="shared" si="188"/>
        <v>0</v>
      </c>
      <c r="W474" s="33" t="str">
        <f t="shared" si="184"/>
        <v/>
      </c>
      <c r="X474" s="93">
        <f>SUM('1:2'!X474)</f>
        <v>0</v>
      </c>
      <c r="Y474" s="93">
        <f>SUM('1:2'!Y474)</f>
        <v>0</v>
      </c>
      <c r="Z474" s="93">
        <f>SUM('1:2'!Z474)</f>
        <v>0</v>
      </c>
      <c r="AA474" s="93">
        <f>SUM('1:2'!AA474)</f>
        <v>0</v>
      </c>
      <c r="AB474" s="73"/>
      <c r="AC474" s="54"/>
      <c r="AD474" s="370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>
      <c r="A475" s="299">
        <v>30101070</v>
      </c>
      <c r="B475" s="63" t="s">
        <v>97</v>
      </c>
      <c r="C475" s="365" t="s">
        <v>96</v>
      </c>
      <c r="D475" s="17">
        <v>5.03</v>
      </c>
      <c r="E475" s="17"/>
      <c r="F475" s="6"/>
      <c r="G475" s="93">
        <f>SUM('1:2'!G475)</f>
        <v>0</v>
      </c>
      <c r="H475" s="364">
        <f t="shared" si="189"/>
        <v>0</v>
      </c>
      <c r="I475" s="93">
        <f>SUM('1:2'!I475)</f>
        <v>0</v>
      </c>
      <c r="J475" s="31" t="str">
        <f t="array" ref="J475">IF(ISERROR(G475/I475),"",G475/I475)</f>
        <v/>
      </c>
      <c r="K475" s="35" t="str">
        <f t="array" ref="K475">IF(ISERROR(G475/L475),"",G475/L475)</f>
        <v/>
      </c>
      <c r="L475" s="87"/>
      <c r="M475" s="36" t="str">
        <f t="shared" si="186"/>
        <v/>
      </c>
      <c r="N475" s="31">
        <f t="shared" si="187"/>
        <v>0</v>
      </c>
      <c r="O475" s="93">
        <f>SUM('1:2'!O475)</f>
        <v>0</v>
      </c>
      <c r="P475" s="93">
        <f>SUM('1:2'!P475)</f>
        <v>0</v>
      </c>
      <c r="Q475" s="93">
        <f>SUM('1:2'!Q475)</f>
        <v>0</v>
      </c>
      <c r="R475" s="93">
        <f>SUM('1:2'!R475)</f>
        <v>0</v>
      </c>
      <c r="S475" s="93">
        <f>SUM('1:2'!S475)</f>
        <v>0</v>
      </c>
      <c r="T475" s="93">
        <f>SUM('1:2'!T475)</f>
        <v>0</v>
      </c>
      <c r="U475" s="93">
        <f>SUM('1:2'!U475)</f>
        <v>0</v>
      </c>
      <c r="V475" s="206">
        <f t="shared" si="188"/>
        <v>0</v>
      </c>
      <c r="W475" s="33" t="str">
        <f t="shared" si="184"/>
        <v/>
      </c>
      <c r="X475" s="93">
        <f>SUM('1:2'!X475)</f>
        <v>0</v>
      </c>
      <c r="Y475" s="93">
        <f>SUM('1:2'!Y475)</f>
        <v>0</v>
      </c>
      <c r="Z475" s="93">
        <f>SUM('1:2'!Z475)</f>
        <v>0</v>
      </c>
      <c r="AA475" s="93">
        <f>SUM('1:2'!AA475)</f>
        <v>0</v>
      </c>
      <c r="AB475" s="73"/>
      <c r="AC475" s="54"/>
      <c r="AD475" s="370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>
      <c r="A476" s="299">
        <v>30101071</v>
      </c>
      <c r="B476" s="63" t="s">
        <v>97</v>
      </c>
      <c r="C476" s="365" t="s">
        <v>73</v>
      </c>
      <c r="D476" s="17">
        <v>5.03</v>
      </c>
      <c r="E476" s="17"/>
      <c r="F476" s="6"/>
      <c r="G476" s="93">
        <f>SUM('1:2'!G476)</f>
        <v>0</v>
      </c>
      <c r="H476" s="364">
        <f t="shared" si="189"/>
        <v>0</v>
      </c>
      <c r="I476" s="93">
        <f>SUM('1:2'!I476)</f>
        <v>0</v>
      </c>
      <c r="J476" s="31" t="str">
        <f t="array" ref="J476">IF(ISERROR(G476/I476),"",G476/I476)</f>
        <v/>
      </c>
      <c r="K476" s="35" t="str">
        <f t="array" ref="K476">IF(ISERROR(G476/L476),"",G476/L476)</f>
        <v/>
      </c>
      <c r="L476" s="87"/>
      <c r="M476" s="36" t="str">
        <f t="shared" si="186"/>
        <v/>
      </c>
      <c r="N476" s="31">
        <f t="shared" si="187"/>
        <v>0</v>
      </c>
      <c r="O476" s="93">
        <f>SUM('1:2'!O476)</f>
        <v>0</v>
      </c>
      <c r="P476" s="93">
        <f>SUM('1:2'!P476)</f>
        <v>0</v>
      </c>
      <c r="Q476" s="93">
        <f>SUM('1:2'!Q476)</f>
        <v>0</v>
      </c>
      <c r="R476" s="93">
        <f>SUM('1:2'!R476)</f>
        <v>0</v>
      </c>
      <c r="S476" s="93">
        <f>SUM('1:2'!S476)</f>
        <v>0</v>
      </c>
      <c r="T476" s="93">
        <f>SUM('1:2'!T476)</f>
        <v>0</v>
      </c>
      <c r="U476" s="93">
        <f>SUM('1:2'!U476)</f>
        <v>0</v>
      </c>
      <c r="V476" s="206">
        <f t="shared" si="188"/>
        <v>0</v>
      </c>
      <c r="W476" s="33" t="str">
        <f t="shared" si="184"/>
        <v/>
      </c>
      <c r="X476" s="93">
        <f>SUM('1:2'!X476)</f>
        <v>0</v>
      </c>
      <c r="Y476" s="93">
        <f>SUM('1:2'!Y476)</f>
        <v>0</v>
      </c>
      <c r="Z476" s="93">
        <f>SUM('1:2'!Z476)</f>
        <v>0</v>
      </c>
      <c r="AA476" s="93">
        <f>SUM('1:2'!AA476)</f>
        <v>0</v>
      </c>
      <c r="AB476" s="73"/>
      <c r="AC476" s="54"/>
      <c r="AD476" s="370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>
      <c r="A477" s="300">
        <v>30100001</v>
      </c>
      <c r="B477" s="62" t="s">
        <v>98</v>
      </c>
      <c r="C477" s="16" t="s">
        <v>74</v>
      </c>
      <c r="D477" s="17">
        <v>5.0599999999999996</v>
      </c>
      <c r="E477" s="17"/>
      <c r="F477" s="6"/>
      <c r="G477" s="93">
        <f>SUM('1:2'!G477)</f>
        <v>0</v>
      </c>
      <c r="H477" s="364">
        <f t="shared" si="189"/>
        <v>0</v>
      </c>
      <c r="I477" s="93">
        <f>SUM('1:2'!I477)</f>
        <v>0</v>
      </c>
      <c r="J477" s="31" t="str">
        <f t="array" ref="J477">IF(ISERROR(G477/I477),"",G477/I477)</f>
        <v/>
      </c>
      <c r="K477" s="35">
        <f t="array" ref="K477">IF(ISERROR(G477/L477),"",G477/L477)</f>
        <v>0</v>
      </c>
      <c r="L477" s="87">
        <v>25</v>
      </c>
      <c r="M477" s="36">
        <f t="shared" si="186"/>
        <v>0</v>
      </c>
      <c r="N477" s="31">
        <f t="shared" si="187"/>
        <v>0</v>
      </c>
      <c r="O477" s="93">
        <f>SUM('1:2'!O477)</f>
        <v>0</v>
      </c>
      <c r="P477" s="93">
        <f>SUM('1:2'!P477)</f>
        <v>0</v>
      </c>
      <c r="Q477" s="93">
        <f>SUM('1:2'!Q477)</f>
        <v>0</v>
      </c>
      <c r="R477" s="93">
        <f>SUM('1:2'!R477)</f>
        <v>0</v>
      </c>
      <c r="S477" s="93">
        <f>SUM('1:2'!S477)</f>
        <v>0</v>
      </c>
      <c r="T477" s="93">
        <f>SUM('1:2'!T477)</f>
        <v>0</v>
      </c>
      <c r="U477" s="93">
        <f>SUM('1:2'!U477)</f>
        <v>0</v>
      </c>
      <c r="V477" s="206">
        <f t="shared" si="188"/>
        <v>0</v>
      </c>
      <c r="W477" s="33" t="str">
        <f t="shared" si="184"/>
        <v/>
      </c>
      <c r="X477" s="93">
        <f>SUM('1:2'!X477)</f>
        <v>0</v>
      </c>
      <c r="Y477" s="93">
        <f>SUM('1:2'!Y477)</f>
        <v>0</v>
      </c>
      <c r="Z477" s="93">
        <f>SUM('1:2'!Z477)</f>
        <v>0</v>
      </c>
      <c r="AA477" s="93">
        <f>SUM('1:2'!AA477)</f>
        <v>0</v>
      </c>
      <c r="AB477" s="73"/>
      <c r="AC477" s="54"/>
      <c r="AD477" s="370"/>
      <c r="AE477" s="54"/>
      <c r="AF477" s="54"/>
      <c r="AG477" s="54"/>
      <c r="AH477" s="5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>
      <c r="A478" s="300">
        <v>30100002</v>
      </c>
      <c r="B478" s="62" t="s">
        <v>98</v>
      </c>
      <c r="C478" s="16" t="s">
        <v>94</v>
      </c>
      <c r="D478" s="17">
        <v>5.0599999999999996</v>
      </c>
      <c r="E478" s="17"/>
      <c r="F478" s="6"/>
      <c r="G478" s="93">
        <f>SUM('1:2'!G478)</f>
        <v>0</v>
      </c>
      <c r="H478" s="364">
        <f t="shared" si="189"/>
        <v>0</v>
      </c>
      <c r="I478" s="93">
        <f>SUM('1:2'!I478)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87">
        <v>25</v>
      </c>
      <c r="M478" s="36">
        <f t="shared" si="186"/>
        <v>0</v>
      </c>
      <c r="N478" s="31">
        <f t="shared" si="187"/>
        <v>0</v>
      </c>
      <c r="O478" s="93">
        <f>SUM('1:2'!O478)</f>
        <v>0</v>
      </c>
      <c r="P478" s="93">
        <f>SUM('1:2'!P478)</f>
        <v>0</v>
      </c>
      <c r="Q478" s="93">
        <f>SUM('1:2'!Q478)</f>
        <v>0</v>
      </c>
      <c r="R478" s="93">
        <f>SUM('1:2'!R478)</f>
        <v>0</v>
      </c>
      <c r="S478" s="93">
        <f>SUM('1:2'!S478)</f>
        <v>0</v>
      </c>
      <c r="T478" s="93">
        <f>SUM('1:2'!T478)</f>
        <v>0</v>
      </c>
      <c r="U478" s="93">
        <f>SUM('1:2'!U478)</f>
        <v>0</v>
      </c>
      <c r="V478" s="206">
        <f t="shared" si="188"/>
        <v>0</v>
      </c>
      <c r="W478" s="33" t="str">
        <f t="shared" si="184"/>
        <v/>
      </c>
      <c r="X478" s="93">
        <f>SUM('1:2'!X478)</f>
        <v>0</v>
      </c>
      <c r="Y478" s="93">
        <f>SUM('1:2'!Y478)</f>
        <v>0</v>
      </c>
      <c r="Z478" s="93">
        <f>SUM('1:2'!Z478)</f>
        <v>0</v>
      </c>
      <c r="AA478" s="93">
        <f>SUM('1:2'!AA478)</f>
        <v>0</v>
      </c>
      <c r="AB478" s="73"/>
      <c r="AC478" s="54"/>
      <c r="AD478" s="370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>
      <c r="A479" s="691" t="s">
        <v>99</v>
      </c>
      <c r="B479" s="692"/>
      <c r="C479" s="359" t="s">
        <v>71</v>
      </c>
      <c r="D479" s="20"/>
      <c r="E479" s="20"/>
      <c r="F479" s="32"/>
      <c r="G479" s="99">
        <f>SUM(G464:G478)</f>
        <v>0</v>
      </c>
      <c r="H479" s="30">
        <f>SUM(H464:H478)</f>
        <v>0</v>
      </c>
      <c r="I479" s="30">
        <f>SUM(I464:I478)</f>
        <v>0</v>
      </c>
      <c r="J479" s="31" t="str">
        <f t="array" ref="J479">IF(ISERROR(G479/I479),"",G479/I479)</f>
        <v/>
      </c>
      <c r="K479" s="30">
        <f>SUM(K464:K478)</f>
        <v>0</v>
      </c>
      <c r="L479" s="98"/>
      <c r="M479" s="89">
        <f t="shared" ref="M479:V479" si="190">SUM(M464:M478)</f>
        <v>0</v>
      </c>
      <c r="N479" s="30">
        <f t="shared" si="190"/>
        <v>0</v>
      </c>
      <c r="O479" s="30">
        <f t="shared" si="190"/>
        <v>0</v>
      </c>
      <c r="P479" s="30">
        <f t="shared" si="190"/>
        <v>0</v>
      </c>
      <c r="Q479" s="30">
        <f t="shared" si="190"/>
        <v>0</v>
      </c>
      <c r="R479" s="30">
        <f t="shared" si="190"/>
        <v>0</v>
      </c>
      <c r="S479" s="30">
        <f t="shared" si="190"/>
        <v>0</v>
      </c>
      <c r="T479" s="30">
        <f t="shared" si="190"/>
        <v>0</v>
      </c>
      <c r="U479" s="30">
        <f t="shared" si="190"/>
        <v>0</v>
      </c>
      <c r="V479" s="208">
        <f t="shared" si="190"/>
        <v>0</v>
      </c>
      <c r="W479" s="33" t="str">
        <f t="shared" si="184"/>
        <v/>
      </c>
      <c r="X479" s="94">
        <f>SUM(X464:X478)</f>
        <v>0</v>
      </c>
      <c r="Y479" s="94">
        <f>SUM(Y464:Y478)</f>
        <v>0</v>
      </c>
      <c r="Z479" s="94">
        <f>SUM(Z464:Z478)</f>
        <v>0</v>
      </c>
      <c r="AA479" s="94">
        <f>SUM(AA464:AA478)</f>
        <v>0</v>
      </c>
      <c r="AB479" s="75"/>
      <c r="AC479" s="70"/>
      <c r="AD479" s="370"/>
      <c r="AE479" s="74"/>
      <c r="AF479" s="74"/>
      <c r="AG479" s="74"/>
      <c r="AH479" s="7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>
      <c r="A480" s="300">
        <v>30400025</v>
      </c>
      <c r="B480" s="192" t="s">
        <v>232</v>
      </c>
      <c r="C480" s="16" t="s">
        <v>53</v>
      </c>
      <c r="D480" s="17">
        <v>5.04</v>
      </c>
      <c r="E480" s="17"/>
      <c r="F480" s="6"/>
      <c r="G480" s="93">
        <f>SUM('1:2'!G480)</f>
        <v>0</v>
      </c>
      <c r="H480" s="364">
        <f t="shared" ref="H480:H489" si="191">D480*G480</f>
        <v>0</v>
      </c>
      <c r="I480" s="93">
        <f>SUM('1:2'!I480)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87">
        <v>22</v>
      </c>
      <c r="M480" s="36">
        <f t="shared" ref="M480:M484" si="192">IF(ISERROR(I480-K480),"",I480-K480)</f>
        <v>0</v>
      </c>
      <c r="N480" s="31">
        <f t="shared" ref="N480:N484" si="193">SUM(O480:U480)</f>
        <v>0</v>
      </c>
      <c r="O480" s="93">
        <f>SUM('1:2'!O480)</f>
        <v>0</v>
      </c>
      <c r="P480" s="93">
        <f>SUM('1:2'!P480)</f>
        <v>0</v>
      </c>
      <c r="Q480" s="93">
        <f>SUM('1:2'!Q480)</f>
        <v>0</v>
      </c>
      <c r="R480" s="93">
        <f>SUM('1:2'!R480)</f>
        <v>0</v>
      </c>
      <c r="S480" s="93">
        <f>SUM('1:2'!S480)</f>
        <v>0</v>
      </c>
      <c r="T480" s="93">
        <f>SUM('1:2'!T480)</f>
        <v>0</v>
      </c>
      <c r="U480" s="93">
        <f>SUM('1:2'!U480)</f>
        <v>0</v>
      </c>
      <c r="V480" s="206">
        <f t="shared" ref="V480:V484" si="194">SUM(X480:AA480)</f>
        <v>0</v>
      </c>
      <c r="W480" s="33" t="str">
        <f t="shared" si="184"/>
        <v/>
      </c>
      <c r="X480" s="93">
        <f>SUM('1:2'!X480)</f>
        <v>0</v>
      </c>
      <c r="Y480" s="93">
        <f>SUM('1:2'!Y480)</f>
        <v>0</v>
      </c>
      <c r="Z480" s="93">
        <f>SUM('1:2'!Z480)</f>
        <v>0</v>
      </c>
      <c r="AA480" s="93">
        <f>SUM('1:2'!AA480)</f>
        <v>0</v>
      </c>
      <c r="AB480" s="73"/>
      <c r="AC480" s="54"/>
      <c r="AD480" s="370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>
      <c r="A481" s="300">
        <v>30400023</v>
      </c>
      <c r="B481" s="192" t="s">
        <v>232</v>
      </c>
      <c r="C481" s="16" t="s">
        <v>60</v>
      </c>
      <c r="D481" s="17">
        <v>5.04</v>
      </c>
      <c r="E481" s="17"/>
      <c r="F481" s="6"/>
      <c r="G481" s="93">
        <f>SUM('1:2'!G481)</f>
        <v>0</v>
      </c>
      <c r="H481" s="364">
        <f t="shared" si="191"/>
        <v>0</v>
      </c>
      <c r="I481" s="93">
        <f>SUM('1:2'!I481)</f>
        <v>0</v>
      </c>
      <c r="J481" s="31" t="str">
        <f t="array" ref="J481">IF(ISERROR(G481/I481),"",G481/I481)</f>
        <v/>
      </c>
      <c r="K481" s="35">
        <f t="array" ref="K481">IF(ISERROR(G481/L481),"",G481/L481)</f>
        <v>0</v>
      </c>
      <c r="L481" s="87">
        <v>22</v>
      </c>
      <c r="M481" s="36">
        <f t="shared" si="192"/>
        <v>0</v>
      </c>
      <c r="N481" s="31">
        <f t="shared" si="193"/>
        <v>0</v>
      </c>
      <c r="O481" s="93">
        <f>SUM('1:2'!O481)</f>
        <v>0</v>
      </c>
      <c r="P481" s="93">
        <f>SUM('1:2'!P481)</f>
        <v>0</v>
      </c>
      <c r="Q481" s="93">
        <f>SUM('1:2'!Q481)</f>
        <v>0</v>
      </c>
      <c r="R481" s="93">
        <f>SUM('1:2'!R481)</f>
        <v>0</v>
      </c>
      <c r="S481" s="93">
        <f>SUM('1:2'!S481)</f>
        <v>0</v>
      </c>
      <c r="T481" s="93">
        <f>SUM('1:2'!T481)</f>
        <v>0</v>
      </c>
      <c r="U481" s="93">
        <f>SUM('1:2'!U481)</f>
        <v>0</v>
      </c>
      <c r="V481" s="206">
        <f t="shared" si="194"/>
        <v>0</v>
      </c>
      <c r="W481" s="33" t="str">
        <f t="shared" si="184"/>
        <v/>
      </c>
      <c r="X481" s="93">
        <f>SUM('1:2'!X481)</f>
        <v>0</v>
      </c>
      <c r="Y481" s="93">
        <f>SUM('1:2'!Y481)</f>
        <v>0</v>
      </c>
      <c r="Z481" s="93">
        <f>SUM('1:2'!Z481)</f>
        <v>0</v>
      </c>
      <c r="AA481" s="93">
        <f>SUM('1:2'!AA481)</f>
        <v>0</v>
      </c>
      <c r="AB481" s="73"/>
      <c r="AC481" s="54"/>
      <c r="AD481" s="370"/>
      <c r="AE481" s="54"/>
      <c r="AF481" s="54"/>
      <c r="AG481" s="54"/>
      <c r="AH481" s="5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>
      <c r="A482" s="300">
        <v>30400024</v>
      </c>
      <c r="B482" s="192" t="s">
        <v>232</v>
      </c>
      <c r="C482" s="16" t="s">
        <v>74</v>
      </c>
      <c r="D482" s="17">
        <v>5.04</v>
      </c>
      <c r="E482" s="17"/>
      <c r="F482" s="6"/>
      <c r="G482" s="93">
        <f>SUM('1:2'!G482)</f>
        <v>0</v>
      </c>
      <c r="H482" s="364">
        <f t="shared" si="191"/>
        <v>0</v>
      </c>
      <c r="I482" s="93">
        <f>SUM('1:2'!I482)</f>
        <v>0</v>
      </c>
      <c r="J482" s="31" t="str">
        <f t="array" ref="J482">IF(ISERROR(G482/I482),"",G482/I482)</f>
        <v/>
      </c>
      <c r="K482" s="35">
        <f t="array" ref="K482">IF(ISERROR(G482/L482),"",G482/L482)</f>
        <v>0</v>
      </c>
      <c r="L482" s="87">
        <v>22</v>
      </c>
      <c r="M482" s="36">
        <f t="shared" si="192"/>
        <v>0</v>
      </c>
      <c r="N482" s="31">
        <f t="shared" si="193"/>
        <v>0</v>
      </c>
      <c r="O482" s="93">
        <f>SUM('1:2'!O482)</f>
        <v>0</v>
      </c>
      <c r="P482" s="93">
        <f>SUM('1:2'!P482)</f>
        <v>0</v>
      </c>
      <c r="Q482" s="93">
        <f>SUM('1:2'!Q482)</f>
        <v>0</v>
      </c>
      <c r="R482" s="93">
        <f>SUM('1:2'!R482)</f>
        <v>0</v>
      </c>
      <c r="S482" s="93">
        <f>SUM('1:2'!S482)</f>
        <v>0</v>
      </c>
      <c r="T482" s="93">
        <f>SUM('1:2'!T482)</f>
        <v>0</v>
      </c>
      <c r="U482" s="93">
        <f>SUM('1:2'!U482)</f>
        <v>0</v>
      </c>
      <c r="V482" s="206">
        <f t="shared" si="194"/>
        <v>0</v>
      </c>
      <c r="W482" s="33" t="str">
        <f t="shared" si="184"/>
        <v/>
      </c>
      <c r="X482" s="93">
        <f>SUM('1:2'!X482)</f>
        <v>0</v>
      </c>
      <c r="Y482" s="93">
        <f>SUM('1:2'!Y482)</f>
        <v>0</v>
      </c>
      <c r="Z482" s="93">
        <f>SUM('1:2'!Z482)</f>
        <v>0</v>
      </c>
      <c r="AA482" s="93">
        <f>SUM('1:2'!AA482)</f>
        <v>0</v>
      </c>
      <c r="AB482" s="73"/>
      <c r="AC482" s="54"/>
      <c r="AD482" s="370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>
      <c r="A483" s="300"/>
      <c r="B483" s="192" t="s">
        <v>232</v>
      </c>
      <c r="C483" s="16" t="s">
        <v>66</v>
      </c>
      <c r="D483" s="17">
        <v>5.04</v>
      </c>
      <c r="E483" s="17"/>
      <c r="F483" s="6"/>
      <c r="G483" s="93">
        <f>SUM('1:2'!G483)</f>
        <v>0</v>
      </c>
      <c r="H483" s="364">
        <f t="shared" si="191"/>
        <v>0</v>
      </c>
      <c r="I483" s="93">
        <f>SUM('1:2'!I483)</f>
        <v>0</v>
      </c>
      <c r="J483" s="31" t="str">
        <f t="array" ref="J483">IF(ISERROR(G483/I483),"",G483/I483)</f>
        <v/>
      </c>
      <c r="K483" s="35">
        <f t="array" ref="K483">IF(ISERROR(G483/L483),"",G483/L483)</f>
        <v>0</v>
      </c>
      <c r="L483" s="87">
        <v>22</v>
      </c>
      <c r="M483" s="36">
        <f t="shared" si="192"/>
        <v>0</v>
      </c>
      <c r="N483" s="31">
        <f t="shared" si="193"/>
        <v>0</v>
      </c>
      <c r="O483" s="93">
        <f>SUM('1:2'!O483)</f>
        <v>0</v>
      </c>
      <c r="P483" s="93">
        <f>SUM('1:2'!P483)</f>
        <v>0</v>
      </c>
      <c r="Q483" s="93">
        <f>SUM('1:2'!Q483)</f>
        <v>0</v>
      </c>
      <c r="R483" s="93">
        <f>SUM('1:2'!R483)</f>
        <v>0</v>
      </c>
      <c r="S483" s="93">
        <f>SUM('1:2'!S483)</f>
        <v>0</v>
      </c>
      <c r="T483" s="93">
        <f>SUM('1:2'!T483)</f>
        <v>0</v>
      </c>
      <c r="U483" s="93">
        <f>SUM('1:2'!U483)</f>
        <v>0</v>
      </c>
      <c r="V483" s="206">
        <f t="shared" si="194"/>
        <v>0</v>
      </c>
      <c r="W483" s="33" t="str">
        <f t="shared" si="184"/>
        <v/>
      </c>
      <c r="X483" s="93">
        <f>SUM('1:2'!X483)</f>
        <v>0</v>
      </c>
      <c r="Y483" s="93">
        <f>SUM('1:2'!Y483)</f>
        <v>0</v>
      </c>
      <c r="Z483" s="93">
        <f>SUM('1:2'!Z483)</f>
        <v>0</v>
      </c>
      <c r="AA483" s="93">
        <f>SUM('1:2'!AA483)</f>
        <v>0</v>
      </c>
      <c r="AB483" s="73"/>
      <c r="AC483" s="54"/>
      <c r="AD483" s="370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>
      <c r="A484" s="300"/>
      <c r="B484" s="192" t="s">
        <v>232</v>
      </c>
      <c r="C484" s="16" t="s">
        <v>101</v>
      </c>
      <c r="D484" s="17">
        <v>5.04</v>
      </c>
      <c r="E484" s="17"/>
      <c r="F484" s="6"/>
      <c r="G484" s="93">
        <f>SUM('1:2'!G484)</f>
        <v>0</v>
      </c>
      <c r="H484" s="364">
        <f t="shared" si="191"/>
        <v>0</v>
      </c>
      <c r="I484" s="93">
        <f>SUM('1:2'!I484)</f>
        <v>0</v>
      </c>
      <c r="J484" s="31" t="str">
        <f t="array" ref="J484">IF(ISERROR(G484/I484),"",G484/I484)</f>
        <v/>
      </c>
      <c r="K484" s="35">
        <f t="array" ref="K484">IF(ISERROR(G484/L484),"",G484/L484)</f>
        <v>0</v>
      </c>
      <c r="L484" s="87">
        <v>22</v>
      </c>
      <c r="M484" s="36">
        <f t="shared" si="192"/>
        <v>0</v>
      </c>
      <c r="N484" s="31">
        <f t="shared" si="193"/>
        <v>0</v>
      </c>
      <c r="O484" s="93">
        <f>SUM('1:2'!O484)</f>
        <v>0</v>
      </c>
      <c r="P484" s="93">
        <f>SUM('1:2'!P484)</f>
        <v>0</v>
      </c>
      <c r="Q484" s="93">
        <f>SUM('1:2'!Q484)</f>
        <v>0</v>
      </c>
      <c r="R484" s="93">
        <f>SUM('1:2'!R484)</f>
        <v>0</v>
      </c>
      <c r="S484" s="93">
        <f>SUM('1:2'!S484)</f>
        <v>0</v>
      </c>
      <c r="T484" s="93">
        <f>SUM('1:2'!T484)</f>
        <v>0</v>
      </c>
      <c r="U484" s="93">
        <f>SUM('1:2'!U484)</f>
        <v>0</v>
      </c>
      <c r="V484" s="206">
        <f t="shared" si="194"/>
        <v>0</v>
      </c>
      <c r="W484" s="33" t="str">
        <f t="shared" si="184"/>
        <v/>
      </c>
      <c r="X484" s="93">
        <f>SUM('1:2'!X484)</f>
        <v>0</v>
      </c>
      <c r="Y484" s="93">
        <f>SUM('1:2'!Y484)</f>
        <v>0</v>
      </c>
      <c r="Z484" s="93">
        <f>SUM('1:2'!Z484)</f>
        <v>0</v>
      </c>
      <c r="AA484" s="93">
        <f>SUM('1:2'!AA484)</f>
        <v>0</v>
      </c>
      <c r="AB484" s="73"/>
      <c r="AC484" s="54"/>
      <c r="AD484" s="370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>
      <c r="A485" s="300">
        <v>30400019</v>
      </c>
      <c r="B485" s="192" t="s">
        <v>439</v>
      </c>
      <c r="C485" s="187" t="s">
        <v>441</v>
      </c>
      <c r="D485" s="17">
        <v>5.04</v>
      </c>
      <c r="E485" s="17"/>
      <c r="F485" s="6"/>
      <c r="G485" s="93">
        <f>SUM('1:2'!G485)</f>
        <v>0</v>
      </c>
      <c r="H485" s="364">
        <f t="shared" si="191"/>
        <v>0</v>
      </c>
      <c r="I485" s="93">
        <f>SUM('1:2'!I485)</f>
        <v>0</v>
      </c>
      <c r="J485" s="31"/>
      <c r="K485" s="35"/>
      <c r="L485" s="87">
        <v>13.5</v>
      </c>
      <c r="M485" s="36"/>
      <c r="N485" s="31"/>
      <c r="O485" s="93"/>
      <c r="P485" s="93"/>
      <c r="Q485" s="93"/>
      <c r="R485" s="93"/>
      <c r="S485" s="93"/>
      <c r="T485" s="93"/>
      <c r="U485" s="93"/>
      <c r="V485" s="206"/>
      <c r="W485" s="33"/>
      <c r="X485" s="93"/>
      <c r="Y485" s="93"/>
      <c r="Z485" s="93"/>
      <c r="AA485" s="93"/>
      <c r="AB485" s="73"/>
      <c r="AC485" s="54"/>
      <c r="AD485" s="370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>
      <c r="A486" s="300">
        <v>30400020</v>
      </c>
      <c r="B486" s="192" t="s">
        <v>439</v>
      </c>
      <c r="C486" s="187" t="s">
        <v>516</v>
      </c>
      <c r="D486" s="17">
        <v>5.04</v>
      </c>
      <c r="E486" s="17"/>
      <c r="F486" s="6"/>
      <c r="G486" s="93"/>
      <c r="H486" s="378">
        <f t="shared" si="191"/>
        <v>0</v>
      </c>
      <c r="I486" s="93"/>
      <c r="J486" s="31"/>
      <c r="K486" s="35"/>
      <c r="L486" s="87">
        <v>13.5</v>
      </c>
      <c r="M486" s="36"/>
      <c r="N486" s="31"/>
      <c r="O486" s="93"/>
      <c r="P486" s="93"/>
      <c r="Q486" s="93"/>
      <c r="R486" s="93"/>
      <c r="S486" s="93"/>
      <c r="T486" s="93"/>
      <c r="U486" s="93"/>
      <c r="V486" s="206"/>
      <c r="W486" s="33"/>
      <c r="X486" s="93"/>
      <c r="Y486" s="93"/>
      <c r="Z486" s="93"/>
      <c r="AA486" s="93"/>
      <c r="AB486" s="73"/>
      <c r="AC486" s="54"/>
      <c r="AD486" s="375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>
      <c r="A487" s="300">
        <v>30400021</v>
      </c>
      <c r="B487" s="192" t="s">
        <v>439</v>
      </c>
      <c r="C487" s="187" t="s">
        <v>517</v>
      </c>
      <c r="D487" s="17">
        <v>5.04</v>
      </c>
      <c r="E487" s="17"/>
      <c r="F487" s="6"/>
      <c r="G487" s="93"/>
      <c r="H487" s="378">
        <f t="shared" si="191"/>
        <v>0</v>
      </c>
      <c r="I487" s="93"/>
      <c r="J487" s="31"/>
      <c r="K487" s="35"/>
      <c r="L487" s="87">
        <v>13.5</v>
      </c>
      <c r="M487" s="36"/>
      <c r="N487" s="31"/>
      <c r="O487" s="93"/>
      <c r="P487" s="93"/>
      <c r="Q487" s="93"/>
      <c r="R487" s="93"/>
      <c r="S487" s="93"/>
      <c r="T487" s="93"/>
      <c r="U487" s="93"/>
      <c r="V487" s="206"/>
      <c r="W487" s="33"/>
      <c r="X487" s="93"/>
      <c r="Y487" s="93"/>
      <c r="Z487" s="93"/>
      <c r="AA487" s="93"/>
      <c r="AB487" s="73"/>
      <c r="AC487" s="54"/>
      <c r="AD487" s="379"/>
      <c r="AE487" s="54"/>
      <c r="AF487" s="54"/>
      <c r="AG487" s="54"/>
      <c r="AH487" s="5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>
      <c r="A488" s="300">
        <v>30400018</v>
      </c>
      <c r="B488" s="192" t="s">
        <v>439</v>
      </c>
      <c r="C488" s="16" t="s">
        <v>55</v>
      </c>
      <c r="D488" s="17">
        <v>5.04</v>
      </c>
      <c r="E488" s="17"/>
      <c r="F488" s="6"/>
      <c r="G488" s="93"/>
      <c r="H488" s="450">
        <f t="shared" si="191"/>
        <v>0</v>
      </c>
      <c r="I488" s="93"/>
      <c r="J488" s="31"/>
      <c r="K488" s="35"/>
      <c r="L488" s="87">
        <v>13.5</v>
      </c>
      <c r="M488" s="36"/>
      <c r="N488" s="31"/>
      <c r="O488" s="93"/>
      <c r="P488" s="93"/>
      <c r="Q488" s="93"/>
      <c r="R488" s="93"/>
      <c r="S488" s="93"/>
      <c r="T488" s="93"/>
      <c r="U488" s="93"/>
      <c r="V488" s="206"/>
      <c r="W488" s="33"/>
      <c r="X488" s="93"/>
      <c r="Y488" s="93"/>
      <c r="Z488" s="93"/>
      <c r="AA488" s="93"/>
      <c r="AB488" s="73"/>
      <c r="AC488" s="54"/>
      <c r="AD488" s="451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>
      <c r="A489" s="300">
        <v>30400022</v>
      </c>
      <c r="B489" s="192" t="s">
        <v>232</v>
      </c>
      <c r="C489" s="16" t="s">
        <v>55</v>
      </c>
      <c r="D489" s="17">
        <v>5.04</v>
      </c>
      <c r="E489" s="17"/>
      <c r="F489" s="6"/>
      <c r="G489" s="93">
        <f>SUM('1:2'!G489)</f>
        <v>0</v>
      </c>
      <c r="H489" s="364">
        <f t="shared" si="191"/>
        <v>0</v>
      </c>
      <c r="I489" s="93">
        <f>SUM('1:2'!I489)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87">
        <v>22</v>
      </c>
      <c r="M489" s="36">
        <f t="shared" ref="M489" si="195">IF(ISERROR(I489-K489),"",I489-K489)</f>
        <v>0</v>
      </c>
      <c r="N489" s="31">
        <f t="shared" ref="N489" si="196">SUM(O489:U489)</f>
        <v>0</v>
      </c>
      <c r="O489" s="93">
        <f>SUM('1:2'!O489)</f>
        <v>0</v>
      </c>
      <c r="P489" s="93">
        <f>SUM('1:2'!P489)</f>
        <v>0</v>
      </c>
      <c r="Q489" s="93">
        <f>SUM('1:2'!Q489)</f>
        <v>0</v>
      </c>
      <c r="R489" s="93">
        <f>SUM('1:2'!R489)</f>
        <v>0</v>
      </c>
      <c r="S489" s="93">
        <f>SUM('1:2'!S489)</f>
        <v>0</v>
      </c>
      <c r="T489" s="93">
        <f>SUM('1:2'!T489)</f>
        <v>0</v>
      </c>
      <c r="U489" s="93">
        <f>SUM('1:2'!U489)</f>
        <v>0</v>
      </c>
      <c r="V489" s="206">
        <f t="shared" ref="V489" si="197">SUM(X489:AA489)</f>
        <v>0</v>
      </c>
      <c r="W489" s="33" t="str">
        <f t="shared" ref="W489:W494" si="198">IF(ISERROR(V489/G489),"",V489/G489)</f>
        <v/>
      </c>
      <c r="X489" s="93">
        <f>SUM('1:2'!X489)</f>
        <v>0</v>
      </c>
      <c r="Y489" s="93">
        <f>SUM('1:2'!Y489)</f>
        <v>0</v>
      </c>
      <c r="Z489" s="93">
        <f>SUM('1:2'!Z489)</f>
        <v>0</v>
      </c>
      <c r="AA489" s="93">
        <f>SUM('1:2'!AA489)</f>
        <v>0</v>
      </c>
      <c r="AB489" s="73"/>
      <c r="AC489" s="54"/>
      <c r="AD489" s="370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>
      <c r="A490" s="691" t="s">
        <v>102</v>
      </c>
      <c r="B490" s="692"/>
      <c r="C490" s="359" t="s">
        <v>71</v>
      </c>
      <c r="D490" s="20"/>
      <c r="E490" s="20"/>
      <c r="F490" s="32"/>
      <c r="G490" s="99">
        <f>SUM(G480:G489)</f>
        <v>0</v>
      </c>
      <c r="H490" s="30">
        <f>SUM(H480:H489)</f>
        <v>0</v>
      </c>
      <c r="I490" s="30">
        <f>SUM(I480:I489)</f>
        <v>0</v>
      </c>
      <c r="J490" s="31" t="str">
        <f t="array" ref="J490">IF(ISERROR(G490/I490),"",G490/I490)</f>
        <v/>
      </c>
      <c r="K490" s="30">
        <f>SUM(K480:K489)</f>
        <v>0</v>
      </c>
      <c r="L490" s="98"/>
      <c r="M490" s="89">
        <f>SUM(M480:M489)</f>
        <v>0</v>
      </c>
      <c r="N490" s="30">
        <f>SUM(N480:N489)</f>
        <v>0</v>
      </c>
      <c r="O490" s="91">
        <f>SUM(O480:O489)</f>
        <v>0</v>
      </c>
      <c r="P490" s="91">
        <f>SUM(P480:P489)</f>
        <v>0</v>
      </c>
      <c r="Q490" s="91">
        <f>SUM(Q480:Q489)</f>
        <v>0</v>
      </c>
      <c r="R490" s="91"/>
      <c r="S490" s="92">
        <f>SUM(S480:S489)</f>
        <v>0</v>
      </c>
      <c r="T490" s="91">
        <f>SUM(T480:T489)</f>
        <v>0</v>
      </c>
      <c r="U490" s="91">
        <f>SUM(U480:U489)</f>
        <v>0</v>
      </c>
      <c r="V490" s="206">
        <f>SUM(V480:V489)</f>
        <v>0</v>
      </c>
      <c r="W490" s="33" t="str">
        <f t="shared" si="198"/>
        <v/>
      </c>
      <c r="X490" s="92">
        <f>SUM(X480:X489)</f>
        <v>0</v>
      </c>
      <c r="Y490" s="92">
        <f>SUM(Y480:Y489)</f>
        <v>0</v>
      </c>
      <c r="Z490" s="92">
        <f>SUM(Z480:Z489)</f>
        <v>0</v>
      </c>
      <c r="AA490" s="92">
        <f>SUM(AA480:AA489)</f>
        <v>0</v>
      </c>
      <c r="AB490" s="75"/>
      <c r="AC490" s="70"/>
      <c r="AD490" s="370"/>
      <c r="AE490" s="74"/>
      <c r="AF490" s="74"/>
      <c r="AG490" s="74"/>
      <c r="AH490" s="7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>
      <c r="A491" s="299">
        <v>30700013</v>
      </c>
      <c r="B491" s="64" t="s">
        <v>103</v>
      </c>
      <c r="C491" s="358"/>
      <c r="D491" s="17">
        <v>3.65</v>
      </c>
      <c r="E491" s="17"/>
      <c r="F491" s="53"/>
      <c r="G491" s="93">
        <f>SUM('1:2'!G491)</f>
        <v>0</v>
      </c>
      <c r="H491" s="364">
        <f>D491*G491</f>
        <v>0</v>
      </c>
      <c r="I491" s="93">
        <f>SUM('1:2'!I491)</f>
        <v>0</v>
      </c>
      <c r="J491" s="31" t="str">
        <f t="array" ref="J491">IF(ISERROR(G491/I491),"",G491/I491)</f>
        <v/>
      </c>
      <c r="K491" s="364">
        <f t="array" ref="K491">IF(ISERROR(G491/L491),"",G491/L491)</f>
        <v>0</v>
      </c>
      <c r="L491" s="87">
        <v>5</v>
      </c>
      <c r="M491" s="36">
        <f t="shared" ref="M491:M494" si="199">IF(ISERROR(I491-K491),"",I491-K491)</f>
        <v>0</v>
      </c>
      <c r="N491" s="31">
        <f t="shared" ref="N491:N494" si="200">SUM(O491:U491)</f>
        <v>0</v>
      </c>
      <c r="O491" s="93">
        <f>SUM('1:2'!O491)</f>
        <v>0</v>
      </c>
      <c r="P491" s="93">
        <f>SUM('1:2'!P491)</f>
        <v>0</v>
      </c>
      <c r="Q491" s="93">
        <f>SUM('1:2'!Q491)</f>
        <v>0</v>
      </c>
      <c r="R491" s="93">
        <f>SUM('1:2'!R491)</f>
        <v>0</v>
      </c>
      <c r="S491" s="93">
        <f>SUM('1:2'!S491)</f>
        <v>0</v>
      </c>
      <c r="T491" s="93">
        <f>SUM('1:2'!T491)</f>
        <v>0</v>
      </c>
      <c r="U491" s="93">
        <f>SUM('1:2'!U491)</f>
        <v>0</v>
      </c>
      <c r="V491" s="206">
        <f t="shared" ref="V491:V494" si="201">SUM(X491:AA491)</f>
        <v>0</v>
      </c>
      <c r="W491" s="33" t="str">
        <f t="shared" si="198"/>
        <v/>
      </c>
      <c r="X491" s="93">
        <f>SUM('1:2'!X491)</f>
        <v>0</v>
      </c>
      <c r="Y491" s="93">
        <f>SUM('1:2'!Y491)</f>
        <v>0</v>
      </c>
      <c r="Z491" s="93">
        <f>SUM('1:2'!Z491)</f>
        <v>0</v>
      </c>
      <c r="AA491" s="93">
        <f>SUM('1:2'!AA491)</f>
        <v>0</v>
      </c>
      <c r="AB491" s="73"/>
      <c r="AC491" s="54"/>
      <c r="AD491" s="370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>
      <c r="A492" s="299">
        <v>30700014</v>
      </c>
      <c r="B492" s="64" t="s">
        <v>0</v>
      </c>
      <c r="C492" s="358"/>
      <c r="D492" s="17">
        <v>6.58</v>
      </c>
      <c r="E492" s="17"/>
      <c r="F492" s="6"/>
      <c r="G492" s="93">
        <f>SUM('1:2'!G492)</f>
        <v>0</v>
      </c>
      <c r="H492" s="364">
        <f t="shared" ref="H492:H505" si="202">D492*G492</f>
        <v>0</v>
      </c>
      <c r="I492" s="93">
        <f>SUM('1:2'!I492)</f>
        <v>0</v>
      </c>
      <c r="J492" s="31" t="str">
        <f t="array" ref="J492">IF(ISERROR(G492/I492),"",G492/I492)</f>
        <v/>
      </c>
      <c r="K492" s="35">
        <f t="array" ref="K492">IF(ISERROR(G492/L492),"",G492/L492)</f>
        <v>0</v>
      </c>
      <c r="L492" s="87">
        <v>5</v>
      </c>
      <c r="M492" s="36">
        <f t="shared" si="199"/>
        <v>0</v>
      </c>
      <c r="N492" s="31">
        <f t="shared" si="200"/>
        <v>0</v>
      </c>
      <c r="O492" s="93">
        <f>SUM('1:2'!O492)</f>
        <v>0</v>
      </c>
      <c r="P492" s="93">
        <f>SUM('1:2'!P492)</f>
        <v>0</v>
      </c>
      <c r="Q492" s="93">
        <f>SUM('1:2'!Q492)</f>
        <v>0</v>
      </c>
      <c r="R492" s="93">
        <f>SUM('1:2'!R492)</f>
        <v>0</v>
      </c>
      <c r="S492" s="93">
        <f>SUM('1:2'!S492)</f>
        <v>0</v>
      </c>
      <c r="T492" s="93">
        <f>SUM('1:2'!T492)</f>
        <v>0</v>
      </c>
      <c r="U492" s="93">
        <f>SUM('1:2'!U492)</f>
        <v>0</v>
      </c>
      <c r="V492" s="206">
        <f t="shared" si="201"/>
        <v>0</v>
      </c>
      <c r="W492" s="33" t="str">
        <f t="shared" si="198"/>
        <v/>
      </c>
      <c r="X492" s="93">
        <f>SUM('1:2'!X492)</f>
        <v>0</v>
      </c>
      <c r="Y492" s="93">
        <f>SUM('1:2'!Y492)</f>
        <v>0</v>
      </c>
      <c r="Z492" s="93">
        <f>SUM('1:2'!Z492)</f>
        <v>0</v>
      </c>
      <c r="AA492" s="93">
        <f>SUM('1:2'!AA492)</f>
        <v>0</v>
      </c>
      <c r="AB492" s="73"/>
      <c r="AC492" s="54"/>
      <c r="AD492" s="370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>
      <c r="A493" s="299">
        <v>30700016</v>
      </c>
      <c r="B493" s="64" t="s">
        <v>1</v>
      </c>
      <c r="C493" s="358"/>
      <c r="D493" s="17">
        <v>7.8</v>
      </c>
      <c r="E493" s="17"/>
      <c r="F493" s="6"/>
      <c r="G493" s="93">
        <f>SUM('1:2'!G493)</f>
        <v>0</v>
      </c>
      <c r="H493" s="364">
        <f t="shared" si="202"/>
        <v>0</v>
      </c>
      <c r="I493" s="93">
        <f>SUM('1:2'!I493)</f>
        <v>0</v>
      </c>
      <c r="J493" s="31" t="str">
        <f t="array" ref="J493">IF(ISERROR(G493/I493),"",G493/I493)</f>
        <v/>
      </c>
      <c r="K493" s="35">
        <f t="array" ref="K493">IF(ISERROR(G493/L493),"",G493/L493)</f>
        <v>0</v>
      </c>
      <c r="L493" s="87">
        <v>4.5999999999999996</v>
      </c>
      <c r="M493" s="36">
        <f t="shared" si="199"/>
        <v>0</v>
      </c>
      <c r="N493" s="31">
        <f t="shared" si="200"/>
        <v>0</v>
      </c>
      <c r="O493" s="93">
        <f>SUM('1:2'!O493)</f>
        <v>0</v>
      </c>
      <c r="P493" s="93">
        <f>SUM('1:2'!P493)</f>
        <v>0</v>
      </c>
      <c r="Q493" s="93">
        <f>SUM('1:2'!Q493)</f>
        <v>0</v>
      </c>
      <c r="R493" s="93">
        <f>SUM('1:2'!R493)</f>
        <v>0</v>
      </c>
      <c r="S493" s="93">
        <f>SUM('1:2'!S493)</f>
        <v>0</v>
      </c>
      <c r="T493" s="93">
        <f>SUM('1:2'!T493)</f>
        <v>0</v>
      </c>
      <c r="U493" s="93">
        <f>SUM('1:2'!U493)</f>
        <v>0</v>
      </c>
      <c r="V493" s="206">
        <f t="shared" si="201"/>
        <v>0</v>
      </c>
      <c r="W493" s="33" t="str">
        <f t="shared" si="198"/>
        <v/>
      </c>
      <c r="X493" s="93">
        <f>SUM('1:2'!X493)</f>
        <v>0</v>
      </c>
      <c r="Y493" s="93">
        <f>SUM('1:2'!Y493)</f>
        <v>0</v>
      </c>
      <c r="Z493" s="93">
        <f>SUM('1:2'!Z493)</f>
        <v>0</v>
      </c>
      <c r="AA493" s="93">
        <f>SUM('1:2'!AA493)</f>
        <v>0</v>
      </c>
      <c r="AB493" s="73"/>
      <c r="AC493" s="54"/>
      <c r="AD493" s="370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>
      <c r="A494" s="299">
        <v>30700017</v>
      </c>
      <c r="B494" s="64" t="s">
        <v>2</v>
      </c>
      <c r="C494" s="358"/>
      <c r="D494" s="17">
        <v>4.4000000000000004</v>
      </c>
      <c r="E494" s="17"/>
      <c r="F494" s="6"/>
      <c r="G494" s="93">
        <f>SUM('1:2'!G494)</f>
        <v>0</v>
      </c>
      <c r="H494" s="364">
        <f t="shared" si="202"/>
        <v>0</v>
      </c>
      <c r="I494" s="93">
        <f>SUM('1:2'!I494)</f>
        <v>0</v>
      </c>
      <c r="J494" s="31" t="str">
        <f t="array" ref="J494">IF(ISERROR(G494/I494),"",G494/I494)</f>
        <v/>
      </c>
      <c r="K494" s="35">
        <f t="array" ref="K494">IF(ISERROR(G494/L494),"",G494/L494)</f>
        <v>0</v>
      </c>
      <c r="L494" s="87">
        <v>5.8</v>
      </c>
      <c r="M494" s="36">
        <f t="shared" si="199"/>
        <v>0</v>
      </c>
      <c r="N494" s="31">
        <f t="shared" si="200"/>
        <v>0</v>
      </c>
      <c r="O494" s="93">
        <f>SUM('1:2'!O494)</f>
        <v>0</v>
      </c>
      <c r="P494" s="93">
        <f>SUM('1:2'!P494)</f>
        <v>0</v>
      </c>
      <c r="Q494" s="93">
        <f>SUM('1:2'!Q494)</f>
        <v>0</v>
      </c>
      <c r="R494" s="93">
        <f>SUM('1:2'!R494)</f>
        <v>0</v>
      </c>
      <c r="S494" s="93">
        <f>SUM('1:2'!S494)</f>
        <v>0</v>
      </c>
      <c r="T494" s="93">
        <f>SUM('1:2'!T494)</f>
        <v>0</v>
      </c>
      <c r="U494" s="93">
        <f>SUM('1:2'!U494)</f>
        <v>0</v>
      </c>
      <c r="V494" s="206">
        <f t="shared" si="201"/>
        <v>0</v>
      </c>
      <c r="W494" s="33" t="str">
        <f t="shared" si="198"/>
        <v/>
      </c>
      <c r="X494" s="93">
        <f>SUM('1:2'!X494)</f>
        <v>0</v>
      </c>
      <c r="Y494" s="93">
        <f>SUM('1:2'!Y494)</f>
        <v>0</v>
      </c>
      <c r="Z494" s="93">
        <f>SUM('1:2'!Z494)</f>
        <v>0</v>
      </c>
      <c r="AA494" s="93">
        <f>SUM('1:2'!AA494)</f>
        <v>0</v>
      </c>
      <c r="AB494" s="73"/>
      <c r="AC494" s="54"/>
      <c r="AD494" s="370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>
      <c r="A495" s="299"/>
      <c r="B495" s="64" t="s">
        <v>348</v>
      </c>
      <c r="C495" s="188" t="s">
        <v>376</v>
      </c>
      <c r="D495" s="17"/>
      <c r="E495" s="17"/>
      <c r="F495" s="6"/>
      <c r="G495" s="93">
        <f>SUM('1:2'!G495)</f>
        <v>0</v>
      </c>
      <c r="H495" s="364">
        <f t="shared" si="202"/>
        <v>0</v>
      </c>
      <c r="I495" s="93">
        <f>SUM('1:2'!I495)</f>
        <v>0</v>
      </c>
      <c r="J495" s="31"/>
      <c r="K495" s="35"/>
      <c r="L495" s="87"/>
      <c r="M495" s="36"/>
      <c r="N495" s="31"/>
      <c r="O495" s="93">
        <f>SUM('1:2'!O495)</f>
        <v>0</v>
      </c>
      <c r="P495" s="93">
        <f>SUM('1:2'!P495)</f>
        <v>0</v>
      </c>
      <c r="Q495" s="93">
        <f>SUM('1:2'!Q495)</f>
        <v>0</v>
      </c>
      <c r="R495" s="93">
        <f>SUM('1:2'!R495)</f>
        <v>0</v>
      </c>
      <c r="S495" s="93">
        <f>SUM('1:2'!S495)</f>
        <v>0</v>
      </c>
      <c r="T495" s="93">
        <f>SUM('1:2'!T495)</f>
        <v>0</v>
      </c>
      <c r="U495" s="93">
        <f>SUM('1:2'!U495)</f>
        <v>0</v>
      </c>
      <c r="V495" s="206"/>
      <c r="W495" s="33"/>
      <c r="X495" s="93">
        <f>SUM('1:2'!X495)</f>
        <v>0</v>
      </c>
      <c r="Y495" s="93">
        <f>SUM('1:2'!Y495)</f>
        <v>0</v>
      </c>
      <c r="Z495" s="93">
        <f>SUM('1:2'!Z495)</f>
        <v>0</v>
      </c>
      <c r="AA495" s="93">
        <f>SUM('1:2'!AA495)</f>
        <v>0</v>
      </c>
      <c r="AB495" s="73"/>
      <c r="AC495" s="54"/>
      <c r="AD495" s="370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>
      <c r="A496" s="299">
        <v>30700001</v>
      </c>
      <c r="B496" s="191" t="s">
        <v>359</v>
      </c>
      <c r="C496" s="358"/>
      <c r="D496" s="17"/>
      <c r="E496" s="17"/>
      <c r="F496" s="6"/>
      <c r="G496" s="93">
        <f>SUM('1:2'!G496)</f>
        <v>0</v>
      </c>
      <c r="H496" s="364">
        <f t="shared" si="202"/>
        <v>0</v>
      </c>
      <c r="I496" s="93">
        <f>SUM('1:2'!I496)</f>
        <v>0</v>
      </c>
      <c r="J496" s="31"/>
      <c r="K496" s="35"/>
      <c r="L496" s="87">
        <v>6</v>
      </c>
      <c r="M496" s="36"/>
      <c r="N496" s="31"/>
      <c r="O496" s="93">
        <f>SUM('1:2'!O496)</f>
        <v>0</v>
      </c>
      <c r="P496" s="93">
        <f>SUM('1:2'!P496)</f>
        <v>0</v>
      </c>
      <c r="Q496" s="93">
        <f>SUM('1:2'!Q496)</f>
        <v>0</v>
      </c>
      <c r="R496" s="93">
        <f>SUM('1:2'!R496)</f>
        <v>0</v>
      </c>
      <c r="S496" s="93">
        <f>SUM('1:2'!S496)</f>
        <v>0</v>
      </c>
      <c r="T496" s="93">
        <f>SUM('1:2'!T496)</f>
        <v>0</v>
      </c>
      <c r="U496" s="93">
        <f>SUM('1:2'!U496)</f>
        <v>0</v>
      </c>
      <c r="V496" s="206"/>
      <c r="W496" s="33"/>
      <c r="X496" s="93">
        <f>SUM('1:2'!X496)</f>
        <v>0</v>
      </c>
      <c r="Y496" s="93">
        <f>SUM('1:2'!Y496)</f>
        <v>0</v>
      </c>
      <c r="Z496" s="93">
        <f>SUM('1:2'!Z496)</f>
        <v>0</v>
      </c>
      <c r="AA496" s="93">
        <f>SUM('1:2'!AA496)</f>
        <v>0</v>
      </c>
      <c r="AB496" s="73"/>
      <c r="AC496" s="54"/>
      <c r="AD496" s="370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>
      <c r="A497" s="305"/>
      <c r="B497" s="66" t="s">
        <v>104</v>
      </c>
      <c r="C497" s="358" t="s">
        <v>53</v>
      </c>
      <c r="D497" s="17">
        <v>6.04</v>
      </c>
      <c r="E497" s="17"/>
      <c r="F497" s="6"/>
      <c r="G497" s="93">
        <f>SUM('1:2'!G497)</f>
        <v>0</v>
      </c>
      <c r="H497" s="364">
        <f t="shared" si="202"/>
        <v>0</v>
      </c>
      <c r="I497" s="93">
        <f>SUM('1:2'!I497)</f>
        <v>0</v>
      </c>
      <c r="J497" s="31" t="str">
        <f t="array" ref="J497">IF(ISERROR(G497/I497),"",G497/I497)</f>
        <v/>
      </c>
      <c r="K497" s="35">
        <f t="array" ref="K497">IF(ISERROR(G497/L497),"",G497/L497)</f>
        <v>0</v>
      </c>
      <c r="L497" s="87">
        <v>6</v>
      </c>
      <c r="M497" s="36">
        <f t="shared" ref="M497:M498" si="203">IF(ISERROR(I497-K497),"",I497-K497)</f>
        <v>0</v>
      </c>
      <c r="N497" s="31">
        <f t="shared" ref="N497:N498" si="204">SUM(O497:U497)</f>
        <v>0</v>
      </c>
      <c r="O497" s="93">
        <f>SUM('1:2'!O497)</f>
        <v>0</v>
      </c>
      <c r="P497" s="93">
        <f>SUM('1:2'!P497)</f>
        <v>0</v>
      </c>
      <c r="Q497" s="93">
        <f>SUM('1:2'!Q497)</f>
        <v>0</v>
      </c>
      <c r="R497" s="93">
        <f>SUM('1:2'!R497)</f>
        <v>0</v>
      </c>
      <c r="S497" s="93">
        <f>SUM('1:2'!S497)</f>
        <v>0</v>
      </c>
      <c r="T497" s="93">
        <f>SUM('1:2'!T497)</f>
        <v>0</v>
      </c>
      <c r="U497" s="93">
        <f>SUM('1:2'!U497)</f>
        <v>0</v>
      </c>
      <c r="V497" s="206">
        <f t="shared" ref="V497:V498" si="205">SUM(X497:AA497)</f>
        <v>0</v>
      </c>
      <c r="W497" s="33" t="str">
        <f t="shared" ref="W497:W498" si="206">IF(ISERROR(V497/G497),"",V497/G497)</f>
        <v/>
      </c>
      <c r="X497" s="93">
        <f>SUM('1:2'!X497)</f>
        <v>0</v>
      </c>
      <c r="Y497" s="93">
        <f>SUM('1:2'!Y497)</f>
        <v>0</v>
      </c>
      <c r="Z497" s="93">
        <f>SUM('1:2'!Z497)</f>
        <v>0</v>
      </c>
      <c r="AA497" s="93">
        <f>SUM('1:2'!AA497)</f>
        <v>0</v>
      </c>
      <c r="AB497" s="73"/>
      <c r="AC497" s="54"/>
      <c r="AD497" s="370"/>
      <c r="AE497" s="54"/>
      <c r="AF497" s="54"/>
      <c r="AG497" s="54"/>
      <c r="AH497" s="54"/>
      <c r="AI497" s="57"/>
      <c r="AJ497" s="57"/>
      <c r="AK497" s="57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</row>
    <row r="498" spans="1:53">
      <c r="A498" s="305">
        <v>30700019</v>
      </c>
      <c r="B498" s="66" t="s">
        <v>104</v>
      </c>
      <c r="C498" s="358" t="s">
        <v>60</v>
      </c>
      <c r="D498" s="17">
        <v>6.04</v>
      </c>
      <c r="E498" s="17"/>
      <c r="F498" s="6"/>
      <c r="G498" s="93">
        <f>SUM('1:2'!G498)</f>
        <v>0</v>
      </c>
      <c r="H498" s="364">
        <f t="shared" si="202"/>
        <v>0</v>
      </c>
      <c r="I498" s="93">
        <f>SUM('1:2'!I498)</f>
        <v>0</v>
      </c>
      <c r="J498" s="31" t="str">
        <f t="array" ref="J498">IF(ISERROR(G498/I498),"",G498/I498)</f>
        <v/>
      </c>
      <c r="K498" s="35">
        <f t="array" ref="K498">IF(ISERROR(G498/L498),"",G498/L498)</f>
        <v>0</v>
      </c>
      <c r="L498" s="87">
        <v>6</v>
      </c>
      <c r="M498" s="36">
        <f t="shared" si="203"/>
        <v>0</v>
      </c>
      <c r="N498" s="31">
        <f t="shared" si="204"/>
        <v>0</v>
      </c>
      <c r="O498" s="93">
        <f>SUM('1:2'!O498)</f>
        <v>0</v>
      </c>
      <c r="P498" s="93">
        <f>SUM('1:2'!P498)</f>
        <v>0</v>
      </c>
      <c r="Q498" s="93">
        <f>SUM('1:2'!Q498)</f>
        <v>0</v>
      </c>
      <c r="R498" s="93">
        <f>SUM('1:2'!R498)</f>
        <v>0</v>
      </c>
      <c r="S498" s="93">
        <f>SUM('1:2'!S498)</f>
        <v>0</v>
      </c>
      <c r="T498" s="93">
        <f>SUM('1:2'!T498)</f>
        <v>0</v>
      </c>
      <c r="U498" s="93">
        <f>SUM('1:2'!U498)</f>
        <v>0</v>
      </c>
      <c r="V498" s="206">
        <f t="shared" si="205"/>
        <v>0</v>
      </c>
      <c r="W498" s="33" t="str">
        <f t="shared" si="206"/>
        <v/>
      </c>
      <c r="X498" s="93">
        <f>SUM('1:2'!X498)</f>
        <v>0</v>
      </c>
      <c r="Y498" s="93">
        <f>SUM('1:2'!Y498)</f>
        <v>0</v>
      </c>
      <c r="Z498" s="93">
        <f>SUM('1:2'!Z498)</f>
        <v>0</v>
      </c>
      <c r="AA498" s="93">
        <f>SUM('1:2'!AA498)</f>
        <v>0</v>
      </c>
      <c r="AB498" s="73"/>
      <c r="AC498" s="54"/>
      <c r="AD498" s="370"/>
      <c r="AE498" s="54"/>
      <c r="AF498" s="54"/>
      <c r="AG498" s="54"/>
      <c r="AH498" s="54"/>
      <c r="AI498" s="57"/>
      <c r="AJ498" s="57"/>
      <c r="AK498" s="57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</row>
    <row r="499" spans="1:53">
      <c r="A499" s="305">
        <v>30601015</v>
      </c>
      <c r="B499" s="281" t="s">
        <v>443</v>
      </c>
      <c r="C499" s="358" t="s">
        <v>53</v>
      </c>
      <c r="D499" s="17"/>
      <c r="E499" s="17"/>
      <c r="F499" s="6"/>
      <c r="G499" s="93">
        <f>SUM('1:2'!G499)</f>
        <v>0</v>
      </c>
      <c r="H499" s="364">
        <f t="shared" si="202"/>
        <v>0</v>
      </c>
      <c r="I499" s="93"/>
      <c r="J499" s="31"/>
      <c r="K499" s="35"/>
      <c r="L499" s="87"/>
      <c r="M499" s="36"/>
      <c r="N499" s="31"/>
      <c r="O499" s="93"/>
      <c r="P499" s="93"/>
      <c r="Q499" s="93"/>
      <c r="R499" s="93"/>
      <c r="S499" s="93"/>
      <c r="T499" s="93"/>
      <c r="U499" s="93"/>
      <c r="V499" s="206"/>
      <c r="W499" s="33"/>
      <c r="X499" s="93"/>
      <c r="Y499" s="93"/>
      <c r="Z499" s="93"/>
      <c r="AA499" s="93"/>
      <c r="AB499" s="73"/>
      <c r="AC499" s="54"/>
      <c r="AD499" s="370"/>
      <c r="AE499" s="54"/>
      <c r="AF499" s="54"/>
      <c r="AG499" s="54"/>
      <c r="AH499" s="54"/>
      <c r="AI499" s="57"/>
      <c r="AJ499" s="57"/>
      <c r="AK499" s="57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</row>
    <row r="500" spans="1:53">
      <c r="A500" s="305">
        <v>30101016</v>
      </c>
      <c r="B500" s="281" t="s">
        <v>443</v>
      </c>
      <c r="C500" s="358" t="s">
        <v>60</v>
      </c>
      <c r="D500" s="17"/>
      <c r="E500" s="17"/>
      <c r="F500" s="6"/>
      <c r="G500" s="93">
        <f>SUM('1:2'!G500)</f>
        <v>0</v>
      </c>
      <c r="H500" s="364">
        <f t="shared" si="202"/>
        <v>0</v>
      </c>
      <c r="I500" s="93"/>
      <c r="J500" s="31"/>
      <c r="K500" s="35"/>
      <c r="L500" s="87"/>
      <c r="M500" s="36"/>
      <c r="N500" s="31"/>
      <c r="O500" s="93"/>
      <c r="P500" s="93"/>
      <c r="Q500" s="93"/>
      <c r="R500" s="93"/>
      <c r="S500" s="93"/>
      <c r="T500" s="93"/>
      <c r="U500" s="93"/>
      <c r="V500" s="206"/>
      <c r="W500" s="33"/>
      <c r="X500" s="93"/>
      <c r="Y500" s="93"/>
      <c r="Z500" s="93"/>
      <c r="AA500" s="93"/>
      <c r="AB500" s="73"/>
      <c r="AC500" s="54"/>
      <c r="AD500" s="370"/>
      <c r="AE500" s="54"/>
      <c r="AF500" s="54"/>
      <c r="AG500" s="54"/>
      <c r="AH500" s="54"/>
      <c r="AI500" s="57"/>
      <c r="AJ500" s="57"/>
      <c r="AK500" s="57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</row>
    <row r="501" spans="1:53">
      <c r="A501" s="299">
        <v>30700018</v>
      </c>
      <c r="B501" s="61" t="s">
        <v>159</v>
      </c>
      <c r="C501" s="16"/>
      <c r="D501" s="17">
        <v>7.3</v>
      </c>
      <c r="E501" s="17"/>
      <c r="F501" s="6"/>
      <c r="G501" s="93">
        <f>SUM('1:2'!G501)</f>
        <v>0</v>
      </c>
      <c r="H501" s="364">
        <f t="shared" si="202"/>
        <v>0</v>
      </c>
      <c r="I501" s="93">
        <f>SUM('1:2'!I501)</f>
        <v>0</v>
      </c>
      <c r="J501" s="31" t="str">
        <f t="array" ref="J501">IF(ISERROR(G501/I501),"",G501/I501)</f>
        <v/>
      </c>
      <c r="K501" s="35">
        <f t="array" ref="K501">IF(ISERROR(G501/L501),"",G501/L501)</f>
        <v>0</v>
      </c>
      <c r="L501" s="87">
        <v>7.5</v>
      </c>
      <c r="M501" s="36">
        <f t="shared" ref="M501" si="207">IF(ISERROR(I501-K501),"",I501-K501)</f>
        <v>0</v>
      </c>
      <c r="N501" s="31">
        <f t="shared" ref="N501" si="208">SUM(O501:U501)</f>
        <v>0</v>
      </c>
      <c r="O501" s="93">
        <f>SUM('1:2'!O501)</f>
        <v>0</v>
      </c>
      <c r="P501" s="93">
        <f>SUM('1:2'!P501)</f>
        <v>0</v>
      </c>
      <c r="Q501" s="93">
        <f>SUM('1:2'!Q501)</f>
        <v>0</v>
      </c>
      <c r="R501" s="93">
        <f>SUM('1:2'!R501)</f>
        <v>0</v>
      </c>
      <c r="S501" s="93">
        <f>SUM('1:2'!S501)</f>
        <v>0</v>
      </c>
      <c r="T501" s="93">
        <f>SUM('1:2'!T501)</f>
        <v>0</v>
      </c>
      <c r="U501" s="93">
        <f>SUM('1:2'!U501)</f>
        <v>0</v>
      </c>
      <c r="V501" s="206">
        <f t="shared" ref="V501" si="209">SUM(X501:AA501)</f>
        <v>0</v>
      </c>
      <c r="W501" s="33" t="str">
        <f t="shared" ref="W501" si="210">IF(ISERROR(V501/G501),"",V501/G501)</f>
        <v/>
      </c>
      <c r="X501" s="93">
        <f>SUM('1:2'!X501)</f>
        <v>0</v>
      </c>
      <c r="Y501" s="93">
        <f>SUM('1:2'!Y501)</f>
        <v>0</v>
      </c>
      <c r="Z501" s="93">
        <f>SUM('1:2'!Z501)</f>
        <v>0</v>
      </c>
      <c r="AA501" s="93">
        <f>SUM('1:2'!AA501)</f>
        <v>0</v>
      </c>
      <c r="AB501" s="73"/>
      <c r="AC501" s="54"/>
      <c r="AD501" s="370"/>
      <c r="AE501" s="54"/>
      <c r="AF501" s="54"/>
      <c r="AG501" s="54"/>
      <c r="AH501" s="54"/>
      <c r="AI501" s="57"/>
      <c r="AJ501" s="57"/>
      <c r="AK501" s="57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</row>
    <row r="502" spans="1:53">
      <c r="A502" s="299">
        <v>30700010</v>
      </c>
      <c r="B502" s="61" t="s">
        <v>105</v>
      </c>
      <c r="C502" s="16"/>
      <c r="D502" s="17">
        <f>78*120/1000</f>
        <v>9.36</v>
      </c>
      <c r="E502" s="17"/>
      <c r="F502" s="6"/>
      <c r="G502" s="93">
        <f>SUM('1:2'!G502)</f>
        <v>0</v>
      </c>
      <c r="H502" s="364">
        <f t="shared" si="202"/>
        <v>0</v>
      </c>
      <c r="I502" s="93">
        <f>SUM('1:2'!I502)</f>
        <v>0</v>
      </c>
      <c r="J502" s="31"/>
      <c r="K502" s="35"/>
      <c r="L502" s="87"/>
      <c r="M502" s="36"/>
      <c r="N502" s="31"/>
      <c r="O502" s="93">
        <f>SUM('1:2'!O502)</f>
        <v>0</v>
      </c>
      <c r="P502" s="93">
        <f>SUM('1:2'!P502)</f>
        <v>0</v>
      </c>
      <c r="Q502" s="93">
        <f>SUM('1:2'!Q502)</f>
        <v>0</v>
      </c>
      <c r="R502" s="93">
        <f>SUM('1:2'!R502)</f>
        <v>0</v>
      </c>
      <c r="S502" s="93">
        <f>SUM('1:2'!S502)</f>
        <v>0</v>
      </c>
      <c r="T502" s="93">
        <f>SUM('1:2'!T502)</f>
        <v>0</v>
      </c>
      <c r="U502" s="93">
        <f>SUM('1:2'!U502)</f>
        <v>0</v>
      </c>
      <c r="V502" s="206"/>
      <c r="W502" s="33"/>
      <c r="X502" s="93">
        <f>SUM('1:2'!X502)</f>
        <v>0</v>
      </c>
      <c r="Y502" s="93">
        <f>SUM('1:2'!Y502)</f>
        <v>0</v>
      </c>
      <c r="Z502" s="93">
        <f>SUM('1:2'!Z502)</f>
        <v>0</v>
      </c>
      <c r="AA502" s="93">
        <f>SUM('1:2'!AA502)</f>
        <v>0</v>
      </c>
      <c r="AB502" s="73"/>
      <c r="AC502" s="54"/>
      <c r="AD502" s="370"/>
      <c r="AE502" s="54"/>
      <c r="AF502" s="54"/>
      <c r="AG502" s="54"/>
      <c r="AH502" s="54"/>
      <c r="AI502" s="57"/>
      <c r="AJ502" s="57"/>
      <c r="AK502" s="57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</row>
    <row r="503" spans="1:53">
      <c r="A503" s="299">
        <v>30700015</v>
      </c>
      <c r="B503" s="360" t="s">
        <v>159</v>
      </c>
      <c r="C503" s="16"/>
      <c r="D503" s="17">
        <v>4.5</v>
      </c>
      <c r="E503" s="17"/>
      <c r="F503" s="6"/>
      <c r="G503" s="93">
        <f>SUM('1:2'!G503)</f>
        <v>0</v>
      </c>
      <c r="H503" s="364">
        <f t="shared" si="202"/>
        <v>0</v>
      </c>
      <c r="I503" s="93">
        <f>SUM('1:2'!I503)</f>
        <v>0</v>
      </c>
      <c r="J503" s="31"/>
      <c r="K503" s="35"/>
      <c r="L503" s="87"/>
      <c r="M503" s="36"/>
      <c r="N503" s="31"/>
      <c r="O503" s="93"/>
      <c r="P503" s="93"/>
      <c r="Q503" s="93"/>
      <c r="R503" s="93"/>
      <c r="S503" s="93"/>
      <c r="T503" s="93"/>
      <c r="U503" s="93"/>
      <c r="V503" s="206"/>
      <c r="W503" s="33"/>
      <c r="X503" s="93"/>
      <c r="Y503" s="93"/>
      <c r="Z503" s="93"/>
      <c r="AA503" s="93"/>
      <c r="AB503" s="73"/>
      <c r="AC503" s="54"/>
      <c r="AD503" s="370"/>
      <c r="AE503" s="54"/>
      <c r="AF503" s="54"/>
      <c r="AG503" s="54"/>
      <c r="AH503" s="54"/>
      <c r="AI503" s="57"/>
      <c r="AJ503" s="57"/>
      <c r="AK503" s="57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</row>
    <row r="504" spans="1:53">
      <c r="A504" s="299">
        <v>30700012</v>
      </c>
      <c r="B504" s="360" t="s">
        <v>160</v>
      </c>
      <c r="C504" s="16"/>
      <c r="D504" s="17">
        <v>4.5</v>
      </c>
      <c r="E504" s="17"/>
      <c r="F504" s="6"/>
      <c r="G504" s="93">
        <f>SUM('1:2'!G504)</f>
        <v>0</v>
      </c>
      <c r="H504" s="364">
        <f t="shared" si="202"/>
        <v>0</v>
      </c>
      <c r="I504" s="93">
        <f>SUM('1:2'!I504)</f>
        <v>0</v>
      </c>
      <c r="J504" s="31"/>
      <c r="K504" s="35"/>
      <c r="L504" s="87"/>
      <c r="M504" s="36"/>
      <c r="N504" s="31"/>
      <c r="O504" s="93">
        <f>SUM('1:2'!O504)</f>
        <v>0</v>
      </c>
      <c r="P504" s="93">
        <f>SUM('1:2'!P504)</f>
        <v>0</v>
      </c>
      <c r="Q504" s="93">
        <f>SUM('1:2'!Q504)</f>
        <v>0</v>
      </c>
      <c r="R504" s="93">
        <f>SUM('1:2'!R504)</f>
        <v>0</v>
      </c>
      <c r="S504" s="93">
        <f>SUM('1:2'!S504)</f>
        <v>0</v>
      </c>
      <c r="T504" s="93">
        <f>SUM('1:2'!T504)</f>
        <v>0</v>
      </c>
      <c r="U504" s="93">
        <f>SUM('1:2'!U504)</f>
        <v>0</v>
      </c>
      <c r="V504" s="206"/>
      <c r="W504" s="33"/>
      <c r="X504" s="93">
        <f>SUM('1:2'!X504)</f>
        <v>0</v>
      </c>
      <c r="Y504" s="93">
        <f>SUM('1:2'!Y504)</f>
        <v>0</v>
      </c>
      <c r="Z504" s="93">
        <f>SUM('1:2'!Z504)</f>
        <v>0</v>
      </c>
      <c r="AA504" s="93">
        <f>SUM('1:2'!AA504)</f>
        <v>0</v>
      </c>
      <c r="AB504" s="73"/>
      <c r="AC504" s="54"/>
      <c r="AD504" s="370"/>
      <c r="AE504" s="54"/>
      <c r="AF504" s="54"/>
      <c r="AG504" s="54"/>
      <c r="AH504" s="54"/>
      <c r="AI504" s="57"/>
      <c r="AJ504" s="57"/>
      <c r="AK504" s="57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</row>
    <row r="505" spans="1:53">
      <c r="A505" s="299"/>
      <c r="B505" s="360"/>
      <c r="C505" s="16"/>
      <c r="D505" s="17"/>
      <c r="E505" s="17"/>
      <c r="F505" s="6"/>
      <c r="G505" s="93">
        <f>SUM('1:2'!G505)</f>
        <v>0</v>
      </c>
      <c r="H505" s="364">
        <f t="shared" si="202"/>
        <v>0</v>
      </c>
      <c r="I505" s="93">
        <f>SUM('1:2'!I505)</f>
        <v>0</v>
      </c>
      <c r="J505" s="31"/>
      <c r="K505" s="35"/>
      <c r="L505" s="87"/>
      <c r="M505" s="36"/>
      <c r="N505" s="31"/>
      <c r="O505" s="93">
        <f>SUM('1:2'!O505)</f>
        <v>0</v>
      </c>
      <c r="P505" s="93">
        <f>SUM('1:2'!P505)</f>
        <v>0</v>
      </c>
      <c r="Q505" s="93">
        <f>SUM('1:2'!Q505)</f>
        <v>0</v>
      </c>
      <c r="R505" s="93">
        <f>SUM('1:2'!R505)</f>
        <v>0</v>
      </c>
      <c r="S505" s="93">
        <f>SUM('1:2'!S505)</f>
        <v>0</v>
      </c>
      <c r="T505" s="93">
        <f>SUM('1:2'!T505)</f>
        <v>0</v>
      </c>
      <c r="U505" s="93">
        <f>SUM('1:2'!U505)</f>
        <v>0</v>
      </c>
      <c r="V505" s="206"/>
      <c r="W505" s="33"/>
      <c r="X505" s="93">
        <f>SUM('1:2'!X505)</f>
        <v>0</v>
      </c>
      <c r="Y505" s="93">
        <f>SUM('1:2'!Y505)</f>
        <v>0</v>
      </c>
      <c r="Z505" s="93">
        <f>SUM('1:2'!Z505)</f>
        <v>0</v>
      </c>
      <c r="AA505" s="93">
        <f>SUM('1:2'!AA505)</f>
        <v>0</v>
      </c>
      <c r="AB505" s="73"/>
      <c r="AC505" s="54"/>
      <c r="AD505" s="370"/>
      <c r="AE505" s="54"/>
      <c r="AF505" s="54"/>
      <c r="AG505" s="54"/>
      <c r="AH505" s="54"/>
      <c r="AI505" s="57"/>
      <c r="AJ505" s="57"/>
      <c r="AK505" s="57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</row>
    <row r="506" spans="1:53">
      <c r="A506" s="691" t="s">
        <v>106</v>
      </c>
      <c r="B506" s="692"/>
      <c r="C506" s="359" t="s">
        <v>71</v>
      </c>
      <c r="D506" s="20"/>
      <c r="E506" s="20"/>
      <c r="F506" s="32"/>
      <c r="G506" s="94">
        <f>SUM(G491:G505)</f>
        <v>0</v>
      </c>
      <c r="H506" s="30">
        <f>SUM(H491:H505)</f>
        <v>0</v>
      </c>
      <c r="I506" s="30">
        <f>SUM(I491:I505)</f>
        <v>0</v>
      </c>
      <c r="J506" s="31" t="str">
        <f t="array" ref="J506">IF(ISERROR(G506/I506),"",G506/I506)</f>
        <v/>
      </c>
      <c r="K506" s="30">
        <f>SUM(K491:K501)</f>
        <v>0</v>
      </c>
      <c r="L506" s="98"/>
      <c r="M506" s="89">
        <f t="shared" ref="M506:V506" si="211">SUM(M491:M501)</f>
        <v>0</v>
      </c>
      <c r="N506" s="20">
        <f t="shared" si="211"/>
        <v>0</v>
      </c>
      <c r="O506" s="91">
        <f t="shared" si="211"/>
        <v>0</v>
      </c>
      <c r="P506" s="91">
        <f t="shared" si="211"/>
        <v>0</v>
      </c>
      <c r="Q506" s="91">
        <f t="shared" si="211"/>
        <v>0</v>
      </c>
      <c r="R506" s="91">
        <f t="shared" si="211"/>
        <v>0</v>
      </c>
      <c r="S506" s="92">
        <f t="shared" si="211"/>
        <v>0</v>
      </c>
      <c r="T506" s="91">
        <f t="shared" si="211"/>
        <v>0</v>
      </c>
      <c r="U506" s="91">
        <f t="shared" si="211"/>
        <v>0</v>
      </c>
      <c r="V506" s="206">
        <f t="shared" si="211"/>
        <v>0</v>
      </c>
      <c r="W506" s="33" t="str">
        <f t="shared" ref="W506:W507" si="212">IF(ISERROR(V506/G506),"",V506/G506)</f>
        <v/>
      </c>
      <c r="X506" s="92">
        <f>SUM(X491:X501)</f>
        <v>0</v>
      </c>
      <c r="Y506" s="92">
        <f>SUM(Y491:Y501)</f>
        <v>0</v>
      </c>
      <c r="Z506" s="92">
        <f>SUM(Z491:Z501)</f>
        <v>0</v>
      </c>
      <c r="AA506" s="92">
        <f>SUM(AA491:AA501)</f>
        <v>0</v>
      </c>
      <c r="AB506" s="70"/>
      <c r="AC506" s="70"/>
      <c r="AD506" s="58"/>
      <c r="AE506" s="70"/>
      <c r="AF506" s="70"/>
      <c r="AG506" s="70"/>
      <c r="AH506" s="70"/>
      <c r="AI506" s="58"/>
      <c r="AJ506" s="58"/>
      <c r="AK506" s="58"/>
      <c r="AL506" s="58"/>
      <c r="AM506" s="58"/>
      <c r="AN506" s="58"/>
      <c r="AO506" s="58"/>
      <c r="AP506" s="58"/>
      <c r="AQ506" s="58"/>
      <c r="AR506" s="58"/>
      <c r="AS506" s="58"/>
      <c r="AT506" s="58"/>
      <c r="AU506" s="58"/>
      <c r="AV506" s="58"/>
      <c r="AW506" s="58"/>
      <c r="AX506" s="58"/>
      <c r="AY506" s="58"/>
      <c r="AZ506" s="58"/>
      <c r="BA506" s="58"/>
    </row>
    <row r="507" spans="1:53">
      <c r="A507" s="693" t="s">
        <v>108</v>
      </c>
      <c r="B507" s="694"/>
      <c r="C507" s="694"/>
      <c r="D507" s="694"/>
      <c r="E507" s="694"/>
      <c r="F507" s="695"/>
      <c r="G507" s="193">
        <f>SUM(G370,G428,G463,G479,G490,G506)</f>
        <v>1732</v>
      </c>
      <c r="H507" s="193">
        <f>SUM(H370,H428,H463,H479,H490,H506)</f>
        <v>8711.9600000000009</v>
      </c>
      <c r="I507" s="193">
        <f>SUM(I370,I428,I463,I479,I490,I506)</f>
        <v>173.5</v>
      </c>
      <c r="J507" s="52">
        <f t="array" ref="J507">IF(ISERROR(G507/I507),"",G507/I507)</f>
        <v>9.9827089337175785</v>
      </c>
      <c r="K507" s="193">
        <f>SUM(K370,K428,K463,K479,K490,K506)</f>
        <v>191.37463343108504</v>
      </c>
      <c r="L507" s="52">
        <f>IF(ISERROR(G507/K507),"",G507/K507)</f>
        <v>9.0503112609420189</v>
      </c>
      <c r="M507" s="193">
        <f t="shared" ref="M507:V507" si="213">SUM(M370,M428,M463,M479,M490,M506)</f>
        <v>-17.874633431085034</v>
      </c>
      <c r="N507" s="193">
        <f t="shared" si="213"/>
        <v>0</v>
      </c>
      <c r="O507" s="193">
        <f t="shared" si="213"/>
        <v>0</v>
      </c>
      <c r="P507" s="193">
        <f t="shared" si="213"/>
        <v>0</v>
      </c>
      <c r="Q507" s="193">
        <f t="shared" si="213"/>
        <v>0</v>
      </c>
      <c r="R507" s="193">
        <f t="shared" si="213"/>
        <v>0</v>
      </c>
      <c r="S507" s="193">
        <f t="shared" si="213"/>
        <v>0</v>
      </c>
      <c r="T507" s="193">
        <f t="shared" si="213"/>
        <v>0</v>
      </c>
      <c r="U507" s="193">
        <f t="shared" si="213"/>
        <v>0</v>
      </c>
      <c r="V507" s="193">
        <f t="shared" si="213"/>
        <v>0</v>
      </c>
      <c r="W507" s="78">
        <f t="shared" si="212"/>
        <v>0</v>
      </c>
      <c r="X507" s="193">
        <f>SUM(X370,X428,X463,X479,X490,X506)</f>
        <v>0</v>
      </c>
      <c r="Y507" s="193">
        <f>SUM(Y370,Y428,Y463,Y479,Y490,Y506)</f>
        <v>0</v>
      </c>
      <c r="Z507" s="193">
        <f>SUM(Z370,Z428,Z463,Z479,Z490,Z506)</f>
        <v>0</v>
      </c>
      <c r="AA507" s="193">
        <f>SUM(AA370,AA428,AA463,AA479,AA490,AA506)</f>
        <v>0</v>
      </c>
      <c r="AB507" s="76"/>
      <c r="AC507" s="71"/>
      <c r="AD507" s="370"/>
      <c r="AE507" s="77"/>
      <c r="AF507" s="77"/>
      <c r="AG507" s="77"/>
      <c r="AH507" s="77"/>
      <c r="AI507" s="57"/>
      <c r="AJ507" s="57"/>
      <c r="AK507" s="57"/>
      <c r="AL507" s="696"/>
      <c r="AM507" s="696"/>
      <c r="AN507" s="696"/>
      <c r="AO507" s="696"/>
      <c r="AP507" s="696"/>
      <c r="AQ507" s="696"/>
      <c r="AR507" s="696"/>
      <c r="AS507" s="696"/>
      <c r="AT507" s="696"/>
      <c r="AU507" s="696"/>
      <c r="AV507" s="696"/>
      <c r="AW507" s="696"/>
      <c r="AX507" s="696"/>
      <c r="AY507" s="696"/>
      <c r="AZ507" s="696"/>
      <c r="BA507" s="696"/>
    </row>
    <row r="508" spans="1:53" ht="15.75" customHeight="1">
      <c r="A508" s="583" t="s">
        <v>503</v>
      </c>
      <c r="B508" s="362" t="s">
        <v>110</v>
      </c>
      <c r="C508" s="674" t="s">
        <v>111</v>
      </c>
      <c r="D508" s="674"/>
      <c r="E508" s="684" t="s">
        <v>112</v>
      </c>
      <c r="F508" s="684"/>
      <c r="G508" s="654" t="s">
        <v>113</v>
      </c>
      <c r="H508" s="654"/>
      <c r="I508" s="684" t="s">
        <v>114</v>
      </c>
      <c r="J508" s="684"/>
      <c r="K508" s="684" t="s">
        <v>36</v>
      </c>
      <c r="L508" s="684"/>
      <c r="M508" s="684" t="s">
        <v>115</v>
      </c>
      <c r="N508" s="684"/>
      <c r="O508" s="684" t="s">
        <v>116</v>
      </c>
      <c r="P508" s="654" t="s">
        <v>117</v>
      </c>
      <c r="Q508" s="654"/>
      <c r="R508" s="654" t="s">
        <v>36</v>
      </c>
      <c r="S508" s="654"/>
      <c r="T508" s="654" t="s">
        <v>118</v>
      </c>
      <c r="U508" s="654"/>
      <c r="V508" s="654" t="s">
        <v>119</v>
      </c>
      <c r="W508" s="654"/>
      <c r="X508" s="654" t="s">
        <v>36</v>
      </c>
      <c r="Y508" s="654"/>
      <c r="Z508" s="654" t="s">
        <v>118</v>
      </c>
      <c r="AA508" s="654"/>
      <c r="AB508" s="12"/>
      <c r="AC508" s="12"/>
      <c r="AD508" s="12"/>
      <c r="AE508" s="3"/>
      <c r="AF508" s="3"/>
      <c r="AG508" s="3"/>
      <c r="AH508" s="368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21"/>
      <c r="AV508" s="21"/>
      <c r="AW508" s="21"/>
      <c r="AX508" s="21"/>
      <c r="AY508" s="21"/>
      <c r="AZ508" s="21"/>
      <c r="BA508" s="21"/>
    </row>
    <row r="509" spans="1:53">
      <c r="A509" s="584"/>
      <c r="B509" s="362" t="s">
        <v>120</v>
      </c>
      <c r="C509" s="689">
        <f>SUM('1:2'!C509)</f>
        <v>0</v>
      </c>
      <c r="D509" s="690"/>
      <c r="E509" s="688">
        <f>D509*11</f>
        <v>0</v>
      </c>
      <c r="F509" s="688"/>
      <c r="G509" s="601">
        <v>0</v>
      </c>
      <c r="H509" s="602"/>
      <c r="I509" s="684">
        <f>G509*11</f>
        <v>0</v>
      </c>
      <c r="J509" s="684"/>
      <c r="K509" s="684">
        <f>E509-I509</f>
        <v>0</v>
      </c>
      <c r="L509" s="684"/>
      <c r="M509" s="686" t="str">
        <f>IF(ISERROR(K509/E509),"",K509/E509)</f>
        <v/>
      </c>
      <c r="N509" s="686"/>
      <c r="O509" s="684"/>
      <c r="P509" s="654" t="s">
        <v>70</v>
      </c>
      <c r="Q509" s="654"/>
      <c r="R509" s="677">
        <f>SUM(O370:U370)</f>
        <v>0</v>
      </c>
      <c r="S509" s="677"/>
      <c r="T509" s="685" t="str">
        <f t="array" ref="T509">IF(ISERROR(R509/R516),"",R509/R516)</f>
        <v/>
      </c>
      <c r="U509" s="685"/>
      <c r="V509" s="654" t="s">
        <v>41</v>
      </c>
      <c r="W509" s="654"/>
      <c r="X509" s="677">
        <f>SUM(O370,O428,O463,O479,O490,O506)</f>
        <v>0</v>
      </c>
      <c r="Y509" s="677"/>
      <c r="Z509" s="685" t="str">
        <f t="array" ref="Z509">IF(ISERROR(X509/X516),"",X509/X516)</f>
        <v/>
      </c>
      <c r="AA509" s="685"/>
      <c r="AB509" s="12"/>
      <c r="AC509" s="22"/>
      <c r="AD509" s="22"/>
      <c r="AE509" s="3"/>
      <c r="AF509" s="3"/>
      <c r="AG509" s="3"/>
      <c r="AH509" s="370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21"/>
      <c r="AV509" s="21"/>
      <c r="AW509" s="21"/>
      <c r="AX509" s="21"/>
      <c r="AY509" s="21"/>
      <c r="AZ509" s="21"/>
      <c r="BA509" s="21"/>
    </row>
    <row r="510" spans="1:53" ht="15.75" customHeight="1">
      <c r="A510" s="584"/>
      <c r="B510" s="362" t="s">
        <v>121</v>
      </c>
      <c r="C510" s="689">
        <f>SUM('1:2'!C510)</f>
        <v>0</v>
      </c>
      <c r="D510" s="690"/>
      <c r="E510" s="688">
        <f>D510*11</f>
        <v>0</v>
      </c>
      <c r="F510" s="688"/>
      <c r="G510" s="601">
        <v>0</v>
      </c>
      <c r="H510" s="602"/>
      <c r="I510" s="684">
        <f>G510*11</f>
        <v>0</v>
      </c>
      <c r="J510" s="684"/>
      <c r="K510" s="684">
        <f>E510-I510</f>
        <v>0</v>
      </c>
      <c r="L510" s="684"/>
      <c r="M510" s="686" t="str">
        <f>IF(ISERROR(K510/E510),"",K510/E510)</f>
        <v/>
      </c>
      <c r="N510" s="686"/>
      <c r="O510" s="684"/>
      <c r="P510" s="654" t="s">
        <v>86</v>
      </c>
      <c r="Q510" s="654"/>
      <c r="R510" s="677">
        <f>SUM(O428:U428)</f>
        <v>0</v>
      </c>
      <c r="S510" s="677"/>
      <c r="T510" s="685" t="str">
        <f>IF(ISERROR(R510/R516),"",R510/R516)</f>
        <v/>
      </c>
      <c r="U510" s="685"/>
      <c r="V510" s="654" t="s">
        <v>42</v>
      </c>
      <c r="W510" s="654"/>
      <c r="X510" s="677">
        <f>SUM(O371,O429,O464,O480,O491,O507)</f>
        <v>0</v>
      </c>
      <c r="Y510" s="677"/>
      <c r="Z510" s="685" t="str">
        <f>IF(ISERROR(X510/X516),"",X510/X516)</f>
        <v/>
      </c>
      <c r="AA510" s="685"/>
      <c r="AB510" s="12"/>
      <c r="AC510" s="22"/>
      <c r="AD510" s="22"/>
      <c r="AE510" s="3"/>
      <c r="AF510" s="3"/>
      <c r="AG510" s="3"/>
      <c r="AH510" s="370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21"/>
      <c r="AV510" s="21"/>
      <c r="AW510" s="21"/>
      <c r="AX510" s="21"/>
      <c r="AY510" s="21"/>
      <c r="AZ510" s="21"/>
      <c r="BA510" s="21"/>
    </row>
    <row r="511" spans="1:53">
      <c r="A511" s="584"/>
      <c r="B511" s="362" t="s">
        <v>122</v>
      </c>
      <c r="C511" s="689">
        <f>SUM('1:2'!C511)</f>
        <v>0</v>
      </c>
      <c r="D511" s="690"/>
      <c r="E511" s="688">
        <f>D511*11</f>
        <v>0</v>
      </c>
      <c r="F511" s="688"/>
      <c r="G511" s="601">
        <v>0</v>
      </c>
      <c r="H511" s="602"/>
      <c r="I511" s="684">
        <f>G511*11</f>
        <v>0</v>
      </c>
      <c r="J511" s="684"/>
      <c r="K511" s="684">
        <f>E511-I511</f>
        <v>0</v>
      </c>
      <c r="L511" s="684"/>
      <c r="M511" s="686" t="str">
        <f>IF(ISERROR(K511/E511),"",K511/E511)</f>
        <v/>
      </c>
      <c r="N511" s="686"/>
      <c r="O511" s="684"/>
      <c r="P511" s="654" t="s">
        <v>92</v>
      </c>
      <c r="Q511" s="654"/>
      <c r="R511" s="677">
        <f>SUM(O463:U463)</f>
        <v>0</v>
      </c>
      <c r="S511" s="677"/>
      <c r="T511" s="685" t="str">
        <f>IF(ISERROR(R511/R516),"",R511/R516)</f>
        <v/>
      </c>
      <c r="U511" s="685"/>
      <c r="V511" s="654" t="s">
        <v>43</v>
      </c>
      <c r="W511" s="654"/>
      <c r="X511" s="677">
        <f>SUM(O373,O430,O465,O481,O492,O508)</f>
        <v>0</v>
      </c>
      <c r="Y511" s="677"/>
      <c r="Z511" s="685" t="str">
        <f>IF(ISERROR(X511/X516),"",X511/X516)</f>
        <v/>
      </c>
      <c r="AA511" s="685"/>
      <c r="AB511" s="12"/>
      <c r="AC511" s="22"/>
      <c r="AD511" s="22"/>
      <c r="AE511" s="3"/>
      <c r="AF511" s="3"/>
      <c r="AG511" s="370"/>
      <c r="AH511" s="370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21"/>
      <c r="AV511" s="21"/>
      <c r="AW511" s="21"/>
      <c r="AX511" s="21"/>
      <c r="AY511" s="21"/>
      <c r="AZ511" s="21"/>
      <c r="BA511" s="21"/>
    </row>
    <row r="512" spans="1:53">
      <c r="A512" s="584"/>
      <c r="B512" s="362" t="s">
        <v>47</v>
      </c>
      <c r="C512" s="586">
        <v>1</v>
      </c>
      <c r="D512" s="587"/>
      <c r="E512" s="688">
        <f>D512*11</f>
        <v>0</v>
      </c>
      <c r="F512" s="688"/>
      <c r="G512" s="601">
        <v>1</v>
      </c>
      <c r="H512" s="602"/>
      <c r="I512" s="684">
        <f>G512*11</f>
        <v>11</v>
      </c>
      <c r="J512" s="684"/>
      <c r="K512" s="684">
        <f>E512-I512</f>
        <v>-11</v>
      </c>
      <c r="L512" s="684"/>
      <c r="M512" s="686" t="str">
        <f>IF(ISERROR(K512/E512),"",K512/E512)</f>
        <v/>
      </c>
      <c r="N512" s="686"/>
      <c r="O512" s="684"/>
      <c r="P512" s="654" t="s">
        <v>99</v>
      </c>
      <c r="Q512" s="654"/>
      <c r="R512" s="677">
        <f>SUM(O479:U479)</f>
        <v>0</v>
      </c>
      <c r="S512" s="677"/>
      <c r="T512" s="685" t="str">
        <f>IF(ISERROR(R512/R516),"",R512/R516)</f>
        <v/>
      </c>
      <c r="U512" s="685"/>
      <c r="V512" s="654" t="s">
        <v>44</v>
      </c>
      <c r="W512" s="654"/>
      <c r="X512" s="677">
        <f>SUM(O374,O431,O466,O482,O493,O509)</f>
        <v>0</v>
      </c>
      <c r="Y512" s="677"/>
      <c r="Z512" s="685" t="str">
        <f>IF(ISERROR(X512/X516),"",X512/X516)</f>
        <v/>
      </c>
      <c r="AA512" s="685"/>
      <c r="AB512" s="12"/>
      <c r="AC512" s="22"/>
      <c r="AD512" s="22"/>
      <c r="AE512" s="3"/>
      <c r="AF512" s="3"/>
      <c r="AG512" s="370"/>
      <c r="AH512" s="370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21"/>
      <c r="AV512" s="21"/>
      <c r="AW512" s="21"/>
      <c r="AX512" s="21"/>
      <c r="AY512" s="21"/>
      <c r="AZ512" s="21"/>
      <c r="BA512" s="21"/>
    </row>
    <row r="513" spans="1:53">
      <c r="A513" s="585"/>
      <c r="B513" s="362" t="s">
        <v>123</v>
      </c>
      <c r="C513" s="687">
        <f>SUM(C509:D512)</f>
        <v>1</v>
      </c>
      <c r="D513" s="684"/>
      <c r="E513" s="684">
        <f>SUM(F509:F512)</f>
        <v>0</v>
      </c>
      <c r="F513" s="684"/>
      <c r="G513" s="687">
        <f>SUM(G509:H512)</f>
        <v>1</v>
      </c>
      <c r="H513" s="684"/>
      <c r="I513" s="684">
        <f>SUM(I509:J512)</f>
        <v>11</v>
      </c>
      <c r="J513" s="684"/>
      <c r="K513" s="684">
        <f>SUM(K509:L512)</f>
        <v>-11</v>
      </c>
      <c r="L513" s="684"/>
      <c r="M513" s="686" t="str">
        <f>IF(ISERROR(K513/E513),"",K513/E513)</f>
        <v/>
      </c>
      <c r="N513" s="686"/>
      <c r="O513" s="684"/>
      <c r="P513" s="654" t="s">
        <v>102</v>
      </c>
      <c r="Q513" s="654"/>
      <c r="R513" s="677">
        <f>SUM(O490:U490)</f>
        <v>0</v>
      </c>
      <c r="S513" s="677"/>
      <c r="T513" s="685" t="str">
        <f>IF(ISERROR(R513/R516),"",R513/R516)</f>
        <v/>
      </c>
      <c r="U513" s="685"/>
      <c r="V513" s="654" t="s">
        <v>45</v>
      </c>
      <c r="W513" s="654"/>
      <c r="X513" s="677">
        <f>SUM(O375,O432,O467,O483,O494,O510)</f>
        <v>0</v>
      </c>
      <c r="Y513" s="677"/>
      <c r="Z513" s="685" t="str">
        <f>IF(ISERROR(X513/X516),"",X513/X516)</f>
        <v/>
      </c>
      <c r="AA513" s="685"/>
      <c r="AB513" s="12"/>
      <c r="AC513" s="22"/>
      <c r="AD513" s="22"/>
      <c r="AE513" s="3"/>
      <c r="AF513" s="3"/>
      <c r="AG513" s="370"/>
      <c r="AH513" s="370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367"/>
      <c r="AV513" s="367"/>
      <c r="AW513" s="367"/>
      <c r="AX513" s="367"/>
      <c r="AY513" s="367"/>
      <c r="AZ513" s="367"/>
      <c r="BA513" s="367"/>
    </row>
    <row r="514" spans="1:53" ht="17.25">
      <c r="A514" s="309" t="s">
        <v>504</v>
      </c>
      <c r="B514" s="362">
        <f>G507</f>
        <v>1732</v>
      </c>
      <c r="C514" s="677" t="s">
        <v>155</v>
      </c>
      <c r="D514" s="677"/>
      <c r="E514" s="654">
        <f>H507</f>
        <v>8711.9600000000009</v>
      </c>
      <c r="F514" s="654"/>
      <c r="G514" s="654" t="s">
        <v>34</v>
      </c>
      <c r="H514" s="654"/>
      <c r="I514" s="683">
        <f>L507</f>
        <v>9.0503112609420189</v>
      </c>
      <c r="J514" s="683"/>
      <c r="K514" s="684" t="s">
        <v>32</v>
      </c>
      <c r="L514" s="684"/>
      <c r="M514" s="683">
        <f>J507</f>
        <v>9.9827089337175785</v>
      </c>
      <c r="N514" s="683"/>
      <c r="O514" s="684"/>
      <c r="P514" s="654" t="s">
        <v>106</v>
      </c>
      <c r="Q514" s="654"/>
      <c r="R514" s="677">
        <f>SUM(O506:U506)</f>
        <v>0</v>
      </c>
      <c r="S514" s="677"/>
      <c r="T514" s="685" t="str">
        <f>IF(ISERROR(R514/R516),"",R514/R516)</f>
        <v/>
      </c>
      <c r="U514" s="685"/>
      <c r="V514" s="654" t="s">
        <v>46</v>
      </c>
      <c r="W514" s="654"/>
      <c r="X514" s="677">
        <f>SUM(O376,O433,O468,O484,O495,O511)</f>
        <v>0</v>
      </c>
      <c r="Y514" s="677"/>
      <c r="Z514" s="685" t="str">
        <f>IF(ISERROR(X514/X516),"",X514/X516)</f>
        <v/>
      </c>
      <c r="AA514" s="685"/>
      <c r="AB514" s="12"/>
      <c r="AC514" s="22"/>
      <c r="AD514" s="22"/>
      <c r="AE514" s="3"/>
      <c r="AF514" s="3"/>
      <c r="AG514" s="370"/>
      <c r="AH514" s="370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367"/>
      <c r="AV514" s="367"/>
      <c r="AW514" s="367"/>
      <c r="AX514" s="367"/>
      <c r="AY514" s="367"/>
      <c r="AZ514" s="367"/>
      <c r="BA514" s="367"/>
    </row>
    <row r="515" spans="1:53" ht="15.75" customHeight="1">
      <c r="A515" s="310" t="s">
        <v>505</v>
      </c>
      <c r="B515" s="362">
        <f>I507+C513</f>
        <v>174.5</v>
      </c>
      <c r="C515" s="654" t="s">
        <v>114</v>
      </c>
      <c r="D515" s="654"/>
      <c r="E515" s="674">
        <f>K507+I513</f>
        <v>202.37463343108504</v>
      </c>
      <c r="F515" s="674"/>
      <c r="G515" s="654" t="s">
        <v>150</v>
      </c>
      <c r="H515" s="654"/>
      <c r="I515" s="683">
        <f>B515-E515</f>
        <v>-27.874633431085044</v>
      </c>
      <c r="J515" s="683"/>
      <c r="K515" s="684" t="s">
        <v>151</v>
      </c>
      <c r="L515" s="684"/>
      <c r="M515" s="686">
        <f>IF(ISERROR(I515/B515),"",I515/B515)</f>
        <v>-0.15974001966237847</v>
      </c>
      <c r="N515" s="686"/>
      <c r="O515" s="684"/>
      <c r="P515" s="654" t="s">
        <v>107</v>
      </c>
      <c r="Q515" s="654"/>
      <c r="R515" s="677"/>
      <c r="S515" s="677"/>
      <c r="T515" s="685" t="str">
        <f>IF(ISERROR(R515/R516),"",R515/R516)</f>
        <v/>
      </c>
      <c r="U515" s="685"/>
      <c r="V515" s="654" t="s">
        <v>47</v>
      </c>
      <c r="W515" s="654"/>
      <c r="X515" s="677">
        <f>SUM(O377,O434,O469,O489,O496,O512)</f>
        <v>0</v>
      </c>
      <c r="Y515" s="677"/>
      <c r="Z515" s="685" t="str">
        <f>IF(ISERROR(X515/X516),"",X515/X516)</f>
        <v/>
      </c>
      <c r="AA515" s="685"/>
      <c r="AB515" s="12"/>
      <c r="AC515" s="22"/>
      <c r="AD515" s="22"/>
      <c r="AE515" s="3"/>
      <c r="AF515" s="3"/>
      <c r="AG515" s="370"/>
      <c r="AH515" s="370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367"/>
      <c r="AV515" s="367"/>
      <c r="AW515" s="367"/>
      <c r="AX515" s="367"/>
      <c r="AY515" s="367"/>
      <c r="AZ515" s="367"/>
      <c r="BA515" s="367"/>
    </row>
    <row r="516" spans="1:53" ht="15.75" customHeight="1">
      <c r="A516" s="310" t="s">
        <v>507</v>
      </c>
      <c r="B516" s="362">
        <f>N507</f>
        <v>0</v>
      </c>
      <c r="C516" s="654" t="s">
        <v>149</v>
      </c>
      <c r="D516" s="654"/>
      <c r="E516" s="685">
        <f>IF(ISERROR(B516/B515),"",B516/B515)</f>
        <v>0</v>
      </c>
      <c r="F516" s="685"/>
      <c r="G516" s="654" t="s">
        <v>158</v>
      </c>
      <c r="H516" s="654"/>
      <c r="I516" s="684">
        <f>V507</f>
        <v>0</v>
      </c>
      <c r="J516" s="684"/>
      <c r="K516" s="684" t="s">
        <v>156</v>
      </c>
      <c r="L516" s="684"/>
      <c r="M516" s="686">
        <f t="array" ref="M516">IF(ISERROR(I516/B514),"",I516/B514)</f>
        <v>0</v>
      </c>
      <c r="N516" s="686"/>
      <c r="O516" s="684"/>
      <c r="P516" s="654" t="s">
        <v>123</v>
      </c>
      <c r="Q516" s="654"/>
      <c r="R516" s="677">
        <f>SUM(R509:S515)</f>
        <v>0</v>
      </c>
      <c r="S516" s="677"/>
      <c r="T516" s="685">
        <f>SUM(T509:U515)</f>
        <v>0</v>
      </c>
      <c r="U516" s="685"/>
      <c r="V516" s="654" t="s">
        <v>123</v>
      </c>
      <c r="W516" s="654"/>
      <c r="X516" s="677">
        <f>SUM(X509:Y515)</f>
        <v>0</v>
      </c>
      <c r="Y516" s="677"/>
      <c r="Z516" s="685">
        <f>SUM(Z509:AA515)</f>
        <v>0</v>
      </c>
      <c r="AA516" s="685"/>
      <c r="AB516" s="12"/>
      <c r="AC516" s="22"/>
      <c r="AD516" s="22"/>
      <c r="AE516" s="3"/>
      <c r="AF516" s="3"/>
      <c r="AG516" s="370"/>
      <c r="AH516" s="370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367"/>
      <c r="AV516" s="367"/>
      <c r="AW516" s="367"/>
      <c r="AX516" s="367"/>
      <c r="AY516" s="367"/>
      <c r="AZ516" s="367"/>
      <c r="BA516" s="367"/>
    </row>
    <row r="517" spans="1:53" ht="17.25">
      <c r="A517" s="329" t="s">
        <v>508</v>
      </c>
      <c r="B517" s="366"/>
      <c r="C517" s="7"/>
      <c r="D517" s="7"/>
      <c r="E517" s="15"/>
      <c r="F517" s="15"/>
      <c r="G517" s="678" t="str">
        <f>IF(ISERROR(#REF!/#REF!),"",#REF!/#REF!)</f>
        <v/>
      </c>
      <c r="H517" s="678"/>
      <c r="I517" s="678"/>
      <c r="J517" s="8"/>
      <c r="K517" s="47"/>
      <c r="L517" s="12"/>
      <c r="M517" s="12"/>
      <c r="N517" s="678" t="str">
        <f>IF(ISERROR(G517/#REF!),"",G517/#REF!)</f>
        <v/>
      </c>
      <c r="O517" s="678"/>
      <c r="P517" s="678"/>
      <c r="Q517" s="678"/>
      <c r="R517" s="678"/>
      <c r="S517" s="370"/>
      <c r="T517" s="15"/>
      <c r="U517" s="15"/>
      <c r="V517" s="209"/>
      <c r="W517" s="8"/>
      <c r="X517" s="9"/>
      <c r="Y517" s="9"/>
      <c r="Z517" s="9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9"/>
      <c r="AN517" s="9"/>
      <c r="AO517" s="9"/>
      <c r="AP517" s="9"/>
      <c r="AQ517" s="9"/>
      <c r="AR517" s="9"/>
      <c r="AS517" s="12"/>
      <c r="AT517" s="12"/>
      <c r="AU517" s="12"/>
      <c r="AV517" s="12"/>
      <c r="AW517" s="12"/>
      <c r="AX517" s="12"/>
      <c r="AY517" s="12"/>
      <c r="AZ517" s="12"/>
      <c r="BA517" s="12"/>
    </row>
    <row r="518" spans="1:53" ht="15.75" customHeight="1">
      <c r="A518" s="311" t="s">
        <v>509</v>
      </c>
      <c r="B518" s="366"/>
      <c r="C518" s="7"/>
      <c r="D518" s="7"/>
      <c r="E518" s="7"/>
      <c r="F518" s="7"/>
      <c r="G518" s="11"/>
      <c r="H518" s="7"/>
      <c r="I518" s="11"/>
      <c r="J518" s="44"/>
      <c r="K518" s="48"/>
      <c r="L518" s="7"/>
      <c r="M518" s="7"/>
      <c r="N518" s="7"/>
      <c r="O518" s="7"/>
      <c r="P518" s="7"/>
      <c r="Q518" s="7"/>
      <c r="R518" s="7"/>
      <c r="S518" s="7"/>
      <c r="T518" s="7"/>
      <c r="U518" s="18"/>
      <c r="V518" s="210"/>
      <c r="W518" s="18"/>
      <c r="X518" s="7"/>
      <c r="Y518" s="7"/>
      <c r="Z518" s="7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7"/>
      <c r="AN518" s="7"/>
      <c r="AO518" s="7"/>
      <c r="AP518" s="7"/>
      <c r="AQ518" s="7"/>
      <c r="AR518" s="7"/>
      <c r="AS518" s="15"/>
      <c r="AT518" s="15"/>
      <c r="AU518" s="15"/>
      <c r="AV518" s="15"/>
      <c r="AW518" s="15"/>
      <c r="AX518" s="15"/>
      <c r="AY518" s="15"/>
      <c r="AZ518" s="15"/>
      <c r="BA518" s="15"/>
    </row>
    <row r="519" spans="1:53">
      <c r="A519" s="677" t="s">
        <v>157</v>
      </c>
      <c r="B519" s="677"/>
      <c r="C519" s="674">
        <f>SUM(B171,B342,B514)</f>
        <v>24362</v>
      </c>
      <c r="D519" s="674"/>
      <c r="E519" s="677" t="s">
        <v>124</v>
      </c>
      <c r="F519" s="677"/>
      <c r="G519" s="674">
        <f>SUM(E171,E342,E514)</f>
        <v>121324.29000000001</v>
      </c>
      <c r="H519" s="674"/>
      <c r="I519" s="654" t="s">
        <v>34</v>
      </c>
      <c r="J519" s="677"/>
      <c r="K519" s="679">
        <f>IF(ISERROR(C519/G520),"",C519/G520)</f>
        <v>19.267089482323698</v>
      </c>
      <c r="L519" s="680"/>
      <c r="M519" s="654" t="s">
        <v>32</v>
      </c>
      <c r="N519" s="654"/>
      <c r="O519" s="681">
        <f t="array" ref="O519">IF(ISERROR(C519/C520),"",C519/C520)</f>
        <v>17.216352779053743</v>
      </c>
      <c r="P519" s="682"/>
      <c r="Q519" s="7"/>
      <c r="R519" s="7"/>
      <c r="S519" s="7"/>
      <c r="T519" s="7"/>
      <c r="U519" s="18"/>
      <c r="V519" s="210"/>
      <c r="W519" s="18"/>
      <c r="X519" s="7"/>
      <c r="Y519" s="7"/>
      <c r="Z519" s="7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7"/>
      <c r="AN519" s="7"/>
      <c r="AO519" s="7"/>
      <c r="AP519" s="7"/>
      <c r="AQ519" s="7"/>
      <c r="AR519" s="7"/>
      <c r="AS519" s="15"/>
      <c r="AT519" s="15"/>
      <c r="AU519" s="15"/>
      <c r="AV519" s="15"/>
      <c r="AW519" s="15"/>
      <c r="AX519" s="15"/>
      <c r="AY519" s="15"/>
      <c r="AZ519" s="15"/>
      <c r="BA519" s="15"/>
    </row>
    <row r="520" spans="1:53">
      <c r="A520" s="654" t="s">
        <v>125</v>
      </c>
      <c r="B520" s="654"/>
      <c r="C520" s="674">
        <f>SUM(B172,B343,B515)</f>
        <v>1415.05</v>
      </c>
      <c r="D520" s="674"/>
      <c r="E520" s="654" t="s">
        <v>114</v>
      </c>
      <c r="F520" s="654"/>
      <c r="G520" s="674">
        <f>SUM(E172,E343,E515)</f>
        <v>1264.4359192056772</v>
      </c>
      <c r="H520" s="674"/>
      <c r="I520" s="661" t="s">
        <v>150</v>
      </c>
      <c r="J520" s="662"/>
      <c r="K520" s="665">
        <f>C520-G520</f>
        <v>150.61408079432272</v>
      </c>
      <c r="L520" s="664"/>
      <c r="M520" s="665" t="s">
        <v>151</v>
      </c>
      <c r="N520" s="664"/>
      <c r="O520" s="675">
        <f>IF(ISERROR(K520/C520),"",K520/C520)</f>
        <v>0.10643728546293256</v>
      </c>
      <c r="P520" s="676"/>
      <c r="Q520" s="7"/>
      <c r="R520" s="7"/>
      <c r="S520" s="7"/>
      <c r="T520" s="7"/>
      <c r="U520" s="18"/>
      <c r="V520" s="210"/>
      <c r="W520" s="18"/>
      <c r="X520" s="7"/>
      <c r="Y520" s="7"/>
      <c r="Z520" s="7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7"/>
      <c r="AN520" s="7"/>
      <c r="AO520" s="7"/>
      <c r="AP520" s="7"/>
      <c r="AQ520" s="7"/>
      <c r="AR520" s="7"/>
      <c r="AS520" s="15"/>
      <c r="AT520" s="15"/>
      <c r="AU520" s="15"/>
      <c r="AV520" s="15"/>
      <c r="AW520" s="15"/>
      <c r="AX520" s="15"/>
      <c r="AY520" s="15"/>
      <c r="AZ520" s="15"/>
      <c r="BA520" s="15"/>
    </row>
    <row r="521" spans="1:53">
      <c r="A521" s="661" t="s">
        <v>148</v>
      </c>
      <c r="B521" s="662"/>
      <c r="C521" s="674">
        <f>SUM(B173,B344,B516)</f>
        <v>0</v>
      </c>
      <c r="D521" s="674"/>
      <c r="E521" s="661" t="s">
        <v>149</v>
      </c>
      <c r="F521" s="662"/>
      <c r="G521" s="675">
        <f>IF(ISERROR(C521/C520),"",C521/C520)</f>
        <v>0</v>
      </c>
      <c r="H521" s="676"/>
      <c r="I521" s="654" t="s">
        <v>126</v>
      </c>
      <c r="J521" s="677"/>
      <c r="K521" s="674">
        <f>SUM(I173,I344,I516)</f>
        <v>0</v>
      </c>
      <c r="L521" s="674"/>
      <c r="M521" s="677" t="s">
        <v>127</v>
      </c>
      <c r="N521" s="677"/>
      <c r="O521" s="675">
        <f t="array" ref="O521">IF(ISERROR(K521/C519),"",K521/C519)</f>
        <v>0</v>
      </c>
      <c r="P521" s="676"/>
      <c r="Q521" s="7"/>
      <c r="R521" s="7"/>
      <c r="S521" s="7"/>
      <c r="T521" s="7"/>
      <c r="U521" s="18"/>
      <c r="V521" s="210"/>
      <c r="W521" s="18"/>
      <c r="X521" s="7"/>
      <c r="Y521" s="7"/>
      <c r="Z521" s="7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7"/>
      <c r="AN521" s="7"/>
      <c r="AO521" s="7"/>
      <c r="AP521" s="7"/>
      <c r="AQ521" s="7"/>
      <c r="AR521" s="7"/>
      <c r="AS521" s="15"/>
      <c r="AT521" s="15"/>
      <c r="AU521" s="15"/>
      <c r="AV521" s="15"/>
      <c r="AW521" s="15"/>
      <c r="AX521" s="15"/>
      <c r="AY521" s="15"/>
      <c r="AZ521" s="15"/>
      <c r="BA521" s="15"/>
    </row>
    <row r="522" spans="1:53" ht="17.25">
      <c r="A522" s="311" t="s">
        <v>510</v>
      </c>
      <c r="B522" s="19"/>
      <c r="C522" s="26"/>
      <c r="D522" s="26"/>
      <c r="E522" s="25"/>
      <c r="F522" s="25"/>
      <c r="G522" s="370"/>
      <c r="H522" s="22"/>
      <c r="I522" s="370"/>
      <c r="J522" s="8"/>
      <c r="K522" s="54"/>
      <c r="L522" s="368"/>
      <c r="M522" s="368"/>
      <c r="N522" s="15"/>
      <c r="O522" s="15"/>
      <c r="P522" s="15"/>
      <c r="Q522" s="15"/>
      <c r="R522" s="15"/>
      <c r="S522" s="15"/>
      <c r="T522" s="368"/>
      <c r="U522" s="368"/>
      <c r="V522" s="211"/>
      <c r="W522" s="368"/>
      <c r="X522" s="12"/>
      <c r="Y522" s="12"/>
      <c r="Z522" s="12"/>
      <c r="AA522" s="4"/>
      <c r="AB522" s="4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7"/>
      <c r="AN522" s="7"/>
      <c r="AO522" s="7"/>
      <c r="AP522" s="7"/>
      <c r="AQ522" s="7"/>
      <c r="AR522" s="7"/>
      <c r="AS522" s="15"/>
      <c r="AT522" s="15"/>
      <c r="AU522" s="15"/>
      <c r="AV522" s="15"/>
      <c r="AW522" s="15"/>
      <c r="AX522" s="15"/>
      <c r="AY522" s="15"/>
      <c r="AZ522" s="15"/>
      <c r="BA522" s="15"/>
    </row>
    <row r="523" spans="1:53">
      <c r="A523" s="661" t="s">
        <v>130</v>
      </c>
      <c r="B523" s="662"/>
      <c r="C523" s="661" t="s">
        <v>131</v>
      </c>
      <c r="D523" s="662"/>
      <c r="E523" s="661" t="s">
        <v>118</v>
      </c>
      <c r="F523" s="662"/>
      <c r="G523" s="668" t="s">
        <v>116</v>
      </c>
      <c r="H523" s="669"/>
      <c r="I523" s="661" t="s">
        <v>117</v>
      </c>
      <c r="J523" s="664"/>
      <c r="K523" s="661" t="s">
        <v>14</v>
      </c>
      <c r="L523" s="662"/>
      <c r="M523" s="661" t="s">
        <v>118</v>
      </c>
      <c r="N523" s="662"/>
      <c r="O523" s="654" t="s">
        <v>119</v>
      </c>
      <c r="P523" s="654"/>
      <c r="Q523" s="661" t="s">
        <v>14</v>
      </c>
      <c r="R523" s="662"/>
      <c r="S523" s="661" t="s">
        <v>118</v>
      </c>
      <c r="T523" s="662"/>
      <c r="U523" s="14"/>
      <c r="V523" s="203"/>
      <c r="W523" s="12"/>
      <c r="X523" s="3"/>
      <c r="Y523" s="14"/>
      <c r="Z523" s="15"/>
      <c r="AA523" s="15"/>
      <c r="AB523" s="15"/>
      <c r="AC523" s="15"/>
      <c r="AD523" s="15"/>
      <c r="AE523" s="15"/>
      <c r="AF523" s="15"/>
      <c r="AG523" s="15"/>
      <c r="AH523" s="11"/>
      <c r="AI523" s="11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</row>
    <row r="524" spans="1:53" ht="23.25" customHeight="1">
      <c r="A524" s="666" t="s">
        <v>70</v>
      </c>
      <c r="B524" s="662"/>
      <c r="C524" s="663">
        <f>SUM(G28,G199,G370)</f>
        <v>7958</v>
      </c>
      <c r="D524" s="662"/>
      <c r="E524" s="657">
        <f>IF(ISERROR(C524/C530),"",C524/C530)</f>
        <v>0.32665626795829572</v>
      </c>
      <c r="F524" s="658"/>
      <c r="G524" s="670"/>
      <c r="H524" s="671"/>
      <c r="I524" s="659" t="s">
        <v>15</v>
      </c>
      <c r="J524" s="667"/>
      <c r="K524" s="665">
        <f t="shared" ref="K524:K529" si="214">SUM(R166,U337,U509)</f>
        <v>0</v>
      </c>
      <c r="L524" s="664"/>
      <c r="M524" s="657" t="str">
        <f t="array" ref="M524">IF(ISERROR(K524/K530),"",K524/K530)</f>
        <v/>
      </c>
      <c r="N524" s="658"/>
      <c r="O524" s="654" t="s">
        <v>41</v>
      </c>
      <c r="P524" s="654"/>
      <c r="Q524" s="655">
        <f t="shared" ref="Q524:Q529" si="215">SUM(X166,AA337,AA509)</f>
        <v>0</v>
      </c>
      <c r="R524" s="656"/>
      <c r="S524" s="657" t="str">
        <f t="array" ref="S524">IF(ISERROR(Q524/Q530),"",Q524/Q530)</f>
        <v/>
      </c>
      <c r="T524" s="658"/>
      <c r="U524" s="14"/>
      <c r="V524" s="203"/>
      <c r="W524" s="22"/>
      <c r="X524" s="3"/>
      <c r="Y524" s="14"/>
      <c r="Z524" s="15"/>
      <c r="AA524" s="15"/>
      <c r="AB524" s="15"/>
      <c r="AC524" s="15"/>
      <c r="AD524" s="15"/>
      <c r="AE524" s="15"/>
      <c r="AF524" s="15"/>
      <c r="AG524" s="15"/>
      <c r="AH524" s="11"/>
      <c r="AI524" s="11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</row>
    <row r="525" spans="1:53">
      <c r="A525" s="666" t="s">
        <v>86</v>
      </c>
      <c r="B525" s="662"/>
      <c r="C525" s="661">
        <f>SUM(G86,G257,G428)</f>
        <v>9077</v>
      </c>
      <c r="D525" s="662"/>
      <c r="E525" s="657">
        <f>IF(ISERROR(C525/C530),"",C525/C530)</f>
        <v>0.37258845743370822</v>
      </c>
      <c r="F525" s="658"/>
      <c r="G525" s="670"/>
      <c r="H525" s="671"/>
      <c r="I525" s="659" t="s">
        <v>16</v>
      </c>
      <c r="J525" s="667"/>
      <c r="K525" s="665">
        <f t="shared" si="214"/>
        <v>0</v>
      </c>
      <c r="L525" s="664"/>
      <c r="M525" s="657" t="str">
        <f>IF(ISERROR(K525/K530),"",K525/K530)</f>
        <v/>
      </c>
      <c r="N525" s="658"/>
      <c r="O525" s="654" t="s">
        <v>42</v>
      </c>
      <c r="P525" s="654"/>
      <c r="Q525" s="661">
        <f t="shared" si="215"/>
        <v>0</v>
      </c>
      <c r="R525" s="662"/>
      <c r="S525" s="657" t="str">
        <f>IF(ISERROR(Q525/Q530),"",Q525/Q530)</f>
        <v/>
      </c>
      <c r="T525" s="658"/>
      <c r="U525" s="14"/>
      <c r="V525" s="203"/>
      <c r="W525" s="22"/>
      <c r="X525" s="3"/>
      <c r="Y525" s="14"/>
      <c r="Z525" s="15"/>
      <c r="AA525" s="15"/>
      <c r="AB525" s="15"/>
      <c r="AC525" s="15"/>
      <c r="AD525" s="15"/>
      <c r="AE525" s="15"/>
      <c r="AF525" s="15"/>
      <c r="AG525" s="15"/>
      <c r="AH525" s="11"/>
      <c r="AI525" s="11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</row>
    <row r="526" spans="1:53">
      <c r="A526" s="666" t="s">
        <v>92</v>
      </c>
      <c r="B526" s="662"/>
      <c r="C526" s="661">
        <f>SUM(G121,G292,G463)</f>
        <v>3819</v>
      </c>
      <c r="D526" s="662"/>
      <c r="E526" s="657">
        <f>IF(ISERROR(C526/C530),"",C526/C530)</f>
        <v>0.15676052869222559</v>
      </c>
      <c r="F526" s="658"/>
      <c r="G526" s="670"/>
      <c r="H526" s="671"/>
      <c r="I526" s="659" t="s">
        <v>17</v>
      </c>
      <c r="J526" s="667"/>
      <c r="K526" s="665">
        <f t="shared" si="214"/>
        <v>0</v>
      </c>
      <c r="L526" s="664"/>
      <c r="M526" s="657" t="str">
        <f>IF(ISERROR(K526/K530),"",K526/K530)</f>
        <v/>
      </c>
      <c r="N526" s="658"/>
      <c r="O526" s="654" t="s">
        <v>43</v>
      </c>
      <c r="P526" s="654"/>
      <c r="Q526" s="661">
        <f t="shared" si="215"/>
        <v>0</v>
      </c>
      <c r="R526" s="662"/>
      <c r="S526" s="657" t="str">
        <f>IF(ISERROR(Q526/Q530),"",Q526/Q530)</f>
        <v/>
      </c>
      <c r="T526" s="658"/>
      <c r="U526" s="14"/>
      <c r="V526" s="203"/>
      <c r="W526" s="22"/>
      <c r="X526" s="3"/>
      <c r="Y526" s="14"/>
      <c r="Z526" s="15"/>
      <c r="AA526" s="15"/>
      <c r="AB526" s="15"/>
      <c r="AC526" s="15"/>
      <c r="AD526" s="15"/>
      <c r="AE526" s="15"/>
      <c r="AF526" s="15"/>
      <c r="AG526" s="15"/>
      <c r="AH526" s="7"/>
      <c r="AI526" s="7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</row>
    <row r="527" spans="1:53" ht="15.75" customHeight="1">
      <c r="A527" s="666" t="s">
        <v>99</v>
      </c>
      <c r="B527" s="662"/>
      <c r="C527" s="661">
        <f>SUM(G137,G308,G479)</f>
        <v>3394</v>
      </c>
      <c r="D527" s="662"/>
      <c r="E527" s="657">
        <f>IF(ISERROR(C527/C530),"",C527/C530)</f>
        <v>0.13931532714883835</v>
      </c>
      <c r="F527" s="658"/>
      <c r="G527" s="670"/>
      <c r="H527" s="671"/>
      <c r="I527" s="659" t="s">
        <v>18</v>
      </c>
      <c r="J527" s="667"/>
      <c r="K527" s="665">
        <f t="shared" si="214"/>
        <v>0</v>
      </c>
      <c r="L527" s="664"/>
      <c r="M527" s="657" t="str">
        <f>IF(ISERROR(K527/K530),"",K527/K530)</f>
        <v/>
      </c>
      <c r="N527" s="658"/>
      <c r="O527" s="654" t="s">
        <v>21</v>
      </c>
      <c r="P527" s="654"/>
      <c r="Q527" s="661">
        <f t="shared" si="215"/>
        <v>0</v>
      </c>
      <c r="R527" s="662"/>
      <c r="S527" s="657" t="str">
        <f>IF(ISERROR(Q527/Q530),"",Q527/Q530)</f>
        <v/>
      </c>
      <c r="T527" s="658"/>
      <c r="U527" s="14"/>
      <c r="V527" s="203"/>
      <c r="W527" s="22"/>
      <c r="X527" s="3"/>
      <c r="Y527" s="14"/>
      <c r="Z527" s="15"/>
      <c r="AA527" s="15"/>
      <c r="AB527" s="15"/>
      <c r="AC527" s="15"/>
      <c r="AD527" s="15"/>
      <c r="AE527" s="15"/>
      <c r="AF527" s="15"/>
      <c r="AG527" s="15"/>
      <c r="AH527" s="7"/>
      <c r="AI527" s="7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</row>
    <row r="528" spans="1:53" ht="15.75" customHeight="1">
      <c r="A528" s="666" t="s">
        <v>102</v>
      </c>
      <c r="B528" s="662"/>
      <c r="C528" s="661">
        <f>SUM(G148,G319,G490)</f>
        <v>18</v>
      </c>
      <c r="D528" s="662"/>
      <c r="E528" s="657">
        <f>IF(ISERROR(C528/C530),"",C528/C530)</f>
        <v>7.3885559477875377E-4</v>
      </c>
      <c r="F528" s="658"/>
      <c r="G528" s="670"/>
      <c r="H528" s="671"/>
      <c r="I528" s="659" t="s">
        <v>19</v>
      </c>
      <c r="J528" s="667"/>
      <c r="K528" s="665">
        <f t="shared" si="214"/>
        <v>0</v>
      </c>
      <c r="L528" s="664"/>
      <c r="M528" s="657" t="str">
        <f>IF(ISERROR(K528/K530),"",K528/K530)</f>
        <v/>
      </c>
      <c r="N528" s="658"/>
      <c r="O528" s="654" t="s">
        <v>45</v>
      </c>
      <c r="P528" s="654"/>
      <c r="Q528" s="661">
        <f t="shared" si="215"/>
        <v>0</v>
      </c>
      <c r="R528" s="662"/>
      <c r="S528" s="657" t="str">
        <f>IF(ISERROR(Q528/Q530),"",Q528/Q530)</f>
        <v/>
      </c>
      <c r="T528" s="658"/>
      <c r="U528" s="14"/>
      <c r="V528" s="203"/>
      <c r="W528" s="22"/>
      <c r="X528" s="3"/>
      <c r="Y528" s="14"/>
      <c r="Z528" s="15"/>
      <c r="AA528" s="15"/>
      <c r="AB528" s="15"/>
      <c r="AC528" s="15"/>
      <c r="AD528" s="15"/>
      <c r="AE528" s="15"/>
      <c r="AF528" s="15"/>
      <c r="AG528" s="15"/>
      <c r="AH528" s="7"/>
      <c r="AI528" s="7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</row>
    <row r="529" spans="1:53" ht="15.75" customHeight="1">
      <c r="A529" s="666" t="s">
        <v>106</v>
      </c>
      <c r="B529" s="662"/>
      <c r="C529" s="661">
        <f>SUM(G163,G334,G506)</f>
        <v>96</v>
      </c>
      <c r="D529" s="662"/>
      <c r="E529" s="657">
        <f>IF(ISERROR(C529/C530),"",C529/C530)</f>
        <v>3.9405631721533534E-3</v>
      </c>
      <c r="F529" s="658"/>
      <c r="G529" s="670"/>
      <c r="H529" s="671"/>
      <c r="I529" s="659" t="s">
        <v>20</v>
      </c>
      <c r="J529" s="667"/>
      <c r="K529" s="665">
        <f t="shared" si="214"/>
        <v>0</v>
      </c>
      <c r="L529" s="664"/>
      <c r="M529" s="657" t="str">
        <f>IF(ISERROR(K529/K530),"",K529/K530)</f>
        <v/>
      </c>
      <c r="N529" s="658"/>
      <c r="O529" s="654" t="s">
        <v>46</v>
      </c>
      <c r="P529" s="654"/>
      <c r="Q529" s="661">
        <f t="shared" si="215"/>
        <v>0</v>
      </c>
      <c r="R529" s="662"/>
      <c r="S529" s="657" t="str">
        <f>IF(ISERROR(Q529/Q530),"",Q529/Q530)</f>
        <v/>
      </c>
      <c r="T529" s="658"/>
      <c r="U529" s="14"/>
      <c r="V529" s="203"/>
      <c r="W529" s="22"/>
      <c r="X529" s="3"/>
      <c r="Y529" s="14"/>
      <c r="Z529" s="15"/>
      <c r="AA529" s="15"/>
      <c r="AB529" s="15"/>
      <c r="AC529" s="15"/>
      <c r="AD529" s="15"/>
      <c r="AE529" s="15"/>
      <c r="AF529" s="15"/>
      <c r="AG529" s="15"/>
      <c r="AH529" s="7"/>
      <c r="AI529" s="7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</row>
    <row r="530" spans="1:53" ht="15.75" customHeight="1">
      <c r="A530" s="661" t="s">
        <v>123</v>
      </c>
      <c r="B530" s="662"/>
      <c r="C530" s="663">
        <f>SUM(C524:C529)</f>
        <v>24362</v>
      </c>
      <c r="D530" s="662"/>
      <c r="E530" s="657">
        <f>SUM(E524:F529)</f>
        <v>0.99999999999999989</v>
      </c>
      <c r="F530" s="662"/>
      <c r="G530" s="672"/>
      <c r="H530" s="673"/>
      <c r="I530" s="661" t="s">
        <v>123</v>
      </c>
      <c r="J530" s="664"/>
      <c r="K530" s="665">
        <f>SUM(R173,U344,U516)</f>
        <v>0</v>
      </c>
      <c r="L530" s="664"/>
      <c r="M530" s="657">
        <f>SUM(M524:N529)</f>
        <v>0</v>
      </c>
      <c r="N530" s="658"/>
      <c r="O530" s="654" t="s">
        <v>123</v>
      </c>
      <c r="P530" s="654"/>
      <c r="Q530" s="655">
        <f>SUM(X173,AA344,AA516)</f>
        <v>0</v>
      </c>
      <c r="R530" s="656"/>
      <c r="S530" s="657">
        <f>SUM(S524:T529)</f>
        <v>0</v>
      </c>
      <c r="T530" s="658"/>
      <c r="U530" s="14"/>
      <c r="V530" s="203"/>
      <c r="W530" s="12"/>
      <c r="X530" s="3"/>
      <c r="Y530" s="14"/>
      <c r="Z530" s="15"/>
      <c r="AA530" s="15"/>
      <c r="AB530" s="15"/>
      <c r="AC530" s="15"/>
      <c r="AD530" s="15"/>
      <c r="AE530" s="15"/>
      <c r="AF530" s="15"/>
      <c r="AG530" s="15"/>
      <c r="AH530" s="7"/>
      <c r="AI530" s="7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</row>
    <row r="531" spans="1:53" ht="15.75" customHeight="1">
      <c r="A531" s="330" t="s">
        <v>511</v>
      </c>
      <c r="B531" s="67"/>
      <c r="C531" s="1"/>
      <c r="D531" s="1"/>
      <c r="E531" s="1"/>
      <c r="F531" s="1"/>
      <c r="G531" s="27"/>
      <c r="H531" s="2"/>
      <c r="I531" s="27"/>
      <c r="J531" s="2"/>
      <c r="K531" s="49"/>
      <c r="L531" s="2"/>
      <c r="M531" s="2"/>
      <c r="N531" s="2"/>
      <c r="O531" s="2"/>
      <c r="P531" s="2"/>
      <c r="Q531" s="2"/>
      <c r="R531" s="2"/>
      <c r="S531" s="2"/>
      <c r="T531" s="2"/>
      <c r="U531" s="24"/>
      <c r="V531" s="212"/>
      <c r="W531" s="24"/>
      <c r="X531" s="5"/>
      <c r="Y531" s="5"/>
      <c r="Z531" s="24"/>
      <c r="AA531" s="3"/>
      <c r="AB531" s="368"/>
      <c r="AC531" s="368"/>
      <c r="AD531" s="368"/>
      <c r="AE531" s="368"/>
      <c r="AF531" s="368"/>
      <c r="AG531" s="368"/>
      <c r="AH531" s="368"/>
      <c r="AI531" s="368"/>
      <c r="AJ531" s="368"/>
      <c r="AK531" s="368"/>
      <c r="AL531" s="368"/>
      <c r="AM531" s="12"/>
      <c r="AN531" s="12"/>
      <c r="AO531" s="12"/>
      <c r="AP531" s="12"/>
      <c r="AQ531" s="12"/>
      <c r="AR531" s="12"/>
      <c r="AS531" s="15"/>
      <c r="AT531" s="15"/>
      <c r="AU531" s="15"/>
      <c r="AV531" s="15"/>
      <c r="AW531" s="15"/>
      <c r="AX531" s="15"/>
      <c r="AY531" s="15"/>
      <c r="AZ531" s="15"/>
      <c r="BA531" s="15"/>
    </row>
    <row r="532" spans="1:53" ht="18.75" customHeight="1">
      <c r="A532" s="659" t="s">
        <v>132</v>
      </c>
      <c r="B532" s="660"/>
      <c r="C532" s="358" t="s">
        <v>133</v>
      </c>
      <c r="D532" s="358" t="s">
        <v>134</v>
      </c>
      <c r="E532" s="358" t="s">
        <v>3</v>
      </c>
      <c r="F532" s="358" t="s">
        <v>4</v>
      </c>
      <c r="G532" s="358" t="s">
        <v>5</v>
      </c>
      <c r="H532" s="87" t="s">
        <v>6</v>
      </c>
      <c r="I532" s="87" t="s">
        <v>7</v>
      </c>
      <c r="J532" s="87" t="s">
        <v>135</v>
      </c>
      <c r="K532" s="363" t="s">
        <v>8</v>
      </c>
      <c r="L532" s="87" t="s">
        <v>9</v>
      </c>
      <c r="M532" s="87" t="s">
        <v>136</v>
      </c>
      <c r="N532" s="87" t="s">
        <v>10</v>
      </c>
      <c r="O532" s="87" t="s">
        <v>137</v>
      </c>
      <c r="P532" s="364" t="s">
        <v>138</v>
      </c>
      <c r="Q532" s="87" t="s">
        <v>139</v>
      </c>
      <c r="R532" s="36" t="s">
        <v>140</v>
      </c>
      <c r="S532" s="358" t="s">
        <v>141</v>
      </c>
      <c r="T532" s="358" t="s">
        <v>142</v>
      </c>
      <c r="U532" s="51"/>
      <c r="V532" s="213"/>
      <c r="X532" s="14"/>
      <c r="Y532" s="14"/>
      <c r="Z532" s="15"/>
      <c r="AA532" s="15"/>
      <c r="AB532" s="15"/>
      <c r="AC532" s="368"/>
      <c r="AD532" s="368"/>
      <c r="AE532" s="368"/>
      <c r="AF532" s="368"/>
      <c r="AG532" s="368"/>
      <c r="AH532" s="368"/>
      <c r="AI532" s="368"/>
      <c r="AJ532" s="368"/>
      <c r="AK532" s="368"/>
      <c r="AL532" s="368"/>
      <c r="AM532" s="368"/>
      <c r="AN532" s="15"/>
      <c r="AO532" s="368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</row>
    <row r="533" spans="1:53" ht="15.75" customHeight="1">
      <c r="A533" s="650" t="s">
        <v>143</v>
      </c>
      <c r="B533" s="651"/>
      <c r="C533" s="93">
        <f>SUM('1:2'!C533)</f>
        <v>76</v>
      </c>
      <c r="D533" s="93">
        <f>SUM('1:2'!D533)</f>
        <v>76</v>
      </c>
      <c r="E533" s="93">
        <f>SUM('1:2'!E533)</f>
        <v>0</v>
      </c>
      <c r="F533" s="93">
        <f>SUM('1:2'!F533)</f>
        <v>0</v>
      </c>
      <c r="G533" s="93">
        <f>SUM('1:2'!G533)</f>
        <v>0</v>
      </c>
      <c r="H533" s="93">
        <f>SUM('1:2'!H533)</f>
        <v>0</v>
      </c>
      <c r="I533" s="93">
        <f>SUM('1:2'!I533)</f>
        <v>0</v>
      </c>
      <c r="J533" s="93">
        <f>+C533-H533-I533</f>
        <v>76</v>
      </c>
      <c r="K533" s="93">
        <f>SUM('1:2'!K533)</f>
        <v>0</v>
      </c>
      <c r="L533" s="93">
        <f>SUM('1:2'!L533)</f>
        <v>0</v>
      </c>
      <c r="M533" s="93">
        <f>SUM('1:2'!M533)</f>
        <v>0</v>
      </c>
      <c r="N533" s="93">
        <f>SUM('1:2'!N533)</f>
        <v>0</v>
      </c>
      <c r="O533" s="93">
        <f>SUM('1:2'!O533)</f>
        <v>0</v>
      </c>
      <c r="P533" s="93">
        <f>SUM('1:2'!P533)</f>
        <v>0</v>
      </c>
      <c r="Q533" s="93">
        <f>J533-K533-L533</f>
        <v>76</v>
      </c>
      <c r="R533" s="93">
        <f>Q533*11-M533-N533</f>
        <v>836</v>
      </c>
      <c r="S533" s="200">
        <f>IF(ISERROR(Q533/J533),"",Q533/J533)</f>
        <v>1</v>
      </c>
      <c r="T533" s="194">
        <f t="array" ref="T533">IF(ISERROR((O533:P533)/C533),"",SUM(O533:P533)/C533)</f>
        <v>0</v>
      </c>
      <c r="X533" s="14"/>
      <c r="Y533" s="14"/>
      <c r="Z533" s="15"/>
      <c r="AA533" s="15"/>
      <c r="AB533" s="15"/>
      <c r="AC533" s="368"/>
      <c r="AD533" s="368"/>
      <c r="AE533" s="368"/>
      <c r="AF533" s="368"/>
      <c r="AG533" s="368"/>
      <c r="AH533" s="368"/>
      <c r="AI533" s="368"/>
      <c r="AJ533" s="368"/>
      <c r="AK533" s="368"/>
      <c r="AL533" s="368"/>
      <c r="AM533" s="368"/>
      <c r="AN533" s="15"/>
      <c r="AO533" s="368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</row>
    <row r="534" spans="1:53">
      <c r="A534" s="650" t="s">
        <v>144</v>
      </c>
      <c r="B534" s="651"/>
      <c r="C534" s="93">
        <f>SUM('1:2'!C534)</f>
        <v>88</v>
      </c>
      <c r="D534" s="93">
        <f>SUM('1:2'!D534)</f>
        <v>89</v>
      </c>
      <c r="E534" s="93">
        <f>SUM('1:2'!E534)</f>
        <v>0</v>
      </c>
      <c r="F534" s="93">
        <f>SUM('1:2'!F534)</f>
        <v>0</v>
      </c>
      <c r="G534" s="93">
        <f>SUM('1:2'!G534)</f>
        <v>0</v>
      </c>
      <c r="H534" s="93">
        <f>SUM('1:2'!H534)</f>
        <v>0</v>
      </c>
      <c r="I534" s="93">
        <f>SUM('1:2'!I534)</f>
        <v>0</v>
      </c>
      <c r="J534" s="93">
        <f t="shared" ref="J534:J535" si="216">C534-G534-H534-I534</f>
        <v>88</v>
      </c>
      <c r="K534" s="93">
        <f>SUM('1:2'!K534)</f>
        <v>3</v>
      </c>
      <c r="L534" s="93">
        <f>SUM('1:2'!L534)</f>
        <v>0</v>
      </c>
      <c r="M534" s="93">
        <f>SUM('1:2'!M534)</f>
        <v>0</v>
      </c>
      <c r="N534" s="93">
        <f>SUM('1:2'!N534)</f>
        <v>0</v>
      </c>
      <c r="O534" s="93">
        <f>SUM('1:2'!O534)</f>
        <v>0</v>
      </c>
      <c r="P534" s="93">
        <f>SUM('1:2'!P534)</f>
        <v>1</v>
      </c>
      <c r="Q534" s="93">
        <f t="shared" ref="Q534:Q535" si="217">J534-K534-L534</f>
        <v>85</v>
      </c>
      <c r="R534" s="93">
        <f t="shared" ref="R534:R535" si="218">Q534*11-M534-N534</f>
        <v>935</v>
      </c>
      <c r="S534" s="194">
        <f t="array" ref="S534">IF(ISERROR(Q534/J534),"",Q534/J534)</f>
        <v>0.96590909090909094</v>
      </c>
      <c r="T534" s="194">
        <f t="array" ref="T534">IF(ISERROR((O534:P534)/C534),"",SUM(O534:P534)/C534)</f>
        <v>1.1363636363636364E-2</v>
      </c>
      <c r="X534" s="14"/>
      <c r="Y534" s="14"/>
      <c r="Z534" s="15"/>
      <c r="AA534" s="15"/>
      <c r="AB534" s="15"/>
      <c r="AC534" s="368"/>
      <c r="AD534" s="368"/>
      <c r="AE534" s="368"/>
      <c r="AF534" s="368"/>
      <c r="AG534" s="368"/>
      <c r="AH534" s="368"/>
      <c r="AI534" s="368"/>
      <c r="AJ534" s="368"/>
      <c r="AK534" s="368"/>
      <c r="AL534" s="368"/>
      <c r="AM534" s="368"/>
      <c r="AN534" s="15"/>
      <c r="AO534" s="368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</row>
    <row r="535" spans="1:53">
      <c r="A535" s="650" t="s">
        <v>145</v>
      </c>
      <c r="B535" s="651"/>
      <c r="C535" s="93">
        <f>SUM('1:2'!C535)</f>
        <v>20</v>
      </c>
      <c r="D535" s="93">
        <f>SUM('1:2'!D535)</f>
        <v>20</v>
      </c>
      <c r="E535" s="93">
        <f>SUM('1:2'!E535)</f>
        <v>0</v>
      </c>
      <c r="F535" s="93">
        <f>SUM('1:2'!F535)</f>
        <v>0</v>
      </c>
      <c r="G535" s="93">
        <f>SUM('1:2'!G535)</f>
        <v>0</v>
      </c>
      <c r="H535" s="93">
        <f>SUM('1:2'!H535)</f>
        <v>0</v>
      </c>
      <c r="I535" s="93">
        <f>SUM('1:2'!I535)</f>
        <v>0</v>
      </c>
      <c r="J535" s="93">
        <f t="shared" si="216"/>
        <v>20</v>
      </c>
      <c r="K535" s="93">
        <f>SUM('1:2'!K535)</f>
        <v>0</v>
      </c>
      <c r="L535" s="93">
        <f>SUM('1:2'!L535)</f>
        <v>0</v>
      </c>
      <c r="M535" s="93">
        <f>SUM('1:2'!M535)</f>
        <v>0</v>
      </c>
      <c r="N535" s="93">
        <f>SUM('1:2'!N535)</f>
        <v>0</v>
      </c>
      <c r="O535" s="93">
        <f>SUM('1:2'!O535)</f>
        <v>0</v>
      </c>
      <c r="P535" s="93">
        <f>SUM('1:2'!P535)</f>
        <v>0</v>
      </c>
      <c r="Q535" s="93">
        <f t="shared" si="217"/>
        <v>20</v>
      </c>
      <c r="R535" s="93">
        <f t="shared" si="218"/>
        <v>220</v>
      </c>
      <c r="S535" s="194">
        <f t="array" ref="S535">IF(ISERROR(Q535/J535),"",Q535/J535)</f>
        <v>1</v>
      </c>
      <c r="T535" s="194">
        <f t="array" ref="T535">IF(ISERROR((O535:P535)/C535),"",SUM(O535:P535)/C535)</f>
        <v>0</v>
      </c>
      <c r="V535" s="213"/>
      <c r="X535" s="14"/>
      <c r="Y535" s="14"/>
      <c r="Z535" s="15"/>
      <c r="AA535" s="15"/>
      <c r="AB535" s="15"/>
      <c r="AC535" s="368"/>
      <c r="AD535" s="368"/>
      <c r="AE535" s="368"/>
      <c r="AF535" s="368"/>
      <c r="AG535" s="368"/>
      <c r="AH535" s="368"/>
      <c r="AI535" s="368"/>
      <c r="AJ535" s="368"/>
      <c r="AK535" s="368"/>
      <c r="AL535" s="368"/>
      <c r="AM535" s="368"/>
      <c r="AN535" s="15"/>
      <c r="AO535" s="368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</row>
    <row r="536" spans="1:53" s="42" customFormat="1">
      <c r="A536" s="652" t="s">
        <v>11</v>
      </c>
      <c r="B536" s="653"/>
      <c r="C536" s="37">
        <f>SUM(C533:C535)</f>
        <v>184</v>
      </c>
      <c r="D536" s="37">
        <f>SUM(D533:D535)</f>
        <v>185</v>
      </c>
      <c r="E536" s="37">
        <f t="shared" ref="E536:N536" si="219">SUM(E533:E535)</f>
        <v>0</v>
      </c>
      <c r="F536" s="37">
        <f t="shared" si="219"/>
        <v>0</v>
      </c>
      <c r="G536" s="37">
        <f t="shared" si="219"/>
        <v>0</v>
      </c>
      <c r="H536" s="37">
        <f t="shared" si="219"/>
        <v>0</v>
      </c>
      <c r="I536" s="37">
        <f t="shared" si="219"/>
        <v>0</v>
      </c>
      <c r="J536" s="45">
        <f t="shared" si="219"/>
        <v>184</v>
      </c>
      <c r="K536" s="88">
        <f t="shared" si="219"/>
        <v>3</v>
      </c>
      <c r="L536" s="37">
        <f t="shared" si="219"/>
        <v>0</v>
      </c>
      <c r="M536" s="37">
        <f t="shared" si="219"/>
        <v>0</v>
      </c>
      <c r="N536" s="37">
        <f t="shared" si="219"/>
        <v>0</v>
      </c>
      <c r="O536" s="37">
        <f>SUM(O533:O535)</f>
        <v>0</v>
      </c>
      <c r="P536" s="37">
        <f>SUM(P533:P535)</f>
        <v>1</v>
      </c>
      <c r="Q536" s="37">
        <f>SUM(Q533:Q535)</f>
        <v>181</v>
      </c>
      <c r="R536" s="37">
        <f>SUM(R533:R535)</f>
        <v>1991</v>
      </c>
      <c r="S536" s="38">
        <f t="array" ref="S536">IF(ISERROR(Q536/J536),"",Q536/J536)</f>
        <v>0.98369565217391308</v>
      </c>
      <c r="T536" s="39">
        <f t="array" ref="T536">IF(ISERROR((O536:P536)/C536),"",SUM(O536:P536)/C536)</f>
        <v>5.434782608695652E-3</v>
      </c>
      <c r="V536" s="214"/>
      <c r="X536" s="29"/>
      <c r="Y536" s="29"/>
      <c r="Z536" s="40"/>
      <c r="AA536" s="40"/>
      <c r="AB536" s="40"/>
      <c r="AC536" s="41"/>
      <c r="AD536" s="4"/>
      <c r="AE536" s="41"/>
      <c r="AF536" s="41"/>
      <c r="AG536" s="41"/>
      <c r="AH536" s="41"/>
      <c r="AI536" s="4"/>
      <c r="AJ536" s="4"/>
      <c r="AK536" s="4"/>
      <c r="AL536" s="4"/>
      <c r="AM536" s="4"/>
      <c r="AN536" s="15"/>
      <c r="AO536" s="4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</row>
    <row r="537" spans="1:53">
      <c r="A537" s="313"/>
      <c r="B537" s="68"/>
      <c r="C537" s="14"/>
      <c r="D537" s="14"/>
      <c r="E537" s="14"/>
      <c r="F537" s="14"/>
      <c r="G537" s="4"/>
      <c r="H537" s="14"/>
      <c r="I537" s="4"/>
      <c r="J537" s="43"/>
      <c r="K537" s="28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203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  <c r="AX537" s="14"/>
      <c r="AY537" s="14"/>
      <c r="AZ537" s="14"/>
      <c r="BA537" s="14"/>
    </row>
    <row r="538" spans="1:53">
      <c r="A538" s="313"/>
      <c r="B538" s="68" t="s">
        <v>146</v>
      </c>
      <c r="C538" s="14"/>
      <c r="D538" s="14"/>
      <c r="E538" s="14"/>
      <c r="F538" s="14"/>
      <c r="G538" s="4"/>
      <c r="H538" s="14"/>
      <c r="I538" s="4" t="s">
        <v>147</v>
      </c>
      <c r="J538" s="43" t="s">
        <v>449</v>
      </c>
      <c r="K538" s="28"/>
      <c r="L538" s="14"/>
      <c r="M538" s="14"/>
      <c r="N538" s="14"/>
      <c r="O538" s="14"/>
      <c r="P538" s="14"/>
      <c r="Q538" s="14"/>
      <c r="R538" s="14"/>
      <c r="S538" s="14"/>
      <c r="T538" s="14"/>
      <c r="V538" s="203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14"/>
    </row>
    <row r="539" spans="1:53">
      <c r="A539" s="179"/>
      <c r="B539" s="257"/>
      <c r="C539" s="257"/>
      <c r="D539" s="51"/>
      <c r="E539" s="257"/>
    </row>
    <row r="540" spans="1:53">
      <c r="A540" s="327"/>
      <c r="B540" s="258"/>
      <c r="C540" s="257"/>
      <c r="D540" s="51"/>
      <c r="E540" s="257"/>
    </row>
    <row r="541" spans="1:53">
      <c r="A541" s="327"/>
      <c r="B541" s="260"/>
      <c r="C541" s="257"/>
      <c r="D541" s="51"/>
      <c r="E541" s="257"/>
    </row>
    <row r="542" spans="1:53">
      <c r="A542" s="331"/>
      <c r="B542" s="257"/>
      <c r="C542" s="257"/>
      <c r="D542" s="51"/>
      <c r="E542" s="257"/>
    </row>
    <row r="543" spans="1:53">
      <c r="A543" s="331"/>
      <c r="B543" s="257"/>
      <c r="C543" s="257"/>
      <c r="D543" s="51"/>
      <c r="E543" s="257"/>
      <c r="J543" s="46" t="s">
        <v>174</v>
      </c>
      <c r="K543" s="50" t="s">
        <v>176</v>
      </c>
      <c r="L543" t="s">
        <v>175</v>
      </c>
    </row>
    <row r="544" spans="1:53">
      <c r="A544" s="331"/>
      <c r="B544" s="257"/>
      <c r="C544" s="257"/>
      <c r="D544" s="259"/>
      <c r="E544" s="257"/>
      <c r="H544" s="100" t="s">
        <v>163</v>
      </c>
      <c r="J544" s="101">
        <f>+G28+G199+G370</f>
        <v>7958</v>
      </c>
      <c r="K544" s="101">
        <f>+H28+H199+H370</f>
        <v>40316.980000000003</v>
      </c>
      <c r="L544" s="101">
        <f>+I28+I199+I370</f>
        <v>506.05</v>
      </c>
      <c r="M544" s="50">
        <f>+J544/L544</f>
        <v>15.725718802489872</v>
      </c>
    </row>
    <row r="545" spans="1:13">
      <c r="A545" s="331"/>
      <c r="B545" s="257"/>
      <c r="C545" s="257"/>
      <c r="D545" s="259"/>
      <c r="E545" s="257"/>
      <c r="H545" s="100" t="s">
        <v>164</v>
      </c>
      <c r="J545" s="101">
        <f>+G428+G257+G86</f>
        <v>9077</v>
      </c>
      <c r="K545" s="101">
        <f>+H428+H257+H86</f>
        <v>45785.91</v>
      </c>
      <c r="L545" s="101">
        <f>+I428+I257+I86</f>
        <v>305</v>
      </c>
      <c r="M545" s="50">
        <f>+J545/L545</f>
        <v>29.760655737704919</v>
      </c>
    </row>
    <row r="546" spans="1:13">
      <c r="A546" s="331"/>
      <c r="B546" s="257"/>
      <c r="C546" s="257"/>
      <c r="D546" s="259"/>
      <c r="E546" s="257"/>
      <c r="H546" s="100" t="s">
        <v>165</v>
      </c>
      <c r="J546" s="101">
        <f>+G463+G292+G121</f>
        <v>3819</v>
      </c>
      <c r="K546" s="101">
        <f>+H463+H292+H121</f>
        <v>17210.18</v>
      </c>
      <c r="L546" s="101">
        <f>+I463+I292+I121</f>
        <v>412.5</v>
      </c>
      <c r="M546" s="50">
        <f>+J546/L546</f>
        <v>9.2581818181818178</v>
      </c>
    </row>
    <row r="547" spans="1:13">
      <c r="A547" s="331"/>
      <c r="B547" s="257"/>
      <c r="C547" s="257"/>
      <c r="D547" s="259"/>
      <c r="E547" s="257"/>
      <c r="H547" s="100" t="s">
        <v>166</v>
      </c>
      <c r="J547" s="101">
        <f>+G479+G308+G137</f>
        <v>3394</v>
      </c>
      <c r="K547" s="101">
        <f>+H479+H308+H137</f>
        <v>17171.879999999997</v>
      </c>
      <c r="L547" s="101">
        <f>+I479+I308+I137</f>
        <v>171.5</v>
      </c>
      <c r="M547" s="50">
        <f t="shared" ref="M547:M548" si="220">+J547/L547</f>
        <v>19.790087463556851</v>
      </c>
    </row>
    <row r="548" spans="1:13">
      <c r="A548" s="331"/>
      <c r="B548" s="257"/>
      <c r="C548" s="257"/>
      <c r="D548" s="259"/>
      <c r="E548" s="257"/>
      <c r="H548" s="100" t="s">
        <v>167</v>
      </c>
      <c r="J548" s="101">
        <f>+G506+G334+G163</f>
        <v>96</v>
      </c>
      <c r="K548" s="101">
        <f>+H506+H334+H163</f>
        <v>748.8</v>
      </c>
      <c r="L548" s="101">
        <f>+I506+I334+I163</f>
        <v>5</v>
      </c>
      <c r="M548" s="50">
        <f t="shared" si="220"/>
        <v>19.2</v>
      </c>
    </row>
    <row r="549" spans="1:13">
      <c r="A549" s="331"/>
      <c r="B549" s="257"/>
      <c r="C549" s="257"/>
      <c r="D549" s="259"/>
      <c r="E549" s="257"/>
      <c r="J549" s="101">
        <f>SUM(J544:J548)</f>
        <v>24344</v>
      </c>
      <c r="K549" s="101"/>
      <c r="L549" s="101"/>
      <c r="M549" s="50"/>
    </row>
    <row r="550" spans="1:13">
      <c r="A550" s="331"/>
      <c r="B550" s="257"/>
      <c r="C550" s="257"/>
      <c r="D550" s="259"/>
      <c r="E550" s="257"/>
    </row>
    <row r="551" spans="1:13">
      <c r="A551" s="331"/>
      <c r="B551" s="257"/>
      <c r="C551" s="257"/>
      <c r="D551" s="259"/>
      <c r="E551" s="257"/>
      <c r="G551" t="s">
        <v>168</v>
      </c>
    </row>
    <row r="552" spans="1:13">
      <c r="A552" s="331"/>
      <c r="B552" s="257"/>
      <c r="C552" s="257"/>
      <c r="D552" s="259"/>
      <c r="E552" s="257"/>
      <c r="H552" s="100" t="s">
        <v>163</v>
      </c>
      <c r="J552" s="46">
        <f>+G28</f>
        <v>3286</v>
      </c>
      <c r="K552" s="101">
        <f>+H28</f>
        <v>16651.900000000001</v>
      </c>
      <c r="L552" s="101">
        <f>+I28</f>
        <v>212.5</v>
      </c>
      <c r="M552" s="102">
        <f>+J552/L552</f>
        <v>15.463529411764705</v>
      </c>
    </row>
    <row r="553" spans="1:13">
      <c r="A553" s="331"/>
      <c r="B553" s="257"/>
      <c r="C553" s="257"/>
      <c r="D553" s="259"/>
      <c r="E553" s="257"/>
      <c r="H553" s="100" t="s">
        <v>164</v>
      </c>
      <c r="J553" s="46">
        <f>G86</f>
        <v>4520</v>
      </c>
      <c r="K553" s="101">
        <f>H86</f>
        <v>22794.1</v>
      </c>
      <c r="L553" s="101">
        <f>I86</f>
        <v>114</v>
      </c>
      <c r="M553" s="102">
        <f>+J553/L553</f>
        <v>39.649122807017541</v>
      </c>
    </row>
    <row r="554" spans="1:13">
      <c r="E554" s="252"/>
      <c r="H554" s="100" t="s">
        <v>165</v>
      </c>
      <c r="J554" s="46">
        <f>+G121</f>
        <v>1453</v>
      </c>
      <c r="K554" s="101">
        <f>+H121</f>
        <v>7280.9599999999991</v>
      </c>
      <c r="L554" s="101">
        <f>+I121</f>
        <v>104</v>
      </c>
      <c r="M554" s="102">
        <f>+J554/L554</f>
        <v>13.971153846153847</v>
      </c>
    </row>
    <row r="555" spans="1:13">
      <c r="H555" s="100" t="s">
        <v>166</v>
      </c>
      <c r="J555" s="46">
        <f>+G137</f>
        <v>1638</v>
      </c>
      <c r="K555" s="101">
        <f>+H137</f>
        <v>8288.2799999999988</v>
      </c>
      <c r="L555" s="101">
        <f>+I137</f>
        <v>66</v>
      </c>
      <c r="M555" s="102">
        <f>+J555/L555</f>
        <v>24.818181818181817</v>
      </c>
    </row>
    <row r="556" spans="1:13">
      <c r="H556" s="100" t="s">
        <v>167</v>
      </c>
      <c r="J556" s="46">
        <f>+G163</f>
        <v>96</v>
      </c>
      <c r="K556" s="101">
        <f>+H163</f>
        <v>748.8</v>
      </c>
      <c r="L556" s="101">
        <f>+I163</f>
        <v>5</v>
      </c>
      <c r="M556" s="102">
        <f>+J556/L556</f>
        <v>19.2</v>
      </c>
    </row>
    <row r="557" spans="1:13">
      <c r="J557" s="46">
        <f>+B171</f>
        <v>10993</v>
      </c>
      <c r="M557" s="102"/>
    </row>
    <row r="558" spans="1:13">
      <c r="G558" t="s">
        <v>169</v>
      </c>
      <c r="M558" s="102"/>
    </row>
    <row r="559" spans="1:13">
      <c r="H559" s="100" t="s">
        <v>163</v>
      </c>
      <c r="J559" s="46">
        <f>+G199</f>
        <v>4672</v>
      </c>
      <c r="K559" s="101">
        <f>+H199</f>
        <v>23665.08</v>
      </c>
      <c r="L559" s="101">
        <f>+I199</f>
        <v>293.55</v>
      </c>
      <c r="M559" s="102">
        <f>+J559/L559</f>
        <v>15.915516947709078</v>
      </c>
    </row>
    <row r="560" spans="1:13">
      <c r="H560" s="100" t="s">
        <v>164</v>
      </c>
      <c r="J560" s="46">
        <f>+G257</f>
        <v>4557</v>
      </c>
      <c r="K560" s="101">
        <f>+H257</f>
        <v>22991.81</v>
      </c>
      <c r="L560" s="101">
        <f>+I257</f>
        <v>191</v>
      </c>
      <c r="M560" s="102">
        <f>+J560/L560</f>
        <v>23.858638743455497</v>
      </c>
    </row>
    <row r="561" spans="7:13">
      <c r="H561" s="100" t="s">
        <v>165</v>
      </c>
      <c r="J561" s="46">
        <f>+G292</f>
        <v>634</v>
      </c>
      <c r="K561" s="101">
        <f>+H292</f>
        <v>1217.26</v>
      </c>
      <c r="L561" s="101">
        <f>+I292</f>
        <v>135</v>
      </c>
      <c r="M561" s="102">
        <f>+J561/L561</f>
        <v>4.6962962962962962</v>
      </c>
    </row>
    <row r="562" spans="7:13">
      <c r="H562" s="100" t="s">
        <v>166</v>
      </c>
      <c r="J562" s="46">
        <f>+G308</f>
        <v>1756</v>
      </c>
      <c r="K562" s="101">
        <f>+H308</f>
        <v>8883.6</v>
      </c>
      <c r="L562" s="101">
        <f>+I308</f>
        <v>105.5</v>
      </c>
      <c r="M562" s="102">
        <f>+J562/L562</f>
        <v>16.644549763033176</v>
      </c>
    </row>
    <row r="563" spans="7:13">
      <c r="H563" s="100" t="s">
        <v>167</v>
      </c>
      <c r="J563" s="46">
        <f>+G334</f>
        <v>0</v>
      </c>
      <c r="K563" s="101">
        <f>+H334</f>
        <v>0</v>
      </c>
      <c r="L563" s="101">
        <f>+I334</f>
        <v>0</v>
      </c>
      <c r="M563" s="102" t="e">
        <f>+J563/L563</f>
        <v>#DIV/0!</v>
      </c>
    </row>
    <row r="564" spans="7:13">
      <c r="G564" t="s">
        <v>170</v>
      </c>
      <c r="J564" s="46">
        <f>+B342</f>
        <v>11637</v>
      </c>
      <c r="K564" s="101"/>
      <c r="L564" s="101"/>
      <c r="M564" s="102"/>
    </row>
    <row r="565" spans="7:13">
      <c r="H565" s="100" t="s">
        <v>163</v>
      </c>
      <c r="J565" s="46">
        <f>+G370</f>
        <v>0</v>
      </c>
      <c r="K565" s="101">
        <f>+H370</f>
        <v>0</v>
      </c>
      <c r="L565" s="101">
        <f>+I370</f>
        <v>0</v>
      </c>
      <c r="M565" s="102" t="e">
        <f>+J565/L565</f>
        <v>#DIV/0!</v>
      </c>
    </row>
    <row r="566" spans="7:13">
      <c r="H566" s="100" t="s">
        <v>164</v>
      </c>
      <c r="J566" s="46">
        <f>+G428</f>
        <v>0</v>
      </c>
      <c r="K566" s="101">
        <f>+H428</f>
        <v>0</v>
      </c>
      <c r="L566" s="101">
        <f>+I428</f>
        <v>0</v>
      </c>
      <c r="M566" s="102" t="e">
        <f>+J566/L566</f>
        <v>#DIV/0!</v>
      </c>
    </row>
    <row r="567" spans="7:13">
      <c r="H567" s="100" t="s">
        <v>165</v>
      </c>
      <c r="J567" s="46">
        <f>+G463</f>
        <v>1732</v>
      </c>
      <c r="K567" s="101">
        <f>+H463</f>
        <v>8711.9600000000009</v>
      </c>
      <c r="L567" s="101">
        <f>+I463</f>
        <v>173.5</v>
      </c>
      <c r="M567" s="102">
        <f>+J567/L567</f>
        <v>9.9827089337175785</v>
      </c>
    </row>
    <row r="568" spans="7:13">
      <c r="H568" s="100" t="s">
        <v>166</v>
      </c>
      <c r="J568" s="46">
        <f>+G479</f>
        <v>0</v>
      </c>
      <c r="K568" s="101">
        <f>+H479</f>
        <v>0</v>
      </c>
      <c r="L568" s="101">
        <f>+I479</f>
        <v>0</v>
      </c>
      <c r="M568" s="102" t="e">
        <f>+J568/L568</f>
        <v>#DIV/0!</v>
      </c>
    </row>
    <row r="569" spans="7:13">
      <c r="H569" s="100" t="s">
        <v>167</v>
      </c>
      <c r="J569" s="46">
        <f>+G506</f>
        <v>0</v>
      </c>
      <c r="K569" s="101">
        <f>+H506</f>
        <v>0</v>
      </c>
      <c r="L569" s="101">
        <f>+I506</f>
        <v>0</v>
      </c>
      <c r="M569" s="102" t="e">
        <f>+J569/L569</f>
        <v>#DIV/0!</v>
      </c>
    </row>
    <row r="570" spans="7:13">
      <c r="J570" s="46">
        <f>+B514</f>
        <v>1732</v>
      </c>
    </row>
  </sheetData>
  <mergeCells count="558"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  <mergeCell ref="A28:B28"/>
    <mergeCell ref="A86:B86"/>
    <mergeCell ref="A121:B121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137:B137"/>
    <mergeCell ref="A148:B148"/>
    <mergeCell ref="A163:B163"/>
    <mergeCell ref="A164:F164"/>
    <mergeCell ref="A165:A170"/>
    <mergeCell ref="C165:D165"/>
    <mergeCell ref="E165:F165"/>
    <mergeCell ref="Y5:Y6"/>
    <mergeCell ref="Z5:Z6"/>
    <mergeCell ref="R165:S165"/>
    <mergeCell ref="T165:U165"/>
    <mergeCell ref="V165:W165"/>
    <mergeCell ref="X165:Y165"/>
    <mergeCell ref="Z165:AA165"/>
    <mergeCell ref="C166:D166"/>
    <mergeCell ref="E166:F166"/>
    <mergeCell ref="G166:H166"/>
    <mergeCell ref="I166:J166"/>
    <mergeCell ref="K166:L166"/>
    <mergeCell ref="G165:H165"/>
    <mergeCell ref="I165:J165"/>
    <mergeCell ref="K165:L165"/>
    <mergeCell ref="M165:N165"/>
    <mergeCell ref="O165:O173"/>
    <mergeCell ref="P165:Q165"/>
    <mergeCell ref="M166:N166"/>
    <mergeCell ref="P166:Q166"/>
    <mergeCell ref="M167:N167"/>
    <mergeCell ref="P167:Q167"/>
    <mergeCell ref="R166:S166"/>
    <mergeCell ref="T166:U166"/>
    <mergeCell ref="V166:W166"/>
    <mergeCell ref="X166:Y166"/>
    <mergeCell ref="Z169:AA169"/>
    <mergeCell ref="Z166:AA166"/>
    <mergeCell ref="C167:D167"/>
    <mergeCell ref="E167:F167"/>
    <mergeCell ref="G167:H167"/>
    <mergeCell ref="I167:J167"/>
    <mergeCell ref="K167:L167"/>
    <mergeCell ref="R167:S167"/>
    <mergeCell ref="T167:U167"/>
    <mergeCell ref="V167:W167"/>
    <mergeCell ref="X167:Y167"/>
    <mergeCell ref="Z167:AA167"/>
    <mergeCell ref="T170:U170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T172:U172"/>
    <mergeCell ref="V170:W170"/>
    <mergeCell ref="X170:Y170"/>
    <mergeCell ref="Z170:AA170"/>
    <mergeCell ref="C171:D171"/>
    <mergeCell ref="E171:F171"/>
    <mergeCell ref="G171:H171"/>
    <mergeCell ref="I171:J171"/>
    <mergeCell ref="K171:L171"/>
    <mergeCell ref="Z171:AA171"/>
    <mergeCell ref="M171:N171"/>
    <mergeCell ref="P171:Q171"/>
    <mergeCell ref="R171:S171"/>
    <mergeCell ref="T171:U171"/>
    <mergeCell ref="V171:W171"/>
    <mergeCell ref="X171:Y171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R173:S173"/>
    <mergeCell ref="T173:U173"/>
    <mergeCell ref="V173:W173"/>
    <mergeCell ref="X173:Y173"/>
    <mergeCell ref="Z173:AA173"/>
    <mergeCell ref="A174:BA174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Z176:Z177"/>
    <mergeCell ref="AA176:AA177"/>
    <mergeCell ref="G175:H176"/>
    <mergeCell ref="I175:I177"/>
    <mergeCell ref="J175:J177"/>
    <mergeCell ref="K175:K177"/>
    <mergeCell ref="L175:L177"/>
    <mergeCell ref="M175:M177"/>
    <mergeCell ref="A175:A177"/>
    <mergeCell ref="B175:B177"/>
    <mergeCell ref="C175:C177"/>
    <mergeCell ref="D175:D177"/>
    <mergeCell ref="E175:E177"/>
    <mergeCell ref="F175:F177"/>
    <mergeCell ref="AL176:AR176"/>
    <mergeCell ref="AS176:BA176"/>
    <mergeCell ref="A199:B199"/>
    <mergeCell ref="A257:B257"/>
    <mergeCell ref="A292:B292"/>
    <mergeCell ref="A308:B308"/>
    <mergeCell ref="AJ175:AJ177"/>
    <mergeCell ref="AK175:AK177"/>
    <mergeCell ref="AL175:BA175"/>
    <mergeCell ref="O176:O177"/>
    <mergeCell ref="P176:P177"/>
    <mergeCell ref="Q176:Q177"/>
    <mergeCell ref="R176:R177"/>
    <mergeCell ref="S176:S177"/>
    <mergeCell ref="T176:T177"/>
    <mergeCell ref="U176:U177"/>
    <mergeCell ref="N175:N177"/>
    <mergeCell ref="O175:U175"/>
    <mergeCell ref="V175:V177"/>
    <mergeCell ref="W175:W177"/>
    <mergeCell ref="X175:AA175"/>
    <mergeCell ref="AI175:AI177"/>
    <mergeCell ref="X176:X177"/>
    <mergeCell ref="Y176:Y177"/>
    <mergeCell ref="A319:B319"/>
    <mergeCell ref="A334:B334"/>
    <mergeCell ref="A335:F335"/>
    <mergeCell ref="AL335:AR335"/>
    <mergeCell ref="AS335:BA335"/>
    <mergeCell ref="A336:A341"/>
    <mergeCell ref="C336:D336"/>
    <mergeCell ref="E336:F336"/>
    <mergeCell ref="G336:H336"/>
    <mergeCell ref="I336:J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K336:L336"/>
    <mergeCell ref="M336:N336"/>
    <mergeCell ref="O336:O344"/>
    <mergeCell ref="P336:Q336"/>
    <mergeCell ref="R336:S336"/>
    <mergeCell ref="T336:U336"/>
    <mergeCell ref="R337:S337"/>
    <mergeCell ref="T337:U337"/>
    <mergeCell ref="R338:S338"/>
    <mergeCell ref="T338:U338"/>
    <mergeCell ref="V337:W337"/>
    <mergeCell ref="X337:Y337"/>
    <mergeCell ref="Z337:AA337"/>
    <mergeCell ref="Z338:AA338"/>
    <mergeCell ref="C338:D338"/>
    <mergeCell ref="E338:F338"/>
    <mergeCell ref="G338:H338"/>
    <mergeCell ref="I338:J338"/>
    <mergeCell ref="K338:L338"/>
    <mergeCell ref="M338:N338"/>
    <mergeCell ref="P338:Q338"/>
    <mergeCell ref="V338:W338"/>
    <mergeCell ref="X338:Y338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M340:N340"/>
    <mergeCell ref="P340:Q340"/>
    <mergeCell ref="R340:S340"/>
    <mergeCell ref="T340:U340"/>
    <mergeCell ref="V340:W340"/>
    <mergeCell ref="X340:Y340"/>
    <mergeCell ref="C339:D339"/>
    <mergeCell ref="E339:F339"/>
    <mergeCell ref="G339:H339"/>
    <mergeCell ref="I339:J339"/>
    <mergeCell ref="K339:L339"/>
    <mergeCell ref="M339:N339"/>
    <mergeCell ref="P339:Q339"/>
    <mergeCell ref="R339:S339"/>
    <mergeCell ref="T339:U339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R342:S342"/>
    <mergeCell ref="T342:U342"/>
    <mergeCell ref="V342:W342"/>
    <mergeCell ref="X342:Y342"/>
    <mergeCell ref="Z342:AA342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C343:D343"/>
    <mergeCell ref="E343:F343"/>
    <mergeCell ref="G343:H343"/>
    <mergeCell ref="I343:J343"/>
    <mergeCell ref="K343:L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R344:S344"/>
    <mergeCell ref="T344:U344"/>
    <mergeCell ref="M343:N343"/>
    <mergeCell ref="P343:Q343"/>
    <mergeCell ref="R343:S343"/>
    <mergeCell ref="T343:U343"/>
    <mergeCell ref="V343:W343"/>
    <mergeCell ref="X343:Y343"/>
    <mergeCell ref="G346:H347"/>
    <mergeCell ref="I346:I348"/>
    <mergeCell ref="J346:J348"/>
    <mergeCell ref="K346:K348"/>
    <mergeCell ref="L346:L348"/>
    <mergeCell ref="M346:M348"/>
    <mergeCell ref="V344:W344"/>
    <mergeCell ref="X344:Y344"/>
    <mergeCell ref="Z344:AA344"/>
    <mergeCell ref="A345:BA345"/>
    <mergeCell ref="A346:A348"/>
    <mergeCell ref="B346:B348"/>
    <mergeCell ref="C346:C348"/>
    <mergeCell ref="D346:D348"/>
    <mergeCell ref="E346:E348"/>
    <mergeCell ref="F346:F348"/>
    <mergeCell ref="AL347:AR347"/>
    <mergeCell ref="AS347:BA347"/>
    <mergeCell ref="A370:B370"/>
    <mergeCell ref="A428:B428"/>
    <mergeCell ref="A463:B463"/>
    <mergeCell ref="A479:B479"/>
    <mergeCell ref="AJ346:AJ348"/>
    <mergeCell ref="AK346:AK348"/>
    <mergeCell ref="AL346:BA346"/>
    <mergeCell ref="O347:O348"/>
    <mergeCell ref="P347:P348"/>
    <mergeCell ref="Q347:Q348"/>
    <mergeCell ref="R347:R348"/>
    <mergeCell ref="S347:S348"/>
    <mergeCell ref="T347:T348"/>
    <mergeCell ref="U347:U348"/>
    <mergeCell ref="N346:N348"/>
    <mergeCell ref="O346:U346"/>
    <mergeCell ref="V346:V348"/>
    <mergeCell ref="W346:W348"/>
    <mergeCell ref="X346:AA346"/>
    <mergeCell ref="AI346:AI348"/>
    <mergeCell ref="X347:X348"/>
    <mergeCell ref="Y347:Y348"/>
    <mergeCell ref="Z347:Z348"/>
    <mergeCell ref="AA347:AA348"/>
    <mergeCell ref="A490:B490"/>
    <mergeCell ref="A506:B506"/>
    <mergeCell ref="A507:F507"/>
    <mergeCell ref="AL507:AR507"/>
    <mergeCell ref="AS507:BA507"/>
    <mergeCell ref="A508:A513"/>
    <mergeCell ref="C508:D508"/>
    <mergeCell ref="E508:F508"/>
    <mergeCell ref="G508:H508"/>
    <mergeCell ref="I508:J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P509:Q509"/>
    <mergeCell ref="K508:L508"/>
    <mergeCell ref="M508:N508"/>
    <mergeCell ref="O508:O516"/>
    <mergeCell ref="P508:Q508"/>
    <mergeCell ref="R508:S508"/>
    <mergeCell ref="T508:U508"/>
    <mergeCell ref="R509:S509"/>
    <mergeCell ref="T509:U509"/>
    <mergeCell ref="R510:S510"/>
    <mergeCell ref="T510:U510"/>
    <mergeCell ref="V509:W509"/>
    <mergeCell ref="X509:Y509"/>
    <mergeCell ref="Z509:AA509"/>
    <mergeCell ref="Z510:AA510"/>
    <mergeCell ref="C510:D510"/>
    <mergeCell ref="E510:F510"/>
    <mergeCell ref="G510:H510"/>
    <mergeCell ref="I510:J510"/>
    <mergeCell ref="K510:L510"/>
    <mergeCell ref="M510:N510"/>
    <mergeCell ref="P510:Q510"/>
    <mergeCell ref="V510:W510"/>
    <mergeCell ref="X510:Y510"/>
    <mergeCell ref="V511:W511"/>
    <mergeCell ref="X511:Y511"/>
    <mergeCell ref="Z511:AA511"/>
    <mergeCell ref="C512:D512"/>
    <mergeCell ref="E512:F512"/>
    <mergeCell ref="G512:H512"/>
    <mergeCell ref="I512:J512"/>
    <mergeCell ref="K512:L512"/>
    <mergeCell ref="Z512:AA512"/>
    <mergeCell ref="M512:N512"/>
    <mergeCell ref="P512:Q512"/>
    <mergeCell ref="R512:S512"/>
    <mergeCell ref="T512:U512"/>
    <mergeCell ref="V512:W512"/>
    <mergeCell ref="X512:Y512"/>
    <mergeCell ref="C511:D511"/>
    <mergeCell ref="E511:F511"/>
    <mergeCell ref="G511:H511"/>
    <mergeCell ref="I511:J511"/>
    <mergeCell ref="K511:L511"/>
    <mergeCell ref="M511:N511"/>
    <mergeCell ref="P511:Q511"/>
    <mergeCell ref="R511:S511"/>
    <mergeCell ref="T511:U511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M514:N514"/>
    <mergeCell ref="P514:Q514"/>
    <mergeCell ref="R514:S514"/>
    <mergeCell ref="T514:U514"/>
    <mergeCell ref="V514:W514"/>
    <mergeCell ref="X514:Y514"/>
    <mergeCell ref="Z514:AA514"/>
    <mergeCell ref="C513:D513"/>
    <mergeCell ref="E513:F513"/>
    <mergeCell ref="G513:H513"/>
    <mergeCell ref="I513:J513"/>
    <mergeCell ref="K513:L513"/>
    <mergeCell ref="M513:N513"/>
    <mergeCell ref="P513:Q513"/>
    <mergeCell ref="R513:S513"/>
    <mergeCell ref="T513:U513"/>
    <mergeCell ref="C515:D515"/>
    <mergeCell ref="E515:F515"/>
    <mergeCell ref="G515:H515"/>
    <mergeCell ref="I515:J515"/>
    <mergeCell ref="K515:L515"/>
    <mergeCell ref="Z515:AA515"/>
    <mergeCell ref="C516:D516"/>
    <mergeCell ref="E516:F516"/>
    <mergeCell ref="G516:H516"/>
    <mergeCell ref="I516:J516"/>
    <mergeCell ref="K516:L516"/>
    <mergeCell ref="M516:N516"/>
    <mergeCell ref="P516:Q516"/>
    <mergeCell ref="R516:S516"/>
    <mergeCell ref="T516:U516"/>
    <mergeCell ref="M515:N515"/>
    <mergeCell ref="P515:Q515"/>
    <mergeCell ref="R515:S515"/>
    <mergeCell ref="T515:U515"/>
    <mergeCell ref="V515:W515"/>
    <mergeCell ref="X515:Y515"/>
    <mergeCell ref="V516:W516"/>
    <mergeCell ref="X516:Y516"/>
    <mergeCell ref="Z516:AA516"/>
    <mergeCell ref="G517:I517"/>
    <mergeCell ref="N517:R517"/>
    <mergeCell ref="A519:B519"/>
    <mergeCell ref="C519:D519"/>
    <mergeCell ref="E519:F519"/>
    <mergeCell ref="G519:H519"/>
    <mergeCell ref="I519:J519"/>
    <mergeCell ref="K519:L519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21:B521"/>
    <mergeCell ref="C521:D521"/>
    <mergeCell ref="E521:F521"/>
    <mergeCell ref="G521:H521"/>
    <mergeCell ref="I521:J521"/>
    <mergeCell ref="K521:L521"/>
    <mergeCell ref="M521:N521"/>
    <mergeCell ref="O521:P521"/>
    <mergeCell ref="M523:N523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A523:B523"/>
    <mergeCell ref="C523:D523"/>
    <mergeCell ref="E523:F523"/>
    <mergeCell ref="G523:H530"/>
    <mergeCell ref="I523:J523"/>
    <mergeCell ref="K523:L523"/>
    <mergeCell ref="A528:B528"/>
    <mergeCell ref="C528:D528"/>
    <mergeCell ref="E528:F528"/>
    <mergeCell ref="I528:J528"/>
    <mergeCell ref="O524:P524"/>
    <mergeCell ref="Q524:R524"/>
    <mergeCell ref="S524:T524"/>
    <mergeCell ref="A525:B525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Q527:R527"/>
    <mergeCell ref="S527:T527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M529:N529"/>
    <mergeCell ref="O529:P529"/>
    <mergeCell ref="Q529:R529"/>
    <mergeCell ref="S529:T529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70"/>
  <sheetViews>
    <sheetView topLeftCell="A525" zoomScaleNormal="100" workbookViewId="0">
      <selection activeCell="D540" sqref="D540"/>
    </sheetView>
  </sheetViews>
  <sheetFormatPr defaultRowHeight="15.75"/>
  <cols>
    <col min="1" max="1" width="9.75" style="121" customWidth="1"/>
    <col min="2" max="2" width="26.75" style="69" customWidth="1"/>
    <col min="3" max="3" width="9.375" customWidth="1"/>
    <col min="5" max="5" width="13.25" customWidth="1"/>
    <col min="6" max="7" width="14" customWidth="1"/>
    <col min="8" max="8" width="12.125" customWidth="1"/>
    <col min="9" max="9" width="9.75" bestFit="1" customWidth="1"/>
    <col min="10" max="10" width="11.125" style="46" customWidth="1"/>
    <col min="11" max="11" width="10.5" style="50" bestFit="1" customWidth="1"/>
    <col min="12" max="12" width="9.125" bestFit="1" customWidth="1"/>
    <col min="13" max="13" width="9.5" bestFit="1" customWidth="1"/>
    <col min="14" max="14" width="11.125" customWidth="1"/>
    <col min="15" max="17" width="9.125" bestFit="1" customWidth="1"/>
    <col min="18" max="18" width="13.25" customWidth="1"/>
    <col min="19" max="19" width="10.5" customWidth="1"/>
    <col min="20" max="20" width="11.625" customWidth="1"/>
    <col min="21" max="21" width="9.125" bestFit="1" customWidth="1"/>
    <col min="22" max="22" width="9.875" style="214" bestFit="1" customWidth="1"/>
    <col min="23" max="27" width="9.125" bestFit="1" customWidth="1"/>
    <col min="30" max="30" width="9" style="59"/>
    <col min="35" max="53" width="9" style="59"/>
  </cols>
  <sheetData>
    <row r="1" spans="1:106" ht="17.25">
      <c r="A1" s="328" t="s">
        <v>500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203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725" t="s">
        <v>23</v>
      </c>
      <c r="B2" s="725"/>
      <c r="C2" s="725"/>
      <c r="D2" s="725"/>
      <c r="E2" s="725"/>
      <c r="F2" s="725"/>
      <c r="G2" s="725"/>
      <c r="H2" s="725"/>
      <c r="I2" s="725"/>
      <c r="J2" s="725"/>
      <c r="K2" s="725"/>
      <c r="L2" s="725"/>
      <c r="M2" s="725"/>
      <c r="N2" s="725"/>
      <c r="O2" s="725"/>
      <c r="P2" s="725"/>
      <c r="Q2" s="725"/>
      <c r="R2" s="725"/>
      <c r="S2" s="725"/>
      <c r="T2" s="725"/>
      <c r="U2" s="725"/>
      <c r="V2" s="725"/>
      <c r="W2" s="725"/>
      <c r="X2" s="725"/>
      <c r="Y2" s="725"/>
      <c r="Z2" s="725"/>
      <c r="AA2" s="725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329" t="s">
        <v>501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204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604" t="s">
        <v>502</v>
      </c>
      <c r="B4" s="705" t="s">
        <v>25</v>
      </c>
      <c r="C4" s="705" t="s">
        <v>26</v>
      </c>
      <c r="D4" s="705" t="s">
        <v>27</v>
      </c>
      <c r="E4" s="717" t="s">
        <v>28</v>
      </c>
      <c r="F4" s="720" t="s">
        <v>29</v>
      </c>
      <c r="G4" s="684" t="s">
        <v>30</v>
      </c>
      <c r="H4" s="684"/>
      <c r="I4" s="705" t="s">
        <v>31</v>
      </c>
      <c r="J4" s="708" t="s">
        <v>32</v>
      </c>
      <c r="K4" s="711" t="s">
        <v>33</v>
      </c>
      <c r="L4" s="705" t="s">
        <v>34</v>
      </c>
      <c r="M4" s="714" t="s">
        <v>35</v>
      </c>
      <c r="N4" s="702" t="s">
        <v>36</v>
      </c>
      <c r="O4" s="684" t="s">
        <v>37</v>
      </c>
      <c r="P4" s="684"/>
      <c r="Q4" s="684"/>
      <c r="R4" s="684"/>
      <c r="S4" s="684"/>
      <c r="T4" s="684"/>
      <c r="U4" s="684"/>
      <c r="V4" s="703" t="s">
        <v>38</v>
      </c>
      <c r="W4" s="702" t="s">
        <v>39</v>
      </c>
      <c r="X4" s="684" t="s">
        <v>40</v>
      </c>
      <c r="Y4" s="684"/>
      <c r="Z4" s="684"/>
      <c r="AA4" s="684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605"/>
      <c r="B5" s="706"/>
      <c r="C5" s="706"/>
      <c r="D5" s="706"/>
      <c r="E5" s="718"/>
      <c r="F5" s="721"/>
      <c r="G5" s="684"/>
      <c r="H5" s="684"/>
      <c r="I5" s="706"/>
      <c r="J5" s="709"/>
      <c r="K5" s="712"/>
      <c r="L5" s="706"/>
      <c r="M5" s="715"/>
      <c r="N5" s="702"/>
      <c r="O5" s="684" t="s">
        <v>41</v>
      </c>
      <c r="P5" s="684" t="s">
        <v>42</v>
      </c>
      <c r="Q5" s="684" t="s">
        <v>43</v>
      </c>
      <c r="R5" s="701" t="s">
        <v>44</v>
      </c>
      <c r="S5" s="654" t="s">
        <v>45</v>
      </c>
      <c r="T5" s="684" t="s">
        <v>46</v>
      </c>
      <c r="U5" s="684" t="s">
        <v>47</v>
      </c>
      <c r="V5" s="703"/>
      <c r="W5" s="702"/>
      <c r="X5" s="684" t="s">
        <v>13</v>
      </c>
      <c r="Y5" s="684" t="s">
        <v>48</v>
      </c>
      <c r="Z5" s="684" t="s">
        <v>49</v>
      </c>
      <c r="AA5" s="684" t="s">
        <v>47</v>
      </c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>
      <c r="A6" s="606"/>
      <c r="B6" s="707"/>
      <c r="C6" s="707"/>
      <c r="D6" s="707"/>
      <c r="E6" s="719"/>
      <c r="F6" s="722"/>
      <c r="G6" s="335" t="s">
        <v>50</v>
      </c>
      <c r="H6" s="335" t="s">
        <v>51</v>
      </c>
      <c r="I6" s="707"/>
      <c r="J6" s="710"/>
      <c r="K6" s="713"/>
      <c r="L6" s="707"/>
      <c r="M6" s="715"/>
      <c r="N6" s="702"/>
      <c r="O6" s="684"/>
      <c r="P6" s="684"/>
      <c r="Q6" s="684"/>
      <c r="R6" s="701"/>
      <c r="S6" s="654"/>
      <c r="T6" s="684"/>
      <c r="U6" s="684"/>
      <c r="V6" s="703"/>
      <c r="W6" s="702"/>
      <c r="X6" s="684"/>
      <c r="Y6" s="684"/>
      <c r="Z6" s="684"/>
      <c r="AA6" s="684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>
      <c r="A7" s="315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93">
        <f>SUM('31:13'!G7)</f>
        <v>724</v>
      </c>
      <c r="H7" s="95">
        <f t="shared" ref="H7:H24" si="0">D7*G7</f>
        <v>3641.7200000000003</v>
      </c>
      <c r="I7" s="93">
        <f>SUM('31:13'!I7)</f>
        <v>19</v>
      </c>
      <c r="J7" s="31">
        <f>IF(ISERROR(G7/I7),"",G7/I7)</f>
        <v>38.10526315789474</v>
      </c>
      <c r="K7" s="96">
        <f t="array" ref="K7">IF(ISERROR(G7/L7),"",G7/L7)</f>
        <v>45.25</v>
      </c>
      <c r="L7" s="84">
        <v>16</v>
      </c>
      <c r="M7" s="97">
        <f t="shared" ref="M7:M16" si="1">IF(ISERROR(I7-K7),"",I7-K7)</f>
        <v>-26.25</v>
      </c>
      <c r="N7" s="93">
        <f>SUM('31:13'!N7)</f>
        <v>0</v>
      </c>
      <c r="O7" s="93">
        <f>SUM('31:13'!O7)</f>
        <v>0</v>
      </c>
      <c r="P7" s="93">
        <f>SUM('31:13'!P7)</f>
        <v>0</v>
      </c>
      <c r="Q7" s="93">
        <f>SUM('31:13'!Q7)</f>
        <v>0</v>
      </c>
      <c r="R7" s="93">
        <f>SUM('31:13'!R7)</f>
        <v>0</v>
      </c>
      <c r="S7" s="93">
        <f>SUM('31:13'!S7)</f>
        <v>0</v>
      </c>
      <c r="T7" s="93">
        <f>SUM('31:13'!T7)</f>
        <v>0</v>
      </c>
      <c r="U7" s="93">
        <f>SUM('31:13'!U7)</f>
        <v>0</v>
      </c>
      <c r="V7" s="205">
        <f t="shared" ref="V7:V27" si="2">SUM(X7:AA7)</f>
        <v>0</v>
      </c>
      <c r="W7" s="33">
        <f t="shared" ref="W7:W16" si="3">IF(ISERROR(V7/G7),"",V7/G7)</f>
        <v>0</v>
      </c>
      <c r="X7" s="93">
        <f>SUM('31:13'!X7)</f>
        <v>0</v>
      </c>
      <c r="Y7" s="93">
        <f>SUM('31:13'!Y7)</f>
        <v>0</v>
      </c>
      <c r="Z7" s="93">
        <f>SUM('31:13'!Z7)</f>
        <v>0</v>
      </c>
      <c r="AA7" s="93">
        <f>SUM('31:13'!AA7)</f>
        <v>0</v>
      </c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>
      <c r="A8" s="300"/>
      <c r="B8" s="62" t="s">
        <v>54</v>
      </c>
      <c r="C8" s="16" t="s">
        <v>53</v>
      </c>
      <c r="D8" s="17">
        <v>5.03</v>
      </c>
      <c r="E8" s="17"/>
      <c r="F8" s="6"/>
      <c r="G8" s="93">
        <f>SUM('31:13'!G8)</f>
        <v>0</v>
      </c>
      <c r="H8" s="95">
        <f t="shared" si="0"/>
        <v>0</v>
      </c>
      <c r="I8" s="93">
        <f>SUM('31:13'!I8)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87">
        <v>19</v>
      </c>
      <c r="M8" s="36">
        <f t="shared" si="1"/>
        <v>0</v>
      </c>
      <c r="N8" s="93">
        <f>SUM('31:13'!N8)</f>
        <v>0</v>
      </c>
      <c r="O8" s="93">
        <f>SUM('31:13'!O8)</f>
        <v>0</v>
      </c>
      <c r="P8" s="93">
        <f>SUM('31:13'!P8)</f>
        <v>0</v>
      </c>
      <c r="Q8" s="93">
        <f>SUM('31:13'!Q8)</f>
        <v>0</v>
      </c>
      <c r="R8" s="93">
        <f>SUM('31:13'!R8)</f>
        <v>0</v>
      </c>
      <c r="S8" s="93">
        <f>SUM('31:13'!S8)</f>
        <v>0</v>
      </c>
      <c r="T8" s="93">
        <f>SUM('31:13'!T8)</f>
        <v>0</v>
      </c>
      <c r="U8" s="93">
        <f>SUM('31:13'!U8)</f>
        <v>0</v>
      </c>
      <c r="V8" s="205">
        <f t="shared" si="2"/>
        <v>0</v>
      </c>
      <c r="W8" s="33" t="str">
        <f t="shared" si="3"/>
        <v/>
      </c>
      <c r="X8" s="93">
        <f>SUM('31:13'!X8)</f>
        <v>0</v>
      </c>
      <c r="Y8" s="93">
        <f>SUM('31:13'!Y8)</f>
        <v>0</v>
      </c>
      <c r="Z8" s="93">
        <f>SUM('31:13'!Z8)</f>
        <v>0</v>
      </c>
      <c r="AA8" s="93">
        <f>SUM('31:13'!AA8)</f>
        <v>0</v>
      </c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>
      <c r="A9" s="301"/>
      <c r="B9" s="62" t="s">
        <v>54</v>
      </c>
      <c r="C9" s="16" t="s">
        <v>55</v>
      </c>
      <c r="D9" s="17">
        <v>5.03</v>
      </c>
      <c r="E9" s="17"/>
      <c r="F9" s="6"/>
      <c r="G9" s="93">
        <f>SUM('31:13'!G9)</f>
        <v>0</v>
      </c>
      <c r="H9" s="95">
        <f t="shared" si="0"/>
        <v>0</v>
      </c>
      <c r="I9" s="93">
        <f>SUM('31:13'!I9)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87">
        <v>19</v>
      </c>
      <c r="M9" s="36">
        <f t="shared" si="1"/>
        <v>0</v>
      </c>
      <c r="N9" s="93">
        <f>SUM('31:13'!N9)</f>
        <v>0</v>
      </c>
      <c r="O9" s="93">
        <f>SUM('31:13'!O9)</f>
        <v>0</v>
      </c>
      <c r="P9" s="93">
        <f>SUM('31:13'!P9)</f>
        <v>0</v>
      </c>
      <c r="Q9" s="93">
        <f>SUM('31:13'!Q9)</f>
        <v>0</v>
      </c>
      <c r="R9" s="93">
        <f>SUM('31:13'!R9)</f>
        <v>0</v>
      </c>
      <c r="S9" s="93">
        <f>SUM('31:13'!S9)</f>
        <v>0</v>
      </c>
      <c r="T9" s="93">
        <f>SUM('31:13'!T9)</f>
        <v>0</v>
      </c>
      <c r="U9" s="93">
        <f>SUM('31:13'!U9)</f>
        <v>0</v>
      </c>
      <c r="V9" s="205">
        <f t="shared" si="2"/>
        <v>0</v>
      </c>
      <c r="W9" s="33" t="str">
        <f t="shared" si="3"/>
        <v/>
      </c>
      <c r="X9" s="93">
        <f>SUM('31:13'!X9)</f>
        <v>0</v>
      </c>
      <c r="Y9" s="93">
        <f>SUM('31:13'!Y9)</f>
        <v>0</v>
      </c>
      <c r="Z9" s="93">
        <f>SUM('31:13'!Z9)</f>
        <v>0</v>
      </c>
      <c r="AA9" s="93">
        <f>SUM('31:13'!AA9)</f>
        <v>0</v>
      </c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>
      <c r="A10" s="315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93">
        <f>SUM('31:13'!G10)</f>
        <v>1533</v>
      </c>
      <c r="H10" s="95">
        <f t="shared" si="0"/>
        <v>7710.9900000000007</v>
      </c>
      <c r="I10" s="93">
        <f>SUM('31:13'!I10)</f>
        <v>104</v>
      </c>
      <c r="J10" s="31">
        <f t="array" ref="J10">IF(ISERROR(G10/I10),"",G10/I10)</f>
        <v>14.740384615384615</v>
      </c>
      <c r="K10" s="35">
        <f t="array" ref="K10">IF(ISERROR(G10/L10),"",G10/L10)</f>
        <v>80.684210526315795</v>
      </c>
      <c r="L10" s="87">
        <v>19</v>
      </c>
      <c r="M10" s="36">
        <f t="shared" si="1"/>
        <v>23.315789473684205</v>
      </c>
      <c r="N10" s="93">
        <f>SUM('31:13'!N10)</f>
        <v>0</v>
      </c>
      <c r="O10" s="93">
        <f>SUM('31:13'!O10)</f>
        <v>0</v>
      </c>
      <c r="P10" s="93">
        <f>SUM('31:13'!P10)</f>
        <v>0</v>
      </c>
      <c r="Q10" s="93">
        <f>SUM('31:13'!Q10)</f>
        <v>0</v>
      </c>
      <c r="R10" s="93">
        <f>SUM('31:13'!R10)</f>
        <v>0</v>
      </c>
      <c r="S10" s="93">
        <f>SUM('31:13'!S10)</f>
        <v>0</v>
      </c>
      <c r="T10" s="93">
        <f>SUM('31:13'!T10)</f>
        <v>0</v>
      </c>
      <c r="U10" s="93">
        <f>SUM('31:13'!U10)</f>
        <v>0</v>
      </c>
      <c r="V10" s="205">
        <f t="shared" si="2"/>
        <v>0</v>
      </c>
      <c r="W10" s="33">
        <f t="shared" si="3"/>
        <v>0</v>
      </c>
      <c r="X10" s="93">
        <f>SUM('31:13'!X10)</f>
        <v>0</v>
      </c>
      <c r="Y10" s="93">
        <f>SUM('31:13'!Y10)</f>
        <v>0</v>
      </c>
      <c r="Z10" s="93">
        <f>SUM('31:13'!Z10)</f>
        <v>0</v>
      </c>
      <c r="AA10" s="93">
        <f>SUM('31:13'!AA10)</f>
        <v>0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>
      <c r="A11" s="315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93">
        <f>SUM('31:13'!G11)</f>
        <v>977</v>
      </c>
      <c r="H11" s="95">
        <f t="shared" si="0"/>
        <v>4914.3100000000004</v>
      </c>
      <c r="I11" s="93">
        <f>SUM('31:13'!I11)</f>
        <v>76</v>
      </c>
      <c r="J11" s="31">
        <f t="array" ref="J11">IF(ISERROR(G11/I11),"",G11/I11)</f>
        <v>12.855263157894736</v>
      </c>
      <c r="K11" s="35">
        <f t="array" ref="K11">IF(ISERROR(G11/L11),"",G11/L11)</f>
        <v>48.85</v>
      </c>
      <c r="L11" s="87">
        <v>20</v>
      </c>
      <c r="M11" s="36">
        <f t="shared" si="1"/>
        <v>27.15</v>
      </c>
      <c r="N11" s="93">
        <f>SUM('31:13'!N11)</f>
        <v>0</v>
      </c>
      <c r="O11" s="93">
        <f>SUM('31:13'!O11)</f>
        <v>0</v>
      </c>
      <c r="P11" s="93">
        <f>SUM('31:13'!P11)</f>
        <v>0</v>
      </c>
      <c r="Q11" s="93">
        <f>SUM('31:13'!Q11)</f>
        <v>0</v>
      </c>
      <c r="R11" s="93">
        <f>SUM('31:13'!R11)</f>
        <v>0</v>
      </c>
      <c r="S11" s="93">
        <f>SUM('31:13'!S11)</f>
        <v>0</v>
      </c>
      <c r="T11" s="93">
        <f>SUM('31:13'!T11)</f>
        <v>0</v>
      </c>
      <c r="U11" s="93">
        <f>SUM('31:13'!U11)</f>
        <v>0</v>
      </c>
      <c r="V11" s="205">
        <f t="shared" si="2"/>
        <v>0</v>
      </c>
      <c r="W11" s="33">
        <f t="shared" si="3"/>
        <v>0</v>
      </c>
      <c r="X11" s="93">
        <f>SUM('31:13'!X11)</f>
        <v>0</v>
      </c>
      <c r="Y11" s="93">
        <f>SUM('31:13'!Y11)</f>
        <v>0</v>
      </c>
      <c r="Z11" s="93">
        <f>SUM('31:13'!Z11)</f>
        <v>0</v>
      </c>
      <c r="AA11" s="93">
        <f>SUM('31:13'!AA11)</f>
        <v>0</v>
      </c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>
      <c r="A12" s="315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93">
        <f>SUM('31:13'!G12)</f>
        <v>1135</v>
      </c>
      <c r="H12" s="95">
        <f t="shared" si="0"/>
        <v>5720.4</v>
      </c>
      <c r="I12" s="93">
        <f>SUM('31:13'!I12)</f>
        <v>57</v>
      </c>
      <c r="J12" s="31">
        <f t="array" ref="J12">IF(ISERROR(G12/I12),"",G12/I12)</f>
        <v>19.912280701754387</v>
      </c>
      <c r="K12" s="35">
        <f t="array" ref="K12">IF(ISERROR(G12/L12),"",G12/L12)</f>
        <v>59.736842105263158</v>
      </c>
      <c r="L12" s="87">
        <v>19</v>
      </c>
      <c r="M12" s="36">
        <f t="shared" si="1"/>
        <v>-2.7368421052631575</v>
      </c>
      <c r="N12" s="93">
        <f>SUM('31:13'!N12)</f>
        <v>0</v>
      </c>
      <c r="O12" s="93">
        <f>SUM('31:13'!O12)</f>
        <v>0</v>
      </c>
      <c r="P12" s="93">
        <f>SUM('31:13'!P12)</f>
        <v>0</v>
      </c>
      <c r="Q12" s="93">
        <f>SUM('31:13'!Q12)</f>
        <v>0</v>
      </c>
      <c r="R12" s="93">
        <f>SUM('31:13'!R12)</f>
        <v>0</v>
      </c>
      <c r="S12" s="93">
        <f>SUM('31:13'!S12)</f>
        <v>0</v>
      </c>
      <c r="T12" s="93">
        <f>SUM('31:13'!T12)</f>
        <v>0</v>
      </c>
      <c r="U12" s="93">
        <f>SUM('31:13'!U12)</f>
        <v>0</v>
      </c>
      <c r="V12" s="205">
        <f t="shared" si="2"/>
        <v>0</v>
      </c>
      <c r="W12" s="33">
        <f t="shared" si="3"/>
        <v>0</v>
      </c>
      <c r="X12" s="93">
        <f>SUM('31:13'!X12)</f>
        <v>0</v>
      </c>
      <c r="Y12" s="93">
        <f>SUM('31:13'!Y12)</f>
        <v>0</v>
      </c>
      <c r="Z12" s="93">
        <f>SUM('31:13'!Z12)</f>
        <v>0</v>
      </c>
      <c r="AA12" s="93">
        <f>SUM('31:13'!AA12)</f>
        <v>0</v>
      </c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>
      <c r="A13" s="332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93">
        <f>SUM('31:13'!G13)</f>
        <v>0</v>
      </c>
      <c r="H13" s="95">
        <f t="shared" si="0"/>
        <v>0</v>
      </c>
      <c r="I13" s="93">
        <f>SUM('31:13'!I13)</f>
        <v>0</v>
      </c>
      <c r="J13" s="31" t="str">
        <f t="array" ref="J13">IF(ISERROR(G13/I13),"",G13/I13)</f>
        <v/>
      </c>
      <c r="K13" s="35">
        <f t="array" ref="K13">IF(ISERROR(G13/L13),"",G13/L13)</f>
        <v>0</v>
      </c>
      <c r="L13" s="87">
        <v>3</v>
      </c>
      <c r="M13" s="36">
        <f t="shared" si="1"/>
        <v>0</v>
      </c>
      <c r="N13" s="93">
        <f>SUM('31:13'!N13)</f>
        <v>0</v>
      </c>
      <c r="O13" s="93">
        <f>SUM('31:13'!O13)</f>
        <v>0</v>
      </c>
      <c r="P13" s="93">
        <f>SUM('31:13'!P13)</f>
        <v>0</v>
      </c>
      <c r="Q13" s="93">
        <f>SUM('31:13'!Q13)</f>
        <v>0</v>
      </c>
      <c r="R13" s="93">
        <f>SUM('31:13'!R13)</f>
        <v>0</v>
      </c>
      <c r="S13" s="93">
        <f>SUM('31:13'!S13)</f>
        <v>0</v>
      </c>
      <c r="T13" s="93">
        <f>SUM('31:13'!T13)</f>
        <v>0</v>
      </c>
      <c r="U13" s="93">
        <f>SUM('31:13'!U13)</f>
        <v>0</v>
      </c>
      <c r="V13" s="205">
        <f t="shared" si="2"/>
        <v>0</v>
      </c>
      <c r="W13" s="33" t="str">
        <f t="shared" si="3"/>
        <v/>
      </c>
      <c r="X13" s="93">
        <f>SUM('31:13'!X13)</f>
        <v>0</v>
      </c>
      <c r="Y13" s="93">
        <f>SUM('31:13'!Y13)</f>
        <v>0</v>
      </c>
      <c r="Z13" s="93">
        <f>SUM('31:13'!Z13)</f>
        <v>0</v>
      </c>
      <c r="AA13" s="93">
        <f>SUM('31:13'!AA13)</f>
        <v>0</v>
      </c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>
      <c r="A14" s="302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93">
        <f>SUM('31:13'!G14)</f>
        <v>279</v>
      </c>
      <c r="H14" s="95">
        <f t="shared" si="0"/>
        <v>1403.3700000000001</v>
      </c>
      <c r="I14" s="93">
        <f>SUM('31:13'!I14)</f>
        <v>22</v>
      </c>
      <c r="J14" s="31">
        <f t="array" ref="J14">IF(ISERROR(G14/I14),"",G14/I14)</f>
        <v>12.681818181818182</v>
      </c>
      <c r="K14" s="35">
        <f t="array" ref="K14">IF(ISERROR(G14/L14),"",G14/L14)</f>
        <v>93</v>
      </c>
      <c r="L14" s="87">
        <v>3</v>
      </c>
      <c r="M14" s="36">
        <f t="shared" si="1"/>
        <v>-71</v>
      </c>
      <c r="N14" s="93">
        <f>SUM('31:13'!N14)</f>
        <v>0</v>
      </c>
      <c r="O14" s="93">
        <f>SUM('31:13'!O14)</f>
        <v>0</v>
      </c>
      <c r="P14" s="93">
        <f>SUM('31:13'!P14)</f>
        <v>0</v>
      </c>
      <c r="Q14" s="93">
        <f>SUM('31:13'!Q14)</f>
        <v>0</v>
      </c>
      <c r="R14" s="93">
        <f>SUM('31:13'!R14)</f>
        <v>0</v>
      </c>
      <c r="S14" s="93">
        <f>SUM('31:13'!S14)</f>
        <v>0</v>
      </c>
      <c r="T14" s="93">
        <f>SUM('31:13'!T14)</f>
        <v>0</v>
      </c>
      <c r="U14" s="93">
        <f>SUM('31:13'!U14)</f>
        <v>0</v>
      </c>
      <c r="V14" s="205">
        <f t="shared" si="2"/>
        <v>0</v>
      </c>
      <c r="W14" s="33">
        <f t="shared" si="3"/>
        <v>0</v>
      </c>
      <c r="X14" s="93">
        <f>SUM('31:13'!X14)</f>
        <v>0</v>
      </c>
      <c r="Y14" s="93">
        <f>SUM('31:13'!Y14)</f>
        <v>0</v>
      </c>
      <c r="Z14" s="93">
        <f>SUM('31:13'!Z14)</f>
        <v>0</v>
      </c>
      <c r="AA14" s="93">
        <f>SUM('31:13'!AA14)</f>
        <v>0</v>
      </c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>
      <c r="A15" s="300">
        <v>30200006</v>
      </c>
      <c r="B15" s="265" t="s">
        <v>62</v>
      </c>
      <c r="C15" s="16" t="s">
        <v>63</v>
      </c>
      <c r="D15" s="17">
        <v>5.04</v>
      </c>
      <c r="E15" s="17"/>
      <c r="F15" s="79"/>
      <c r="G15" s="93">
        <f>SUM('31:13'!G15)</f>
        <v>2343</v>
      </c>
      <c r="H15" s="95">
        <f t="shared" si="0"/>
        <v>11808.72</v>
      </c>
      <c r="I15" s="93">
        <f>SUM('31:13'!I15)</f>
        <v>175</v>
      </c>
      <c r="J15" s="31">
        <f t="array" ref="J15">IF(ISERROR(G15/I15),"",G15/I15)</f>
        <v>13.388571428571428</v>
      </c>
      <c r="K15" s="35">
        <f t="array" ref="K15">IF(ISERROR(G15/L15),"",G15/L15)</f>
        <v>137.8235294117647</v>
      </c>
      <c r="L15" s="87">
        <v>17</v>
      </c>
      <c r="M15" s="36">
        <f t="shared" si="1"/>
        <v>37.176470588235304</v>
      </c>
      <c r="N15" s="93">
        <f>SUM('31:13'!N15)</f>
        <v>0</v>
      </c>
      <c r="O15" s="93">
        <f>SUM('31:13'!O15)</f>
        <v>0</v>
      </c>
      <c r="P15" s="93">
        <f>SUM('31:13'!P15)</f>
        <v>0</v>
      </c>
      <c r="Q15" s="93">
        <f>SUM('31:13'!Q15)</f>
        <v>0</v>
      </c>
      <c r="R15" s="93">
        <f>SUM('31:13'!R15)</f>
        <v>0</v>
      </c>
      <c r="S15" s="93">
        <f>SUM('31:13'!S15)</f>
        <v>0</v>
      </c>
      <c r="T15" s="93">
        <f>SUM('31:13'!T15)</f>
        <v>0</v>
      </c>
      <c r="U15" s="93">
        <f>SUM('31:13'!U15)</f>
        <v>0</v>
      </c>
      <c r="V15" s="205">
        <f t="shared" si="2"/>
        <v>0</v>
      </c>
      <c r="W15" s="33">
        <f t="shared" si="3"/>
        <v>0</v>
      </c>
      <c r="X15" s="93">
        <f>SUM('31:13'!X15)</f>
        <v>0</v>
      </c>
      <c r="Y15" s="93">
        <f>SUM('31:13'!Y15)</f>
        <v>0</v>
      </c>
      <c r="Z15" s="93">
        <f>SUM('31:13'!Z15)</f>
        <v>0</v>
      </c>
      <c r="AA15" s="93">
        <f>SUM('31:13'!AA15)</f>
        <v>0</v>
      </c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>
      <c r="A16" s="300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93">
        <f>SUM('31:13'!G16)</f>
        <v>1230</v>
      </c>
      <c r="H16" s="95">
        <f t="shared" si="0"/>
        <v>6199.2</v>
      </c>
      <c r="I16" s="93">
        <f>SUM('31:13'!I16)</f>
        <v>77</v>
      </c>
      <c r="J16" s="31">
        <f t="array" ref="J16">IF(ISERROR(G16/I16),"",G16/I16)</f>
        <v>15.974025974025974</v>
      </c>
      <c r="K16" s="35">
        <f t="array" ref="K16">IF(ISERROR(G16/L16),"",G16/L16)</f>
        <v>72.352941176470594</v>
      </c>
      <c r="L16" s="87">
        <v>17</v>
      </c>
      <c r="M16" s="36">
        <f t="shared" si="1"/>
        <v>4.6470588235294059</v>
      </c>
      <c r="N16" s="93">
        <f>SUM('31:13'!N16)</f>
        <v>0</v>
      </c>
      <c r="O16" s="93">
        <f>SUM('31:13'!O16)</f>
        <v>0</v>
      </c>
      <c r="P16" s="93">
        <f>SUM('31:13'!P16)</f>
        <v>0</v>
      </c>
      <c r="Q16" s="93">
        <f>SUM('31:13'!Q16)</f>
        <v>0</v>
      </c>
      <c r="R16" s="93">
        <f>SUM('31:13'!R16)</f>
        <v>0</v>
      </c>
      <c r="S16" s="93">
        <f>SUM('31:13'!S16)</f>
        <v>0</v>
      </c>
      <c r="T16" s="93">
        <f>SUM('31:13'!T16)</f>
        <v>0</v>
      </c>
      <c r="U16" s="93">
        <f>SUM('31:13'!U16)</f>
        <v>0</v>
      </c>
      <c r="V16" s="205">
        <f t="shared" si="2"/>
        <v>0</v>
      </c>
      <c r="W16" s="33">
        <f t="shared" si="3"/>
        <v>0</v>
      </c>
      <c r="X16" s="93">
        <f>SUM('31:13'!X16)</f>
        <v>0</v>
      </c>
      <c r="Y16" s="93">
        <f>SUM('31:13'!Y16)</f>
        <v>0</v>
      </c>
      <c r="Z16" s="93">
        <f>SUM('31:13'!Z16)</f>
        <v>0</v>
      </c>
      <c r="AA16" s="93">
        <f>SUM('31:13'!AA16)</f>
        <v>0</v>
      </c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>
      <c r="A17" s="302">
        <v>30100063</v>
      </c>
      <c r="B17" s="192" t="s">
        <v>484</v>
      </c>
      <c r="C17" s="16" t="s">
        <v>172</v>
      </c>
      <c r="D17" s="17"/>
      <c r="E17" s="17"/>
      <c r="F17" s="6"/>
      <c r="G17" s="93">
        <f>SUM('31:13'!G17)</f>
        <v>0</v>
      </c>
      <c r="H17" s="95">
        <f t="shared" si="0"/>
        <v>0</v>
      </c>
      <c r="I17" s="93">
        <f>SUM('31:13'!I17)</f>
        <v>0</v>
      </c>
      <c r="J17" s="31" t="str">
        <f t="array" ref="J17">IF(ISERROR(G17/I17),"",G17/I17)</f>
        <v/>
      </c>
      <c r="K17" s="35">
        <f t="array" ref="K17">IF(ISERROR(G17/L17),"",G17/L17)</f>
        <v>0</v>
      </c>
      <c r="L17" s="87">
        <v>17</v>
      </c>
      <c r="M17" s="36">
        <f>IF(ISERROR(I17-K17),"",I17-K17)</f>
        <v>0</v>
      </c>
      <c r="N17" s="93">
        <f>SUM('31:13'!N17)</f>
        <v>0</v>
      </c>
      <c r="O17" s="93">
        <f>SUM('31:13'!O17)</f>
        <v>0</v>
      </c>
      <c r="P17" s="93">
        <f>SUM('31:13'!P17)</f>
        <v>0</v>
      </c>
      <c r="Q17" s="93">
        <f>SUM('31:13'!Q17)</f>
        <v>0</v>
      </c>
      <c r="R17" s="93">
        <f>SUM('31:13'!R17)</f>
        <v>0</v>
      </c>
      <c r="S17" s="93">
        <f>SUM('31:13'!S17)</f>
        <v>0</v>
      </c>
      <c r="T17" s="93">
        <f>SUM('31:13'!T17)</f>
        <v>0</v>
      </c>
      <c r="U17" s="93">
        <f>SUM('31:13'!U17)</f>
        <v>0</v>
      </c>
      <c r="V17" s="205">
        <f t="shared" si="2"/>
        <v>0</v>
      </c>
      <c r="W17" s="33" t="str">
        <f>IF(ISERROR(V17/G17),"",V17/G17)</f>
        <v/>
      </c>
      <c r="X17" s="93">
        <f>SUM('31:13'!X17)</f>
        <v>0</v>
      </c>
      <c r="Y17" s="93">
        <f>SUM('31:13'!Y17)</f>
        <v>0</v>
      </c>
      <c r="Z17" s="93">
        <f>SUM('31:13'!Z17)</f>
        <v>0</v>
      </c>
      <c r="AA17" s="93">
        <f>SUM('31:13'!AA17)</f>
        <v>0</v>
      </c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>
      <c r="A18" s="302">
        <v>30100061</v>
      </c>
      <c r="B18" s="62" t="s">
        <v>171</v>
      </c>
      <c r="C18" s="16" t="s">
        <v>173</v>
      </c>
      <c r="D18" s="17"/>
      <c r="E18" s="17"/>
      <c r="F18" s="6"/>
      <c r="G18" s="93">
        <f>SUM('31:13'!G18)</f>
        <v>119</v>
      </c>
      <c r="H18" s="95">
        <f t="shared" si="0"/>
        <v>0</v>
      </c>
      <c r="I18" s="93">
        <f>SUM('31:13'!I18)</f>
        <v>7.5</v>
      </c>
      <c r="J18" s="31">
        <f t="array" ref="J18">IF(ISERROR(G18/I18),"",G18/I18)</f>
        <v>15.866666666666667</v>
      </c>
      <c r="K18" s="35">
        <f t="array" ref="K18">IF(ISERROR(G18/L18),"",G18/L18)</f>
        <v>7</v>
      </c>
      <c r="L18" s="87">
        <v>17</v>
      </c>
      <c r="M18" s="36">
        <f>IF(ISERROR(I18-K18),"",I18-K18)</f>
        <v>0.5</v>
      </c>
      <c r="N18" s="93">
        <f>SUM('31:13'!N18)</f>
        <v>0</v>
      </c>
      <c r="O18" s="93">
        <f>SUM('31:13'!O18)</f>
        <v>0</v>
      </c>
      <c r="P18" s="93">
        <f>SUM('31:13'!P18)</f>
        <v>0</v>
      </c>
      <c r="Q18" s="93">
        <f>SUM('31:13'!Q18)</f>
        <v>0</v>
      </c>
      <c r="R18" s="93">
        <f>SUM('31:13'!R18)</f>
        <v>0</v>
      </c>
      <c r="S18" s="93">
        <f>SUM('31:13'!S18)</f>
        <v>0</v>
      </c>
      <c r="T18" s="93">
        <f>SUM('31:13'!T18)</f>
        <v>0</v>
      </c>
      <c r="U18" s="93">
        <f>SUM('31:13'!U18)</f>
        <v>0</v>
      </c>
      <c r="V18" s="205">
        <f t="shared" si="2"/>
        <v>0</v>
      </c>
      <c r="W18" s="33">
        <f>IF(ISERROR(V18/G18),"",V18/G18)</f>
        <v>0</v>
      </c>
      <c r="X18" s="93">
        <f>SUM('31:13'!X18)</f>
        <v>0</v>
      </c>
      <c r="Y18" s="93">
        <f>SUM('31:13'!Y18)</f>
        <v>0</v>
      </c>
      <c r="Z18" s="93">
        <f>SUM('31:13'!Z18)</f>
        <v>0</v>
      </c>
      <c r="AA18" s="93">
        <f>SUM('31:13'!AA18)</f>
        <v>0</v>
      </c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>
      <c r="A19" s="300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93">
        <f>SUM('31:13'!G19)</f>
        <v>2061</v>
      </c>
      <c r="H19" s="95">
        <f t="shared" si="0"/>
        <v>10428.66</v>
      </c>
      <c r="I19" s="93">
        <f>SUM('31:13'!I19)</f>
        <v>122.5</v>
      </c>
      <c r="J19" s="31">
        <f t="array" ref="J19">IF(ISERROR(G19/I19),"",G19/I19)</f>
        <v>16.824489795918367</v>
      </c>
      <c r="K19" s="35">
        <f t="array" ref="K19">IF(ISERROR(G19/L19),"",G19/L19)</f>
        <v>108.47368421052632</v>
      </c>
      <c r="L19" s="87">
        <v>19</v>
      </c>
      <c r="M19" s="36">
        <f t="shared" ref="M19:M21" si="4">IF(ISERROR(I19-K19),"",I19-K19)</f>
        <v>14.026315789473685</v>
      </c>
      <c r="N19" s="93">
        <f>SUM('31:13'!N19)</f>
        <v>0</v>
      </c>
      <c r="O19" s="93">
        <f>SUM('31:13'!O19)</f>
        <v>0</v>
      </c>
      <c r="P19" s="93">
        <f>SUM('31:13'!P19)</f>
        <v>0</v>
      </c>
      <c r="Q19" s="93">
        <f>SUM('31:13'!Q19)</f>
        <v>0</v>
      </c>
      <c r="R19" s="93">
        <f>SUM('31:13'!R19)</f>
        <v>0</v>
      </c>
      <c r="S19" s="93">
        <f>SUM('31:13'!S19)</f>
        <v>0</v>
      </c>
      <c r="T19" s="93">
        <f>SUM('31:13'!T19)</f>
        <v>0</v>
      </c>
      <c r="U19" s="93">
        <f>SUM('31:13'!U19)</f>
        <v>0</v>
      </c>
      <c r="V19" s="205">
        <f t="shared" si="2"/>
        <v>0</v>
      </c>
      <c r="W19" s="33">
        <f t="shared" ref="W19:W21" si="5">IF(ISERROR(V19/G19),"",V19/G19)</f>
        <v>0</v>
      </c>
      <c r="X19" s="93">
        <f>SUM('31:13'!X19)</f>
        <v>0</v>
      </c>
      <c r="Y19" s="93">
        <f>SUM('31:13'!Y19)</f>
        <v>0</v>
      </c>
      <c r="Z19" s="93">
        <f>SUM('31:13'!Z19)</f>
        <v>0</v>
      </c>
      <c r="AA19" s="93">
        <f>SUM('31:13'!AA19)</f>
        <v>0</v>
      </c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>
      <c r="A20" s="300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93">
        <f>SUM('31:13'!G20)</f>
        <v>4111</v>
      </c>
      <c r="H20" s="95">
        <f t="shared" si="0"/>
        <v>20924.989999999998</v>
      </c>
      <c r="I20" s="93">
        <f>SUM('31:13'!I20)</f>
        <v>220</v>
      </c>
      <c r="J20" s="31">
        <f t="array" ref="J20">IF(ISERROR(G20/I20),"",G20/I20)</f>
        <v>18.686363636363637</v>
      </c>
      <c r="K20" s="35">
        <f t="array" ref="K20">IF(ISERROR(G20/L20),"",G20/L20)</f>
        <v>178.7391304347826</v>
      </c>
      <c r="L20" s="87">
        <v>23</v>
      </c>
      <c r="M20" s="36">
        <f t="shared" si="4"/>
        <v>41.260869565217405</v>
      </c>
      <c r="N20" s="93">
        <f>SUM('31:13'!N20)</f>
        <v>0</v>
      </c>
      <c r="O20" s="93">
        <f>SUM('31:13'!O20)</f>
        <v>0</v>
      </c>
      <c r="P20" s="93">
        <f>SUM('31:13'!P20)</f>
        <v>0</v>
      </c>
      <c r="Q20" s="93">
        <f>SUM('31:13'!Q20)</f>
        <v>0</v>
      </c>
      <c r="R20" s="93">
        <f>SUM('31:13'!R20)</f>
        <v>0</v>
      </c>
      <c r="S20" s="93">
        <f>SUM('31:13'!S20)</f>
        <v>0</v>
      </c>
      <c r="T20" s="93">
        <f>SUM('31:13'!T20)</f>
        <v>0</v>
      </c>
      <c r="U20" s="93">
        <f>SUM('31:13'!U20)</f>
        <v>0</v>
      </c>
      <c r="V20" s="205">
        <f t="shared" si="2"/>
        <v>0</v>
      </c>
      <c r="W20" s="33">
        <f t="shared" si="5"/>
        <v>0</v>
      </c>
      <c r="X20" s="93">
        <f>SUM('31:13'!X20)</f>
        <v>0</v>
      </c>
      <c r="Y20" s="93">
        <f>SUM('31:13'!Y20)</f>
        <v>0</v>
      </c>
      <c r="Z20" s="93">
        <f>SUM('31:13'!Z20)</f>
        <v>0</v>
      </c>
      <c r="AA20" s="93">
        <f>SUM('31:13'!AA20)</f>
        <v>0</v>
      </c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>
      <c r="A21" s="300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93">
        <f>SUM('31:13'!G21)</f>
        <v>1190</v>
      </c>
      <c r="H21" s="95">
        <f t="shared" si="0"/>
        <v>6057.0999999999995</v>
      </c>
      <c r="I21" s="93">
        <f>SUM('31:13'!I21)</f>
        <v>72.5</v>
      </c>
      <c r="J21" s="31">
        <f t="array" ref="J21">IF(ISERROR(G21/I21),"",G21/I21)</f>
        <v>16.413793103448278</v>
      </c>
      <c r="K21" s="35">
        <f t="array" ref="K21">IF(ISERROR(G21/L21),"",G21/L21)</f>
        <v>51.739130434782609</v>
      </c>
      <c r="L21" s="87">
        <v>23</v>
      </c>
      <c r="M21" s="36">
        <f t="shared" si="4"/>
        <v>20.760869565217391</v>
      </c>
      <c r="N21" s="93">
        <f>SUM('31:13'!N21)</f>
        <v>0</v>
      </c>
      <c r="O21" s="93">
        <f>SUM('31:13'!O21)</f>
        <v>0</v>
      </c>
      <c r="P21" s="93">
        <f>SUM('31:13'!P21)</f>
        <v>0</v>
      </c>
      <c r="Q21" s="93">
        <f>SUM('31:13'!Q21)</f>
        <v>0</v>
      </c>
      <c r="R21" s="93">
        <f>SUM('31:13'!R21)</f>
        <v>0</v>
      </c>
      <c r="S21" s="93">
        <f>SUM('31:13'!S21)</f>
        <v>0</v>
      </c>
      <c r="T21" s="93">
        <f>SUM('31:13'!T21)</f>
        <v>0</v>
      </c>
      <c r="U21" s="93">
        <f>SUM('31:13'!U21)</f>
        <v>0</v>
      </c>
      <c r="V21" s="205">
        <f t="shared" si="2"/>
        <v>0</v>
      </c>
      <c r="W21" s="33">
        <f t="shared" si="5"/>
        <v>0</v>
      </c>
      <c r="X21" s="93">
        <f>SUM('31:13'!X21)</f>
        <v>0</v>
      </c>
      <c r="Y21" s="93">
        <f>SUM('31:13'!Y21)</f>
        <v>0</v>
      </c>
      <c r="Z21" s="93">
        <f>SUM('31:13'!Z21)</f>
        <v>0</v>
      </c>
      <c r="AA21" s="93">
        <f>SUM('31:13'!AA21)</f>
        <v>0</v>
      </c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>
      <c r="A22" s="300">
        <v>30100003</v>
      </c>
      <c r="B22" s="64" t="s">
        <v>161</v>
      </c>
      <c r="C22" s="335" t="s">
        <v>64</v>
      </c>
      <c r="D22" s="17">
        <v>4.8</v>
      </c>
      <c r="E22" s="17"/>
      <c r="F22" s="6"/>
      <c r="G22" s="93">
        <f>SUM('31:13'!G22)</f>
        <v>0</v>
      </c>
      <c r="H22" s="95">
        <f t="shared" si="0"/>
        <v>0</v>
      </c>
      <c r="I22" s="93">
        <f>SUM('31:13'!I22)</f>
        <v>0</v>
      </c>
      <c r="J22" s="31"/>
      <c r="K22" s="35">
        <f t="array" ref="K22">IF(ISERROR(G22/L22),"",G22/L22)</f>
        <v>0</v>
      </c>
      <c r="L22" s="87">
        <v>4</v>
      </c>
      <c r="M22" s="36">
        <f>IF(ISERROR(I22-K22),"",I22-K22)</f>
        <v>0</v>
      </c>
      <c r="N22" s="93">
        <f>SUM('31:13'!N22)</f>
        <v>0</v>
      </c>
      <c r="O22" s="93">
        <f>SUM('31:13'!O22)</f>
        <v>0</v>
      </c>
      <c r="P22" s="93">
        <f>SUM('31:13'!P22)</f>
        <v>0</v>
      </c>
      <c r="Q22" s="93">
        <f>SUM('31:13'!Q22)</f>
        <v>0</v>
      </c>
      <c r="R22" s="93">
        <f>SUM('31:13'!R22)</f>
        <v>0</v>
      </c>
      <c r="S22" s="93">
        <f>SUM('31:13'!S22)</f>
        <v>0</v>
      </c>
      <c r="T22" s="93">
        <f>SUM('31:13'!T22)</f>
        <v>0</v>
      </c>
      <c r="U22" s="93">
        <f>SUM('31:13'!U22)</f>
        <v>0</v>
      </c>
      <c r="V22" s="205">
        <f t="shared" si="2"/>
        <v>0</v>
      </c>
      <c r="W22" s="33"/>
      <c r="X22" s="93">
        <f>SUM('31:13'!X22)</f>
        <v>0</v>
      </c>
      <c r="Y22" s="93">
        <f>SUM('31:13'!Y22)</f>
        <v>0</v>
      </c>
      <c r="Z22" s="93">
        <f>SUM('31:13'!Z22)</f>
        <v>0</v>
      </c>
      <c r="AA22" s="93">
        <f>SUM('31:13'!AA22)</f>
        <v>0</v>
      </c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>
      <c r="A23" s="300">
        <v>30100004</v>
      </c>
      <c r="B23" s="64" t="s">
        <v>161</v>
      </c>
      <c r="C23" s="335" t="s">
        <v>61</v>
      </c>
      <c r="D23" s="17">
        <v>4.8</v>
      </c>
      <c r="E23" s="17"/>
      <c r="F23" s="6"/>
      <c r="G23" s="93">
        <f>SUM('31:13'!G23)</f>
        <v>0</v>
      </c>
      <c r="H23" s="95">
        <f t="shared" si="0"/>
        <v>0</v>
      </c>
      <c r="I23" s="93">
        <f>SUM('31:13'!I23)</f>
        <v>0</v>
      </c>
      <c r="J23" s="31"/>
      <c r="K23" s="35">
        <f t="array" ref="K23">IF(ISERROR(G23/L23),"",G23/L23)</f>
        <v>0</v>
      </c>
      <c r="L23" s="87">
        <v>4</v>
      </c>
      <c r="M23" s="36">
        <f>IF(ISERROR(I23-K23),"",I23-K23)</f>
        <v>0</v>
      </c>
      <c r="N23" s="93">
        <f>SUM('31:13'!N23)</f>
        <v>0</v>
      </c>
      <c r="O23" s="93">
        <f>SUM('31:13'!O23)</f>
        <v>0</v>
      </c>
      <c r="P23" s="93">
        <f>SUM('31:13'!P23)</f>
        <v>0</v>
      </c>
      <c r="Q23" s="93">
        <f>SUM('31:13'!Q23)</f>
        <v>0</v>
      </c>
      <c r="R23" s="93">
        <f>SUM('31:13'!R23)</f>
        <v>0</v>
      </c>
      <c r="S23" s="93">
        <f>SUM('31:13'!S23)</f>
        <v>0</v>
      </c>
      <c r="T23" s="93">
        <f>SUM('31:13'!T23)</f>
        <v>0</v>
      </c>
      <c r="U23" s="93">
        <f>SUM('31:13'!U23)</f>
        <v>0</v>
      </c>
      <c r="V23" s="205">
        <f t="shared" si="2"/>
        <v>0</v>
      </c>
      <c r="W23" s="33"/>
      <c r="X23" s="93">
        <f>SUM('31:13'!X23)</f>
        <v>0</v>
      </c>
      <c r="Y23" s="93">
        <f>SUM('31:13'!Y23)</f>
        <v>0</v>
      </c>
      <c r="Z23" s="93">
        <f>SUM('31:13'!Z23)</f>
        <v>0</v>
      </c>
      <c r="AA23" s="93">
        <f>SUM('31:13'!AA23)</f>
        <v>0</v>
      </c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>
      <c r="A24" s="300">
        <v>30100006</v>
      </c>
      <c r="B24" s="64" t="s">
        <v>161</v>
      </c>
      <c r="C24" s="335" t="s">
        <v>53</v>
      </c>
      <c r="D24" s="17">
        <v>4.8</v>
      </c>
      <c r="E24" s="17"/>
      <c r="F24" s="6"/>
      <c r="G24" s="93">
        <f>SUM('31:13'!G24)</f>
        <v>0</v>
      </c>
      <c r="H24" s="95">
        <f t="shared" si="0"/>
        <v>0</v>
      </c>
      <c r="I24" s="93">
        <f>SUM('31:13'!I24)</f>
        <v>0</v>
      </c>
      <c r="J24" s="31"/>
      <c r="K24" s="35">
        <f t="array" ref="K24">IF(ISERROR(G24/L24),"",G24/L24)</f>
        <v>0</v>
      </c>
      <c r="L24" s="87">
        <v>4</v>
      </c>
      <c r="M24" s="36">
        <f>IF(ISERROR(I24-K24),"",I24-K24)</f>
        <v>0</v>
      </c>
      <c r="N24" s="93">
        <f>SUM('31:13'!N24)</f>
        <v>0</v>
      </c>
      <c r="O24" s="93">
        <f>SUM('31:13'!O24)</f>
        <v>0</v>
      </c>
      <c r="P24" s="93">
        <f>SUM('31:13'!P24)</f>
        <v>0</v>
      </c>
      <c r="Q24" s="93">
        <f>SUM('31:13'!Q24)</f>
        <v>0</v>
      </c>
      <c r="R24" s="93">
        <f>SUM('31:13'!R24)</f>
        <v>0</v>
      </c>
      <c r="S24" s="93">
        <f>SUM('31:13'!S24)</f>
        <v>0</v>
      </c>
      <c r="T24" s="93">
        <f>SUM('31:13'!T24)</f>
        <v>0</v>
      </c>
      <c r="U24" s="93">
        <f>SUM('31:13'!U24)</f>
        <v>0</v>
      </c>
      <c r="V24" s="205">
        <f t="shared" si="2"/>
        <v>0</v>
      </c>
      <c r="W24" s="33"/>
      <c r="X24" s="93">
        <f>SUM('31:13'!X24)</f>
        <v>0</v>
      </c>
      <c r="Y24" s="93">
        <f>SUM('31:13'!Y24)</f>
        <v>0</v>
      </c>
      <c r="Z24" s="93">
        <f>SUM('31:13'!Z24)</f>
        <v>0</v>
      </c>
      <c r="AA24" s="93">
        <f>SUM('31:13'!AA24)</f>
        <v>0</v>
      </c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>
      <c r="A25" s="300">
        <v>30100005</v>
      </c>
      <c r="B25" s="64" t="s">
        <v>161</v>
      </c>
      <c r="C25" s="335" t="s">
        <v>73</v>
      </c>
      <c r="D25" s="17">
        <v>4.8</v>
      </c>
      <c r="E25" s="17"/>
      <c r="F25" s="6"/>
      <c r="G25" s="93">
        <f>SUM('31:13'!G25)</f>
        <v>0</v>
      </c>
      <c r="H25" s="95">
        <f>D25*G25</f>
        <v>0</v>
      </c>
      <c r="I25" s="93">
        <f>SUM('31:13'!I25)</f>
        <v>0</v>
      </c>
      <c r="J25" s="31"/>
      <c r="K25" s="35">
        <f t="array" ref="K25">IF(ISERROR(G25/L25),"",G25/L25)</f>
        <v>0</v>
      </c>
      <c r="L25" s="87">
        <v>4</v>
      </c>
      <c r="M25" s="36">
        <f>IF(ISERROR(I25-K25),"",I25-K25)</f>
        <v>0</v>
      </c>
      <c r="N25" s="93">
        <f>SUM('31:13'!N25)</f>
        <v>0</v>
      </c>
      <c r="O25" s="93">
        <f>SUM('31:13'!O25)</f>
        <v>0</v>
      </c>
      <c r="P25" s="93">
        <f>SUM('31:13'!P25)</f>
        <v>0</v>
      </c>
      <c r="Q25" s="93">
        <f>SUM('31:13'!Q25)</f>
        <v>0</v>
      </c>
      <c r="R25" s="93">
        <f>SUM('31:13'!R25)</f>
        <v>0</v>
      </c>
      <c r="S25" s="93">
        <f>SUM('31:13'!S25)</f>
        <v>0</v>
      </c>
      <c r="T25" s="93">
        <f>SUM('31:13'!T25)</f>
        <v>0</v>
      </c>
      <c r="U25" s="93">
        <f>SUM('31:13'!U25)</f>
        <v>0</v>
      </c>
      <c r="V25" s="205">
        <f t="shared" si="2"/>
        <v>0</v>
      </c>
      <c r="W25" s="33"/>
      <c r="X25" s="93">
        <f>SUM('31:13'!X25)</f>
        <v>0</v>
      </c>
      <c r="Y25" s="93">
        <f>SUM('31:13'!Y25)</f>
        <v>0</v>
      </c>
      <c r="Z25" s="93">
        <f>SUM('31:13'!Z25)</f>
        <v>0</v>
      </c>
      <c r="AA25" s="93">
        <f>SUM('31:13'!AA25)</f>
        <v>0</v>
      </c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>
      <c r="A26" s="300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93">
        <f>SUM('31:13'!G26)</f>
        <v>0</v>
      </c>
      <c r="H26" s="95">
        <f t="shared" ref="H26:H27" si="6">D26*G26</f>
        <v>0</v>
      </c>
      <c r="I26" s="93">
        <f>SUM('31:13'!I26)</f>
        <v>0</v>
      </c>
      <c r="J26" s="31" t="str">
        <f t="array" ref="J26">IF(ISERROR(G26/I26),"",G26/I26)</f>
        <v/>
      </c>
      <c r="K26" s="35">
        <f t="array" ref="K26">IF(ISERROR(G26/L26),"",G26/L26)</f>
        <v>0</v>
      </c>
      <c r="L26" s="87">
        <v>23.5</v>
      </c>
      <c r="M26" s="36">
        <f t="shared" ref="M26:M27" si="7">IF(ISERROR(I26-K26),"",I26-K26)</f>
        <v>0</v>
      </c>
      <c r="N26" s="93">
        <f>SUM('31:13'!N26)</f>
        <v>0</v>
      </c>
      <c r="O26" s="93">
        <f>SUM('31:13'!O26)</f>
        <v>0</v>
      </c>
      <c r="P26" s="93">
        <f>SUM('31:13'!P26)</f>
        <v>0</v>
      </c>
      <c r="Q26" s="93">
        <f>SUM('31:13'!Q26)</f>
        <v>0</v>
      </c>
      <c r="R26" s="93">
        <f>SUM('31:13'!R26)</f>
        <v>0</v>
      </c>
      <c r="S26" s="93">
        <f>SUM('31:13'!S26)</f>
        <v>0</v>
      </c>
      <c r="T26" s="93">
        <f>SUM('31:13'!T26)</f>
        <v>0</v>
      </c>
      <c r="U26" s="93">
        <f>SUM('31:13'!U26)</f>
        <v>0</v>
      </c>
      <c r="V26" s="205">
        <f t="shared" si="2"/>
        <v>0</v>
      </c>
      <c r="W26" s="33" t="str">
        <f t="shared" ref="W26:W27" si="8">IF(ISERROR(V26/G26),"",V26/G26)</f>
        <v/>
      </c>
      <c r="X26" s="93">
        <f>SUM('31:13'!X26)</f>
        <v>0</v>
      </c>
      <c r="Y26" s="93">
        <f>SUM('31:13'!Y26)</f>
        <v>0</v>
      </c>
      <c r="Z26" s="93">
        <f>SUM('31:13'!Z26)</f>
        <v>0</v>
      </c>
      <c r="AA26" s="93">
        <f>SUM('31:13'!AA26)</f>
        <v>0</v>
      </c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>
      <c r="A27" s="299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93">
        <f>SUM('31:13'!G27)</f>
        <v>429</v>
      </c>
      <c r="H27" s="95">
        <f t="shared" si="6"/>
        <v>2140.71</v>
      </c>
      <c r="I27" s="93">
        <f>SUM('31:13'!I27)</f>
        <v>17.5</v>
      </c>
      <c r="J27" s="31">
        <f t="array" ref="J27">IF(ISERROR(G27/I27),"",G27/I27)</f>
        <v>24.514285714285716</v>
      </c>
      <c r="K27" s="35">
        <f t="array" ref="K27">IF(ISERROR(G27/L27),"",G27/L27)</f>
        <v>18.25531914893617</v>
      </c>
      <c r="L27" s="87">
        <v>23.5</v>
      </c>
      <c r="M27" s="36">
        <f t="shared" si="7"/>
        <v>-0.75531914893617014</v>
      </c>
      <c r="N27" s="93">
        <f>SUM('31:13'!N27)</f>
        <v>0</v>
      </c>
      <c r="O27" s="93">
        <f>SUM('31:13'!O27)</f>
        <v>0</v>
      </c>
      <c r="P27" s="93">
        <f>SUM('31:13'!P27)</f>
        <v>0</v>
      </c>
      <c r="Q27" s="93">
        <f>SUM('31:13'!Q27)</f>
        <v>0</v>
      </c>
      <c r="R27" s="93">
        <f>SUM('31:13'!R27)</f>
        <v>0</v>
      </c>
      <c r="S27" s="93">
        <f>SUM('31:13'!S27)</f>
        <v>0</v>
      </c>
      <c r="T27" s="93">
        <f>SUM('31:13'!T27)</f>
        <v>0</v>
      </c>
      <c r="U27" s="93">
        <f>SUM('31:13'!U27)</f>
        <v>0</v>
      </c>
      <c r="V27" s="205">
        <f t="shared" si="2"/>
        <v>0</v>
      </c>
      <c r="W27" s="33">
        <f t="shared" si="8"/>
        <v>0</v>
      </c>
      <c r="X27" s="93">
        <f>SUM('31:13'!X27)</f>
        <v>0</v>
      </c>
      <c r="Y27" s="93">
        <f>SUM('31:13'!Y27)</f>
        <v>0</v>
      </c>
      <c r="Z27" s="93">
        <f>SUM('31:13'!Z27)</f>
        <v>0</v>
      </c>
      <c r="AA27" s="93">
        <f>SUM('31:13'!AA27)</f>
        <v>0</v>
      </c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>
      <c r="A28" s="697" t="s">
        <v>70</v>
      </c>
      <c r="B28" s="698"/>
      <c r="C28" s="31" t="s">
        <v>71</v>
      </c>
      <c r="D28" s="30"/>
      <c r="E28" s="30"/>
      <c r="F28" s="30"/>
      <c r="G28" s="94">
        <f>SUM(G7:G27)</f>
        <v>16131</v>
      </c>
      <c r="H28" s="30">
        <f>SUM(H7:H27)</f>
        <v>80950.17</v>
      </c>
      <c r="I28" s="30">
        <f>SUM(I7:I27)</f>
        <v>970</v>
      </c>
      <c r="J28" s="31">
        <f t="array" ref="J28">IF(ISERROR(G28/I28),"",G28/I28)</f>
        <v>16.629896907216494</v>
      </c>
      <c r="K28" s="30">
        <f>SUM(K7:K27)</f>
        <v>901.90478744884206</v>
      </c>
      <c r="L28" s="98"/>
      <c r="M28" s="89">
        <f t="shared" ref="M28:AA28" si="9">SUM(M7:M27)</f>
        <v>68.09521255115807</v>
      </c>
      <c r="N28" s="30">
        <f t="shared" si="9"/>
        <v>0</v>
      </c>
      <c r="O28" s="34">
        <f t="shared" si="9"/>
        <v>0</v>
      </c>
      <c r="P28" s="34">
        <f t="shared" si="9"/>
        <v>0</v>
      </c>
      <c r="Q28" s="34">
        <f t="shared" si="9"/>
        <v>0</v>
      </c>
      <c r="R28" s="34">
        <f t="shared" si="9"/>
        <v>0</v>
      </c>
      <c r="S28" s="34">
        <f t="shared" si="9"/>
        <v>0</v>
      </c>
      <c r="T28" s="34">
        <f t="shared" si="9"/>
        <v>0</v>
      </c>
      <c r="U28" s="34">
        <f t="shared" si="9"/>
        <v>0</v>
      </c>
      <c r="V28" s="206">
        <f t="shared" si="9"/>
        <v>0</v>
      </c>
      <c r="W28" s="33">
        <f t="shared" si="9"/>
        <v>0</v>
      </c>
      <c r="X28" s="92">
        <f t="shared" si="9"/>
        <v>0</v>
      </c>
      <c r="Y28" s="92">
        <f t="shared" si="9"/>
        <v>0</v>
      </c>
      <c r="Z28" s="92">
        <f t="shared" si="9"/>
        <v>0</v>
      </c>
      <c r="AA28" s="92">
        <f t="shared" si="9"/>
        <v>0</v>
      </c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</row>
    <row r="29" spans="1:106" ht="17.25" customHeight="1">
      <c r="A29" s="300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93">
        <f>SUM('31:13'!G29)</f>
        <v>1260</v>
      </c>
      <c r="H29" s="339">
        <f t="shared" ref="H29:H85" si="10">D29*G29</f>
        <v>6337.8</v>
      </c>
      <c r="I29" s="93">
        <f>SUM('31:13'!I29)</f>
        <v>13</v>
      </c>
      <c r="J29" s="31">
        <f t="array" ref="J29">IF(ISERROR(G29/I29),"",G29/I29)</f>
        <v>96.92307692307692</v>
      </c>
      <c r="K29" s="35">
        <f t="array" ref="K29">IF(ISERROR(G29/L29),"",G29/L29)</f>
        <v>24.23076923076923</v>
      </c>
      <c r="L29" s="87">
        <v>52</v>
      </c>
      <c r="M29" s="36">
        <f t="shared" ref="M29" si="11">IF(ISERROR(I29-K29),"",I29-K29)</f>
        <v>-11.23076923076923</v>
      </c>
      <c r="N29" s="93">
        <f>SUM('31:13'!N29)</f>
        <v>0</v>
      </c>
      <c r="O29" s="93">
        <f>SUM('31:13'!O29)</f>
        <v>0</v>
      </c>
      <c r="P29" s="93">
        <f>SUM('31:13'!P29)</f>
        <v>0</v>
      </c>
      <c r="Q29" s="93">
        <f>SUM('31:13'!Q29)</f>
        <v>0</v>
      </c>
      <c r="R29" s="93">
        <f>SUM('31:13'!R29)</f>
        <v>0</v>
      </c>
      <c r="S29" s="93">
        <f>SUM('31:13'!S29)</f>
        <v>0</v>
      </c>
      <c r="T29" s="93">
        <f>SUM('31:13'!T29)</f>
        <v>0</v>
      </c>
      <c r="U29" s="93">
        <f>SUM('31:13'!U29)</f>
        <v>0</v>
      </c>
      <c r="V29" s="206">
        <f t="shared" ref="V29" si="12">SUM(X29:AA29)</f>
        <v>0</v>
      </c>
      <c r="W29" s="33">
        <f t="shared" ref="W29" si="13">IF(ISERROR(V29/G29),"",V29/G29)</f>
        <v>0</v>
      </c>
      <c r="X29" s="93">
        <f>SUM('31:13'!X29)</f>
        <v>0</v>
      </c>
      <c r="Y29" s="93">
        <f>SUM('31:13'!Y29)</f>
        <v>0</v>
      </c>
      <c r="Z29" s="93">
        <f>SUM('31:13'!Z29)</f>
        <v>0</v>
      </c>
      <c r="AA29" s="93">
        <f>SUM('31:13'!AA29)</f>
        <v>0</v>
      </c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300">
        <v>30100011</v>
      </c>
      <c r="B30" s="190" t="s">
        <v>470</v>
      </c>
      <c r="C30" s="187" t="s">
        <v>427</v>
      </c>
      <c r="D30" s="17">
        <v>5.03</v>
      </c>
      <c r="E30" s="17"/>
      <c r="F30" s="6"/>
      <c r="G30" s="93">
        <f>SUM('31:13'!G30)</f>
        <v>1379</v>
      </c>
      <c r="H30" s="339">
        <f t="shared" si="10"/>
        <v>6936.37</v>
      </c>
      <c r="I30" s="93">
        <f>SUM('31:13'!I30)</f>
        <v>13</v>
      </c>
      <c r="J30" s="31"/>
      <c r="K30" s="35">
        <f t="array" ref="K30">IF(ISERROR(G30/L30),"",G30/L30)</f>
        <v>26.51923076923077</v>
      </c>
      <c r="L30" s="87">
        <v>52</v>
      </c>
      <c r="M30" s="36"/>
      <c r="N30" s="93"/>
      <c r="O30" s="93"/>
      <c r="P30" s="93"/>
      <c r="Q30" s="93"/>
      <c r="R30" s="93"/>
      <c r="S30" s="93"/>
      <c r="T30" s="93"/>
      <c r="U30" s="93"/>
      <c r="V30" s="206"/>
      <c r="W30" s="33"/>
      <c r="X30" s="93"/>
      <c r="Y30" s="93"/>
      <c r="Z30" s="93"/>
      <c r="AA30" s="93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>
      <c r="A31" s="300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93">
        <f>SUM('31:13'!G31)</f>
        <v>2087</v>
      </c>
      <c r="H31" s="339">
        <f t="shared" si="10"/>
        <v>10497.61</v>
      </c>
      <c r="I31" s="93">
        <f>SUM('31:13'!I31)</f>
        <v>28.5</v>
      </c>
      <c r="J31" s="31">
        <f t="array" ref="J31">IF(ISERROR(G31/I31),"",G31/I31)</f>
        <v>73.228070175438603</v>
      </c>
      <c r="K31" s="35">
        <f t="array" ref="K31">IF(ISERROR(G31/L31),"",G31/L31)</f>
        <v>40.134615384615387</v>
      </c>
      <c r="L31" s="87">
        <v>52</v>
      </c>
      <c r="M31" s="36">
        <f t="shared" ref="M31:M33" si="14">IF(ISERROR(I31-K31),"",I31-K31)</f>
        <v>-11.634615384615387</v>
      </c>
      <c r="N31" s="93">
        <f>SUM('31:13'!N31)</f>
        <v>0</v>
      </c>
      <c r="O31" s="93">
        <f>SUM('31:13'!O31)</f>
        <v>0</v>
      </c>
      <c r="P31" s="93">
        <f>SUM('31:13'!P31)</f>
        <v>0</v>
      </c>
      <c r="Q31" s="93">
        <f>SUM('31:13'!Q31)</f>
        <v>0</v>
      </c>
      <c r="R31" s="93">
        <f>SUM('31:13'!R31)</f>
        <v>0</v>
      </c>
      <c r="S31" s="93">
        <f>SUM('31:13'!S31)</f>
        <v>0</v>
      </c>
      <c r="T31" s="93">
        <f>SUM('31:13'!T31)</f>
        <v>0</v>
      </c>
      <c r="U31" s="93">
        <f>SUM('31:13'!U31)</f>
        <v>0</v>
      </c>
      <c r="V31" s="206">
        <f t="shared" ref="V31:V33" si="15">SUM(X31:AA31)</f>
        <v>0</v>
      </c>
      <c r="W31" s="33">
        <f t="shared" ref="W31:W33" si="16">IF(ISERROR(V31/G31),"",V31/G31)</f>
        <v>0</v>
      </c>
      <c r="X31" s="93">
        <f>SUM('31:13'!X31)</f>
        <v>0</v>
      </c>
      <c r="Y31" s="93">
        <f>SUM('31:13'!Y31)</f>
        <v>0</v>
      </c>
      <c r="Z31" s="93">
        <f>SUM('31:13'!Z31)</f>
        <v>0</v>
      </c>
      <c r="AA31" s="93">
        <f>SUM('31:13'!AA31)</f>
        <v>0</v>
      </c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>
      <c r="A32" s="300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93">
        <f>SUM('31:13'!G32)</f>
        <v>2198</v>
      </c>
      <c r="H32" s="339">
        <f t="shared" si="10"/>
        <v>11055.94</v>
      </c>
      <c r="I32" s="93">
        <f>SUM('31:13'!I32)</f>
        <v>31</v>
      </c>
      <c r="J32" s="31">
        <f t="array" ref="J32">IF(ISERROR(G32/I32),"",G32/I32)</f>
        <v>70.903225806451616</v>
      </c>
      <c r="K32" s="35">
        <f t="array" ref="K32">IF(ISERROR(G32/L32),"",G32/L32)</f>
        <v>42.269230769230766</v>
      </c>
      <c r="L32" s="87">
        <v>52</v>
      </c>
      <c r="M32" s="36">
        <f t="shared" si="14"/>
        <v>-11.269230769230766</v>
      </c>
      <c r="N32" s="93">
        <f>SUM('31:13'!N32)</f>
        <v>0</v>
      </c>
      <c r="O32" s="93">
        <f>SUM('31:13'!O32)</f>
        <v>0</v>
      </c>
      <c r="P32" s="93">
        <f>SUM('31:13'!P32)</f>
        <v>0</v>
      </c>
      <c r="Q32" s="93">
        <f>SUM('31:13'!Q32)</f>
        <v>0</v>
      </c>
      <c r="R32" s="93">
        <f>SUM('31:13'!R32)</f>
        <v>0</v>
      </c>
      <c r="S32" s="93">
        <f>SUM('31:13'!S32)</f>
        <v>0</v>
      </c>
      <c r="T32" s="93">
        <f>SUM('31:13'!T32)</f>
        <v>0</v>
      </c>
      <c r="U32" s="93">
        <f>SUM('31:13'!U32)</f>
        <v>0</v>
      </c>
      <c r="V32" s="206">
        <f t="shared" si="15"/>
        <v>0</v>
      </c>
      <c r="W32" s="33">
        <f t="shared" si="16"/>
        <v>0</v>
      </c>
      <c r="X32" s="93">
        <f>SUM('31:13'!X32)</f>
        <v>0</v>
      </c>
      <c r="Y32" s="93">
        <f>SUM('31:13'!Y32)</f>
        <v>0</v>
      </c>
      <c r="Z32" s="93">
        <f>SUM('31:13'!Z32)</f>
        <v>0</v>
      </c>
      <c r="AA32" s="93">
        <f>SUM('31:13'!AA32)</f>
        <v>0</v>
      </c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>
      <c r="A33" s="300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93">
        <f>SUM('31:13'!G33)</f>
        <v>1194</v>
      </c>
      <c r="H33" s="339">
        <f t="shared" si="10"/>
        <v>6005.8200000000006</v>
      </c>
      <c r="I33" s="93">
        <f>SUM('31:13'!I33)</f>
        <v>27.5</v>
      </c>
      <c r="J33" s="31">
        <f t="array" ref="J33">IF(ISERROR(G33/I33),"",G33/I33)</f>
        <v>43.418181818181822</v>
      </c>
      <c r="K33" s="35">
        <f t="array" ref="K33">IF(ISERROR(G33/L33),"",G33/L33)</f>
        <v>22.96153846153846</v>
      </c>
      <c r="L33" s="87">
        <v>52</v>
      </c>
      <c r="M33" s="36">
        <f t="shared" si="14"/>
        <v>4.5384615384615401</v>
      </c>
      <c r="N33" s="93">
        <f>SUM('31:13'!N33)</f>
        <v>0</v>
      </c>
      <c r="O33" s="93">
        <f>SUM('31:13'!O33)</f>
        <v>0</v>
      </c>
      <c r="P33" s="93">
        <f>SUM('31:13'!P33)</f>
        <v>0</v>
      </c>
      <c r="Q33" s="93">
        <f>SUM('31:13'!Q33)</f>
        <v>0</v>
      </c>
      <c r="R33" s="93">
        <f>SUM('31:13'!R33)</f>
        <v>0</v>
      </c>
      <c r="S33" s="93">
        <f>SUM('31:13'!S33)</f>
        <v>0</v>
      </c>
      <c r="T33" s="93">
        <f>SUM('31:13'!T33)</f>
        <v>0</v>
      </c>
      <c r="U33" s="93">
        <f>SUM('31:13'!U33)</f>
        <v>0</v>
      </c>
      <c r="V33" s="206">
        <f t="shared" si="15"/>
        <v>0</v>
      </c>
      <c r="W33" s="33">
        <f t="shared" si="16"/>
        <v>0</v>
      </c>
      <c r="X33" s="93">
        <f>SUM('31:13'!X33)</f>
        <v>0</v>
      </c>
      <c r="Y33" s="93">
        <f>SUM('31:13'!Y33)</f>
        <v>0</v>
      </c>
      <c r="Z33" s="93">
        <f>SUM('31:13'!Z33)</f>
        <v>0</v>
      </c>
      <c r="AA33" s="93">
        <f>SUM('31:13'!AA33)</f>
        <v>0</v>
      </c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>
      <c r="A34" s="300">
        <v>30100016</v>
      </c>
      <c r="B34" s="334" t="s">
        <v>414</v>
      </c>
      <c r="C34" s="187" t="s">
        <v>415</v>
      </c>
      <c r="D34" s="17"/>
      <c r="E34" s="17"/>
      <c r="F34" s="6"/>
      <c r="G34" s="93">
        <f>SUM('31:13'!G34)</f>
        <v>559</v>
      </c>
      <c r="H34" s="339">
        <f t="shared" si="10"/>
        <v>0</v>
      </c>
      <c r="I34" s="93">
        <f>SUM('31:13'!I34)</f>
        <v>11</v>
      </c>
      <c r="J34" s="31"/>
      <c r="K34" s="35"/>
      <c r="L34" s="87">
        <v>52</v>
      </c>
      <c r="M34" s="36"/>
      <c r="N34" s="93"/>
      <c r="O34" s="93"/>
      <c r="P34" s="93"/>
      <c r="Q34" s="93"/>
      <c r="R34" s="93"/>
      <c r="S34" s="93"/>
      <c r="T34" s="93"/>
      <c r="U34" s="93"/>
      <c r="V34" s="206"/>
      <c r="W34" s="33"/>
      <c r="X34" s="93"/>
      <c r="Y34" s="93"/>
      <c r="Z34" s="93"/>
      <c r="AA34" s="93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>
      <c r="A35" s="300">
        <v>30100017</v>
      </c>
      <c r="B35" s="334" t="s">
        <v>414</v>
      </c>
      <c r="C35" s="187" t="s">
        <v>416</v>
      </c>
      <c r="D35" s="17"/>
      <c r="E35" s="17"/>
      <c r="F35" s="6"/>
      <c r="G35" s="93">
        <f>SUM('31:13'!G35)</f>
        <v>573</v>
      </c>
      <c r="H35" s="339">
        <f t="shared" si="10"/>
        <v>0</v>
      </c>
      <c r="I35" s="93">
        <f>SUM('31:13'!I35)</f>
        <v>11</v>
      </c>
      <c r="J35" s="31"/>
      <c r="K35" s="35"/>
      <c r="L35" s="87">
        <v>52</v>
      </c>
      <c r="M35" s="36"/>
      <c r="N35" s="93"/>
      <c r="O35" s="93"/>
      <c r="P35" s="93"/>
      <c r="Q35" s="93"/>
      <c r="R35" s="93"/>
      <c r="S35" s="93"/>
      <c r="T35" s="93"/>
      <c r="U35" s="93"/>
      <c r="V35" s="206"/>
      <c r="W35" s="33"/>
      <c r="X35" s="93"/>
      <c r="Y35" s="93"/>
      <c r="Z35" s="93"/>
      <c r="AA35" s="93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>
      <c r="A36" s="300">
        <v>30100015</v>
      </c>
      <c r="B36" s="334" t="s">
        <v>414</v>
      </c>
      <c r="C36" s="187" t="s">
        <v>417</v>
      </c>
      <c r="D36" s="17"/>
      <c r="E36" s="17"/>
      <c r="F36" s="6"/>
      <c r="G36" s="93">
        <f>SUM('31:13'!G36)</f>
        <v>619</v>
      </c>
      <c r="H36" s="339">
        <f t="shared" si="10"/>
        <v>0</v>
      </c>
      <c r="I36" s="93">
        <f>SUM('31:13'!I36)</f>
        <v>13</v>
      </c>
      <c r="J36" s="31"/>
      <c r="K36" s="35"/>
      <c r="L36" s="87">
        <v>52</v>
      </c>
      <c r="M36" s="36"/>
      <c r="N36" s="93"/>
      <c r="O36" s="93"/>
      <c r="P36" s="93"/>
      <c r="Q36" s="93"/>
      <c r="R36" s="93"/>
      <c r="S36" s="93"/>
      <c r="T36" s="93"/>
      <c r="U36" s="93"/>
      <c r="V36" s="206"/>
      <c r="W36" s="33"/>
      <c r="X36" s="93"/>
      <c r="Y36" s="93"/>
      <c r="Z36" s="93"/>
      <c r="AA36" s="93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>
      <c r="A37" s="300">
        <v>30100027</v>
      </c>
      <c r="B37" s="263" t="s">
        <v>78</v>
      </c>
      <c r="C37" s="16" t="s">
        <v>53</v>
      </c>
      <c r="D37" s="17">
        <v>5.08</v>
      </c>
      <c r="E37" s="17"/>
      <c r="F37" s="6"/>
      <c r="G37" s="93">
        <f>SUM('31:13'!G37)</f>
        <v>1545</v>
      </c>
      <c r="H37" s="339">
        <f t="shared" si="10"/>
        <v>7848.6</v>
      </c>
      <c r="I37" s="93">
        <f>SUM('31:13'!I37)</f>
        <v>65.5</v>
      </c>
      <c r="J37" s="31">
        <f t="array" ref="J37">IF(ISERROR(G37/I37),"",G37/I37)</f>
        <v>23.587786259541986</v>
      </c>
      <c r="K37" s="35">
        <f t="array" ref="K37">IF(ISERROR(G37/L37),"",G37/L37)</f>
        <v>73.571428571428569</v>
      </c>
      <c r="L37" s="87">
        <v>21</v>
      </c>
      <c r="M37" s="36">
        <f t="shared" ref="M37:M66" si="17">IF(ISERROR(I37-K37),"",I37-K37)</f>
        <v>-8.0714285714285694</v>
      </c>
      <c r="N37" s="93">
        <f>SUM('31:13'!N37)</f>
        <v>0</v>
      </c>
      <c r="O37" s="93">
        <f>SUM('31:13'!O37)</f>
        <v>0</v>
      </c>
      <c r="P37" s="93">
        <f>SUM('31:13'!P37)</f>
        <v>0</v>
      </c>
      <c r="Q37" s="93">
        <f>SUM('31:13'!Q37)</f>
        <v>0</v>
      </c>
      <c r="R37" s="93">
        <f>SUM('31:13'!R37)</f>
        <v>0</v>
      </c>
      <c r="S37" s="93">
        <f>SUM('31:13'!S37)</f>
        <v>0</v>
      </c>
      <c r="T37" s="93">
        <f>SUM('31:13'!T37)</f>
        <v>0</v>
      </c>
      <c r="U37" s="93">
        <f>SUM('31:13'!U37)</f>
        <v>0</v>
      </c>
      <c r="V37" s="206">
        <f t="shared" ref="V37:V48" si="18">SUM(X37:AA37)</f>
        <v>0</v>
      </c>
      <c r="W37" s="33">
        <f t="shared" ref="W37:W48" si="19">IF(ISERROR(V37/G37),"",V37/G37)</f>
        <v>0</v>
      </c>
      <c r="X37" s="93">
        <f>SUM('31:13'!X37)</f>
        <v>0</v>
      </c>
      <c r="Y37" s="93">
        <f>SUM('31:13'!Y37)</f>
        <v>0</v>
      </c>
      <c r="Z37" s="93">
        <f>SUM('31:13'!Z37)</f>
        <v>0</v>
      </c>
      <c r="AA37" s="93">
        <f>SUM('31:13'!AA37)</f>
        <v>0</v>
      </c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>
      <c r="A38" s="300">
        <v>30100023</v>
      </c>
      <c r="B38" s="263" t="s">
        <v>78</v>
      </c>
      <c r="C38" s="16" t="s">
        <v>74</v>
      </c>
      <c r="D38" s="17">
        <v>5.08</v>
      </c>
      <c r="E38" s="17"/>
      <c r="F38" s="6"/>
      <c r="G38" s="93">
        <f>SUM('31:13'!G38)</f>
        <v>1270</v>
      </c>
      <c r="H38" s="339">
        <f t="shared" si="10"/>
        <v>6451.6</v>
      </c>
      <c r="I38" s="93">
        <f>SUM('31:13'!I38)</f>
        <v>58.5</v>
      </c>
      <c r="J38" s="31">
        <f t="array" ref="J38">IF(ISERROR(G38/I38),"",G38/I38)</f>
        <v>21.70940170940171</v>
      </c>
      <c r="K38" s="35">
        <f t="array" ref="K38">IF(ISERROR(G38/L38),"",G38/L38)</f>
        <v>60.476190476190474</v>
      </c>
      <c r="L38" s="87">
        <v>21</v>
      </c>
      <c r="M38" s="36">
        <f t="shared" si="17"/>
        <v>-1.9761904761904745</v>
      </c>
      <c r="N38" s="93">
        <f>SUM('31:13'!N38)</f>
        <v>0</v>
      </c>
      <c r="O38" s="93">
        <f>SUM('31:13'!O38)</f>
        <v>0</v>
      </c>
      <c r="P38" s="93">
        <f>SUM('31:13'!P38)</f>
        <v>0</v>
      </c>
      <c r="Q38" s="93">
        <f>SUM('31:13'!Q38)</f>
        <v>0</v>
      </c>
      <c r="R38" s="93">
        <f>SUM('31:13'!R38)</f>
        <v>0</v>
      </c>
      <c r="S38" s="93">
        <f>SUM('31:13'!S38)</f>
        <v>0</v>
      </c>
      <c r="T38" s="93">
        <f>SUM('31:13'!T38)</f>
        <v>0</v>
      </c>
      <c r="U38" s="93">
        <f>SUM('31:13'!U38)</f>
        <v>0</v>
      </c>
      <c r="V38" s="206">
        <f t="shared" si="18"/>
        <v>0</v>
      </c>
      <c r="W38" s="33">
        <f t="shared" si="19"/>
        <v>0</v>
      </c>
      <c r="X38" s="93">
        <f>SUM('31:13'!X38)</f>
        <v>0</v>
      </c>
      <c r="Y38" s="93">
        <f>SUM('31:13'!Y38)</f>
        <v>0</v>
      </c>
      <c r="Z38" s="93">
        <f>SUM('31:13'!Z38)</f>
        <v>0</v>
      </c>
      <c r="AA38" s="93">
        <f>SUM('31:13'!AA38)</f>
        <v>0</v>
      </c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>
      <c r="A39" s="300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93">
        <f>SUM('31:13'!G39)</f>
        <v>0</v>
      </c>
      <c r="H39" s="339">
        <f t="shared" si="10"/>
        <v>0</v>
      </c>
      <c r="I39" s="93">
        <f>SUM('31:13'!I39)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87">
        <v>21</v>
      </c>
      <c r="M39" s="36">
        <f t="shared" si="17"/>
        <v>0</v>
      </c>
      <c r="N39" s="93">
        <f>SUM('31:13'!N39)</f>
        <v>0</v>
      </c>
      <c r="O39" s="93">
        <f>SUM('31:13'!O39)</f>
        <v>0</v>
      </c>
      <c r="P39" s="93">
        <f>SUM('31:13'!P39)</f>
        <v>0</v>
      </c>
      <c r="Q39" s="93">
        <f>SUM('31:13'!Q39)</f>
        <v>0</v>
      </c>
      <c r="R39" s="93">
        <f>SUM('31:13'!R39)</f>
        <v>0</v>
      </c>
      <c r="S39" s="93">
        <f>SUM('31:13'!S39)</f>
        <v>0</v>
      </c>
      <c r="T39" s="93">
        <f>SUM('31:13'!T39)</f>
        <v>0</v>
      </c>
      <c r="U39" s="93">
        <f>SUM('31:13'!U39)</f>
        <v>0</v>
      </c>
      <c r="V39" s="206">
        <f t="shared" si="18"/>
        <v>0</v>
      </c>
      <c r="W39" s="33" t="str">
        <f t="shared" si="19"/>
        <v/>
      </c>
      <c r="X39" s="93">
        <f>SUM('31:13'!X39)</f>
        <v>0</v>
      </c>
      <c r="Y39" s="93">
        <f>SUM('31:13'!Y39)</f>
        <v>0</v>
      </c>
      <c r="Z39" s="93">
        <f>SUM('31:13'!Z39)</f>
        <v>0</v>
      </c>
      <c r="AA39" s="93">
        <f>SUM('31:13'!AA39)</f>
        <v>0</v>
      </c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>
      <c r="A40" s="300">
        <v>30100022</v>
      </c>
      <c r="B40" s="263" t="s">
        <v>78</v>
      </c>
      <c r="C40" s="16" t="s">
        <v>60</v>
      </c>
      <c r="D40" s="17">
        <v>5.08</v>
      </c>
      <c r="E40" s="17"/>
      <c r="F40" s="6"/>
      <c r="G40" s="93">
        <f>SUM('31:13'!G40)</f>
        <v>1908</v>
      </c>
      <c r="H40" s="339">
        <f t="shared" si="10"/>
        <v>9692.64</v>
      </c>
      <c r="I40" s="93">
        <f>SUM('31:13'!I40)</f>
        <v>76.5</v>
      </c>
      <c r="J40" s="31">
        <f t="array" ref="J40">IF(ISERROR(G40/I40),"",G40/I40)</f>
        <v>24.941176470588236</v>
      </c>
      <c r="K40" s="35">
        <f t="array" ref="K40">IF(ISERROR(G40/L40),"",G40/L40)</f>
        <v>90.857142857142861</v>
      </c>
      <c r="L40" s="87">
        <v>21</v>
      </c>
      <c r="M40" s="36">
        <f t="shared" si="17"/>
        <v>-14.357142857142861</v>
      </c>
      <c r="N40" s="93">
        <f>SUM('31:13'!N40)</f>
        <v>0</v>
      </c>
      <c r="O40" s="93">
        <f>SUM('31:13'!O40)</f>
        <v>0</v>
      </c>
      <c r="P40" s="93">
        <f>SUM('31:13'!P40)</f>
        <v>0</v>
      </c>
      <c r="Q40" s="93">
        <f>SUM('31:13'!Q40)</f>
        <v>0</v>
      </c>
      <c r="R40" s="93">
        <f>SUM('31:13'!R40)</f>
        <v>0</v>
      </c>
      <c r="S40" s="93">
        <f>SUM('31:13'!S40)</f>
        <v>0</v>
      </c>
      <c r="T40" s="93">
        <f>SUM('31:13'!T40)</f>
        <v>0</v>
      </c>
      <c r="U40" s="93">
        <f>SUM('31:13'!U40)</f>
        <v>0</v>
      </c>
      <c r="V40" s="206">
        <f t="shared" si="18"/>
        <v>0</v>
      </c>
      <c r="W40" s="33">
        <f t="shared" si="19"/>
        <v>0</v>
      </c>
      <c r="X40" s="93">
        <f>SUM('31:13'!X40)</f>
        <v>0</v>
      </c>
      <c r="Y40" s="93">
        <f>SUM('31:13'!Y40)</f>
        <v>0</v>
      </c>
      <c r="Z40" s="93">
        <f>SUM('31:13'!Z40)</f>
        <v>0</v>
      </c>
      <c r="AA40" s="93">
        <f>SUM('31:13'!AA40)</f>
        <v>0</v>
      </c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>
      <c r="A41" s="300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93">
        <f>SUM('31:13'!G41)</f>
        <v>1449</v>
      </c>
      <c r="H41" s="339">
        <f t="shared" si="10"/>
        <v>7360.92</v>
      </c>
      <c r="I41" s="93">
        <f>SUM('31:13'!I41)</f>
        <v>61.5</v>
      </c>
      <c r="J41" s="31">
        <f t="array" ref="J41">IF(ISERROR(G41/I41),"",G41/I41)</f>
        <v>23.560975609756099</v>
      </c>
      <c r="K41" s="35">
        <f t="array" ref="K41">IF(ISERROR(G41/L41),"",G41/L41)</f>
        <v>69</v>
      </c>
      <c r="L41" s="87">
        <v>21</v>
      </c>
      <c r="M41" s="36">
        <f t="shared" si="17"/>
        <v>-7.5</v>
      </c>
      <c r="N41" s="93">
        <f>SUM('31:13'!N41)</f>
        <v>0</v>
      </c>
      <c r="O41" s="93">
        <f>SUM('31:13'!O41)</f>
        <v>0</v>
      </c>
      <c r="P41" s="93">
        <f>SUM('31:13'!P41)</f>
        <v>0</v>
      </c>
      <c r="Q41" s="93">
        <f>SUM('31:13'!Q41)</f>
        <v>0</v>
      </c>
      <c r="R41" s="93">
        <f>SUM('31:13'!R41)</f>
        <v>0</v>
      </c>
      <c r="S41" s="93">
        <f>SUM('31:13'!S41)</f>
        <v>0</v>
      </c>
      <c r="T41" s="93">
        <f>SUM('31:13'!T41)</f>
        <v>0</v>
      </c>
      <c r="U41" s="93">
        <f>SUM('31:13'!U41)</f>
        <v>0</v>
      </c>
      <c r="V41" s="206">
        <f t="shared" si="18"/>
        <v>0</v>
      </c>
      <c r="W41" s="33">
        <f t="shared" si="19"/>
        <v>0</v>
      </c>
      <c r="X41" s="93">
        <f>SUM('31:13'!X41)</f>
        <v>0</v>
      </c>
      <c r="Y41" s="93">
        <f>SUM('31:13'!Y41)</f>
        <v>0</v>
      </c>
      <c r="Z41" s="93">
        <f>SUM('31:13'!Z41)</f>
        <v>0</v>
      </c>
      <c r="AA41" s="93">
        <f>SUM('31:13'!AA41)</f>
        <v>0</v>
      </c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>
      <c r="A42" s="300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93">
        <f>SUM('31:13'!G42)</f>
        <v>1519</v>
      </c>
      <c r="H42" s="339">
        <f t="shared" si="10"/>
        <v>7716.52</v>
      </c>
      <c r="I42" s="93">
        <f>SUM('31:13'!I42)</f>
        <v>66</v>
      </c>
      <c r="J42" s="31">
        <f t="array" ref="J42">IF(ISERROR(G42/I42),"",G42/I42)</f>
        <v>23.015151515151516</v>
      </c>
      <c r="K42" s="35">
        <f t="array" ref="K42">IF(ISERROR(G42/L42),"",G42/L42)</f>
        <v>72.333333333333329</v>
      </c>
      <c r="L42" s="87">
        <v>21</v>
      </c>
      <c r="M42" s="36">
        <f t="shared" si="17"/>
        <v>-6.3333333333333286</v>
      </c>
      <c r="N42" s="93">
        <f>SUM('31:13'!N42)</f>
        <v>0</v>
      </c>
      <c r="O42" s="93">
        <f>SUM('31:13'!O42)</f>
        <v>0</v>
      </c>
      <c r="P42" s="93">
        <f>SUM('31:13'!P42)</f>
        <v>0</v>
      </c>
      <c r="Q42" s="93">
        <f>SUM('31:13'!Q42)</f>
        <v>0</v>
      </c>
      <c r="R42" s="93">
        <f>SUM('31:13'!R42)</f>
        <v>0</v>
      </c>
      <c r="S42" s="93">
        <f>SUM('31:13'!S42)</f>
        <v>0</v>
      </c>
      <c r="T42" s="93">
        <f>SUM('31:13'!T42)</f>
        <v>0</v>
      </c>
      <c r="U42" s="93">
        <f>SUM('31:13'!U42)</f>
        <v>0</v>
      </c>
      <c r="V42" s="206">
        <f t="shared" si="18"/>
        <v>0</v>
      </c>
      <c r="W42" s="33">
        <f t="shared" si="19"/>
        <v>0</v>
      </c>
      <c r="X42" s="93">
        <f>SUM('31:13'!X42)</f>
        <v>0</v>
      </c>
      <c r="Y42" s="93">
        <f>SUM('31:13'!Y42)</f>
        <v>0</v>
      </c>
      <c r="Z42" s="93">
        <f>SUM('31:13'!Z42)</f>
        <v>0</v>
      </c>
      <c r="AA42" s="93">
        <f>SUM('31:13'!AA42)</f>
        <v>0</v>
      </c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>
      <c r="A43" s="300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93">
        <f>SUM('31:13'!G43)</f>
        <v>0</v>
      </c>
      <c r="H43" s="339">
        <f t="shared" si="10"/>
        <v>0</v>
      </c>
      <c r="I43" s="93">
        <f>SUM('31:13'!I43)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87">
        <v>21</v>
      </c>
      <c r="M43" s="36">
        <f t="shared" si="17"/>
        <v>0</v>
      </c>
      <c r="N43" s="93">
        <f>SUM('31:13'!N43)</f>
        <v>0</v>
      </c>
      <c r="O43" s="93">
        <f>SUM('31:13'!O43)</f>
        <v>0</v>
      </c>
      <c r="P43" s="93">
        <f>SUM('31:13'!P43)</f>
        <v>0</v>
      </c>
      <c r="Q43" s="93">
        <f>SUM('31:13'!Q43)</f>
        <v>0</v>
      </c>
      <c r="R43" s="93">
        <f>SUM('31:13'!R43)</f>
        <v>0</v>
      </c>
      <c r="S43" s="93">
        <f>SUM('31:13'!S43)</f>
        <v>0</v>
      </c>
      <c r="T43" s="93">
        <f>SUM('31:13'!T43)</f>
        <v>0</v>
      </c>
      <c r="U43" s="93">
        <f>SUM('31:13'!U43)</f>
        <v>0</v>
      </c>
      <c r="V43" s="206">
        <f t="shared" si="18"/>
        <v>0</v>
      </c>
      <c r="W43" s="33" t="str">
        <f t="shared" si="19"/>
        <v/>
      </c>
      <c r="X43" s="93">
        <f>SUM('31:13'!X43)</f>
        <v>0</v>
      </c>
      <c r="Y43" s="93">
        <f>SUM('31:13'!Y43)</f>
        <v>0</v>
      </c>
      <c r="Z43" s="93">
        <f>SUM('31:13'!Z43)</f>
        <v>0</v>
      </c>
      <c r="AA43" s="93">
        <f>SUM('31:13'!AA43)</f>
        <v>0</v>
      </c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>
      <c r="A44" s="300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93">
        <f>SUM('31:13'!G44)</f>
        <v>1253</v>
      </c>
      <c r="H44" s="339">
        <f t="shared" si="10"/>
        <v>6365.24</v>
      </c>
      <c r="I44" s="93">
        <f>SUM('31:13'!I44)</f>
        <v>58.5</v>
      </c>
      <c r="J44" s="31">
        <f t="array" ref="J44">IF(ISERROR(G44/I44),"",G44/I44)</f>
        <v>21.418803418803417</v>
      </c>
      <c r="K44" s="35">
        <f t="array" ref="K44">IF(ISERROR(G44/L44),"",G44/L44)</f>
        <v>59.666666666666664</v>
      </c>
      <c r="L44" s="87">
        <v>21</v>
      </c>
      <c r="M44" s="36">
        <f t="shared" si="17"/>
        <v>-1.1666666666666643</v>
      </c>
      <c r="N44" s="93">
        <f>SUM('31:13'!N44)</f>
        <v>0</v>
      </c>
      <c r="O44" s="93">
        <f>SUM('31:13'!O44)</f>
        <v>0</v>
      </c>
      <c r="P44" s="93">
        <f>SUM('31:13'!P44)</f>
        <v>0</v>
      </c>
      <c r="Q44" s="93">
        <f>SUM('31:13'!Q44)</f>
        <v>0</v>
      </c>
      <c r="R44" s="93">
        <f>SUM('31:13'!R44)</f>
        <v>0</v>
      </c>
      <c r="S44" s="93">
        <f>SUM('31:13'!S44)</f>
        <v>0</v>
      </c>
      <c r="T44" s="93">
        <f>SUM('31:13'!T44)</f>
        <v>0</v>
      </c>
      <c r="U44" s="93">
        <f>SUM('31:13'!U44)</f>
        <v>0</v>
      </c>
      <c r="V44" s="206">
        <f t="shared" si="18"/>
        <v>0</v>
      </c>
      <c r="W44" s="33">
        <f t="shared" si="19"/>
        <v>0</v>
      </c>
      <c r="X44" s="93">
        <f>SUM('31:13'!X44)</f>
        <v>0</v>
      </c>
      <c r="Y44" s="93">
        <f>SUM('31:13'!Y44)</f>
        <v>0</v>
      </c>
      <c r="Z44" s="93">
        <f>SUM('31:13'!Z44)</f>
        <v>0</v>
      </c>
      <c r="AA44" s="93">
        <f>SUM('31:13'!AA44)</f>
        <v>0</v>
      </c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>
      <c r="A45" s="300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93">
        <f>SUM('31:13'!G45)</f>
        <v>423</v>
      </c>
      <c r="H45" s="339">
        <f t="shared" si="10"/>
        <v>2127.69</v>
      </c>
      <c r="I45" s="93">
        <f>SUM('31:13'!I45)</f>
        <v>6</v>
      </c>
      <c r="J45" s="31">
        <f t="array" ref="J45">IF(ISERROR(G45/I45),"",G45/I45)</f>
        <v>70.5</v>
      </c>
      <c r="K45" s="35">
        <f t="array" ref="K45">IF(ISERROR(G45/L45),"",G45/L45)</f>
        <v>7.5535714285714288</v>
      </c>
      <c r="L45" s="87">
        <v>56</v>
      </c>
      <c r="M45" s="36">
        <f t="shared" si="17"/>
        <v>-1.5535714285714288</v>
      </c>
      <c r="N45" s="93">
        <f>SUM('31:13'!N45)</f>
        <v>0</v>
      </c>
      <c r="O45" s="93">
        <f>SUM('31:13'!O45)</f>
        <v>0</v>
      </c>
      <c r="P45" s="93">
        <f>SUM('31:13'!P45)</f>
        <v>0</v>
      </c>
      <c r="Q45" s="93">
        <f>SUM('31:13'!Q45)</f>
        <v>0</v>
      </c>
      <c r="R45" s="93">
        <f>SUM('31:13'!R45)</f>
        <v>0</v>
      </c>
      <c r="S45" s="93">
        <f>SUM('31:13'!S45)</f>
        <v>0</v>
      </c>
      <c r="T45" s="93">
        <f>SUM('31:13'!T45)</f>
        <v>0</v>
      </c>
      <c r="U45" s="93">
        <f>SUM('31:13'!U45)</f>
        <v>0</v>
      </c>
      <c r="V45" s="206">
        <f t="shared" si="18"/>
        <v>0</v>
      </c>
      <c r="W45" s="33">
        <f t="shared" si="19"/>
        <v>0</v>
      </c>
      <c r="X45" s="93">
        <f>SUM('31:13'!X45)</f>
        <v>0</v>
      </c>
      <c r="Y45" s="93">
        <f>SUM('31:13'!Y45)</f>
        <v>0</v>
      </c>
      <c r="Z45" s="93">
        <f>SUM('31:13'!Z45)</f>
        <v>0</v>
      </c>
      <c r="AA45" s="93">
        <f>SUM('31:13'!AA45)</f>
        <v>0</v>
      </c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>
      <c r="A46" s="300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93">
        <f>SUM('31:13'!G46)</f>
        <v>2405</v>
      </c>
      <c r="H46" s="339">
        <f t="shared" si="10"/>
        <v>12097.150000000001</v>
      </c>
      <c r="I46" s="93">
        <f>SUM('31:13'!I46)</f>
        <v>27.5</v>
      </c>
      <c r="J46" s="31">
        <f t="array" ref="J46">IF(ISERROR(G46/I46),"",G46/I46)</f>
        <v>87.454545454545453</v>
      </c>
      <c r="K46" s="35">
        <f t="array" ref="K46">IF(ISERROR(G46/L46),"",G46/L46)</f>
        <v>42.946428571428569</v>
      </c>
      <c r="L46" s="87">
        <v>56</v>
      </c>
      <c r="M46" s="36">
        <f t="shared" si="17"/>
        <v>-15.446428571428569</v>
      </c>
      <c r="N46" s="93">
        <f>SUM('31:13'!N46)</f>
        <v>0</v>
      </c>
      <c r="O46" s="93">
        <f>SUM('31:13'!O46)</f>
        <v>0</v>
      </c>
      <c r="P46" s="93">
        <f>SUM('31:13'!P46)</f>
        <v>0</v>
      </c>
      <c r="Q46" s="93">
        <f>SUM('31:13'!Q46)</f>
        <v>0</v>
      </c>
      <c r="R46" s="93">
        <f>SUM('31:13'!R46)</f>
        <v>0</v>
      </c>
      <c r="S46" s="93">
        <f>SUM('31:13'!S46)</f>
        <v>0</v>
      </c>
      <c r="T46" s="93">
        <f>SUM('31:13'!T46)</f>
        <v>0</v>
      </c>
      <c r="U46" s="93">
        <f>SUM('31:13'!U46)</f>
        <v>0</v>
      </c>
      <c r="V46" s="206">
        <f t="shared" si="18"/>
        <v>0</v>
      </c>
      <c r="W46" s="33">
        <f t="shared" si="19"/>
        <v>0</v>
      </c>
      <c r="X46" s="93">
        <f>SUM('31:13'!X46)</f>
        <v>0</v>
      </c>
      <c r="Y46" s="93">
        <f>SUM('31:13'!Y46)</f>
        <v>0</v>
      </c>
      <c r="Z46" s="93">
        <f>SUM('31:13'!Z46)</f>
        <v>0</v>
      </c>
      <c r="AA46" s="93">
        <f>SUM('31:13'!AA46)</f>
        <v>0</v>
      </c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>
      <c r="A47" s="300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93">
        <f>SUM('31:13'!G47)</f>
        <v>1971</v>
      </c>
      <c r="H47" s="339">
        <f t="shared" si="10"/>
        <v>9914.130000000001</v>
      </c>
      <c r="I47" s="93">
        <f>SUM('31:13'!I47)</f>
        <v>28</v>
      </c>
      <c r="J47" s="31">
        <f t="array" ref="J47">IF(ISERROR(G47/I47),"",G47/I47)</f>
        <v>70.392857142857139</v>
      </c>
      <c r="K47" s="35">
        <f t="array" ref="K47">IF(ISERROR(G47/L47),"",G47/L47)</f>
        <v>35.196428571428569</v>
      </c>
      <c r="L47" s="87">
        <v>56</v>
      </c>
      <c r="M47" s="36">
        <f t="shared" si="17"/>
        <v>-7.1964285714285694</v>
      </c>
      <c r="N47" s="93">
        <f>SUM('31:13'!N47)</f>
        <v>0</v>
      </c>
      <c r="O47" s="93">
        <f>SUM('31:13'!O47)</f>
        <v>0</v>
      </c>
      <c r="P47" s="93">
        <f>SUM('31:13'!P47)</f>
        <v>0</v>
      </c>
      <c r="Q47" s="93">
        <f>SUM('31:13'!Q47)</f>
        <v>0</v>
      </c>
      <c r="R47" s="93">
        <f>SUM('31:13'!R47)</f>
        <v>0</v>
      </c>
      <c r="S47" s="93">
        <f>SUM('31:13'!S47)</f>
        <v>0</v>
      </c>
      <c r="T47" s="93">
        <f>SUM('31:13'!T47)</f>
        <v>0</v>
      </c>
      <c r="U47" s="93">
        <f>SUM('31:13'!U47)</f>
        <v>0</v>
      </c>
      <c r="V47" s="206">
        <f t="shared" si="18"/>
        <v>0</v>
      </c>
      <c r="W47" s="33">
        <f t="shared" si="19"/>
        <v>0</v>
      </c>
      <c r="X47" s="93">
        <f>SUM('31:13'!X47)</f>
        <v>0</v>
      </c>
      <c r="Y47" s="93">
        <f>SUM('31:13'!Y47)</f>
        <v>0</v>
      </c>
      <c r="Z47" s="93">
        <f>SUM('31:13'!Z47)</f>
        <v>0</v>
      </c>
      <c r="AA47" s="93">
        <f>SUM('31:13'!AA47)</f>
        <v>0</v>
      </c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>
      <c r="A48" s="300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93">
        <f>SUM('31:13'!G48)</f>
        <v>2257</v>
      </c>
      <c r="H48" s="339">
        <f t="shared" si="10"/>
        <v>11352.710000000001</v>
      </c>
      <c r="I48" s="93">
        <f>SUM('31:13'!I48)</f>
        <v>26.5</v>
      </c>
      <c r="J48" s="31">
        <f t="array" ref="J48">IF(ISERROR(G48/I48),"",G48/I48)</f>
        <v>85.169811320754718</v>
      </c>
      <c r="K48" s="35">
        <f t="array" ref="K48">IF(ISERROR(G48/L48),"",G48/L48)</f>
        <v>40.303571428571431</v>
      </c>
      <c r="L48" s="87">
        <v>56</v>
      </c>
      <c r="M48" s="36">
        <f t="shared" si="17"/>
        <v>-13.803571428571431</v>
      </c>
      <c r="N48" s="93">
        <f>SUM('31:13'!N48)</f>
        <v>0</v>
      </c>
      <c r="O48" s="93">
        <f>SUM('31:13'!O48)</f>
        <v>0</v>
      </c>
      <c r="P48" s="93">
        <f>SUM('31:13'!P48)</f>
        <v>0</v>
      </c>
      <c r="Q48" s="93">
        <f>SUM('31:13'!Q48)</f>
        <v>0</v>
      </c>
      <c r="R48" s="93">
        <f>SUM('31:13'!R48)</f>
        <v>0</v>
      </c>
      <c r="S48" s="93">
        <f>SUM('31:13'!S48)</f>
        <v>0</v>
      </c>
      <c r="T48" s="93">
        <f>SUM('31:13'!T48)</f>
        <v>0</v>
      </c>
      <c r="U48" s="93">
        <f>SUM('31:13'!U48)</f>
        <v>0</v>
      </c>
      <c r="V48" s="206">
        <f t="shared" si="18"/>
        <v>0</v>
      </c>
      <c r="W48" s="33">
        <f t="shared" si="19"/>
        <v>0</v>
      </c>
      <c r="X48" s="93">
        <f>SUM('31:13'!X48)</f>
        <v>0</v>
      </c>
      <c r="Y48" s="93">
        <f>SUM('31:13'!Y48)</f>
        <v>0</v>
      </c>
      <c r="Z48" s="93">
        <f>SUM('31:13'!Z48)</f>
        <v>0</v>
      </c>
      <c r="AA48" s="93">
        <f>SUM('31:13'!AA48)</f>
        <v>0</v>
      </c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>
      <c r="A49" s="300">
        <v>30100019</v>
      </c>
      <c r="B49" s="61" t="s">
        <v>385</v>
      </c>
      <c r="C49" s="16" t="s">
        <v>386</v>
      </c>
      <c r="D49" s="17">
        <v>5.03</v>
      </c>
      <c r="E49" s="17"/>
      <c r="F49" s="6"/>
      <c r="G49" s="93">
        <f>SUM('31:13'!G49)</f>
        <v>725</v>
      </c>
      <c r="H49" s="339">
        <f t="shared" si="10"/>
        <v>3646.75</v>
      </c>
      <c r="I49" s="93">
        <f>SUM('31:13'!I49)</f>
        <v>14.5</v>
      </c>
      <c r="J49" s="31"/>
      <c r="K49" s="35">
        <f t="array" ref="K49">IF(ISERROR(G49/L49),"",G49/L49)</f>
        <v>13.425925925925926</v>
      </c>
      <c r="L49" s="87">
        <v>54</v>
      </c>
      <c r="M49" s="36">
        <f t="shared" si="17"/>
        <v>1.0740740740740744</v>
      </c>
      <c r="N49" s="93">
        <f>SUM('31:13'!N49)</f>
        <v>0</v>
      </c>
      <c r="O49" s="93">
        <f>SUM('31:13'!O49)</f>
        <v>0</v>
      </c>
      <c r="P49" s="93">
        <f>SUM('31:13'!P49)</f>
        <v>0</v>
      </c>
      <c r="Q49" s="93">
        <f>SUM('31:13'!Q49)</f>
        <v>0</v>
      </c>
      <c r="R49" s="93">
        <f>SUM('31:13'!R49)</f>
        <v>0</v>
      </c>
      <c r="S49" s="93">
        <f>SUM('31:13'!S49)</f>
        <v>0</v>
      </c>
      <c r="T49" s="93">
        <f>SUM('31:13'!T49)</f>
        <v>0</v>
      </c>
      <c r="U49" s="93">
        <f>SUM('31:13'!U49)</f>
        <v>0</v>
      </c>
      <c r="V49" s="206"/>
      <c r="W49" s="33"/>
      <c r="X49" s="93">
        <f>SUM('31:13'!X49)</f>
        <v>0</v>
      </c>
      <c r="Y49" s="93">
        <f>SUM('31:13'!Y49)</f>
        <v>0</v>
      </c>
      <c r="Z49" s="93">
        <f>SUM('31:13'!Z49)</f>
        <v>0</v>
      </c>
      <c r="AA49" s="93">
        <f>SUM('31:13'!AA49)</f>
        <v>0</v>
      </c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>
      <c r="A50" s="300">
        <v>30100020</v>
      </c>
      <c r="B50" s="61" t="s">
        <v>385</v>
      </c>
      <c r="C50" s="16" t="s">
        <v>387</v>
      </c>
      <c r="D50" s="17">
        <v>5.03</v>
      </c>
      <c r="E50" s="17"/>
      <c r="F50" s="6"/>
      <c r="G50" s="93">
        <f>SUM('31:13'!G50)</f>
        <v>131</v>
      </c>
      <c r="H50" s="339">
        <f t="shared" si="10"/>
        <v>658.93000000000006</v>
      </c>
      <c r="I50" s="93">
        <f>SUM('31:13'!I50)</f>
        <v>2</v>
      </c>
      <c r="J50" s="31"/>
      <c r="K50" s="35">
        <f t="array" ref="K50">IF(ISERROR(G50/L50),"",G50/L50)</f>
        <v>2.425925925925926</v>
      </c>
      <c r="L50" s="87">
        <v>54</v>
      </c>
      <c r="M50" s="36">
        <f t="shared" si="17"/>
        <v>-0.42592592592592604</v>
      </c>
      <c r="N50" s="93">
        <f>SUM('31:13'!N50)</f>
        <v>0</v>
      </c>
      <c r="O50" s="93">
        <f>SUM('31:13'!O50)</f>
        <v>0</v>
      </c>
      <c r="P50" s="93">
        <f>SUM('31:13'!P50)</f>
        <v>0</v>
      </c>
      <c r="Q50" s="93">
        <f>SUM('31:13'!Q50)</f>
        <v>0</v>
      </c>
      <c r="R50" s="93">
        <f>SUM('31:13'!R50)</f>
        <v>0</v>
      </c>
      <c r="S50" s="93">
        <f>SUM('31:13'!S50)</f>
        <v>0</v>
      </c>
      <c r="T50" s="93">
        <f>SUM('31:13'!T50)</f>
        <v>0</v>
      </c>
      <c r="U50" s="93">
        <f>SUM('31:13'!U50)</f>
        <v>0</v>
      </c>
      <c r="V50" s="206"/>
      <c r="W50" s="33"/>
      <c r="X50" s="93">
        <f>SUM('31:13'!X50)</f>
        <v>0</v>
      </c>
      <c r="Y50" s="93">
        <f>SUM('31:13'!Y50)</f>
        <v>0</v>
      </c>
      <c r="Z50" s="93">
        <f>SUM('31:13'!Z50)</f>
        <v>0</v>
      </c>
      <c r="AA50" s="93">
        <f>SUM('31:13'!AA50)</f>
        <v>0</v>
      </c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>
      <c r="A51" s="300">
        <v>30100021</v>
      </c>
      <c r="B51" s="190" t="s">
        <v>471</v>
      </c>
      <c r="C51" s="16" t="s">
        <v>390</v>
      </c>
      <c r="D51" s="17">
        <v>5.03</v>
      </c>
      <c r="E51" s="17"/>
      <c r="F51" s="6"/>
      <c r="G51" s="93">
        <f>SUM('31:13'!G51)</f>
        <v>617</v>
      </c>
      <c r="H51" s="339">
        <f t="shared" si="10"/>
        <v>3103.51</v>
      </c>
      <c r="I51" s="93">
        <f>SUM('31:13'!I51)</f>
        <v>11</v>
      </c>
      <c r="J51" s="31"/>
      <c r="K51" s="35">
        <f t="array" ref="K51">IF(ISERROR(G51/L51),"",G51/L51)</f>
        <v>11.425925925925926</v>
      </c>
      <c r="L51" s="87">
        <v>54</v>
      </c>
      <c r="M51" s="36">
        <f t="shared" si="17"/>
        <v>-0.4259259259259256</v>
      </c>
      <c r="N51" s="93">
        <f>SUM('31:13'!N51)</f>
        <v>0</v>
      </c>
      <c r="O51" s="93">
        <f>SUM('31:13'!O51)</f>
        <v>0</v>
      </c>
      <c r="P51" s="93">
        <f>SUM('31:13'!P51)</f>
        <v>0</v>
      </c>
      <c r="Q51" s="93">
        <f>SUM('31:13'!Q51)</f>
        <v>0</v>
      </c>
      <c r="R51" s="93">
        <f>SUM('31:13'!R51)</f>
        <v>0</v>
      </c>
      <c r="S51" s="93">
        <f>SUM('31:13'!S51)</f>
        <v>0</v>
      </c>
      <c r="T51" s="93">
        <f>SUM('31:13'!T51)</f>
        <v>0</v>
      </c>
      <c r="U51" s="93">
        <f>SUM('31:13'!U51)</f>
        <v>0</v>
      </c>
      <c r="V51" s="206"/>
      <c r="W51" s="33"/>
      <c r="X51" s="93">
        <f>SUM('31:13'!X51)</f>
        <v>0</v>
      </c>
      <c r="Y51" s="93">
        <f>SUM('31:13'!Y51)</f>
        <v>0</v>
      </c>
      <c r="Z51" s="93">
        <f>SUM('31:13'!Z51)</f>
        <v>0</v>
      </c>
      <c r="AA51" s="93">
        <f>SUM('31:13'!AA51)</f>
        <v>0</v>
      </c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>
      <c r="A52" s="300">
        <v>30100018</v>
      </c>
      <c r="B52" s="190" t="s">
        <v>471</v>
      </c>
      <c r="C52" s="16" t="s">
        <v>392</v>
      </c>
      <c r="D52" s="17">
        <v>5.03</v>
      </c>
      <c r="E52" s="17"/>
      <c r="F52" s="6"/>
      <c r="G52" s="93">
        <f>SUM('31:13'!G52)</f>
        <v>557</v>
      </c>
      <c r="H52" s="339">
        <f t="shared" si="10"/>
        <v>2801.71</v>
      </c>
      <c r="I52" s="93">
        <f>SUM('31:13'!I52)</f>
        <v>9</v>
      </c>
      <c r="J52" s="31"/>
      <c r="K52" s="35">
        <f t="array" ref="K52">IF(ISERROR(G52/L52),"",G52/L52)</f>
        <v>10.314814814814815</v>
      </c>
      <c r="L52" s="87">
        <v>54</v>
      </c>
      <c r="M52" s="36">
        <f t="shared" si="17"/>
        <v>-1.3148148148148149</v>
      </c>
      <c r="N52" s="93">
        <f>SUM('31:13'!N52)</f>
        <v>0</v>
      </c>
      <c r="O52" s="93">
        <f>SUM('31:13'!O52)</f>
        <v>0</v>
      </c>
      <c r="P52" s="93">
        <f>SUM('31:13'!P52)</f>
        <v>0</v>
      </c>
      <c r="Q52" s="93">
        <f>SUM('31:13'!Q52)</f>
        <v>0</v>
      </c>
      <c r="R52" s="93">
        <f>SUM('31:13'!R52)</f>
        <v>0</v>
      </c>
      <c r="S52" s="93">
        <f>SUM('31:13'!S52)</f>
        <v>0</v>
      </c>
      <c r="T52" s="93">
        <f>SUM('31:13'!T52)</f>
        <v>0</v>
      </c>
      <c r="U52" s="93">
        <f>SUM('31:13'!U52)</f>
        <v>0</v>
      </c>
      <c r="V52" s="206"/>
      <c r="W52" s="33"/>
      <c r="X52" s="93">
        <f>SUM('31:13'!X52)</f>
        <v>0</v>
      </c>
      <c r="Y52" s="93">
        <f>SUM('31:13'!Y52)</f>
        <v>0</v>
      </c>
      <c r="Z52" s="93">
        <f>SUM('31:13'!Z52)</f>
        <v>0</v>
      </c>
      <c r="AA52" s="93">
        <f>SUM('31:13'!AA52)</f>
        <v>0</v>
      </c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>
      <c r="A53" s="303">
        <v>30700007</v>
      </c>
      <c r="B53" s="190" t="s">
        <v>418</v>
      </c>
      <c r="C53" s="187" t="s">
        <v>364</v>
      </c>
      <c r="D53" s="17"/>
      <c r="E53" s="17"/>
      <c r="F53" s="6"/>
      <c r="G53" s="93">
        <f>SUM('31:13'!G53)</f>
        <v>0</v>
      </c>
      <c r="H53" s="339">
        <f t="shared" si="10"/>
        <v>0</v>
      </c>
      <c r="I53" s="93">
        <f>SUM('31:13'!I53)</f>
        <v>0</v>
      </c>
      <c r="J53" s="31"/>
      <c r="K53" s="35">
        <f t="array" ref="K53">IF(ISERROR(G53/L53),"",G53/L53)</f>
        <v>0</v>
      </c>
      <c r="L53" s="87">
        <v>3</v>
      </c>
      <c r="M53" s="36">
        <f t="shared" si="17"/>
        <v>0</v>
      </c>
      <c r="N53" s="93">
        <f>SUM('31:13'!N53)</f>
        <v>0</v>
      </c>
      <c r="O53" s="93">
        <f>SUM('31:13'!O53)</f>
        <v>0</v>
      </c>
      <c r="P53" s="93">
        <f>SUM('31:13'!P53)</f>
        <v>0</v>
      </c>
      <c r="Q53" s="93">
        <f>SUM('31:13'!Q53)</f>
        <v>0</v>
      </c>
      <c r="R53" s="93">
        <f>SUM('31:13'!R53)</f>
        <v>0</v>
      </c>
      <c r="S53" s="93">
        <f>SUM('31:13'!S53)</f>
        <v>0</v>
      </c>
      <c r="T53" s="93">
        <f>SUM('31:13'!T53)</f>
        <v>0</v>
      </c>
      <c r="U53" s="93">
        <f>SUM('31:13'!U53)</f>
        <v>0</v>
      </c>
      <c r="V53" s="206"/>
      <c r="W53" s="33"/>
      <c r="X53" s="93">
        <f>SUM('31:13'!X53)</f>
        <v>0</v>
      </c>
      <c r="Y53" s="93">
        <f>SUM('31:13'!Y53)</f>
        <v>0</v>
      </c>
      <c r="Z53" s="93">
        <f>SUM('31:13'!Z53)</f>
        <v>0</v>
      </c>
      <c r="AA53" s="93">
        <f>SUM('31:13'!AA53)</f>
        <v>0</v>
      </c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>
      <c r="A54" s="303">
        <v>30700006</v>
      </c>
      <c r="B54" s="190" t="s">
        <v>418</v>
      </c>
      <c r="C54" s="187" t="s">
        <v>365</v>
      </c>
      <c r="D54" s="17"/>
      <c r="E54" s="17"/>
      <c r="F54" s="6"/>
      <c r="G54" s="93">
        <f>SUM('31:13'!G54)</f>
        <v>0</v>
      </c>
      <c r="H54" s="339">
        <f t="shared" si="10"/>
        <v>0</v>
      </c>
      <c r="I54" s="93">
        <f>SUM('31:13'!I54)</f>
        <v>0</v>
      </c>
      <c r="J54" s="31"/>
      <c r="K54" s="35">
        <f t="array" ref="K54">IF(ISERROR(G54/L54),"",G54/L54)</f>
        <v>0</v>
      </c>
      <c r="L54" s="87">
        <v>3</v>
      </c>
      <c r="M54" s="36">
        <f t="shared" si="17"/>
        <v>0</v>
      </c>
      <c r="N54" s="93">
        <f>SUM('31:13'!N54)</f>
        <v>0</v>
      </c>
      <c r="O54" s="93">
        <f>SUM('31:13'!O54)</f>
        <v>0</v>
      </c>
      <c r="P54" s="93">
        <f>SUM('31:13'!P54)</f>
        <v>0</v>
      </c>
      <c r="Q54" s="93">
        <f>SUM('31:13'!Q54)</f>
        <v>0</v>
      </c>
      <c r="R54" s="93">
        <f>SUM('31:13'!R54)</f>
        <v>0</v>
      </c>
      <c r="S54" s="93">
        <f>SUM('31:13'!S54)</f>
        <v>0</v>
      </c>
      <c r="T54" s="93">
        <f>SUM('31:13'!T54)</f>
        <v>0</v>
      </c>
      <c r="U54" s="93">
        <f>SUM('31:13'!U54)</f>
        <v>0</v>
      </c>
      <c r="V54" s="206"/>
      <c r="W54" s="33"/>
      <c r="X54" s="93">
        <f>SUM('31:13'!X54)</f>
        <v>0</v>
      </c>
      <c r="Y54" s="93">
        <f>SUM('31:13'!Y54)</f>
        <v>0</v>
      </c>
      <c r="Z54" s="93">
        <f>SUM('31:13'!Z54)</f>
        <v>0</v>
      </c>
      <c r="AA54" s="93">
        <f>SUM('31:13'!AA54)</f>
        <v>0</v>
      </c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>
      <c r="A55" s="303">
        <v>30700008</v>
      </c>
      <c r="B55" s="190" t="s">
        <v>418</v>
      </c>
      <c r="C55" s="187" t="s">
        <v>366</v>
      </c>
      <c r="D55" s="17"/>
      <c r="E55" s="17"/>
      <c r="F55" s="6"/>
      <c r="G55" s="93">
        <f>SUM('31:13'!G55)</f>
        <v>0</v>
      </c>
      <c r="H55" s="339">
        <f t="shared" si="10"/>
        <v>0</v>
      </c>
      <c r="I55" s="93">
        <f>SUM('31:13'!I55)</f>
        <v>0</v>
      </c>
      <c r="J55" s="31"/>
      <c r="K55" s="35">
        <f t="array" ref="K55">IF(ISERROR(G55/L55),"",G55/L55)</f>
        <v>0</v>
      </c>
      <c r="L55" s="87">
        <v>3</v>
      </c>
      <c r="M55" s="36">
        <f t="shared" si="17"/>
        <v>0</v>
      </c>
      <c r="N55" s="93">
        <f>SUM('31:13'!N55)</f>
        <v>0</v>
      </c>
      <c r="O55" s="93">
        <f>SUM('31:13'!O55)</f>
        <v>0</v>
      </c>
      <c r="P55" s="93">
        <f>SUM('31:13'!P55)</f>
        <v>0</v>
      </c>
      <c r="Q55" s="93">
        <f>SUM('31:13'!Q55)</f>
        <v>0</v>
      </c>
      <c r="R55" s="93">
        <f>SUM('31:13'!R55)</f>
        <v>0</v>
      </c>
      <c r="S55" s="93">
        <f>SUM('31:13'!S55)</f>
        <v>0</v>
      </c>
      <c r="T55" s="93">
        <f>SUM('31:13'!T55)</f>
        <v>0</v>
      </c>
      <c r="U55" s="93">
        <f>SUM('31:13'!U55)</f>
        <v>0</v>
      </c>
      <c r="V55" s="206"/>
      <c r="W55" s="33"/>
      <c r="X55" s="93">
        <f>SUM('31:13'!X55)</f>
        <v>0</v>
      </c>
      <c r="Y55" s="93">
        <f>SUM('31:13'!Y55)</f>
        <v>0</v>
      </c>
      <c r="Z55" s="93">
        <f>SUM('31:13'!Z55)</f>
        <v>0</v>
      </c>
      <c r="AA55" s="93">
        <f>SUM('31:13'!AA55)</f>
        <v>0</v>
      </c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>
      <c r="A56" s="303">
        <v>30700009</v>
      </c>
      <c r="B56" s="190" t="s">
        <v>418</v>
      </c>
      <c r="C56" s="187" t="s">
        <v>367</v>
      </c>
      <c r="D56" s="17"/>
      <c r="E56" s="17"/>
      <c r="F56" s="6"/>
      <c r="G56" s="93">
        <f>SUM('31:13'!G56)</f>
        <v>0</v>
      </c>
      <c r="H56" s="339">
        <f t="shared" si="10"/>
        <v>0</v>
      </c>
      <c r="I56" s="93">
        <f>SUM('31:13'!I56)</f>
        <v>0</v>
      </c>
      <c r="J56" s="31"/>
      <c r="K56" s="35">
        <f t="array" ref="K56">IF(ISERROR(G56/L56),"",G56/L56)</f>
        <v>0</v>
      </c>
      <c r="L56" s="87">
        <v>3</v>
      </c>
      <c r="M56" s="36">
        <f t="shared" si="17"/>
        <v>0</v>
      </c>
      <c r="N56" s="93">
        <f>SUM('31:13'!N56)</f>
        <v>0</v>
      </c>
      <c r="O56" s="93">
        <f>SUM('31:13'!O56)</f>
        <v>0</v>
      </c>
      <c r="P56" s="93">
        <f>SUM('31:13'!P56)</f>
        <v>0</v>
      </c>
      <c r="Q56" s="93">
        <f>SUM('31:13'!Q56)</f>
        <v>0</v>
      </c>
      <c r="R56" s="93">
        <f>SUM('31:13'!R56)</f>
        <v>0</v>
      </c>
      <c r="S56" s="93">
        <f>SUM('31:13'!S56)</f>
        <v>0</v>
      </c>
      <c r="T56" s="93">
        <f>SUM('31:13'!T56)</f>
        <v>0</v>
      </c>
      <c r="U56" s="93">
        <f>SUM('31:13'!U56)</f>
        <v>0</v>
      </c>
      <c r="V56" s="206"/>
      <c r="W56" s="33"/>
      <c r="X56" s="93">
        <f>SUM('31:13'!X56)</f>
        <v>0</v>
      </c>
      <c r="Y56" s="93">
        <f>SUM('31:13'!Y56)</f>
        <v>0</v>
      </c>
      <c r="Z56" s="93">
        <f>SUM('31:13'!Z56)</f>
        <v>0</v>
      </c>
      <c r="AA56" s="93">
        <f>SUM('31:13'!AA56)</f>
        <v>0</v>
      </c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>
      <c r="A57" s="300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93">
        <f>SUM('31:13'!G57)</f>
        <v>374</v>
      </c>
      <c r="H57" s="339">
        <f t="shared" si="10"/>
        <v>1881.22</v>
      </c>
      <c r="I57" s="93">
        <f>SUM('31:13'!I57)</f>
        <v>9</v>
      </c>
      <c r="J57" s="31">
        <f t="array" ref="J57">IF(ISERROR(G57/I57),"",G57/I57)</f>
        <v>41.555555555555557</v>
      </c>
      <c r="K57" s="35">
        <f t="array" ref="K57">IF(ISERROR(G57/L57),"",G57/L57)</f>
        <v>9.35</v>
      </c>
      <c r="L57" s="87">
        <v>40</v>
      </c>
      <c r="M57" s="36">
        <f t="shared" si="17"/>
        <v>-0.34999999999999964</v>
      </c>
      <c r="N57" s="93">
        <f>SUM('31:13'!N57)</f>
        <v>0</v>
      </c>
      <c r="O57" s="93">
        <f>SUM('31:13'!O57)</f>
        <v>0</v>
      </c>
      <c r="P57" s="93">
        <f>SUM('31:13'!P57)</f>
        <v>0</v>
      </c>
      <c r="Q57" s="93">
        <f>SUM('31:13'!Q57)</f>
        <v>0</v>
      </c>
      <c r="R57" s="93">
        <f>SUM('31:13'!R57)</f>
        <v>0</v>
      </c>
      <c r="S57" s="93">
        <f>SUM('31:13'!S57)</f>
        <v>0</v>
      </c>
      <c r="T57" s="93">
        <f>SUM('31:13'!T57)</f>
        <v>0</v>
      </c>
      <c r="U57" s="93">
        <f>SUM('31:13'!U57)</f>
        <v>0</v>
      </c>
      <c r="V57" s="206">
        <f t="shared" ref="V57:V66" si="20">SUM(X57:AA57)</f>
        <v>0</v>
      </c>
      <c r="W57" s="33">
        <f t="shared" ref="W57:W66" si="21">IF(ISERROR(V57/G57),"",V57/G57)</f>
        <v>0</v>
      </c>
      <c r="X57" s="93">
        <f>SUM('31:13'!X57)</f>
        <v>0</v>
      </c>
      <c r="Y57" s="93">
        <f>SUM('31:13'!Y57)</f>
        <v>0</v>
      </c>
      <c r="Z57" s="93">
        <f>SUM('31:13'!Z57)</f>
        <v>0</v>
      </c>
      <c r="AA57" s="93">
        <f>SUM('31:13'!AA57)</f>
        <v>0</v>
      </c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>
      <c r="A58" s="300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93">
        <f>SUM('31:13'!G58)</f>
        <v>0</v>
      </c>
      <c r="H58" s="339">
        <f t="shared" si="10"/>
        <v>0</v>
      </c>
      <c r="I58" s="93">
        <f>SUM('31:13'!I58)</f>
        <v>0</v>
      </c>
      <c r="J58" s="31" t="str">
        <f t="array" ref="J58">IF(ISERROR(G58/I58),"",G58/I58)</f>
        <v/>
      </c>
      <c r="K58" s="35">
        <f t="array" ref="K58">IF(ISERROR(G58/L58),"",G58/L58)</f>
        <v>0</v>
      </c>
      <c r="L58" s="87">
        <v>40</v>
      </c>
      <c r="M58" s="36">
        <f t="shared" si="17"/>
        <v>0</v>
      </c>
      <c r="N58" s="93">
        <f>SUM('31:13'!N58)</f>
        <v>0</v>
      </c>
      <c r="O58" s="93">
        <f>SUM('31:13'!O58)</f>
        <v>0</v>
      </c>
      <c r="P58" s="93">
        <f>SUM('31:13'!P58)</f>
        <v>0</v>
      </c>
      <c r="Q58" s="93">
        <f>SUM('31:13'!Q58)</f>
        <v>0</v>
      </c>
      <c r="R58" s="93">
        <f>SUM('31:13'!R58)</f>
        <v>0</v>
      </c>
      <c r="S58" s="93">
        <f>SUM('31:13'!S58)</f>
        <v>0</v>
      </c>
      <c r="T58" s="93">
        <f>SUM('31:13'!T58)</f>
        <v>0</v>
      </c>
      <c r="U58" s="93">
        <f>SUM('31:13'!U58)</f>
        <v>0</v>
      </c>
      <c r="V58" s="206">
        <f t="shared" si="20"/>
        <v>0</v>
      </c>
      <c r="W58" s="33" t="str">
        <f t="shared" si="21"/>
        <v/>
      </c>
      <c r="X58" s="93">
        <f>SUM('31:13'!X58)</f>
        <v>0</v>
      </c>
      <c r="Y58" s="93">
        <f>SUM('31:13'!Y58)</f>
        <v>0</v>
      </c>
      <c r="Z58" s="93">
        <f>SUM('31:13'!Z58)</f>
        <v>0</v>
      </c>
      <c r="AA58" s="93">
        <f>SUM('31:13'!AA58)</f>
        <v>0</v>
      </c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>
      <c r="A59" s="300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93">
        <f>SUM('31:13'!G59)</f>
        <v>720</v>
      </c>
      <c r="H59" s="339">
        <f t="shared" si="10"/>
        <v>3621.6000000000004</v>
      </c>
      <c r="I59" s="93">
        <f>SUM('31:13'!I59)</f>
        <v>43</v>
      </c>
      <c r="J59" s="31">
        <f t="array" ref="J59">IF(ISERROR(G59/I59),"",G59/I59)</f>
        <v>16.744186046511629</v>
      </c>
      <c r="K59" s="35">
        <f t="array" ref="K59">IF(ISERROR(G59/L59),"",G59/L59)</f>
        <v>18</v>
      </c>
      <c r="L59" s="87">
        <v>40</v>
      </c>
      <c r="M59" s="36">
        <f t="shared" si="17"/>
        <v>25</v>
      </c>
      <c r="N59" s="93">
        <f>SUM('31:13'!N59)</f>
        <v>0</v>
      </c>
      <c r="O59" s="93">
        <f>SUM('31:13'!O59)</f>
        <v>0</v>
      </c>
      <c r="P59" s="93">
        <f>SUM('31:13'!P59)</f>
        <v>0</v>
      </c>
      <c r="Q59" s="93">
        <f>SUM('31:13'!Q59)</f>
        <v>0</v>
      </c>
      <c r="R59" s="93">
        <f>SUM('31:13'!R59)</f>
        <v>0</v>
      </c>
      <c r="S59" s="93">
        <f>SUM('31:13'!S59)</f>
        <v>0</v>
      </c>
      <c r="T59" s="93">
        <f>SUM('31:13'!T59)</f>
        <v>0</v>
      </c>
      <c r="U59" s="93">
        <f>SUM('31:13'!U59)</f>
        <v>0</v>
      </c>
      <c r="V59" s="206">
        <f t="shared" si="20"/>
        <v>0</v>
      </c>
      <c r="W59" s="33">
        <f t="shared" si="21"/>
        <v>0</v>
      </c>
      <c r="X59" s="93">
        <f>SUM('31:13'!X59)</f>
        <v>0</v>
      </c>
      <c r="Y59" s="93">
        <f>SUM('31:13'!Y59)</f>
        <v>0</v>
      </c>
      <c r="Z59" s="93">
        <f>SUM('31:13'!Z59)</f>
        <v>0</v>
      </c>
      <c r="AA59" s="93">
        <f>SUM('31:13'!AA59)</f>
        <v>0</v>
      </c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>
      <c r="A60" s="300">
        <v>30100040</v>
      </c>
      <c r="B60" s="62" t="s">
        <v>81</v>
      </c>
      <c r="C60" s="16" t="s">
        <v>82</v>
      </c>
      <c r="D60" s="17">
        <v>5.03</v>
      </c>
      <c r="E60" s="17"/>
      <c r="F60" s="6"/>
      <c r="G60" s="93">
        <f>SUM('31:13'!G60)</f>
        <v>0</v>
      </c>
      <c r="H60" s="339">
        <f t="shared" si="10"/>
        <v>0</v>
      </c>
      <c r="I60" s="93">
        <f>SUM('31:13'!I60)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87">
        <v>50</v>
      </c>
      <c r="M60" s="36">
        <f t="shared" si="17"/>
        <v>0</v>
      </c>
      <c r="N60" s="93">
        <f>SUM('31:13'!N60)</f>
        <v>0</v>
      </c>
      <c r="O60" s="93">
        <f>SUM('31:13'!O60)</f>
        <v>0</v>
      </c>
      <c r="P60" s="93">
        <f>SUM('31:13'!P60)</f>
        <v>0</v>
      </c>
      <c r="Q60" s="93">
        <f>SUM('31:13'!Q60)</f>
        <v>0</v>
      </c>
      <c r="R60" s="93">
        <f>SUM('31:13'!R60)</f>
        <v>0</v>
      </c>
      <c r="S60" s="93">
        <f>SUM('31:13'!S60)</f>
        <v>0</v>
      </c>
      <c r="T60" s="93">
        <f>SUM('31:13'!T60)</f>
        <v>0</v>
      </c>
      <c r="U60" s="93">
        <f>SUM('31:13'!U60)</f>
        <v>0</v>
      </c>
      <c r="V60" s="206">
        <f t="shared" si="20"/>
        <v>0</v>
      </c>
      <c r="W60" s="33" t="str">
        <f t="shared" si="21"/>
        <v/>
      </c>
      <c r="X60" s="93">
        <f>SUM('31:13'!X60)</f>
        <v>0</v>
      </c>
      <c r="Y60" s="93">
        <f>SUM('31:13'!Y60)</f>
        <v>0</v>
      </c>
      <c r="Z60" s="93">
        <f>SUM('31:13'!Z60)</f>
        <v>0</v>
      </c>
      <c r="AA60" s="93">
        <f>SUM('31:13'!AA60)</f>
        <v>0</v>
      </c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>
      <c r="A61" s="300">
        <v>30100039</v>
      </c>
      <c r="B61" s="62" t="s">
        <v>81</v>
      </c>
      <c r="C61" s="16" t="s">
        <v>60</v>
      </c>
      <c r="D61" s="17">
        <v>5.03</v>
      </c>
      <c r="E61" s="17"/>
      <c r="F61" s="6"/>
      <c r="G61" s="93">
        <f>SUM('31:13'!G61)</f>
        <v>0</v>
      </c>
      <c r="H61" s="339">
        <f t="shared" si="10"/>
        <v>0</v>
      </c>
      <c r="I61" s="93">
        <f>SUM('31:13'!I61)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87">
        <v>50</v>
      </c>
      <c r="M61" s="36">
        <f t="shared" si="17"/>
        <v>0</v>
      </c>
      <c r="N61" s="93">
        <f>SUM('31:13'!N61)</f>
        <v>0</v>
      </c>
      <c r="O61" s="93">
        <f>SUM('31:13'!O61)</f>
        <v>0</v>
      </c>
      <c r="P61" s="93">
        <f>SUM('31:13'!P61)</f>
        <v>0</v>
      </c>
      <c r="Q61" s="93">
        <f>SUM('31:13'!Q61)</f>
        <v>0</v>
      </c>
      <c r="R61" s="93">
        <f>SUM('31:13'!R61)</f>
        <v>0</v>
      </c>
      <c r="S61" s="93">
        <f>SUM('31:13'!S61)</f>
        <v>0</v>
      </c>
      <c r="T61" s="93">
        <f>SUM('31:13'!T61)</f>
        <v>0</v>
      </c>
      <c r="U61" s="93">
        <f>SUM('31:13'!U61)</f>
        <v>0</v>
      </c>
      <c r="V61" s="206">
        <f t="shared" si="20"/>
        <v>0</v>
      </c>
      <c r="W61" s="33" t="str">
        <f t="shared" si="21"/>
        <v/>
      </c>
      <c r="X61" s="93">
        <f>SUM('31:13'!X61)</f>
        <v>0</v>
      </c>
      <c r="Y61" s="93">
        <f>SUM('31:13'!Y61)</f>
        <v>0</v>
      </c>
      <c r="Z61" s="93">
        <f>SUM('31:13'!Z61)</f>
        <v>0</v>
      </c>
      <c r="AA61" s="93">
        <f>SUM('31:13'!AA61)</f>
        <v>0</v>
      </c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>
      <c r="A62" s="300">
        <v>30100042</v>
      </c>
      <c r="B62" s="62" t="s">
        <v>81</v>
      </c>
      <c r="C62" s="16" t="s">
        <v>61</v>
      </c>
      <c r="D62" s="17">
        <v>5.03</v>
      </c>
      <c r="E62" s="17"/>
      <c r="F62" s="6"/>
      <c r="G62" s="93">
        <f>SUM('31:13'!G62)</f>
        <v>0</v>
      </c>
      <c r="H62" s="339">
        <f t="shared" si="10"/>
        <v>0</v>
      </c>
      <c r="I62" s="93">
        <f>SUM('31:13'!I62)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87">
        <v>50</v>
      </c>
      <c r="M62" s="36">
        <f t="shared" si="17"/>
        <v>0</v>
      </c>
      <c r="N62" s="93">
        <f>SUM('31:13'!N62)</f>
        <v>0</v>
      </c>
      <c r="O62" s="93">
        <f>SUM('31:13'!O62)</f>
        <v>0</v>
      </c>
      <c r="P62" s="93">
        <f>SUM('31:13'!P62)</f>
        <v>0</v>
      </c>
      <c r="Q62" s="93">
        <f>SUM('31:13'!Q62)</f>
        <v>0</v>
      </c>
      <c r="R62" s="93">
        <f>SUM('31:13'!R62)</f>
        <v>0</v>
      </c>
      <c r="S62" s="93">
        <f>SUM('31:13'!S62)</f>
        <v>0</v>
      </c>
      <c r="T62" s="93">
        <f>SUM('31:13'!T62)</f>
        <v>0</v>
      </c>
      <c r="U62" s="93">
        <f>SUM('31:13'!U62)</f>
        <v>0</v>
      </c>
      <c r="V62" s="206">
        <f t="shared" si="20"/>
        <v>0</v>
      </c>
      <c r="W62" s="33" t="str">
        <f t="shared" si="21"/>
        <v/>
      </c>
      <c r="X62" s="93">
        <f>SUM('31:13'!X62)</f>
        <v>0</v>
      </c>
      <c r="Y62" s="93">
        <f>SUM('31:13'!Y62)</f>
        <v>0</v>
      </c>
      <c r="Z62" s="93">
        <f>SUM('31:13'!Z62)</f>
        <v>0</v>
      </c>
      <c r="AA62" s="93">
        <f>SUM('31:13'!AA62)</f>
        <v>0</v>
      </c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>
      <c r="A63" s="300">
        <v>30100041</v>
      </c>
      <c r="B63" s="62" t="s">
        <v>81</v>
      </c>
      <c r="C63" s="16" t="s">
        <v>65</v>
      </c>
      <c r="D63" s="17">
        <v>5.03</v>
      </c>
      <c r="E63" s="17"/>
      <c r="F63" s="6"/>
      <c r="G63" s="93">
        <f>SUM('31:13'!G63)</f>
        <v>0</v>
      </c>
      <c r="H63" s="339">
        <f t="shared" si="10"/>
        <v>0</v>
      </c>
      <c r="I63" s="93">
        <f>SUM('31:13'!I63)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87">
        <v>50</v>
      </c>
      <c r="M63" s="36">
        <f t="shared" si="17"/>
        <v>0</v>
      </c>
      <c r="N63" s="93">
        <f>SUM('31:13'!N63)</f>
        <v>0</v>
      </c>
      <c r="O63" s="93">
        <f>SUM('31:13'!O63)</f>
        <v>0</v>
      </c>
      <c r="P63" s="93">
        <f>SUM('31:13'!P63)</f>
        <v>0</v>
      </c>
      <c r="Q63" s="93">
        <f>SUM('31:13'!Q63)</f>
        <v>0</v>
      </c>
      <c r="R63" s="93">
        <f>SUM('31:13'!R63)</f>
        <v>0</v>
      </c>
      <c r="S63" s="93">
        <f>SUM('31:13'!S63)</f>
        <v>0</v>
      </c>
      <c r="T63" s="93">
        <f>SUM('31:13'!T63)</f>
        <v>0</v>
      </c>
      <c r="U63" s="93">
        <f>SUM('31:13'!U63)</f>
        <v>0</v>
      </c>
      <c r="V63" s="206">
        <f t="shared" si="20"/>
        <v>0</v>
      </c>
      <c r="W63" s="33" t="str">
        <f t="shared" si="21"/>
        <v/>
      </c>
      <c r="X63" s="93">
        <f>SUM('31:13'!X63)</f>
        <v>0</v>
      </c>
      <c r="Y63" s="93">
        <f>SUM('31:13'!Y63)</f>
        <v>0</v>
      </c>
      <c r="Z63" s="93">
        <f>SUM('31:13'!Z63)</f>
        <v>0</v>
      </c>
      <c r="AA63" s="93">
        <f>SUM('31:13'!AA63)</f>
        <v>0</v>
      </c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>
      <c r="A64" s="300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93">
        <f>SUM('31:13'!G64)</f>
        <v>270</v>
      </c>
      <c r="H64" s="339">
        <f t="shared" si="10"/>
        <v>1358.1000000000001</v>
      </c>
      <c r="I64" s="93">
        <f>SUM('31:13'!I64)</f>
        <v>4</v>
      </c>
      <c r="J64" s="31">
        <f t="array" ref="J64">IF(ISERROR(G64/I64),"",G64/I64)</f>
        <v>67.5</v>
      </c>
      <c r="K64" s="35">
        <f t="array" ref="K64">IF(ISERROR(G64/L64),"",G64/L64)</f>
        <v>5.4</v>
      </c>
      <c r="L64" s="87">
        <v>50</v>
      </c>
      <c r="M64" s="36">
        <f t="shared" si="17"/>
        <v>-1.4000000000000004</v>
      </c>
      <c r="N64" s="93">
        <f>SUM('31:13'!N64)</f>
        <v>0</v>
      </c>
      <c r="O64" s="93">
        <f>SUM('31:13'!O64)</f>
        <v>0</v>
      </c>
      <c r="P64" s="93">
        <f>SUM('31:13'!P64)</f>
        <v>0</v>
      </c>
      <c r="Q64" s="93">
        <f>SUM('31:13'!Q64)</f>
        <v>0</v>
      </c>
      <c r="R64" s="93">
        <f>SUM('31:13'!R64)</f>
        <v>0</v>
      </c>
      <c r="S64" s="93">
        <f>SUM('31:13'!S64)</f>
        <v>0</v>
      </c>
      <c r="T64" s="93">
        <f>SUM('31:13'!T64)</f>
        <v>0</v>
      </c>
      <c r="U64" s="93">
        <f>SUM('31:13'!U64)</f>
        <v>0</v>
      </c>
      <c r="V64" s="206">
        <f t="shared" si="20"/>
        <v>0</v>
      </c>
      <c r="W64" s="33">
        <f t="shared" si="21"/>
        <v>0</v>
      </c>
      <c r="X64" s="93">
        <f>SUM('31:13'!X64)</f>
        <v>0</v>
      </c>
      <c r="Y64" s="93">
        <f>SUM('31:13'!Y64)</f>
        <v>0</v>
      </c>
      <c r="Z64" s="93">
        <f>SUM('31:13'!Z64)</f>
        <v>0</v>
      </c>
      <c r="AA64" s="93">
        <f>SUM('31:13'!AA64)</f>
        <v>0</v>
      </c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>
      <c r="A65" s="300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93">
        <f>SUM('31:13'!G65)</f>
        <v>1033</v>
      </c>
      <c r="H65" s="339">
        <f t="shared" si="10"/>
        <v>5195.9900000000007</v>
      </c>
      <c r="I65" s="93">
        <f>SUM('31:13'!I65)</f>
        <v>15.5</v>
      </c>
      <c r="J65" s="31">
        <f t="array" ref="J65">IF(ISERROR(G65/I65),"",G65/I65)</f>
        <v>66.645161290322577</v>
      </c>
      <c r="K65" s="35">
        <f t="array" ref="K65">IF(ISERROR(G65/L65),"",G65/L65)</f>
        <v>20.66</v>
      </c>
      <c r="L65" s="87">
        <v>50</v>
      </c>
      <c r="M65" s="36">
        <f t="shared" si="17"/>
        <v>-5.16</v>
      </c>
      <c r="N65" s="93">
        <f>SUM('31:13'!N65)</f>
        <v>0</v>
      </c>
      <c r="O65" s="93">
        <f>SUM('31:13'!O65)</f>
        <v>0</v>
      </c>
      <c r="P65" s="93">
        <f>SUM('31:13'!P65)</f>
        <v>0</v>
      </c>
      <c r="Q65" s="93">
        <f>SUM('31:13'!Q65)</f>
        <v>0</v>
      </c>
      <c r="R65" s="93">
        <f>SUM('31:13'!R65)</f>
        <v>0</v>
      </c>
      <c r="S65" s="93">
        <f>SUM('31:13'!S65)</f>
        <v>0</v>
      </c>
      <c r="T65" s="93">
        <f>SUM('31:13'!T65)</f>
        <v>0</v>
      </c>
      <c r="U65" s="93">
        <f>SUM('31:13'!U65)</f>
        <v>0</v>
      </c>
      <c r="V65" s="206">
        <f t="shared" si="20"/>
        <v>0</v>
      </c>
      <c r="W65" s="33">
        <f t="shared" si="21"/>
        <v>0</v>
      </c>
      <c r="X65" s="93">
        <f>SUM('31:13'!X65)</f>
        <v>0</v>
      </c>
      <c r="Y65" s="93">
        <f>SUM('31:13'!Y65)</f>
        <v>0</v>
      </c>
      <c r="Z65" s="93">
        <f>SUM('31:13'!Z65)</f>
        <v>0</v>
      </c>
      <c r="AA65" s="93">
        <f>SUM('31:13'!AA65)</f>
        <v>0</v>
      </c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>
      <c r="A66" s="300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93">
        <f>SUM('31:13'!G66)</f>
        <v>354</v>
      </c>
      <c r="H66" s="339">
        <f t="shared" si="10"/>
        <v>1780.6200000000001</v>
      </c>
      <c r="I66" s="93">
        <f>SUM('31:13'!I66)</f>
        <v>7</v>
      </c>
      <c r="J66" s="31">
        <f t="array" ref="J66">IF(ISERROR(G66/I66),"",G66/I66)</f>
        <v>50.571428571428569</v>
      </c>
      <c r="K66" s="35">
        <f t="array" ref="K66">IF(ISERROR(G66/L66),"",G66/L66)</f>
        <v>7.08</v>
      </c>
      <c r="L66" s="87">
        <v>50</v>
      </c>
      <c r="M66" s="36">
        <f t="shared" si="17"/>
        <v>-8.0000000000000071E-2</v>
      </c>
      <c r="N66" s="93">
        <f>SUM('31:13'!N66)</f>
        <v>0</v>
      </c>
      <c r="O66" s="93">
        <f>SUM('31:13'!O66)</f>
        <v>0</v>
      </c>
      <c r="P66" s="93">
        <f>SUM('31:13'!P66)</f>
        <v>0</v>
      </c>
      <c r="Q66" s="93">
        <f>SUM('31:13'!Q66)</f>
        <v>0</v>
      </c>
      <c r="R66" s="93">
        <f>SUM('31:13'!R66)</f>
        <v>0</v>
      </c>
      <c r="S66" s="93">
        <f>SUM('31:13'!S66)</f>
        <v>0</v>
      </c>
      <c r="T66" s="93">
        <f>SUM('31:13'!T66)</f>
        <v>0</v>
      </c>
      <c r="U66" s="93">
        <f>SUM('31:13'!U66)</f>
        <v>0</v>
      </c>
      <c r="V66" s="206">
        <f t="shared" si="20"/>
        <v>0</v>
      </c>
      <c r="W66" s="33">
        <f t="shared" si="21"/>
        <v>0</v>
      </c>
      <c r="X66" s="93">
        <f>SUM('31:13'!X66)</f>
        <v>0</v>
      </c>
      <c r="Y66" s="93">
        <f>SUM('31:13'!Y66)</f>
        <v>0</v>
      </c>
      <c r="Z66" s="93">
        <f>SUM('31:13'!Z66)</f>
        <v>0</v>
      </c>
      <c r="AA66" s="93">
        <f>SUM('31:13'!AA66)</f>
        <v>0</v>
      </c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>
      <c r="A67" s="300">
        <v>30100043</v>
      </c>
      <c r="B67" s="62" t="s">
        <v>429</v>
      </c>
      <c r="C67" s="297" t="s">
        <v>451</v>
      </c>
      <c r="D67" s="17">
        <v>5.03</v>
      </c>
      <c r="E67" s="17"/>
      <c r="F67" s="6"/>
      <c r="G67" s="93">
        <f>SUM('31:13'!G67)</f>
        <v>300</v>
      </c>
      <c r="H67" s="339">
        <f t="shared" si="10"/>
        <v>1509</v>
      </c>
      <c r="I67" s="93">
        <f>SUM('31:13'!I67)</f>
        <v>3.5</v>
      </c>
      <c r="J67" s="31"/>
      <c r="K67" s="35">
        <f t="array" ref="K67">IF(ISERROR(G67/L67),"",G67/L67)</f>
        <v>6</v>
      </c>
      <c r="L67" s="87">
        <v>50</v>
      </c>
      <c r="M67" s="36"/>
      <c r="N67" s="93"/>
      <c r="O67" s="93"/>
      <c r="P67" s="93"/>
      <c r="Q67" s="93"/>
      <c r="R67" s="93"/>
      <c r="S67" s="93"/>
      <c r="T67" s="93"/>
      <c r="U67" s="93"/>
      <c r="V67" s="206"/>
      <c r="W67" s="33"/>
      <c r="X67" s="93"/>
      <c r="Y67" s="93"/>
      <c r="Z67" s="93"/>
      <c r="AA67" s="93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>
      <c r="A68" s="300">
        <v>30100064</v>
      </c>
      <c r="B68" s="192" t="s">
        <v>486</v>
      </c>
      <c r="C68" s="187" t="s">
        <v>399</v>
      </c>
      <c r="D68" s="17">
        <v>5</v>
      </c>
      <c r="E68" s="17"/>
      <c r="F68" s="6"/>
      <c r="G68" s="93">
        <f>SUM('31:13'!G68)</f>
        <v>185</v>
      </c>
      <c r="H68" s="339">
        <f t="shared" si="10"/>
        <v>925</v>
      </c>
      <c r="I68" s="93">
        <f>SUM('31:13'!I68)</f>
        <v>5</v>
      </c>
      <c r="J68" s="31"/>
      <c r="K68" s="35">
        <f t="array" ref="K68">IF(ISERROR(G68/L68),"",G68/L68)</f>
        <v>3.7</v>
      </c>
      <c r="L68" s="87">
        <v>50</v>
      </c>
      <c r="M68" s="36"/>
      <c r="N68" s="93">
        <f>SUM('31:13'!N68)</f>
        <v>0</v>
      </c>
      <c r="O68" s="93">
        <f>SUM('31:13'!O68)</f>
        <v>0</v>
      </c>
      <c r="P68" s="93">
        <f>SUM('31:13'!P68)</f>
        <v>0</v>
      </c>
      <c r="Q68" s="93">
        <f>SUM('31:13'!Q68)</f>
        <v>0</v>
      </c>
      <c r="R68" s="93">
        <f>SUM('31:13'!R68)</f>
        <v>0</v>
      </c>
      <c r="S68" s="93">
        <f>SUM('31:13'!S68)</f>
        <v>0</v>
      </c>
      <c r="T68" s="93">
        <f>SUM('31:13'!T68)</f>
        <v>0</v>
      </c>
      <c r="U68" s="93">
        <f>SUM('31:13'!U68)</f>
        <v>0</v>
      </c>
      <c r="V68" s="206"/>
      <c r="W68" s="33"/>
      <c r="X68" s="93">
        <f>SUM('31:13'!X68)</f>
        <v>0</v>
      </c>
      <c r="Y68" s="93">
        <f>SUM('31:13'!Y68)</f>
        <v>0</v>
      </c>
      <c r="Z68" s="93">
        <f>SUM('31:13'!Z68)</f>
        <v>0</v>
      </c>
      <c r="AA68" s="93">
        <f>SUM('31:13'!AA68)</f>
        <v>0</v>
      </c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>
      <c r="A69" s="300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93">
        <f>SUM('31:13'!G69)</f>
        <v>1287</v>
      </c>
      <c r="H69" s="339">
        <f t="shared" si="10"/>
        <v>6473.6100000000006</v>
      </c>
      <c r="I69" s="93">
        <f>SUM('31:13'!I69)</f>
        <v>48</v>
      </c>
      <c r="J69" s="31">
        <f t="array" ref="J69">IF(ISERROR(G69/I69),"",G69/I69)</f>
        <v>26.8125</v>
      </c>
      <c r="K69" s="35">
        <f t="array" ref="K69">IF(ISERROR(G69/L69),"",G69/L69)</f>
        <v>59.860465116279073</v>
      </c>
      <c r="L69" s="87">
        <v>21.5</v>
      </c>
      <c r="M69" s="36">
        <f t="shared" ref="M69:M70" si="22">IF(ISERROR(I69-K69),"",I69-K69)</f>
        <v>-11.860465116279073</v>
      </c>
      <c r="N69" s="93">
        <f>SUM('31:13'!N69)</f>
        <v>0</v>
      </c>
      <c r="O69" s="93">
        <f>SUM('31:13'!O69)</f>
        <v>0</v>
      </c>
      <c r="P69" s="93">
        <f>SUM('31:13'!P69)</f>
        <v>0</v>
      </c>
      <c r="Q69" s="93">
        <f>SUM('31:13'!Q69)</f>
        <v>0</v>
      </c>
      <c r="R69" s="93">
        <f>SUM('31:13'!R69)</f>
        <v>0</v>
      </c>
      <c r="S69" s="93">
        <f>SUM('31:13'!S69)</f>
        <v>0</v>
      </c>
      <c r="T69" s="93">
        <f>SUM('31:13'!T69)</f>
        <v>0</v>
      </c>
      <c r="U69" s="93">
        <f>SUM('31:13'!U69)</f>
        <v>0</v>
      </c>
      <c r="V69" s="206">
        <f t="shared" ref="V69:V70" si="23">SUM(X69:AA69)</f>
        <v>0</v>
      </c>
      <c r="W69" s="33">
        <f t="shared" ref="W69:W70" si="24">IF(ISERROR(V69/G69),"",V69/G69)</f>
        <v>0</v>
      </c>
      <c r="X69" s="93">
        <f>SUM('31:13'!X69)</f>
        <v>0</v>
      </c>
      <c r="Y69" s="93">
        <f>SUM('31:13'!Y69)</f>
        <v>0</v>
      </c>
      <c r="Z69" s="93">
        <f>SUM('31:13'!Z69)</f>
        <v>0</v>
      </c>
      <c r="AA69" s="93">
        <f>SUM('31:13'!AA69)</f>
        <v>0</v>
      </c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>
      <c r="A70" s="300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93">
        <f>SUM('31:13'!G70)</f>
        <v>1036</v>
      </c>
      <c r="H70" s="339">
        <f t="shared" si="10"/>
        <v>5211.08</v>
      </c>
      <c r="I70" s="93">
        <f>SUM('31:13'!I70)</f>
        <v>48</v>
      </c>
      <c r="J70" s="31">
        <f t="array" ref="J70">IF(ISERROR(G70/I70),"",G70/I70)</f>
        <v>21.583333333333332</v>
      </c>
      <c r="K70" s="35">
        <f t="array" ref="K70">IF(ISERROR(G70/L70),"",G70/L70)</f>
        <v>48.186046511627907</v>
      </c>
      <c r="L70" s="87">
        <v>21.5</v>
      </c>
      <c r="M70" s="36">
        <f t="shared" si="22"/>
        <v>-0.18604651162790731</v>
      </c>
      <c r="N70" s="93">
        <f>SUM('31:13'!N70)</f>
        <v>0</v>
      </c>
      <c r="O70" s="93">
        <f>SUM('31:13'!O70)</f>
        <v>0</v>
      </c>
      <c r="P70" s="93">
        <f>SUM('31:13'!P70)</f>
        <v>0</v>
      </c>
      <c r="Q70" s="93">
        <f>SUM('31:13'!Q70)</f>
        <v>0</v>
      </c>
      <c r="R70" s="93">
        <f>SUM('31:13'!R70)</f>
        <v>0</v>
      </c>
      <c r="S70" s="93">
        <f>SUM('31:13'!S70)</f>
        <v>0</v>
      </c>
      <c r="T70" s="93">
        <f>SUM('31:13'!T70)</f>
        <v>0</v>
      </c>
      <c r="U70" s="93">
        <f>SUM('31:13'!U70)</f>
        <v>0</v>
      </c>
      <c r="V70" s="206">
        <f t="shared" si="23"/>
        <v>0</v>
      </c>
      <c r="W70" s="33">
        <f t="shared" si="24"/>
        <v>0</v>
      </c>
      <c r="X70" s="93">
        <f>SUM('31:13'!X70)</f>
        <v>0</v>
      </c>
      <c r="Y70" s="93">
        <f>SUM('31:13'!Y70)</f>
        <v>0</v>
      </c>
      <c r="Z70" s="93">
        <f>SUM('31:13'!Z70)</f>
        <v>0</v>
      </c>
      <c r="AA70" s="93">
        <f>SUM('31:13'!AA70)</f>
        <v>0</v>
      </c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>
      <c r="A71" s="300"/>
      <c r="B71" s="192" t="s">
        <v>487</v>
      </c>
      <c r="C71" s="187" t="s">
        <v>361</v>
      </c>
      <c r="D71" s="17"/>
      <c r="E71" s="17"/>
      <c r="F71" s="6"/>
      <c r="G71" s="93">
        <f>SUM('31:13'!G71)</f>
        <v>0</v>
      </c>
      <c r="H71" s="339">
        <f t="shared" si="10"/>
        <v>0</v>
      </c>
      <c r="I71" s="93">
        <f>SUM('31:13'!I71)</f>
        <v>0</v>
      </c>
      <c r="J71" s="31"/>
      <c r="K71" s="35"/>
      <c r="L71" s="87"/>
      <c r="M71" s="36"/>
      <c r="N71" s="93">
        <f>SUM('31:13'!N71)</f>
        <v>0</v>
      </c>
      <c r="O71" s="93">
        <f>SUM('31:13'!O71)</f>
        <v>0</v>
      </c>
      <c r="P71" s="93">
        <f>SUM('31:13'!P71)</f>
        <v>0</v>
      </c>
      <c r="Q71" s="93">
        <f>SUM('31:13'!Q71)</f>
        <v>0</v>
      </c>
      <c r="R71" s="93">
        <f>SUM('31:13'!R71)</f>
        <v>0</v>
      </c>
      <c r="S71" s="93">
        <f>SUM('31:13'!S71)</f>
        <v>0</v>
      </c>
      <c r="T71" s="93">
        <f>SUM('31:13'!T71)</f>
        <v>0</v>
      </c>
      <c r="U71" s="93">
        <f>SUM('31:13'!U71)</f>
        <v>0</v>
      </c>
      <c r="V71" s="206"/>
      <c r="W71" s="33"/>
      <c r="X71" s="93">
        <f>SUM('31:13'!X71)</f>
        <v>0</v>
      </c>
      <c r="Y71" s="93">
        <f>SUM('31:13'!Y71)</f>
        <v>0</v>
      </c>
      <c r="Z71" s="93">
        <f>SUM('31:13'!Z71)</f>
        <v>0</v>
      </c>
      <c r="AA71" s="93">
        <f>SUM('31:13'!AA71)</f>
        <v>0</v>
      </c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>
      <c r="A72" s="300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93">
        <f>SUM('31:13'!G72)</f>
        <v>0</v>
      </c>
      <c r="H72" s="339">
        <f t="shared" si="10"/>
        <v>0</v>
      </c>
      <c r="I72" s="93">
        <f>SUM('31:13'!I72)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87"/>
      <c r="M72" s="36" t="str">
        <f t="shared" ref="M72:M79" si="25">IF(ISERROR(I72-K72),"",I72-K72)</f>
        <v/>
      </c>
      <c r="N72" s="93">
        <f>SUM('31:13'!N72)</f>
        <v>0</v>
      </c>
      <c r="O72" s="93">
        <f>SUM('31:13'!O72)</f>
        <v>0</v>
      </c>
      <c r="P72" s="93">
        <f>SUM('31:13'!P72)</f>
        <v>0</v>
      </c>
      <c r="Q72" s="93">
        <f>SUM('31:13'!Q72)</f>
        <v>0</v>
      </c>
      <c r="R72" s="93">
        <f>SUM('31:13'!R72)</f>
        <v>0</v>
      </c>
      <c r="S72" s="93">
        <f>SUM('31:13'!S72)</f>
        <v>0</v>
      </c>
      <c r="T72" s="93">
        <f>SUM('31:13'!T72)</f>
        <v>0</v>
      </c>
      <c r="U72" s="93">
        <f>SUM('31:13'!U72)</f>
        <v>0</v>
      </c>
      <c r="V72" s="206">
        <f t="shared" ref="V72:V75" si="26">SUM(X72:AA72)</f>
        <v>0</v>
      </c>
      <c r="W72" s="33" t="str">
        <f t="shared" ref="W72:W75" si="27">IF(ISERROR(V72/G72),"",V72/G72)</f>
        <v/>
      </c>
      <c r="X72" s="93">
        <f>SUM('31:13'!X72)</f>
        <v>0</v>
      </c>
      <c r="Y72" s="93">
        <f>SUM('31:13'!Y72)</f>
        <v>0</v>
      </c>
      <c r="Z72" s="93">
        <f>SUM('31:13'!Z72)</f>
        <v>0</v>
      </c>
      <c r="AA72" s="93">
        <f>SUM('31:13'!AA72)</f>
        <v>0</v>
      </c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>
      <c r="A73" s="300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93">
        <f>SUM('31:13'!G73)</f>
        <v>0</v>
      </c>
      <c r="H73" s="339">
        <f t="shared" si="10"/>
        <v>0</v>
      </c>
      <c r="I73" s="93">
        <f>SUM('31:13'!I73)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87"/>
      <c r="M73" s="36" t="str">
        <f t="shared" si="25"/>
        <v/>
      </c>
      <c r="N73" s="93">
        <f>SUM('31:13'!N73)</f>
        <v>0</v>
      </c>
      <c r="O73" s="93">
        <f>SUM('31:13'!O73)</f>
        <v>0</v>
      </c>
      <c r="P73" s="93">
        <f>SUM('31:13'!P73)</f>
        <v>0</v>
      </c>
      <c r="Q73" s="93">
        <f>SUM('31:13'!Q73)</f>
        <v>0</v>
      </c>
      <c r="R73" s="93">
        <f>SUM('31:13'!R73)</f>
        <v>0</v>
      </c>
      <c r="S73" s="93">
        <f>SUM('31:13'!S73)</f>
        <v>0</v>
      </c>
      <c r="T73" s="93">
        <f>SUM('31:13'!T73)</f>
        <v>0</v>
      </c>
      <c r="U73" s="93">
        <f>SUM('31:13'!U73)</f>
        <v>0</v>
      </c>
      <c r="V73" s="206">
        <f t="shared" si="26"/>
        <v>0</v>
      </c>
      <c r="W73" s="33" t="str">
        <f t="shared" si="27"/>
        <v/>
      </c>
      <c r="X73" s="93">
        <f>SUM('31:13'!X73)</f>
        <v>0</v>
      </c>
      <c r="Y73" s="93">
        <f>SUM('31:13'!Y73)</f>
        <v>0</v>
      </c>
      <c r="Z73" s="93">
        <f>SUM('31:13'!Z73)</f>
        <v>0</v>
      </c>
      <c r="AA73" s="93">
        <f>SUM('31:13'!AA73)</f>
        <v>0</v>
      </c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300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93">
        <f>SUM('31:13'!G74)</f>
        <v>0</v>
      </c>
      <c r="H74" s="339">
        <f t="shared" si="10"/>
        <v>0</v>
      </c>
      <c r="I74" s="93">
        <f>SUM('31:13'!I74)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87"/>
      <c r="M74" s="36" t="str">
        <f t="shared" si="25"/>
        <v/>
      </c>
      <c r="N74" s="93">
        <f>SUM('31:13'!N74)</f>
        <v>0</v>
      </c>
      <c r="O74" s="93">
        <f>SUM('31:13'!O74)</f>
        <v>0</v>
      </c>
      <c r="P74" s="93">
        <f>SUM('31:13'!P74)</f>
        <v>0</v>
      </c>
      <c r="Q74" s="93">
        <f>SUM('31:13'!Q74)</f>
        <v>0</v>
      </c>
      <c r="R74" s="93">
        <f>SUM('31:13'!R74)</f>
        <v>0</v>
      </c>
      <c r="S74" s="93">
        <f>SUM('31:13'!S74)</f>
        <v>0</v>
      </c>
      <c r="T74" s="93">
        <f>SUM('31:13'!T74)</f>
        <v>0</v>
      </c>
      <c r="U74" s="93">
        <f>SUM('31:13'!U74)</f>
        <v>0</v>
      </c>
      <c r="V74" s="206">
        <f t="shared" si="26"/>
        <v>0</v>
      </c>
      <c r="W74" s="33" t="str">
        <f t="shared" si="27"/>
        <v/>
      </c>
      <c r="X74" s="93">
        <f>SUM('31:13'!X74)</f>
        <v>0</v>
      </c>
      <c r="Y74" s="93">
        <f>SUM('31:13'!Y74)</f>
        <v>0</v>
      </c>
      <c r="Z74" s="93">
        <f>SUM('31:13'!Z74)</f>
        <v>0</v>
      </c>
      <c r="AA74" s="93">
        <f>SUM('31:13'!AA74)</f>
        <v>0</v>
      </c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>
      <c r="A75" s="300">
        <v>30100058</v>
      </c>
      <c r="B75" s="189" t="s">
        <v>489</v>
      </c>
      <c r="C75" s="16" t="s">
        <v>61</v>
      </c>
      <c r="D75" s="17">
        <v>5.0599999999999996</v>
      </c>
      <c r="E75" s="17"/>
      <c r="F75" s="6"/>
      <c r="G75" s="93">
        <f>SUM('31:13'!G75)</f>
        <v>0</v>
      </c>
      <c r="H75" s="339">
        <f t="shared" si="10"/>
        <v>0</v>
      </c>
      <c r="I75" s="93">
        <f>SUM('31:13'!I75)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87"/>
      <c r="M75" s="36" t="str">
        <f t="shared" si="25"/>
        <v/>
      </c>
      <c r="N75" s="93">
        <f>SUM('31:13'!N75)</f>
        <v>0</v>
      </c>
      <c r="O75" s="93">
        <f>SUM('31:13'!O75)</f>
        <v>0</v>
      </c>
      <c r="P75" s="93">
        <f>SUM('31:13'!P75)</f>
        <v>0</v>
      </c>
      <c r="Q75" s="93">
        <f>SUM('31:13'!Q75)</f>
        <v>0</v>
      </c>
      <c r="R75" s="93">
        <f>SUM('31:13'!R75)</f>
        <v>0</v>
      </c>
      <c r="S75" s="93">
        <f>SUM('31:13'!S75)</f>
        <v>0</v>
      </c>
      <c r="T75" s="93">
        <f>SUM('31:13'!T75)</f>
        <v>0</v>
      </c>
      <c r="U75" s="93">
        <f>SUM('31:13'!U75)</f>
        <v>0</v>
      </c>
      <c r="V75" s="206">
        <f t="shared" si="26"/>
        <v>0</v>
      </c>
      <c r="W75" s="33" t="str">
        <f t="shared" si="27"/>
        <v/>
      </c>
      <c r="X75" s="93">
        <f>SUM('31:13'!X75)</f>
        <v>0</v>
      </c>
      <c r="Y75" s="93">
        <f>SUM('31:13'!Y75)</f>
        <v>0</v>
      </c>
      <c r="Z75" s="93">
        <f>SUM('31:13'!Z75)</f>
        <v>0</v>
      </c>
      <c r="AA75" s="93">
        <f>SUM('31:13'!AA75)</f>
        <v>0</v>
      </c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>
      <c r="A76" s="302">
        <v>30600013</v>
      </c>
      <c r="B76" s="264" t="s">
        <v>377</v>
      </c>
      <c r="C76" s="187" t="s">
        <v>375</v>
      </c>
      <c r="D76" s="17"/>
      <c r="E76" s="17"/>
      <c r="F76" s="6"/>
      <c r="G76" s="93">
        <f>SUM('31:13'!G76)</f>
        <v>0</v>
      </c>
      <c r="H76" s="339">
        <f t="shared" si="10"/>
        <v>0</v>
      </c>
      <c r="I76" s="93">
        <f>SUM('31:13'!I76)</f>
        <v>0</v>
      </c>
      <c r="J76" s="31"/>
      <c r="K76" s="35">
        <f t="array" ref="K76">IF(ISERROR(G76/L76),"",G76/L76)</f>
        <v>0</v>
      </c>
      <c r="L76" s="87">
        <v>24</v>
      </c>
      <c r="M76" s="36">
        <f t="shared" si="25"/>
        <v>0</v>
      </c>
      <c r="N76" s="93">
        <f>SUM('31:13'!N76)</f>
        <v>0</v>
      </c>
      <c r="O76" s="93">
        <f>SUM('31:13'!O76)</f>
        <v>0</v>
      </c>
      <c r="P76" s="93">
        <f>SUM('31:13'!P76)</f>
        <v>0</v>
      </c>
      <c r="Q76" s="93">
        <f>SUM('31:13'!Q76)</f>
        <v>0</v>
      </c>
      <c r="R76" s="93">
        <f>SUM('31:13'!R76)</f>
        <v>0</v>
      </c>
      <c r="S76" s="93">
        <f>SUM('31:13'!S76)</f>
        <v>0</v>
      </c>
      <c r="T76" s="93">
        <f>SUM('31:13'!T76)</f>
        <v>0</v>
      </c>
      <c r="U76" s="93">
        <f>SUM('31:13'!U76)</f>
        <v>0</v>
      </c>
      <c r="V76" s="206"/>
      <c r="W76" s="33"/>
      <c r="X76" s="93">
        <f>SUM('31:13'!X76)</f>
        <v>0</v>
      </c>
      <c r="Y76" s="93">
        <f>SUM('31:13'!Y76)</f>
        <v>0</v>
      </c>
      <c r="Z76" s="93">
        <f>SUM('31:13'!Z76)</f>
        <v>0</v>
      </c>
      <c r="AA76" s="93">
        <f>SUM('31:13'!AA76)</f>
        <v>0</v>
      </c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>
      <c r="A77" s="302">
        <v>30600014</v>
      </c>
      <c r="B77" s="264" t="s">
        <v>377</v>
      </c>
      <c r="C77" s="187" t="s">
        <v>369</v>
      </c>
      <c r="D77" s="17"/>
      <c r="E77" s="17"/>
      <c r="F77" s="6"/>
      <c r="G77" s="93">
        <f>SUM('31:13'!G77)</f>
        <v>0</v>
      </c>
      <c r="H77" s="339">
        <f t="shared" si="10"/>
        <v>0</v>
      </c>
      <c r="I77" s="93">
        <f>SUM('31:13'!I77)</f>
        <v>0</v>
      </c>
      <c r="J77" s="31"/>
      <c r="K77" s="35">
        <f t="array" ref="K77">IF(ISERROR(G77/L77),"",G77/L77)</f>
        <v>0</v>
      </c>
      <c r="L77" s="87">
        <v>24</v>
      </c>
      <c r="M77" s="36">
        <f t="shared" si="25"/>
        <v>0</v>
      </c>
      <c r="N77" s="93">
        <f>SUM('31:13'!N77)</f>
        <v>0</v>
      </c>
      <c r="O77" s="93">
        <f>SUM('31:13'!O77)</f>
        <v>0</v>
      </c>
      <c r="P77" s="93">
        <f>SUM('31:13'!P77)</f>
        <v>0</v>
      </c>
      <c r="Q77" s="93">
        <f>SUM('31:13'!Q77)</f>
        <v>0</v>
      </c>
      <c r="R77" s="93">
        <f>SUM('31:13'!R77)</f>
        <v>0</v>
      </c>
      <c r="S77" s="93">
        <f>SUM('31:13'!S77)</f>
        <v>0</v>
      </c>
      <c r="T77" s="93">
        <f>SUM('31:13'!T77)</f>
        <v>0</v>
      </c>
      <c r="U77" s="93">
        <f>SUM('31:13'!U77)</f>
        <v>0</v>
      </c>
      <c r="V77" s="206"/>
      <c r="W77" s="33"/>
      <c r="X77" s="93">
        <f>SUM('31:13'!X77)</f>
        <v>0</v>
      </c>
      <c r="Y77" s="93">
        <f>SUM('31:13'!Y77)</f>
        <v>0</v>
      </c>
      <c r="Z77" s="93">
        <f>SUM('31:13'!Z77)</f>
        <v>0</v>
      </c>
      <c r="AA77" s="93">
        <f>SUM('31:13'!AA77)</f>
        <v>0</v>
      </c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>
      <c r="A78" s="302">
        <v>30600012</v>
      </c>
      <c r="B78" s="197" t="s">
        <v>377</v>
      </c>
      <c r="C78" s="187" t="s">
        <v>370</v>
      </c>
      <c r="D78" s="17"/>
      <c r="E78" s="17"/>
      <c r="F78" s="6"/>
      <c r="G78" s="93">
        <f>SUM('31:13'!G78)</f>
        <v>0</v>
      </c>
      <c r="H78" s="339">
        <f t="shared" si="10"/>
        <v>0</v>
      </c>
      <c r="I78" s="93">
        <f>SUM('31:13'!I78)</f>
        <v>0</v>
      </c>
      <c r="J78" s="31"/>
      <c r="K78" s="35">
        <f t="array" ref="K78">IF(ISERROR(G78/L78),"",G78/L78)</f>
        <v>0</v>
      </c>
      <c r="L78" s="87">
        <v>24</v>
      </c>
      <c r="M78" s="36">
        <f t="shared" si="25"/>
        <v>0</v>
      </c>
      <c r="N78" s="93">
        <f>SUM('31:13'!N78)</f>
        <v>0</v>
      </c>
      <c r="O78" s="93">
        <f>SUM('31:13'!O78)</f>
        <v>0</v>
      </c>
      <c r="P78" s="93">
        <f>SUM('31:13'!P78)</f>
        <v>0</v>
      </c>
      <c r="Q78" s="93">
        <f>SUM('31:13'!Q78)</f>
        <v>0</v>
      </c>
      <c r="R78" s="93">
        <f>SUM('31:13'!R78)</f>
        <v>0</v>
      </c>
      <c r="S78" s="93">
        <f>SUM('31:13'!S78)</f>
        <v>0</v>
      </c>
      <c r="T78" s="93">
        <f>SUM('31:13'!T78)</f>
        <v>0</v>
      </c>
      <c r="U78" s="93">
        <f>SUM('31:13'!U78)</f>
        <v>0</v>
      </c>
      <c r="V78" s="206"/>
      <c r="W78" s="33"/>
      <c r="X78" s="93">
        <f>SUM('31:13'!X78)</f>
        <v>0</v>
      </c>
      <c r="Y78" s="93">
        <f>SUM('31:13'!Y78)</f>
        <v>0</v>
      </c>
      <c r="Z78" s="93">
        <f>SUM('31:13'!Z78)</f>
        <v>0</v>
      </c>
      <c r="AA78" s="93">
        <f>SUM('31:13'!AA78)</f>
        <v>0</v>
      </c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>
      <c r="A79" s="302">
        <v>30600011</v>
      </c>
      <c r="B79" s="197" t="s">
        <v>378</v>
      </c>
      <c r="C79" s="187" t="s">
        <v>371</v>
      </c>
      <c r="D79" s="17"/>
      <c r="E79" s="17"/>
      <c r="F79" s="6"/>
      <c r="G79" s="93">
        <f>SUM('31:13'!G79)</f>
        <v>0</v>
      </c>
      <c r="H79" s="339">
        <f t="shared" si="10"/>
        <v>0</v>
      </c>
      <c r="I79" s="93">
        <f>SUM('31:13'!I79)</f>
        <v>0</v>
      </c>
      <c r="J79" s="31"/>
      <c r="K79" s="35">
        <f t="array" ref="K79">IF(ISERROR(G79/L79),"",G79/L79)</f>
        <v>0</v>
      </c>
      <c r="L79" s="87">
        <v>24</v>
      </c>
      <c r="M79" s="36">
        <f t="shared" si="25"/>
        <v>0</v>
      </c>
      <c r="N79" s="93">
        <f>SUM('31:13'!N79)</f>
        <v>0</v>
      </c>
      <c r="O79" s="93">
        <f>SUM('31:13'!O79)</f>
        <v>0</v>
      </c>
      <c r="P79" s="93">
        <f>SUM('31:13'!P79)</f>
        <v>0</v>
      </c>
      <c r="Q79" s="93">
        <f>SUM('31:13'!Q79)</f>
        <v>0</v>
      </c>
      <c r="R79" s="93">
        <f>SUM('31:13'!R79)</f>
        <v>0</v>
      </c>
      <c r="S79" s="93">
        <f>SUM('31:13'!S79)</f>
        <v>0</v>
      </c>
      <c r="T79" s="93">
        <f>SUM('31:13'!T79)</f>
        <v>0</v>
      </c>
      <c r="U79" s="93">
        <f>SUM('31:13'!U79)</f>
        <v>0</v>
      </c>
      <c r="V79" s="206"/>
      <c r="W79" s="33"/>
      <c r="X79" s="93">
        <f>SUM('31:13'!X79)</f>
        <v>0</v>
      </c>
      <c r="Y79" s="93">
        <f>SUM('31:13'!Y79)</f>
        <v>0</v>
      </c>
      <c r="Z79" s="93">
        <f>SUM('31:13'!Z79)</f>
        <v>0</v>
      </c>
      <c r="AA79" s="93">
        <f>SUM('31:13'!AA79)</f>
        <v>0</v>
      </c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>
      <c r="A80" s="302">
        <v>30300002</v>
      </c>
      <c r="B80" s="197" t="s">
        <v>407</v>
      </c>
      <c r="C80" s="187" t="s">
        <v>408</v>
      </c>
      <c r="D80" s="17"/>
      <c r="E80" s="17"/>
      <c r="F80" s="6"/>
      <c r="G80" s="93">
        <f>SUM('31:13'!G80)</f>
        <v>0</v>
      </c>
      <c r="H80" s="339">
        <f t="shared" si="10"/>
        <v>0</v>
      </c>
      <c r="I80" s="93">
        <f>SUM('31:13'!I80)</f>
        <v>0</v>
      </c>
      <c r="J80" s="31"/>
      <c r="K80" s="35"/>
      <c r="L80" s="87">
        <v>4</v>
      </c>
      <c r="M80" s="36"/>
      <c r="N80" s="93">
        <f>SUM('31:13'!N80)</f>
        <v>0</v>
      </c>
      <c r="O80" s="93"/>
      <c r="P80" s="93"/>
      <c r="Q80" s="93"/>
      <c r="R80" s="93"/>
      <c r="S80" s="93"/>
      <c r="T80" s="93"/>
      <c r="U80" s="93"/>
      <c r="V80" s="206"/>
      <c r="W80" s="33"/>
      <c r="X80" s="93"/>
      <c r="Y80" s="93"/>
      <c r="Z80" s="93"/>
      <c r="AA80" s="93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>
      <c r="A81" s="302">
        <v>30300001</v>
      </c>
      <c r="B81" s="197" t="s">
        <v>407</v>
      </c>
      <c r="C81" s="187" t="s">
        <v>409</v>
      </c>
      <c r="D81" s="17"/>
      <c r="E81" s="17"/>
      <c r="F81" s="6"/>
      <c r="G81" s="93">
        <f>SUM('31:13'!G81)</f>
        <v>0</v>
      </c>
      <c r="H81" s="339">
        <f t="shared" si="10"/>
        <v>0</v>
      </c>
      <c r="I81" s="93">
        <f>SUM('31:13'!I81)</f>
        <v>0</v>
      </c>
      <c r="J81" s="31"/>
      <c r="K81" s="35"/>
      <c r="L81" s="87">
        <v>4</v>
      </c>
      <c r="M81" s="36"/>
      <c r="N81" s="93">
        <f>SUM('31:13'!N81)</f>
        <v>0</v>
      </c>
      <c r="O81" s="93"/>
      <c r="P81" s="93"/>
      <c r="Q81" s="93"/>
      <c r="R81" s="93"/>
      <c r="S81" s="93"/>
      <c r="T81" s="93"/>
      <c r="U81" s="93"/>
      <c r="V81" s="206"/>
      <c r="W81" s="33"/>
      <c r="X81" s="93"/>
      <c r="Y81" s="93"/>
      <c r="Z81" s="93"/>
      <c r="AA81" s="93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>
      <c r="A82" s="302">
        <v>30300003</v>
      </c>
      <c r="B82" s="197" t="s">
        <v>407</v>
      </c>
      <c r="C82" s="187" t="s">
        <v>411</v>
      </c>
      <c r="D82" s="17"/>
      <c r="E82" s="17"/>
      <c r="F82" s="6"/>
      <c r="G82" s="93">
        <f>SUM('31:13'!G82)</f>
        <v>0</v>
      </c>
      <c r="H82" s="339">
        <f t="shared" si="10"/>
        <v>0</v>
      </c>
      <c r="I82" s="93">
        <f>SUM('31:13'!I82)</f>
        <v>0</v>
      </c>
      <c r="J82" s="31"/>
      <c r="K82" s="35"/>
      <c r="L82" s="87">
        <v>4</v>
      </c>
      <c r="M82" s="36"/>
      <c r="N82" s="93">
        <f>SUM('31:13'!N82)</f>
        <v>0</v>
      </c>
      <c r="O82" s="93"/>
      <c r="P82" s="93"/>
      <c r="Q82" s="93"/>
      <c r="R82" s="93"/>
      <c r="S82" s="93"/>
      <c r="T82" s="93"/>
      <c r="U82" s="93"/>
      <c r="V82" s="206"/>
      <c r="W82" s="33"/>
      <c r="X82" s="93"/>
      <c r="Y82" s="93"/>
      <c r="Z82" s="93"/>
      <c r="AA82" s="93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>
      <c r="A83" s="302">
        <v>30300005</v>
      </c>
      <c r="B83" s="63" t="s">
        <v>362</v>
      </c>
      <c r="C83" s="16" t="s">
        <v>338</v>
      </c>
      <c r="D83" s="17"/>
      <c r="E83" s="17"/>
      <c r="F83" s="6"/>
      <c r="G83" s="93">
        <f>SUM('31:13'!G83)</f>
        <v>0</v>
      </c>
      <c r="H83" s="339">
        <f t="shared" si="10"/>
        <v>0</v>
      </c>
      <c r="I83" s="93">
        <f>SUM('31:13'!I83)</f>
        <v>0</v>
      </c>
      <c r="J83" s="31"/>
      <c r="K83" s="35"/>
      <c r="L83" s="87">
        <v>4</v>
      </c>
      <c r="M83" s="36"/>
      <c r="N83" s="93">
        <f>SUM('31:13'!N83)</f>
        <v>0</v>
      </c>
      <c r="O83" s="93">
        <f>SUM('31:13'!O83)</f>
        <v>0</v>
      </c>
      <c r="P83" s="93">
        <f>SUM('31:13'!P83)</f>
        <v>0</v>
      </c>
      <c r="Q83" s="93">
        <f>SUM('31:13'!Q83)</f>
        <v>0</v>
      </c>
      <c r="R83" s="93">
        <f>SUM('31:13'!R83)</f>
        <v>0</v>
      </c>
      <c r="S83" s="93">
        <f>SUM('31:13'!S83)</f>
        <v>0</v>
      </c>
      <c r="T83" s="93">
        <f>SUM('31:13'!T83)</f>
        <v>0</v>
      </c>
      <c r="U83" s="93">
        <f>SUM('31:13'!U83)</f>
        <v>0</v>
      </c>
      <c r="V83" s="206"/>
      <c r="W83" s="33"/>
      <c r="X83" s="93">
        <f>SUM('31:13'!X83)</f>
        <v>0</v>
      </c>
      <c r="Y83" s="93">
        <f>SUM('31:13'!Y83)</f>
        <v>0</v>
      </c>
      <c r="Z83" s="93">
        <f>SUM('31:13'!Z83)</f>
        <v>0</v>
      </c>
      <c r="AA83" s="93">
        <f>SUM('31:13'!AA83)</f>
        <v>0</v>
      </c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>
      <c r="A84" s="302">
        <v>30300004</v>
      </c>
      <c r="B84" s="63" t="s">
        <v>362</v>
      </c>
      <c r="C84" s="16" t="s">
        <v>340</v>
      </c>
      <c r="D84" s="17"/>
      <c r="E84" s="17"/>
      <c r="F84" s="6"/>
      <c r="G84" s="93">
        <f>SUM('31:13'!G84)</f>
        <v>0</v>
      </c>
      <c r="H84" s="339">
        <f t="shared" si="10"/>
        <v>0</v>
      </c>
      <c r="I84" s="93">
        <f>SUM('31:13'!I84)</f>
        <v>0</v>
      </c>
      <c r="J84" s="31"/>
      <c r="K84" s="35"/>
      <c r="L84" s="87">
        <v>4</v>
      </c>
      <c r="M84" s="36"/>
      <c r="N84" s="93">
        <f>SUM('31:13'!N84)</f>
        <v>0</v>
      </c>
      <c r="O84" s="93">
        <f>SUM('31:13'!O84)</f>
        <v>0</v>
      </c>
      <c r="P84" s="93">
        <f>SUM('31:13'!P84)</f>
        <v>0</v>
      </c>
      <c r="Q84" s="93">
        <f>SUM('31:13'!Q84)</f>
        <v>0</v>
      </c>
      <c r="R84" s="93">
        <f>SUM('31:13'!R84)</f>
        <v>0</v>
      </c>
      <c r="S84" s="93">
        <f>SUM('31:13'!S84)</f>
        <v>0</v>
      </c>
      <c r="T84" s="93">
        <f>SUM('31:13'!T84)</f>
        <v>0</v>
      </c>
      <c r="U84" s="93">
        <f>SUM('31:13'!U84)</f>
        <v>0</v>
      </c>
      <c r="V84" s="206"/>
      <c r="W84" s="33"/>
      <c r="X84" s="93">
        <f>SUM('31:13'!X84)</f>
        <v>0</v>
      </c>
      <c r="Y84" s="93">
        <f>SUM('31:13'!Y84)</f>
        <v>0</v>
      </c>
      <c r="Z84" s="93">
        <f>SUM('31:13'!Z84)</f>
        <v>0</v>
      </c>
      <c r="AA84" s="93">
        <f>SUM('31:13'!AA84)</f>
        <v>0</v>
      </c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>
      <c r="A85" s="302">
        <v>30300006</v>
      </c>
      <c r="B85" s="63" t="s">
        <v>362</v>
      </c>
      <c r="C85" s="16" t="s">
        <v>341</v>
      </c>
      <c r="D85" s="17"/>
      <c r="E85" s="17"/>
      <c r="F85" s="6"/>
      <c r="G85" s="93">
        <f>SUM('31:13'!G85)</f>
        <v>0</v>
      </c>
      <c r="H85" s="339">
        <f t="shared" si="10"/>
        <v>0</v>
      </c>
      <c r="I85" s="93">
        <f>SUM('31:13'!I85)</f>
        <v>0</v>
      </c>
      <c r="J85" s="31"/>
      <c r="K85" s="35"/>
      <c r="L85" s="87">
        <v>4</v>
      </c>
      <c r="M85" s="36"/>
      <c r="N85" s="93">
        <f>SUM('31:13'!N85)</f>
        <v>0</v>
      </c>
      <c r="O85" s="93">
        <f>SUM('31:13'!O85)</f>
        <v>0</v>
      </c>
      <c r="P85" s="93">
        <f>SUM('31:13'!P85)</f>
        <v>0</v>
      </c>
      <c r="Q85" s="93">
        <f>SUM('31:13'!Q85)</f>
        <v>0</v>
      </c>
      <c r="R85" s="93">
        <f>SUM('31:13'!R85)</f>
        <v>0</v>
      </c>
      <c r="S85" s="93">
        <f>SUM('31:13'!S85)</f>
        <v>0</v>
      </c>
      <c r="T85" s="93">
        <f>SUM('31:13'!T85)</f>
        <v>0</v>
      </c>
      <c r="U85" s="93">
        <f>SUM('31:13'!U85)</f>
        <v>0</v>
      </c>
      <c r="V85" s="206"/>
      <c r="W85" s="33"/>
      <c r="X85" s="93">
        <f>SUM('31:13'!X85)</f>
        <v>0</v>
      </c>
      <c r="Y85" s="93">
        <f>SUM('31:13'!Y85)</f>
        <v>0</v>
      </c>
      <c r="Z85" s="93">
        <f>SUM('31:13'!Z85)</f>
        <v>0</v>
      </c>
      <c r="AA85" s="93">
        <f>SUM('31:13'!AA85)</f>
        <v>0</v>
      </c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>
      <c r="A86" s="699" t="s">
        <v>86</v>
      </c>
      <c r="B86" s="699"/>
      <c r="C86" s="342" t="s">
        <v>71</v>
      </c>
      <c r="D86" s="20"/>
      <c r="E86" s="20"/>
      <c r="F86" s="32"/>
      <c r="G86" s="94">
        <f>SUM(G29:G85)</f>
        <v>33458</v>
      </c>
      <c r="H86" s="30">
        <f>SUM(H29:H85)</f>
        <v>159927.86000000002</v>
      </c>
      <c r="I86" s="30">
        <f>SUM(I29:I85)</f>
        <v>842</v>
      </c>
      <c r="J86" s="31">
        <f t="array" ref="J86">IF(ISERROR(G86/I86),"",G86/I86)</f>
        <v>39.736342042755346</v>
      </c>
      <c r="K86" s="30">
        <f>SUM(K29:K85)</f>
        <v>923.84925074064631</v>
      </c>
      <c r="L86" s="98"/>
      <c r="M86" s="89">
        <f t="shared" ref="M86:V86" si="28">SUM(M29:M85)</f>
        <v>-102.13001997141529</v>
      </c>
      <c r="N86" s="30">
        <f t="shared" si="28"/>
        <v>0</v>
      </c>
      <c r="O86" s="91">
        <f t="shared" si="28"/>
        <v>0</v>
      </c>
      <c r="P86" s="91">
        <f t="shared" si="28"/>
        <v>0</v>
      </c>
      <c r="Q86" s="91">
        <f t="shared" si="28"/>
        <v>0</v>
      </c>
      <c r="R86" s="91">
        <f t="shared" si="28"/>
        <v>0</v>
      </c>
      <c r="S86" s="92">
        <f t="shared" si="28"/>
        <v>0</v>
      </c>
      <c r="T86" s="91">
        <f t="shared" si="28"/>
        <v>0</v>
      </c>
      <c r="U86" s="91">
        <f t="shared" si="28"/>
        <v>0</v>
      </c>
      <c r="V86" s="206">
        <f t="shared" si="28"/>
        <v>0</v>
      </c>
      <c r="W86" s="33">
        <f t="shared" ref="W86:W93" si="29">IF(ISERROR(V86/G86),"",V86/G86)</f>
        <v>0</v>
      </c>
      <c r="X86" s="92">
        <f>SUM(X29:X85)</f>
        <v>0</v>
      </c>
      <c r="Y86" s="92">
        <f>SUM(Y29:Y85)</f>
        <v>0</v>
      </c>
      <c r="Z86" s="92">
        <f>SUM(Z29:Z85)</f>
        <v>0</v>
      </c>
      <c r="AA86" s="92">
        <f>SUM(AA29:AA85)</f>
        <v>0</v>
      </c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>
      <c r="A87" s="299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93">
        <f>SUM('31:13'!G87)</f>
        <v>59</v>
      </c>
      <c r="H87" s="93">
        <f>SUM('31:13'!H87)</f>
        <v>296.77000000000004</v>
      </c>
      <c r="I87" s="93">
        <f>SUM('31:13'!I87)</f>
        <v>9.5</v>
      </c>
      <c r="J87" s="31">
        <f>IF(ISERROR(G87/I87),"",G87/I87)</f>
        <v>6.2105263157894735</v>
      </c>
      <c r="K87" s="35">
        <f t="array" ref="K87">IF(ISERROR(G87/L87),"",G87/L87)</f>
        <v>6.7045454545454541</v>
      </c>
      <c r="L87" s="87">
        <v>8.8000000000000007</v>
      </c>
      <c r="M87" s="36">
        <f t="shared" ref="M87:M94" si="30">IF(ISERROR(I87-K87),"",I87-K87)</f>
        <v>2.7954545454545459</v>
      </c>
      <c r="N87" s="93">
        <f>SUM('31:13'!N87)</f>
        <v>0</v>
      </c>
      <c r="O87" s="93">
        <f>SUM('31:13'!O87)</f>
        <v>0</v>
      </c>
      <c r="P87" s="93">
        <f>SUM('31:13'!P87)</f>
        <v>0</v>
      </c>
      <c r="Q87" s="93">
        <f>SUM('31:13'!Q87)</f>
        <v>0</v>
      </c>
      <c r="R87" s="93">
        <f>SUM('31:13'!R87)</f>
        <v>0</v>
      </c>
      <c r="S87" s="93">
        <f>SUM('31:13'!S87)</f>
        <v>0</v>
      </c>
      <c r="T87" s="93">
        <f>SUM('31:13'!T87)</f>
        <v>0</v>
      </c>
      <c r="U87" s="93">
        <f>SUM('31:13'!U87)</f>
        <v>0</v>
      </c>
      <c r="V87" s="206">
        <f t="shared" ref="V87:V93" si="31">SUM(X87:AA87)</f>
        <v>0</v>
      </c>
      <c r="W87" s="33">
        <f t="shared" si="29"/>
        <v>0</v>
      </c>
      <c r="X87" s="93">
        <f>SUM('31:13'!X87)</f>
        <v>0</v>
      </c>
      <c r="Y87" s="93">
        <f>SUM('31:13'!Y87)</f>
        <v>0</v>
      </c>
      <c r="Z87" s="93">
        <f>SUM('31:13'!Z87)</f>
        <v>0</v>
      </c>
      <c r="AA87" s="93">
        <f>SUM('31:13'!AA87)</f>
        <v>0</v>
      </c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>
      <c r="A88" s="299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93">
        <f>SUM('31:13'!G88)</f>
        <v>0</v>
      </c>
      <c r="H88" s="93">
        <f>SUM('31:13'!H88)</f>
        <v>0</v>
      </c>
      <c r="I88" s="93">
        <f>SUM('31:13'!I88)</f>
        <v>0</v>
      </c>
      <c r="J88" s="31" t="str">
        <f t="array" ref="J88">IF(ISERROR(G88/I88),"",G88/I88)</f>
        <v/>
      </c>
      <c r="K88" s="35">
        <f t="array" ref="K88">IF(ISERROR(G88/L88),"",G88/L88)</f>
        <v>0</v>
      </c>
      <c r="L88" s="87">
        <v>8.8000000000000007</v>
      </c>
      <c r="M88" s="36">
        <f t="shared" si="30"/>
        <v>0</v>
      </c>
      <c r="N88" s="93">
        <f>SUM('31:13'!N88)</f>
        <v>0</v>
      </c>
      <c r="O88" s="93">
        <f>SUM('31:13'!O88)</f>
        <v>0</v>
      </c>
      <c r="P88" s="93">
        <f>SUM('31:13'!P88)</f>
        <v>0</v>
      </c>
      <c r="Q88" s="93">
        <f>SUM('31:13'!Q88)</f>
        <v>0</v>
      </c>
      <c r="R88" s="93">
        <f>SUM('31:13'!R88)</f>
        <v>0</v>
      </c>
      <c r="S88" s="93">
        <f>SUM('31:13'!S88)</f>
        <v>0</v>
      </c>
      <c r="T88" s="93">
        <f>SUM('31:13'!T88)</f>
        <v>0</v>
      </c>
      <c r="U88" s="93">
        <f>SUM('31:13'!U88)</f>
        <v>0</v>
      </c>
      <c r="V88" s="206">
        <f t="shared" si="31"/>
        <v>0</v>
      </c>
      <c r="W88" s="33" t="str">
        <f t="shared" si="29"/>
        <v/>
      </c>
      <c r="X88" s="93">
        <f>SUM('31:13'!X88)</f>
        <v>0</v>
      </c>
      <c r="Y88" s="93">
        <f>SUM('31:13'!Y88)</f>
        <v>0</v>
      </c>
      <c r="Z88" s="93">
        <f>SUM('31:13'!Z88)</f>
        <v>0</v>
      </c>
      <c r="AA88" s="93">
        <f>SUM('31:13'!AA88)</f>
        <v>0</v>
      </c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>
      <c r="A89" s="299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93">
        <f>SUM('31:13'!G89)</f>
        <v>0</v>
      </c>
      <c r="H89" s="93">
        <f>SUM('31:13'!H89)</f>
        <v>0</v>
      </c>
      <c r="I89" s="93">
        <f>SUM('31:13'!I89)</f>
        <v>0</v>
      </c>
      <c r="J89" s="31" t="str">
        <f t="array" ref="J89">IF(ISERROR(G89/I89),"",G89/I89)</f>
        <v/>
      </c>
      <c r="K89" s="35">
        <f t="array" ref="K89">IF(ISERROR(G89/L89),"",G89/L89)</f>
        <v>0</v>
      </c>
      <c r="L89" s="87">
        <v>8.8000000000000007</v>
      </c>
      <c r="M89" s="36">
        <f t="shared" si="30"/>
        <v>0</v>
      </c>
      <c r="N89" s="93">
        <f>SUM('31:13'!N89)</f>
        <v>0</v>
      </c>
      <c r="O89" s="93">
        <f>SUM('31:13'!O89)</f>
        <v>0</v>
      </c>
      <c r="P89" s="93">
        <f>SUM('31:13'!P89)</f>
        <v>0</v>
      </c>
      <c r="Q89" s="93">
        <f>SUM('31:13'!Q89)</f>
        <v>0</v>
      </c>
      <c r="R89" s="93">
        <f>SUM('31:13'!R89)</f>
        <v>0</v>
      </c>
      <c r="S89" s="93">
        <f>SUM('31:13'!S89)</f>
        <v>0</v>
      </c>
      <c r="T89" s="93">
        <f>SUM('31:13'!T89)</f>
        <v>0</v>
      </c>
      <c r="U89" s="93">
        <f>SUM('31:13'!U89)</f>
        <v>0</v>
      </c>
      <c r="V89" s="206">
        <f t="shared" si="31"/>
        <v>0</v>
      </c>
      <c r="W89" s="33" t="str">
        <f t="shared" si="29"/>
        <v/>
      </c>
      <c r="X89" s="93">
        <f>SUM('31:13'!X89)</f>
        <v>0</v>
      </c>
      <c r="Y89" s="93">
        <f>SUM('31:13'!Y89)</f>
        <v>0</v>
      </c>
      <c r="Z89" s="93">
        <f>SUM('31:13'!Z89)</f>
        <v>0</v>
      </c>
      <c r="AA89" s="93">
        <f>SUM('31:13'!AA89)</f>
        <v>0</v>
      </c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>
      <c r="A90" s="299">
        <v>30400014</v>
      </c>
      <c r="B90" s="215" t="s">
        <v>513</v>
      </c>
      <c r="C90" s="16" t="s">
        <v>53</v>
      </c>
      <c r="D90" s="17">
        <v>5.03</v>
      </c>
      <c r="E90" s="17"/>
      <c r="F90" s="6"/>
      <c r="G90" s="93">
        <f>SUM('31:13'!G90)</f>
        <v>0</v>
      </c>
      <c r="H90" s="93">
        <f>SUM('31:13'!H90)</f>
        <v>0</v>
      </c>
      <c r="I90" s="93">
        <f>SUM('31:13'!I90)</f>
        <v>0</v>
      </c>
      <c r="J90" s="31" t="str">
        <f t="array" ref="J90">IF(ISERROR(G90/I90),"",G90/I90)</f>
        <v/>
      </c>
      <c r="K90" s="35">
        <f t="array" ref="K90">IF(ISERROR(G90/L90),"",G90/L90)</f>
        <v>0</v>
      </c>
      <c r="L90" s="87">
        <v>9.3000000000000007</v>
      </c>
      <c r="M90" s="36">
        <f t="shared" si="30"/>
        <v>0</v>
      </c>
      <c r="N90" s="93">
        <f>SUM('31:13'!N90)</f>
        <v>0</v>
      </c>
      <c r="O90" s="93">
        <f>SUM('31:13'!O90)</f>
        <v>0</v>
      </c>
      <c r="P90" s="93">
        <f>SUM('31:13'!P90)</f>
        <v>0</v>
      </c>
      <c r="Q90" s="93">
        <f>SUM('31:13'!Q90)</f>
        <v>0</v>
      </c>
      <c r="R90" s="93">
        <f>SUM('31:13'!R90)</f>
        <v>0</v>
      </c>
      <c r="S90" s="93">
        <f>SUM('31:13'!S90)</f>
        <v>0</v>
      </c>
      <c r="T90" s="93">
        <f>SUM('31:13'!T90)</f>
        <v>0</v>
      </c>
      <c r="U90" s="93">
        <f>SUM('31:13'!U90)</f>
        <v>0</v>
      </c>
      <c r="V90" s="206">
        <f t="shared" si="31"/>
        <v>0</v>
      </c>
      <c r="W90" s="33" t="str">
        <f t="shared" si="29"/>
        <v/>
      </c>
      <c r="X90" s="93">
        <f>SUM('31:13'!X90)</f>
        <v>0</v>
      </c>
      <c r="Y90" s="93">
        <f>SUM('31:13'!Y90)</f>
        <v>0</v>
      </c>
      <c r="Z90" s="93">
        <f>SUM('31:13'!Z90)</f>
        <v>0</v>
      </c>
      <c r="AA90" s="93">
        <f>SUM('31:13'!AA90)</f>
        <v>0</v>
      </c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>
      <c r="A91" s="299">
        <v>30400013</v>
      </c>
      <c r="B91" s="215" t="s">
        <v>473</v>
      </c>
      <c r="C91" s="16" t="s">
        <v>72</v>
      </c>
      <c r="D91" s="17">
        <v>5.03</v>
      </c>
      <c r="E91" s="17"/>
      <c r="F91" s="6"/>
      <c r="G91" s="93">
        <f>SUM('31:13'!G91)</f>
        <v>15</v>
      </c>
      <c r="H91" s="93">
        <f>SUM('31:13'!H91)</f>
        <v>75.45</v>
      </c>
      <c r="I91" s="93">
        <f>SUM('31:13'!I91)</f>
        <v>2</v>
      </c>
      <c r="J91" s="31">
        <f t="array" ref="J91">IF(ISERROR(G91/I91),"",G91/I91)</f>
        <v>7.5</v>
      </c>
      <c r="K91" s="35">
        <f t="array" ref="K91">IF(ISERROR(G91/L91),"",G91/L91)</f>
        <v>1.6129032258064515</v>
      </c>
      <c r="L91" s="87">
        <v>9.3000000000000007</v>
      </c>
      <c r="M91" s="36">
        <f t="shared" si="30"/>
        <v>0.38709677419354849</v>
      </c>
      <c r="N91" s="93">
        <f>SUM('31:13'!N91)</f>
        <v>0</v>
      </c>
      <c r="O91" s="93">
        <f>SUM('31:13'!O91)</f>
        <v>0</v>
      </c>
      <c r="P91" s="93">
        <f>SUM('31:13'!P91)</f>
        <v>0</v>
      </c>
      <c r="Q91" s="93">
        <f>SUM('31:13'!Q91)</f>
        <v>0</v>
      </c>
      <c r="R91" s="93">
        <f>SUM('31:13'!R91)</f>
        <v>0</v>
      </c>
      <c r="S91" s="93">
        <f>SUM('31:13'!S91)</f>
        <v>0</v>
      </c>
      <c r="T91" s="93">
        <f>SUM('31:13'!T91)</f>
        <v>0</v>
      </c>
      <c r="U91" s="93">
        <f>SUM('31:13'!U91)</f>
        <v>0</v>
      </c>
      <c r="V91" s="206">
        <f t="shared" si="31"/>
        <v>0</v>
      </c>
      <c r="W91" s="33">
        <f t="shared" si="29"/>
        <v>0</v>
      </c>
      <c r="X91" s="93">
        <f>SUM('31:13'!X91)</f>
        <v>0</v>
      </c>
      <c r="Y91" s="93">
        <f>SUM('31:13'!Y91)</f>
        <v>0</v>
      </c>
      <c r="Z91" s="93">
        <f>SUM('31:13'!Z91)</f>
        <v>0</v>
      </c>
      <c r="AA91" s="93">
        <f>SUM('31:13'!AA91)</f>
        <v>0</v>
      </c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>
      <c r="A92" s="299">
        <v>30400016</v>
      </c>
      <c r="B92" s="215" t="s">
        <v>513</v>
      </c>
      <c r="C92" s="16" t="s">
        <v>60</v>
      </c>
      <c r="D92" s="17">
        <v>5.03</v>
      </c>
      <c r="E92" s="17"/>
      <c r="F92" s="6"/>
      <c r="G92" s="93">
        <f>SUM('31:13'!G92)</f>
        <v>436</v>
      </c>
      <c r="H92" s="93">
        <f>SUM('31:13'!H92)</f>
        <v>2193.08</v>
      </c>
      <c r="I92" s="93">
        <f>SUM('31:13'!I92)</f>
        <v>44</v>
      </c>
      <c r="J92" s="31">
        <f t="array" ref="J92">IF(ISERROR(G92/I92),"",G92/I92)</f>
        <v>9.9090909090909083</v>
      </c>
      <c r="K92" s="35">
        <f t="array" ref="K92">IF(ISERROR(G92/L92),"",G92/L92)</f>
        <v>46.881720430107521</v>
      </c>
      <c r="L92" s="87">
        <v>9.3000000000000007</v>
      </c>
      <c r="M92" s="36">
        <f t="shared" si="30"/>
        <v>-2.8817204301075208</v>
      </c>
      <c r="N92" s="93">
        <f>SUM('31:13'!N92)</f>
        <v>0</v>
      </c>
      <c r="O92" s="93">
        <f>SUM('31:13'!O92)</f>
        <v>0</v>
      </c>
      <c r="P92" s="93">
        <f>SUM('31:13'!P92)</f>
        <v>0</v>
      </c>
      <c r="Q92" s="93">
        <f>SUM('31:13'!Q92)</f>
        <v>0</v>
      </c>
      <c r="R92" s="93">
        <f>SUM('31:13'!R92)</f>
        <v>0</v>
      </c>
      <c r="S92" s="93">
        <f>SUM('31:13'!S92)</f>
        <v>0</v>
      </c>
      <c r="T92" s="93">
        <f>SUM('31:13'!T92)</f>
        <v>0</v>
      </c>
      <c r="U92" s="93">
        <f>SUM('31:13'!U92)</f>
        <v>0</v>
      </c>
      <c r="V92" s="206">
        <f t="shared" si="31"/>
        <v>0</v>
      </c>
      <c r="W92" s="33">
        <f t="shared" si="29"/>
        <v>0</v>
      </c>
      <c r="X92" s="93">
        <f>SUM('31:13'!X92)</f>
        <v>0</v>
      </c>
      <c r="Y92" s="93">
        <f>SUM('31:13'!Y92)</f>
        <v>0</v>
      </c>
      <c r="Z92" s="93">
        <f>SUM('31:13'!Z92)</f>
        <v>0</v>
      </c>
      <c r="AA92" s="93">
        <f>SUM('31:13'!AA92)</f>
        <v>0</v>
      </c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>
      <c r="A93" s="299">
        <v>30400017</v>
      </c>
      <c r="B93" s="215" t="s">
        <v>513</v>
      </c>
      <c r="C93" s="16" t="s">
        <v>66</v>
      </c>
      <c r="D93" s="17">
        <v>5.03</v>
      </c>
      <c r="E93" s="17"/>
      <c r="F93" s="6"/>
      <c r="G93" s="93">
        <f>SUM('31:13'!G93)</f>
        <v>289</v>
      </c>
      <c r="H93" s="93">
        <f>SUM('31:13'!H93)</f>
        <v>1453.67</v>
      </c>
      <c r="I93" s="93">
        <f>SUM('31:13'!I93)</f>
        <v>44</v>
      </c>
      <c r="J93" s="31">
        <f t="array" ref="J93">IF(ISERROR(G93/I93),"",G93/I93)</f>
        <v>6.5681818181818183</v>
      </c>
      <c r="K93" s="35">
        <f t="array" ref="K93">IF(ISERROR(G93/L93),"",G93/L93)</f>
        <v>31.0752688172043</v>
      </c>
      <c r="L93" s="87">
        <v>9.3000000000000007</v>
      </c>
      <c r="M93" s="36">
        <f t="shared" si="30"/>
        <v>12.9247311827957</v>
      </c>
      <c r="N93" s="93">
        <f>SUM('31:13'!N93)</f>
        <v>0</v>
      </c>
      <c r="O93" s="93">
        <f>SUM('31:13'!O93)</f>
        <v>0</v>
      </c>
      <c r="P93" s="93">
        <f>SUM('31:13'!P93)</f>
        <v>0</v>
      </c>
      <c r="Q93" s="93">
        <f>SUM('31:13'!Q93)</f>
        <v>0</v>
      </c>
      <c r="R93" s="93">
        <f>SUM('31:13'!R93)</f>
        <v>0</v>
      </c>
      <c r="S93" s="93">
        <f>SUM('31:13'!S93)</f>
        <v>0</v>
      </c>
      <c r="T93" s="93">
        <f>SUM('31:13'!T93)</f>
        <v>0</v>
      </c>
      <c r="U93" s="93">
        <f>SUM('31:13'!U93)</f>
        <v>0</v>
      </c>
      <c r="V93" s="206">
        <f t="shared" si="31"/>
        <v>0</v>
      </c>
      <c r="W93" s="33">
        <f t="shared" si="29"/>
        <v>0</v>
      </c>
      <c r="X93" s="93">
        <f>SUM('31:13'!X93)</f>
        <v>0</v>
      </c>
      <c r="Y93" s="93">
        <f>SUM('31:13'!Y93)</f>
        <v>0</v>
      </c>
      <c r="Z93" s="93">
        <f>SUM('31:13'!Z93)</f>
        <v>0</v>
      </c>
      <c r="AA93" s="93">
        <f>SUM('31:13'!AA93)</f>
        <v>0</v>
      </c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>
      <c r="A94" s="299">
        <v>30400015</v>
      </c>
      <c r="B94" s="65" t="s">
        <v>512</v>
      </c>
      <c r="C94" s="16" t="s">
        <v>177</v>
      </c>
      <c r="D94" s="17">
        <v>5.03</v>
      </c>
      <c r="E94" s="17"/>
      <c r="F94" s="6"/>
      <c r="G94" s="93">
        <f>SUM('31:13'!G94)</f>
        <v>99</v>
      </c>
      <c r="H94" s="93">
        <f>SUM('31:13'!H94)</f>
        <v>497.97</v>
      </c>
      <c r="I94" s="93">
        <f>SUM('31:13'!I94)</f>
        <v>12.5</v>
      </c>
      <c r="J94" s="31"/>
      <c r="K94" s="35">
        <f t="array" ref="K94">IF(ISERROR(G94/L94),"",G94/L94)</f>
        <v>10.64516129032258</v>
      </c>
      <c r="L94" s="87">
        <v>9.3000000000000007</v>
      </c>
      <c r="M94" s="36">
        <f t="shared" si="30"/>
        <v>1.8548387096774199</v>
      </c>
      <c r="N94" s="93">
        <f>SUM('31:13'!N94)</f>
        <v>0</v>
      </c>
      <c r="O94" s="93">
        <f>SUM('31:13'!O94)</f>
        <v>0</v>
      </c>
      <c r="P94" s="93">
        <f>SUM('31:13'!P94)</f>
        <v>0</v>
      </c>
      <c r="Q94" s="93">
        <f>SUM('31:13'!Q94)</f>
        <v>0</v>
      </c>
      <c r="R94" s="93">
        <f>SUM('31:13'!R94)</f>
        <v>0</v>
      </c>
      <c r="S94" s="93">
        <f>SUM('31:13'!S94)</f>
        <v>0</v>
      </c>
      <c r="T94" s="93">
        <f>SUM('31:13'!T94)</f>
        <v>0</v>
      </c>
      <c r="U94" s="93">
        <f>SUM('31:13'!U94)</f>
        <v>0</v>
      </c>
      <c r="V94" s="207"/>
      <c r="W94" s="33"/>
      <c r="X94" s="93">
        <f>SUM('31:13'!X94)</f>
        <v>0</v>
      </c>
      <c r="Y94" s="93">
        <f>SUM('31:13'!Y94)</f>
        <v>0</v>
      </c>
      <c r="Z94" s="93">
        <f>SUM('31:13'!Z94)</f>
        <v>0</v>
      </c>
      <c r="AA94" s="93">
        <f>SUM('31:13'!AA94)</f>
        <v>0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>
      <c r="A95" s="304">
        <v>30600004</v>
      </c>
      <c r="B95" s="65" t="s">
        <v>162</v>
      </c>
      <c r="C95" s="16" t="s">
        <v>53</v>
      </c>
      <c r="D95" s="17">
        <v>5.03</v>
      </c>
      <c r="E95" s="17"/>
      <c r="F95" s="6"/>
      <c r="G95" s="93">
        <f>SUM('31:13'!G95)</f>
        <v>123</v>
      </c>
      <c r="H95" s="93">
        <f>SUM('31:13'!H95)</f>
        <v>618.69000000000005</v>
      </c>
      <c r="I95" s="93">
        <f>SUM('31:13'!I95)</f>
        <v>12</v>
      </c>
      <c r="J95" s="31">
        <f t="array" ref="J95">IF(ISERROR(G95/I95),"",G95/I95)</f>
        <v>10.25</v>
      </c>
      <c r="K95" s="35">
        <f t="array" ref="K95">IF(ISERROR(G95/L95),"",G95/L95)</f>
        <v>15.375</v>
      </c>
      <c r="L95" s="87">
        <v>8</v>
      </c>
      <c r="M95" s="36">
        <f>IF(ISERROR(I95-K95),"",I95-K95)</f>
        <v>-3.375</v>
      </c>
      <c r="N95" s="93">
        <f>SUM('31:13'!N95)</f>
        <v>0</v>
      </c>
      <c r="O95" s="93">
        <f>SUM('31:13'!O95)</f>
        <v>0</v>
      </c>
      <c r="P95" s="93">
        <f>SUM('31:13'!P95)</f>
        <v>0</v>
      </c>
      <c r="Q95" s="93">
        <f>SUM('31:13'!Q95)</f>
        <v>0</v>
      </c>
      <c r="R95" s="93">
        <f>SUM('31:13'!R95)</f>
        <v>0</v>
      </c>
      <c r="S95" s="93">
        <f>SUM('31:13'!S95)</f>
        <v>0</v>
      </c>
      <c r="T95" s="93">
        <f>SUM('31:13'!T95)</f>
        <v>0</v>
      </c>
      <c r="U95" s="93">
        <f>SUM('31:13'!U95)</f>
        <v>0</v>
      </c>
      <c r="V95" s="207">
        <f>SUM(X95:AA95)</f>
        <v>0</v>
      </c>
      <c r="W95" s="33">
        <f>IF(ISERROR(V95/G95),"",V95/G95)</f>
        <v>0</v>
      </c>
      <c r="X95" s="93">
        <f>SUM('31:13'!X95)</f>
        <v>0</v>
      </c>
      <c r="Y95" s="93">
        <f>SUM('31:13'!Y95)</f>
        <v>0</v>
      </c>
      <c r="Z95" s="93">
        <f>SUM('31:13'!Z95)</f>
        <v>0</v>
      </c>
      <c r="AA95" s="93">
        <f>SUM('31:13'!AA95)</f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>
      <c r="A96" s="304">
        <v>30600001</v>
      </c>
      <c r="B96" s="65" t="s">
        <v>162</v>
      </c>
      <c r="C96" s="16" t="s">
        <v>55</v>
      </c>
      <c r="D96" s="17">
        <v>5.03</v>
      </c>
      <c r="E96" s="17"/>
      <c r="F96" s="6"/>
      <c r="G96" s="93">
        <f>SUM('31:13'!G96)</f>
        <v>0</v>
      </c>
      <c r="H96" s="93">
        <f>SUM('31:13'!H96)</f>
        <v>0</v>
      </c>
      <c r="I96" s="93">
        <f>SUM('31:13'!I96)</f>
        <v>0</v>
      </c>
      <c r="J96" s="31" t="str">
        <f t="array" ref="J96">IF(ISERROR(G96/I96),"",G96/I96)</f>
        <v/>
      </c>
      <c r="K96" s="35">
        <f t="array" ref="K96">IF(ISERROR(G96/L96),"",G96/L96)</f>
        <v>0</v>
      </c>
      <c r="L96" s="87">
        <v>8</v>
      </c>
      <c r="M96" s="36">
        <f>IF(ISERROR(I96-K96),"",I96-K96)</f>
        <v>0</v>
      </c>
      <c r="N96" s="93">
        <f>SUM('31:13'!N96)</f>
        <v>0</v>
      </c>
      <c r="O96" s="93">
        <f>SUM('31:13'!O96)</f>
        <v>0</v>
      </c>
      <c r="P96" s="93">
        <f>SUM('31:13'!P96)</f>
        <v>0</v>
      </c>
      <c r="Q96" s="93">
        <f>SUM('31:13'!Q96)</f>
        <v>0</v>
      </c>
      <c r="R96" s="93">
        <f>SUM('31:13'!R96)</f>
        <v>0</v>
      </c>
      <c r="S96" s="93">
        <f>SUM('31:13'!S96)</f>
        <v>0</v>
      </c>
      <c r="T96" s="93">
        <f>SUM('31:13'!T96)</f>
        <v>0</v>
      </c>
      <c r="U96" s="93">
        <f>SUM('31:13'!U96)</f>
        <v>0</v>
      </c>
      <c r="V96" s="207">
        <f>SUM(X96:AA96)</f>
        <v>0</v>
      </c>
      <c r="W96" s="33" t="str">
        <f>IF(ISERROR(V96/G96),"",V96/G96)</f>
        <v/>
      </c>
      <c r="X96" s="93">
        <f>SUM('31:13'!X96)</f>
        <v>0</v>
      </c>
      <c r="Y96" s="93">
        <f>SUM('31:13'!Y96)</f>
        <v>0</v>
      </c>
      <c r="Z96" s="93">
        <f>SUM('31:13'!Z96)</f>
        <v>0</v>
      </c>
      <c r="AA96" s="93">
        <f>SUM('31:13'!AA96)</f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>
      <c r="A97" s="304">
        <v>30600002</v>
      </c>
      <c r="B97" s="65" t="s">
        <v>162</v>
      </c>
      <c r="C97" s="16" t="s">
        <v>60</v>
      </c>
      <c r="D97" s="17">
        <v>5.03</v>
      </c>
      <c r="E97" s="17"/>
      <c r="F97" s="6"/>
      <c r="G97" s="93">
        <f>SUM('31:13'!G97)</f>
        <v>0</v>
      </c>
      <c r="H97" s="93">
        <f>SUM('31:13'!H97)</f>
        <v>0</v>
      </c>
      <c r="I97" s="93">
        <f>SUM('31:13'!I97)</f>
        <v>0</v>
      </c>
      <c r="J97" s="31" t="str">
        <f t="array" ref="J97">IF(ISERROR(G97/I97),"",G97/I97)</f>
        <v/>
      </c>
      <c r="K97" s="35">
        <f t="array" ref="K97">IF(ISERROR(G97/L97),"",G97/L97)</f>
        <v>0</v>
      </c>
      <c r="L97" s="87">
        <v>8</v>
      </c>
      <c r="M97" s="36">
        <f>IF(ISERROR(I97-K97),"",I97-K97)</f>
        <v>0</v>
      </c>
      <c r="N97" s="93">
        <f>SUM('31:13'!N97)</f>
        <v>0</v>
      </c>
      <c r="O97" s="93">
        <f>SUM('31:13'!O97)</f>
        <v>0</v>
      </c>
      <c r="P97" s="93">
        <f>SUM('31:13'!P97)</f>
        <v>0</v>
      </c>
      <c r="Q97" s="93">
        <f>SUM('31:13'!Q97)</f>
        <v>0</v>
      </c>
      <c r="R97" s="93">
        <f>SUM('31:13'!R97)</f>
        <v>0</v>
      </c>
      <c r="S97" s="93">
        <f>SUM('31:13'!S97)</f>
        <v>0</v>
      </c>
      <c r="T97" s="93">
        <f>SUM('31:13'!T97)</f>
        <v>0</v>
      </c>
      <c r="U97" s="93">
        <f>SUM('31:13'!U97)</f>
        <v>0</v>
      </c>
      <c r="V97" s="207">
        <f>SUM(X97:AA97)</f>
        <v>0</v>
      </c>
      <c r="W97" s="33" t="str">
        <f>IF(ISERROR(V97/G97),"",V97/G97)</f>
        <v/>
      </c>
      <c r="X97" s="93">
        <f>SUM('31:13'!X97)</f>
        <v>0</v>
      </c>
      <c r="Y97" s="93">
        <f>SUM('31:13'!Y97)</f>
        <v>0</v>
      </c>
      <c r="Z97" s="93">
        <f>SUM('31:13'!Z97)</f>
        <v>0</v>
      </c>
      <c r="AA97" s="93">
        <f>SUM('31:13'!AA97)</f>
        <v>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>
      <c r="A98" s="304">
        <v>30600003</v>
      </c>
      <c r="B98" s="65" t="s">
        <v>162</v>
      </c>
      <c r="C98" s="195" t="s">
        <v>89</v>
      </c>
      <c r="D98" s="17">
        <v>5.03</v>
      </c>
      <c r="E98" s="17"/>
      <c r="F98" s="6"/>
      <c r="G98" s="93">
        <f>SUM('31:13'!G98)</f>
        <v>102</v>
      </c>
      <c r="H98" s="93">
        <f>SUM('31:13'!H98)</f>
        <v>513.06000000000006</v>
      </c>
      <c r="I98" s="93">
        <f>SUM('31:13'!I98)</f>
        <v>10.5</v>
      </c>
      <c r="J98" s="31">
        <f t="array" ref="J98">IF(ISERROR(G98/I98),"",G98/I98)</f>
        <v>9.7142857142857135</v>
      </c>
      <c r="K98" s="35">
        <f t="array" ref="K98">IF(ISERROR(G98/L98),"",G98/L98)</f>
        <v>12.75</v>
      </c>
      <c r="L98" s="87">
        <v>8</v>
      </c>
      <c r="M98" s="36">
        <f>IF(ISERROR(I98-K98),"",I98-K98)</f>
        <v>-2.25</v>
      </c>
      <c r="N98" s="93">
        <f>SUM('31:13'!N98)</f>
        <v>0</v>
      </c>
      <c r="O98" s="93">
        <f>SUM('31:13'!O98)</f>
        <v>0</v>
      </c>
      <c r="P98" s="93">
        <f>SUM('31:13'!P98)</f>
        <v>0</v>
      </c>
      <c r="Q98" s="93">
        <f>SUM('31:13'!Q98)</f>
        <v>0</v>
      </c>
      <c r="R98" s="93">
        <f>SUM('31:13'!R98)</f>
        <v>0</v>
      </c>
      <c r="S98" s="93">
        <f>SUM('31:13'!S98)</f>
        <v>0</v>
      </c>
      <c r="T98" s="93">
        <f>SUM('31:13'!T98)</f>
        <v>0</v>
      </c>
      <c r="U98" s="93">
        <f>SUM('31:13'!U98)</f>
        <v>0</v>
      </c>
      <c r="V98" s="207">
        <f>SUM(X98:AA98)</f>
        <v>0</v>
      </c>
      <c r="W98" s="33">
        <f>IF(ISERROR(V98/G98),"",V98/G98)</f>
        <v>0</v>
      </c>
      <c r="X98" s="93">
        <f>SUM('31:13'!X98)</f>
        <v>0</v>
      </c>
      <c r="Y98" s="93">
        <f>SUM('31:13'!Y98)</f>
        <v>0</v>
      </c>
      <c r="Z98" s="93">
        <f>SUM('31:13'!Z98)</f>
        <v>0</v>
      </c>
      <c r="AA98" s="93">
        <f>SUM('31:13'!AA98)</f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>
      <c r="A99" s="304">
        <v>30400030</v>
      </c>
      <c r="B99" s="215" t="s">
        <v>491</v>
      </c>
      <c r="C99" s="16" t="s">
        <v>53</v>
      </c>
      <c r="D99" s="17">
        <v>5.03</v>
      </c>
      <c r="E99" s="17"/>
      <c r="F99" s="6"/>
      <c r="G99" s="93">
        <f>SUM('31:13'!G99)</f>
        <v>0</v>
      </c>
      <c r="H99" s="93">
        <f>SUM('31:13'!H99)</f>
        <v>0</v>
      </c>
      <c r="I99" s="93">
        <f>SUM('31:13'!I99)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87">
        <v>10</v>
      </c>
      <c r="M99" s="36">
        <f t="shared" ref="M99:M114" si="32">IF(ISERROR(I99-K99),"",I99-K99)</f>
        <v>0</v>
      </c>
      <c r="N99" s="93">
        <f>SUM('31:13'!N99)</f>
        <v>0</v>
      </c>
      <c r="O99" s="93">
        <f>SUM('31:13'!O99)</f>
        <v>0</v>
      </c>
      <c r="P99" s="93">
        <f>SUM('31:13'!P99)</f>
        <v>0</v>
      </c>
      <c r="Q99" s="93">
        <f>SUM('31:13'!Q99)</f>
        <v>0</v>
      </c>
      <c r="R99" s="93">
        <f>SUM('31:13'!R99)</f>
        <v>0</v>
      </c>
      <c r="S99" s="93">
        <f>SUM('31:13'!S99)</f>
        <v>0</v>
      </c>
      <c r="T99" s="93">
        <f>SUM('31:13'!T99)</f>
        <v>0</v>
      </c>
      <c r="U99" s="93">
        <f>SUM('31:13'!U99)</f>
        <v>0</v>
      </c>
      <c r="V99" s="206">
        <f t="shared" ref="V99:V106" si="33">SUM(X99:AA99)</f>
        <v>0</v>
      </c>
      <c r="W99" s="33" t="str">
        <f t="shared" ref="W99:W106" si="34">IF(ISERROR(V99/G99),"",V99/G99)</f>
        <v/>
      </c>
      <c r="X99" s="93">
        <f>SUM('31:13'!X99)</f>
        <v>0</v>
      </c>
      <c r="Y99" s="93">
        <f>SUM('31:13'!Y99)</f>
        <v>0</v>
      </c>
      <c r="Z99" s="93">
        <f>SUM('31:13'!Z99)</f>
        <v>0</v>
      </c>
      <c r="AA99" s="93">
        <f>SUM('31:13'!AA99)</f>
        <v>0</v>
      </c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>
      <c r="A100" s="304"/>
      <c r="B100" s="65" t="s">
        <v>88</v>
      </c>
      <c r="C100" s="16" t="s">
        <v>72</v>
      </c>
      <c r="D100" s="17">
        <v>5.03</v>
      </c>
      <c r="E100" s="17"/>
      <c r="F100" s="6"/>
      <c r="G100" s="93">
        <f>SUM('31:13'!G100)</f>
        <v>0</v>
      </c>
      <c r="H100" s="93">
        <f>SUM('31:13'!H100)</f>
        <v>0</v>
      </c>
      <c r="I100" s="93">
        <f>SUM('31:13'!I100)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87"/>
      <c r="M100" s="36" t="str">
        <f t="shared" si="32"/>
        <v/>
      </c>
      <c r="N100" s="93">
        <f>SUM('31:13'!N100)</f>
        <v>0</v>
      </c>
      <c r="O100" s="93">
        <f>SUM('31:13'!O100)</f>
        <v>0</v>
      </c>
      <c r="P100" s="93">
        <f>SUM('31:13'!P100)</f>
        <v>0</v>
      </c>
      <c r="Q100" s="93">
        <f>SUM('31:13'!Q100)</f>
        <v>0</v>
      </c>
      <c r="R100" s="93">
        <f>SUM('31:13'!R100)</f>
        <v>0</v>
      </c>
      <c r="S100" s="93">
        <f>SUM('31:13'!S100)</f>
        <v>0</v>
      </c>
      <c r="T100" s="93">
        <f>SUM('31:13'!T100)</f>
        <v>0</v>
      </c>
      <c r="U100" s="93">
        <f>SUM('31:13'!U100)</f>
        <v>0</v>
      </c>
      <c r="V100" s="206">
        <f t="shared" si="33"/>
        <v>0</v>
      </c>
      <c r="W100" s="33" t="str">
        <f t="shared" si="34"/>
        <v/>
      </c>
      <c r="X100" s="93">
        <f>SUM('31:13'!X100)</f>
        <v>0</v>
      </c>
      <c r="Y100" s="93">
        <f>SUM('31:13'!Y100)</f>
        <v>0</v>
      </c>
      <c r="Z100" s="93">
        <f>SUM('31:13'!Z100)</f>
        <v>0</v>
      </c>
      <c r="AA100" s="93">
        <f>SUM('31:13'!AA100)</f>
        <v>0</v>
      </c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>
      <c r="A101" s="304"/>
      <c r="B101" s="65" t="s">
        <v>88</v>
      </c>
      <c r="C101" s="16" t="s">
        <v>60</v>
      </c>
      <c r="D101" s="17">
        <v>5.03</v>
      </c>
      <c r="E101" s="17"/>
      <c r="F101" s="6"/>
      <c r="G101" s="93">
        <f>SUM('31:13'!G101)</f>
        <v>0</v>
      </c>
      <c r="H101" s="93">
        <f>SUM('31:13'!H101)</f>
        <v>0</v>
      </c>
      <c r="I101" s="93">
        <f>SUM('31:13'!I101)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87"/>
      <c r="M101" s="36" t="str">
        <f t="shared" si="32"/>
        <v/>
      </c>
      <c r="N101" s="93">
        <f>SUM('31:13'!N101)</f>
        <v>0</v>
      </c>
      <c r="O101" s="93">
        <f>SUM('31:13'!O101)</f>
        <v>0</v>
      </c>
      <c r="P101" s="93">
        <f>SUM('31:13'!P101)</f>
        <v>0</v>
      </c>
      <c r="Q101" s="93">
        <f>SUM('31:13'!Q101)</f>
        <v>0</v>
      </c>
      <c r="R101" s="93">
        <f>SUM('31:13'!R101)</f>
        <v>0</v>
      </c>
      <c r="S101" s="93">
        <f>SUM('31:13'!S101)</f>
        <v>0</v>
      </c>
      <c r="T101" s="93">
        <f>SUM('31:13'!T101)</f>
        <v>0</v>
      </c>
      <c r="U101" s="93">
        <f>SUM('31:13'!U101)</f>
        <v>0</v>
      </c>
      <c r="V101" s="206">
        <f t="shared" si="33"/>
        <v>0</v>
      </c>
      <c r="W101" s="33" t="str">
        <f t="shared" si="34"/>
        <v/>
      </c>
      <c r="X101" s="93">
        <f>SUM('31:13'!X101)</f>
        <v>0</v>
      </c>
      <c r="Y101" s="93">
        <f>SUM('31:13'!Y101)</f>
        <v>0</v>
      </c>
      <c r="Z101" s="93">
        <f>SUM('31:13'!Z101)</f>
        <v>0</v>
      </c>
      <c r="AA101" s="93">
        <f>SUM('31:13'!AA101)</f>
        <v>0</v>
      </c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>
      <c r="A102" s="304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93">
        <f>SUM('31:13'!G102)</f>
        <v>0</v>
      </c>
      <c r="H102" s="93">
        <f>SUM('31:13'!H102)</f>
        <v>0</v>
      </c>
      <c r="I102" s="93">
        <f>SUM('31:13'!I102)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87"/>
      <c r="M102" s="36" t="str">
        <f t="shared" si="32"/>
        <v/>
      </c>
      <c r="N102" s="93">
        <f>SUM('31:13'!N102)</f>
        <v>0</v>
      </c>
      <c r="O102" s="93">
        <f>SUM('31:13'!O102)</f>
        <v>0</v>
      </c>
      <c r="P102" s="93">
        <f>SUM('31:13'!P102)</f>
        <v>0</v>
      </c>
      <c r="Q102" s="93">
        <f>SUM('31:13'!Q102)</f>
        <v>0</v>
      </c>
      <c r="R102" s="93">
        <f>SUM('31:13'!R102)</f>
        <v>0</v>
      </c>
      <c r="S102" s="93">
        <f>SUM('31:13'!S102)</f>
        <v>0</v>
      </c>
      <c r="T102" s="93">
        <f>SUM('31:13'!T102)</f>
        <v>0</v>
      </c>
      <c r="U102" s="93">
        <f>SUM('31:13'!U102)</f>
        <v>0</v>
      </c>
      <c r="V102" s="206">
        <f t="shared" si="33"/>
        <v>0</v>
      </c>
      <c r="W102" s="33" t="str">
        <f t="shared" si="34"/>
        <v/>
      </c>
      <c r="X102" s="93">
        <f>SUM('31:13'!X102)</f>
        <v>0</v>
      </c>
      <c r="Y102" s="93">
        <f>SUM('31:13'!Y102)</f>
        <v>0</v>
      </c>
      <c r="Z102" s="93">
        <f>SUM('31:13'!Z102)</f>
        <v>0</v>
      </c>
      <c r="AA102" s="93">
        <f>SUM('31:13'!AA102)</f>
        <v>0</v>
      </c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>
      <c r="A103" s="304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93">
        <f>SUM('31:13'!G103)</f>
        <v>0</v>
      </c>
      <c r="H103" s="93">
        <f>SUM('31:13'!H103)</f>
        <v>0</v>
      </c>
      <c r="I103" s="93">
        <f>SUM('31:13'!I103)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87">
        <v>6</v>
      </c>
      <c r="M103" s="36">
        <f t="shared" si="32"/>
        <v>0</v>
      </c>
      <c r="N103" s="93">
        <f>SUM('31:13'!N103)</f>
        <v>0</v>
      </c>
      <c r="O103" s="93">
        <f>SUM('31:13'!O103)</f>
        <v>0</v>
      </c>
      <c r="P103" s="93">
        <f>SUM('31:13'!P103)</f>
        <v>0</v>
      </c>
      <c r="Q103" s="93">
        <f>SUM('31:13'!Q103)</f>
        <v>0</v>
      </c>
      <c r="R103" s="93">
        <f>SUM('31:13'!R103)</f>
        <v>0</v>
      </c>
      <c r="S103" s="93">
        <f>SUM('31:13'!S103)</f>
        <v>0</v>
      </c>
      <c r="T103" s="93">
        <f>SUM('31:13'!T103)</f>
        <v>0</v>
      </c>
      <c r="U103" s="93">
        <f>SUM('31:13'!U103)</f>
        <v>0</v>
      </c>
      <c r="V103" s="206">
        <f t="shared" si="33"/>
        <v>0</v>
      </c>
      <c r="W103" s="33" t="str">
        <f t="shared" si="34"/>
        <v/>
      </c>
      <c r="X103" s="93">
        <f>SUM('31:13'!X103)</f>
        <v>0</v>
      </c>
      <c r="Y103" s="93">
        <f>SUM('31:13'!Y103)</f>
        <v>0</v>
      </c>
      <c r="Z103" s="93">
        <f>SUM('31:13'!Z103)</f>
        <v>0</v>
      </c>
      <c r="AA103" s="93">
        <f>SUM('31:13'!AA103)</f>
        <v>0</v>
      </c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>
      <c r="A104" s="304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93">
        <f>SUM('31:13'!G104)</f>
        <v>0</v>
      </c>
      <c r="H104" s="93">
        <f>SUM('31:13'!H104)</f>
        <v>0</v>
      </c>
      <c r="I104" s="93">
        <f>SUM('31:13'!I104)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87">
        <v>6</v>
      </c>
      <c r="M104" s="36">
        <f t="shared" si="32"/>
        <v>0</v>
      </c>
      <c r="N104" s="93">
        <f>SUM('31:13'!N104)</f>
        <v>0</v>
      </c>
      <c r="O104" s="93">
        <f>SUM('31:13'!O104)</f>
        <v>0</v>
      </c>
      <c r="P104" s="93">
        <f>SUM('31:13'!P104)</f>
        <v>0</v>
      </c>
      <c r="Q104" s="93">
        <f>SUM('31:13'!Q104)</f>
        <v>0</v>
      </c>
      <c r="R104" s="93">
        <f>SUM('31:13'!R104)</f>
        <v>0</v>
      </c>
      <c r="S104" s="93">
        <f>SUM('31:13'!S104)</f>
        <v>0</v>
      </c>
      <c r="T104" s="93">
        <f>SUM('31:13'!T104)</f>
        <v>0</v>
      </c>
      <c r="U104" s="93">
        <f>SUM('31:13'!U104)</f>
        <v>0</v>
      </c>
      <c r="V104" s="206">
        <f t="shared" si="33"/>
        <v>0</v>
      </c>
      <c r="W104" s="33" t="str">
        <f t="shared" si="34"/>
        <v/>
      </c>
      <c r="X104" s="93">
        <f>SUM('31:13'!X104)</f>
        <v>0</v>
      </c>
      <c r="Y104" s="93">
        <f>SUM('31:13'!Y104)</f>
        <v>0</v>
      </c>
      <c r="Z104" s="93">
        <f>SUM('31:13'!Z104)</f>
        <v>0</v>
      </c>
      <c r="AA104" s="93">
        <f>SUM('31:13'!AA104)</f>
        <v>0</v>
      </c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>
      <c r="A105" s="304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93">
        <f>SUM('31:13'!G105)</f>
        <v>0</v>
      </c>
      <c r="H105" s="93">
        <f>SUM('31:13'!H105)</f>
        <v>0</v>
      </c>
      <c r="I105" s="93">
        <f>SUM('31:13'!I105)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87">
        <v>6</v>
      </c>
      <c r="M105" s="36">
        <f t="shared" si="32"/>
        <v>0</v>
      </c>
      <c r="N105" s="93">
        <f>SUM('31:13'!N105)</f>
        <v>0</v>
      </c>
      <c r="O105" s="93">
        <f>SUM('31:13'!O105)</f>
        <v>0</v>
      </c>
      <c r="P105" s="93">
        <f>SUM('31:13'!P105)</f>
        <v>0</v>
      </c>
      <c r="Q105" s="93">
        <f>SUM('31:13'!Q105)</f>
        <v>0</v>
      </c>
      <c r="R105" s="93">
        <f>SUM('31:13'!R105)</f>
        <v>0</v>
      </c>
      <c r="S105" s="93">
        <f>SUM('31:13'!S105)</f>
        <v>0</v>
      </c>
      <c r="T105" s="93">
        <f>SUM('31:13'!T105)</f>
        <v>0</v>
      </c>
      <c r="U105" s="93">
        <f>SUM('31:13'!U105)</f>
        <v>0</v>
      </c>
      <c r="V105" s="206">
        <f t="shared" si="33"/>
        <v>0</v>
      </c>
      <c r="W105" s="33" t="str">
        <f t="shared" si="34"/>
        <v/>
      </c>
      <c r="X105" s="93">
        <f>SUM('31:13'!X105)</f>
        <v>0</v>
      </c>
      <c r="Y105" s="93">
        <f>SUM('31:13'!Y105)</f>
        <v>0</v>
      </c>
      <c r="Z105" s="93">
        <f>SUM('31:13'!Z105)</f>
        <v>0</v>
      </c>
      <c r="AA105" s="93">
        <f>SUM('31:13'!AA105)</f>
        <v>0</v>
      </c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>
      <c r="A106" s="304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93">
        <f>SUM('31:13'!G106)</f>
        <v>0</v>
      </c>
      <c r="H106" s="93">
        <f>SUM('31:13'!H106)</f>
        <v>0</v>
      </c>
      <c r="I106" s="93">
        <f>SUM('31:13'!I106)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87">
        <v>6</v>
      </c>
      <c r="M106" s="36">
        <f t="shared" si="32"/>
        <v>0</v>
      </c>
      <c r="N106" s="93">
        <f>SUM('31:13'!N106)</f>
        <v>0</v>
      </c>
      <c r="O106" s="93">
        <f>SUM('31:13'!O106)</f>
        <v>0</v>
      </c>
      <c r="P106" s="93">
        <f>SUM('31:13'!P106)</f>
        <v>0</v>
      </c>
      <c r="Q106" s="93">
        <f>SUM('31:13'!Q106)</f>
        <v>0</v>
      </c>
      <c r="R106" s="93">
        <f>SUM('31:13'!R106)</f>
        <v>0</v>
      </c>
      <c r="S106" s="93">
        <f>SUM('31:13'!S106)</f>
        <v>0</v>
      </c>
      <c r="T106" s="93">
        <f>SUM('31:13'!T106)</f>
        <v>0</v>
      </c>
      <c r="U106" s="93">
        <f>SUM('31:13'!U106)</f>
        <v>0</v>
      </c>
      <c r="V106" s="206">
        <f t="shared" si="33"/>
        <v>0</v>
      </c>
      <c r="W106" s="33" t="str">
        <f t="shared" si="34"/>
        <v/>
      </c>
      <c r="X106" s="93">
        <f>SUM('31:13'!X106)</f>
        <v>0</v>
      </c>
      <c r="Y106" s="93">
        <f>SUM('31:13'!Y106)</f>
        <v>0</v>
      </c>
      <c r="Z106" s="93">
        <f>SUM('31:13'!Z106)</f>
        <v>0</v>
      </c>
      <c r="AA106" s="93">
        <f>SUM('31:13'!AA106)</f>
        <v>0</v>
      </c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>
      <c r="A107" s="299">
        <v>30400026</v>
      </c>
      <c r="B107" s="190" t="s">
        <v>457</v>
      </c>
      <c r="C107" s="187" t="s">
        <v>395</v>
      </c>
      <c r="D107" s="17">
        <v>5</v>
      </c>
      <c r="E107" s="17"/>
      <c r="F107" s="6"/>
      <c r="G107" s="93">
        <f>SUM('31:13'!G107)</f>
        <v>67</v>
      </c>
      <c r="H107" s="93">
        <f>SUM('31:13'!H107)</f>
        <v>335</v>
      </c>
      <c r="I107" s="93">
        <f>SUM('31:13'!I107)</f>
        <v>10</v>
      </c>
      <c r="J107" s="31"/>
      <c r="K107" s="35">
        <f t="array" ref="K107">IF(ISERROR(G107/L107),"",G107/L107)</f>
        <v>13.4</v>
      </c>
      <c r="L107" s="87">
        <v>5</v>
      </c>
      <c r="M107" s="36">
        <f t="shared" si="32"/>
        <v>-3.4000000000000004</v>
      </c>
      <c r="N107" s="93">
        <f>SUM('31:13'!N107)</f>
        <v>0</v>
      </c>
      <c r="O107" s="93">
        <f>SUM('31:13'!O107)</f>
        <v>0</v>
      </c>
      <c r="P107" s="93">
        <f>SUM('31:13'!P107)</f>
        <v>0</v>
      </c>
      <c r="Q107" s="93">
        <f>SUM('31:13'!Q107)</f>
        <v>0</v>
      </c>
      <c r="R107" s="93">
        <f>SUM('31:13'!R107)</f>
        <v>0</v>
      </c>
      <c r="S107" s="93">
        <f>SUM('31:13'!S107)</f>
        <v>0</v>
      </c>
      <c r="T107" s="93">
        <f>SUM('31:13'!T107)</f>
        <v>0</v>
      </c>
      <c r="U107" s="93">
        <f>SUM('31:13'!U107)</f>
        <v>0</v>
      </c>
      <c r="V107" s="206"/>
      <c r="W107" s="33"/>
      <c r="X107" s="93">
        <f>SUM('31:13'!X107)</f>
        <v>0</v>
      </c>
      <c r="Y107" s="93">
        <f>SUM('31:13'!Y107)</f>
        <v>0</v>
      </c>
      <c r="Z107" s="93">
        <f>SUM('31:13'!Z107)</f>
        <v>0</v>
      </c>
      <c r="AA107" s="93">
        <f>SUM('31:13'!AA107)</f>
        <v>0</v>
      </c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>
      <c r="A108" s="299">
        <v>30400028</v>
      </c>
      <c r="B108" s="190" t="s">
        <v>457</v>
      </c>
      <c r="C108" s="187" t="s">
        <v>403</v>
      </c>
      <c r="D108" s="17">
        <v>5</v>
      </c>
      <c r="E108" s="17"/>
      <c r="F108" s="6"/>
      <c r="G108" s="93">
        <f>SUM('31:13'!G108)</f>
        <v>1384</v>
      </c>
      <c r="H108" s="93">
        <f>SUM('31:13'!H108)</f>
        <v>6920</v>
      </c>
      <c r="I108" s="93">
        <f>SUM('31:13'!I108)</f>
        <v>118.5</v>
      </c>
      <c r="J108" s="31"/>
      <c r="K108" s="35">
        <f t="array" ref="K108">IF(ISERROR(G108/L108),"",G108/L108)</f>
        <v>276.8</v>
      </c>
      <c r="L108" s="87">
        <v>5</v>
      </c>
      <c r="M108" s="36">
        <f t="shared" si="32"/>
        <v>-158.30000000000001</v>
      </c>
      <c r="N108" s="93">
        <f>SUM('31:13'!N108)</f>
        <v>0</v>
      </c>
      <c r="O108" s="93">
        <f>SUM('31:13'!O108)</f>
        <v>0</v>
      </c>
      <c r="P108" s="93">
        <f>SUM('31:13'!P108)</f>
        <v>0</v>
      </c>
      <c r="Q108" s="93">
        <f>SUM('31:13'!Q108)</f>
        <v>0</v>
      </c>
      <c r="R108" s="93">
        <f>SUM('31:13'!R108)</f>
        <v>0</v>
      </c>
      <c r="S108" s="93">
        <f>SUM('31:13'!S108)</f>
        <v>0</v>
      </c>
      <c r="T108" s="93">
        <f>SUM('31:13'!T108)</f>
        <v>0</v>
      </c>
      <c r="U108" s="93">
        <f>SUM('31:13'!U108)</f>
        <v>0</v>
      </c>
      <c r="V108" s="206"/>
      <c r="W108" s="33"/>
      <c r="X108" s="93">
        <f>SUM('31:13'!X108)</f>
        <v>0</v>
      </c>
      <c r="Y108" s="93">
        <f>SUM('31:13'!Y108)</f>
        <v>0</v>
      </c>
      <c r="Z108" s="93">
        <f>SUM('31:13'!Z108)</f>
        <v>0</v>
      </c>
      <c r="AA108" s="93">
        <f>SUM('31:13'!AA108)</f>
        <v>0</v>
      </c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>
      <c r="A109" s="299">
        <v>30400027</v>
      </c>
      <c r="B109" s="190" t="s">
        <v>472</v>
      </c>
      <c r="C109" s="187" t="s">
        <v>406</v>
      </c>
      <c r="D109" s="17">
        <v>5</v>
      </c>
      <c r="E109" s="17"/>
      <c r="F109" s="6"/>
      <c r="G109" s="93">
        <f>SUM('31:13'!G109)</f>
        <v>938</v>
      </c>
      <c r="H109" s="93">
        <f>SUM('31:13'!H109)</f>
        <v>4690</v>
      </c>
      <c r="I109" s="93">
        <f>SUM('31:13'!I109)</f>
        <v>117.5</v>
      </c>
      <c r="J109" s="31"/>
      <c r="K109" s="35">
        <f t="array" ref="K109">IF(ISERROR(G109/L109),"",G109/L109)</f>
        <v>187.6</v>
      </c>
      <c r="L109" s="87">
        <v>5</v>
      </c>
      <c r="M109" s="36">
        <f t="shared" si="32"/>
        <v>-70.099999999999994</v>
      </c>
      <c r="N109" s="93">
        <f>SUM('31:13'!N109)</f>
        <v>0</v>
      </c>
      <c r="O109" s="93">
        <f>SUM('31:13'!O109)</f>
        <v>0</v>
      </c>
      <c r="P109" s="93">
        <f>SUM('31:13'!P109)</f>
        <v>0</v>
      </c>
      <c r="Q109" s="93">
        <f>SUM('31:13'!Q109)</f>
        <v>0</v>
      </c>
      <c r="R109" s="93">
        <f>SUM('31:13'!R109)</f>
        <v>0</v>
      </c>
      <c r="S109" s="93">
        <f>SUM('31:13'!S109)</f>
        <v>0</v>
      </c>
      <c r="T109" s="93">
        <f>SUM('31:13'!T109)</f>
        <v>0</v>
      </c>
      <c r="U109" s="93">
        <f>SUM('31:13'!U109)</f>
        <v>0</v>
      </c>
      <c r="V109" s="206"/>
      <c r="W109" s="33"/>
      <c r="X109" s="93">
        <f>SUM('31:13'!X109)</f>
        <v>0</v>
      </c>
      <c r="Y109" s="93">
        <f>SUM('31:13'!Y109)</f>
        <v>0</v>
      </c>
      <c r="Z109" s="93">
        <f>SUM('31:13'!Z109)</f>
        <v>0</v>
      </c>
      <c r="AA109" s="93">
        <f>SUM('31:13'!AA109)</f>
        <v>0</v>
      </c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>
      <c r="A110" s="299"/>
      <c r="B110" s="190" t="s">
        <v>492</v>
      </c>
      <c r="C110" s="187" t="s">
        <v>372</v>
      </c>
      <c r="D110" s="17">
        <v>5</v>
      </c>
      <c r="E110" s="17"/>
      <c r="F110" s="6"/>
      <c r="G110" s="93">
        <f>SUM('31:13'!G110)</f>
        <v>0</v>
      </c>
      <c r="H110" s="93">
        <f>SUM('31:13'!H110)</f>
        <v>0</v>
      </c>
      <c r="I110" s="93">
        <f>SUM('31:13'!I110)</f>
        <v>0</v>
      </c>
      <c r="J110" s="31"/>
      <c r="K110" s="35">
        <f t="array" ref="K110">IF(ISERROR(G110/L110),"",G110/L110)</f>
        <v>0</v>
      </c>
      <c r="L110" s="87">
        <v>5</v>
      </c>
      <c r="M110" s="36">
        <f t="shared" si="32"/>
        <v>0</v>
      </c>
      <c r="N110" s="93">
        <f>SUM('31:13'!N110)</f>
        <v>0</v>
      </c>
      <c r="O110" s="93">
        <f>SUM('31:13'!O110)</f>
        <v>0</v>
      </c>
      <c r="P110" s="93">
        <f>SUM('31:13'!P110)</f>
        <v>0</v>
      </c>
      <c r="Q110" s="93">
        <f>SUM('31:13'!Q110)</f>
        <v>0</v>
      </c>
      <c r="R110" s="93">
        <f>SUM('31:13'!R110)</f>
        <v>0</v>
      </c>
      <c r="S110" s="93">
        <f>SUM('31:13'!S110)</f>
        <v>0</v>
      </c>
      <c r="T110" s="93">
        <f>SUM('31:13'!T110)</f>
        <v>0</v>
      </c>
      <c r="U110" s="93">
        <f>SUM('31:13'!U110)</f>
        <v>0</v>
      </c>
      <c r="V110" s="206"/>
      <c r="W110" s="33"/>
      <c r="X110" s="93">
        <f>SUM('31:13'!X110)</f>
        <v>0</v>
      </c>
      <c r="Y110" s="93">
        <f>SUM('31:13'!Y110)</f>
        <v>0</v>
      </c>
      <c r="Z110" s="93">
        <f>SUM('31:13'!Z110)</f>
        <v>0</v>
      </c>
      <c r="AA110" s="93">
        <f>SUM('31:13'!AA110)</f>
        <v>0</v>
      </c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>
      <c r="A111" s="299">
        <v>30600009</v>
      </c>
      <c r="B111" s="61" t="s">
        <v>344</v>
      </c>
      <c r="C111" s="16" t="s">
        <v>346</v>
      </c>
      <c r="D111" s="17">
        <v>5</v>
      </c>
      <c r="E111" s="17"/>
      <c r="F111" s="6"/>
      <c r="G111" s="93">
        <f>SUM('31:13'!G111)</f>
        <v>811</v>
      </c>
      <c r="H111" s="93">
        <f>SUM('31:13'!H111)</f>
        <v>4055</v>
      </c>
      <c r="I111" s="93">
        <f>SUM('31:13'!I111)</f>
        <v>125</v>
      </c>
      <c r="J111" s="31"/>
      <c r="K111" s="35">
        <f t="array" ref="K111">IF(ISERROR(G111/L111),"",G111/L111)</f>
        <v>162.19999999999999</v>
      </c>
      <c r="L111" s="87">
        <v>5</v>
      </c>
      <c r="M111" s="36">
        <f t="shared" si="32"/>
        <v>-37.199999999999989</v>
      </c>
      <c r="N111" s="93">
        <f>SUM('31:13'!N111)</f>
        <v>0</v>
      </c>
      <c r="O111" s="93">
        <f>SUM('31:13'!O111)</f>
        <v>0</v>
      </c>
      <c r="P111" s="93">
        <f>SUM('31:13'!P111)</f>
        <v>0</v>
      </c>
      <c r="Q111" s="93">
        <f>SUM('31:13'!Q111)</f>
        <v>0</v>
      </c>
      <c r="R111" s="93">
        <f>SUM('31:13'!R111)</f>
        <v>0</v>
      </c>
      <c r="S111" s="93">
        <f>SUM('31:13'!S111)</f>
        <v>0</v>
      </c>
      <c r="T111" s="93">
        <f>SUM('31:13'!T111)</f>
        <v>0</v>
      </c>
      <c r="U111" s="93">
        <f>SUM('31:13'!U111)</f>
        <v>0</v>
      </c>
      <c r="V111" s="206"/>
      <c r="W111" s="33"/>
      <c r="X111" s="93">
        <f>SUM('31:13'!X111)</f>
        <v>0</v>
      </c>
      <c r="Y111" s="93">
        <f>SUM('31:13'!Y111)</f>
        <v>0</v>
      </c>
      <c r="Z111" s="93">
        <f>SUM('31:13'!Z111)</f>
        <v>0</v>
      </c>
      <c r="AA111" s="93">
        <f>SUM('31:13'!AA111)</f>
        <v>0</v>
      </c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>
      <c r="A112" s="299">
        <v>30600010</v>
      </c>
      <c r="B112" s="61" t="s">
        <v>344</v>
      </c>
      <c r="C112" s="16" t="s">
        <v>347</v>
      </c>
      <c r="D112" s="17">
        <v>5</v>
      </c>
      <c r="E112" s="17"/>
      <c r="F112" s="6"/>
      <c r="G112" s="93">
        <f>SUM('31:13'!G112)</f>
        <v>692</v>
      </c>
      <c r="H112" s="93">
        <f>SUM('31:13'!H112)</f>
        <v>3460</v>
      </c>
      <c r="I112" s="93">
        <f>SUM('31:13'!I112)</f>
        <v>149.5</v>
      </c>
      <c r="J112" s="31"/>
      <c r="K112" s="35">
        <f t="array" ref="K112">IF(ISERROR(G112/L112),"",G112/L112)</f>
        <v>138.4</v>
      </c>
      <c r="L112" s="87">
        <v>5</v>
      </c>
      <c r="M112" s="36">
        <f t="shared" si="32"/>
        <v>11.099999999999994</v>
      </c>
      <c r="N112" s="93">
        <f>SUM('31:13'!N112)</f>
        <v>0</v>
      </c>
      <c r="O112" s="93">
        <f>SUM('31:13'!O112)</f>
        <v>0</v>
      </c>
      <c r="P112" s="93">
        <f>SUM('31:13'!P112)</f>
        <v>0</v>
      </c>
      <c r="Q112" s="93">
        <f>SUM('31:13'!Q112)</f>
        <v>0</v>
      </c>
      <c r="R112" s="93">
        <f>SUM('31:13'!R112)</f>
        <v>0</v>
      </c>
      <c r="S112" s="93">
        <f>SUM('31:13'!S112)</f>
        <v>0</v>
      </c>
      <c r="T112" s="93">
        <f>SUM('31:13'!T112)</f>
        <v>0</v>
      </c>
      <c r="U112" s="93">
        <f>SUM('31:13'!U112)</f>
        <v>0</v>
      </c>
      <c r="V112" s="206"/>
      <c r="W112" s="33"/>
      <c r="X112" s="93">
        <f>SUM('31:13'!X112)</f>
        <v>0</v>
      </c>
      <c r="Y112" s="93">
        <f>SUM('31:13'!Y112)</f>
        <v>0</v>
      </c>
      <c r="Z112" s="93">
        <f>SUM('31:13'!Z112)</f>
        <v>0</v>
      </c>
      <c r="AA112" s="93">
        <f>SUM('31:13'!AA112)</f>
        <v>0</v>
      </c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>
      <c r="A113" s="299">
        <v>30400001</v>
      </c>
      <c r="B113" s="65" t="s">
        <v>514</v>
      </c>
      <c r="C113" s="16" t="s">
        <v>61</v>
      </c>
      <c r="D113" s="17">
        <v>5.0599999999999996</v>
      </c>
      <c r="E113" s="17"/>
      <c r="F113" s="6"/>
      <c r="G113" s="93">
        <f>SUM('31:13'!G113)</f>
        <v>257</v>
      </c>
      <c r="H113" s="93">
        <f>SUM('31:13'!H113)</f>
        <v>1300.4199999999998</v>
      </c>
      <c r="I113" s="93">
        <f>SUM('31:13'!I113)</f>
        <v>22</v>
      </c>
      <c r="J113" s="31">
        <f t="array" ref="J113">IF(ISERROR(G113/I113),"",G113/I113)</f>
        <v>11.681818181818182</v>
      </c>
      <c r="K113" s="35">
        <f t="array" ref="K113">IF(ISERROR(G113/L113),"",G113/L113)</f>
        <v>16.580645161290324</v>
      </c>
      <c r="L113" s="87">
        <v>15.5</v>
      </c>
      <c r="M113" s="36">
        <f t="shared" si="32"/>
        <v>5.4193548387096762</v>
      </c>
      <c r="N113" s="93">
        <f>SUM('31:13'!N113)</f>
        <v>0</v>
      </c>
      <c r="O113" s="93">
        <f>SUM('31:13'!O113)</f>
        <v>0</v>
      </c>
      <c r="P113" s="93">
        <f>SUM('31:13'!P113)</f>
        <v>0</v>
      </c>
      <c r="Q113" s="93">
        <f>SUM('31:13'!Q113)</f>
        <v>0</v>
      </c>
      <c r="R113" s="93">
        <f>SUM('31:13'!R113)</f>
        <v>0</v>
      </c>
      <c r="S113" s="93">
        <f>SUM('31:13'!S113)</f>
        <v>0</v>
      </c>
      <c r="T113" s="93">
        <f>SUM('31:13'!T113)</f>
        <v>0</v>
      </c>
      <c r="U113" s="93">
        <f>SUM('31:13'!U113)</f>
        <v>0</v>
      </c>
      <c r="V113" s="206">
        <f t="shared" ref="V113:V114" si="35">SUM(X113:AA113)</f>
        <v>0</v>
      </c>
      <c r="W113" s="33">
        <f t="shared" ref="W113:W114" si="36">IF(ISERROR(V113/G113),"",V113/G113)</f>
        <v>0</v>
      </c>
      <c r="X113" s="93">
        <f>SUM('31:13'!X113)</f>
        <v>0</v>
      </c>
      <c r="Y113" s="93">
        <f>SUM('31:13'!Y113)</f>
        <v>0</v>
      </c>
      <c r="Z113" s="93">
        <f>SUM('31:13'!Z113)</f>
        <v>0</v>
      </c>
      <c r="AA113" s="93">
        <f>SUM('31:13'!AA113)</f>
        <v>0</v>
      </c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>
      <c r="A114" s="299">
        <v>30400002</v>
      </c>
      <c r="B114" s="65" t="s">
        <v>514</v>
      </c>
      <c r="C114" s="16" t="s">
        <v>72</v>
      </c>
      <c r="D114" s="17">
        <v>5.0599999999999996</v>
      </c>
      <c r="E114" s="17"/>
      <c r="F114" s="6"/>
      <c r="G114" s="93">
        <f>SUM('31:13'!G114)</f>
        <v>0</v>
      </c>
      <c r="H114" s="93">
        <f>SUM('31:13'!H114)</f>
        <v>0</v>
      </c>
      <c r="I114" s="93">
        <f>SUM('31:13'!I114)</f>
        <v>0</v>
      </c>
      <c r="J114" s="31" t="str">
        <f t="array" ref="J114">IF(ISERROR(G114/I114),"",G114/I114)</f>
        <v/>
      </c>
      <c r="K114" s="35">
        <f t="array" ref="K114">IF(ISERROR(G114/L114),"",G114/L114)</f>
        <v>0</v>
      </c>
      <c r="L114" s="87">
        <v>15.5</v>
      </c>
      <c r="M114" s="36">
        <f t="shared" si="32"/>
        <v>0</v>
      </c>
      <c r="N114" s="93">
        <f>SUM('31:13'!N114)</f>
        <v>0</v>
      </c>
      <c r="O114" s="93">
        <f>SUM('31:13'!O114)</f>
        <v>0</v>
      </c>
      <c r="P114" s="93">
        <f>SUM('31:13'!P114)</f>
        <v>0</v>
      </c>
      <c r="Q114" s="93">
        <f>SUM('31:13'!Q114)</f>
        <v>0</v>
      </c>
      <c r="R114" s="93">
        <f>SUM('31:13'!R114)</f>
        <v>0</v>
      </c>
      <c r="S114" s="93">
        <f>SUM('31:13'!S114)</f>
        <v>0</v>
      </c>
      <c r="T114" s="93">
        <f>SUM('31:13'!T114)</f>
        <v>0</v>
      </c>
      <c r="U114" s="93">
        <f>SUM('31:13'!U114)</f>
        <v>0</v>
      </c>
      <c r="V114" s="206">
        <f t="shared" si="35"/>
        <v>0</v>
      </c>
      <c r="W114" s="33" t="str">
        <f t="shared" si="36"/>
        <v/>
      </c>
      <c r="X114" s="93">
        <f>SUM('31:13'!X114)</f>
        <v>0</v>
      </c>
      <c r="Y114" s="93">
        <f>SUM('31:13'!Y114)</f>
        <v>0</v>
      </c>
      <c r="Z114" s="93">
        <f>SUM('31:13'!Z114)</f>
        <v>0</v>
      </c>
      <c r="AA114" s="93">
        <f>SUM('31:13'!AA114)</f>
        <v>0</v>
      </c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>
      <c r="A115" s="299">
        <v>30400004</v>
      </c>
      <c r="B115" s="215" t="s">
        <v>419</v>
      </c>
      <c r="C115" s="187" t="s">
        <v>420</v>
      </c>
      <c r="D115" s="17"/>
      <c r="E115" s="17"/>
      <c r="F115" s="6"/>
      <c r="G115" s="93">
        <f>SUM('31:13'!G115)</f>
        <v>701</v>
      </c>
      <c r="H115" s="93">
        <f>SUM('31:13'!H115)</f>
        <v>3505</v>
      </c>
      <c r="I115" s="93">
        <f>SUM('31:13'!I115)</f>
        <v>31.5</v>
      </c>
      <c r="J115" s="31"/>
      <c r="K115" s="35">
        <f t="array" ref="K115">IF(ISERROR(G115/L115),"",G115/L115)</f>
        <v>29.208333333333332</v>
      </c>
      <c r="L115" s="87">
        <v>24</v>
      </c>
      <c r="M115" s="36"/>
      <c r="N115" s="93"/>
      <c r="O115" s="93"/>
      <c r="P115" s="93"/>
      <c r="Q115" s="93"/>
      <c r="R115" s="93"/>
      <c r="S115" s="93"/>
      <c r="T115" s="93"/>
      <c r="U115" s="93"/>
      <c r="V115" s="206"/>
      <c r="W115" s="33"/>
      <c r="X115" s="93"/>
      <c r="Y115" s="93"/>
      <c r="Z115" s="93"/>
      <c r="AA115" s="93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>
      <c r="A116" s="299">
        <v>30400003</v>
      </c>
      <c r="B116" s="215" t="s">
        <v>419</v>
      </c>
      <c r="C116" s="187" t="s">
        <v>421</v>
      </c>
      <c r="D116" s="17"/>
      <c r="E116" s="17"/>
      <c r="F116" s="6"/>
      <c r="G116" s="93">
        <f>SUM('31:13'!G116)</f>
        <v>488</v>
      </c>
      <c r="H116" s="93">
        <f>SUM('31:13'!H116)</f>
        <v>2440</v>
      </c>
      <c r="I116" s="93">
        <f>SUM('31:13'!I116)</f>
        <v>59</v>
      </c>
      <c r="J116" s="31"/>
      <c r="K116" s="35">
        <f t="array" ref="K116">IF(ISERROR(G116/L116),"",G116/L116)</f>
        <v>20.333333333333332</v>
      </c>
      <c r="L116" s="87">
        <v>24</v>
      </c>
      <c r="M116" s="36"/>
      <c r="N116" s="93"/>
      <c r="O116" s="93"/>
      <c r="P116" s="93"/>
      <c r="Q116" s="93"/>
      <c r="R116" s="93"/>
      <c r="S116" s="93"/>
      <c r="T116" s="93"/>
      <c r="U116" s="93"/>
      <c r="V116" s="206"/>
      <c r="W116" s="33"/>
      <c r="X116" s="93"/>
      <c r="Y116" s="93"/>
      <c r="Z116" s="93"/>
      <c r="AA116" s="93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>
      <c r="A117" s="299">
        <v>30400005</v>
      </c>
      <c r="B117" s="215" t="s">
        <v>419</v>
      </c>
      <c r="C117" s="187" t="s">
        <v>422</v>
      </c>
      <c r="D117" s="17"/>
      <c r="E117" s="17"/>
      <c r="F117" s="6"/>
      <c r="G117" s="93">
        <f>SUM('31:13'!G117)</f>
        <v>773</v>
      </c>
      <c r="H117" s="93">
        <f>SUM('31:13'!H117)</f>
        <v>3865</v>
      </c>
      <c r="I117" s="93">
        <f>SUM('31:13'!I117)</f>
        <v>38</v>
      </c>
      <c r="J117" s="31"/>
      <c r="K117" s="35">
        <f t="array" ref="K117">IF(ISERROR(G117/L117),"",G117/L117)</f>
        <v>32.208333333333336</v>
      </c>
      <c r="L117" s="87">
        <v>24</v>
      </c>
      <c r="M117" s="36"/>
      <c r="N117" s="93"/>
      <c r="O117" s="93"/>
      <c r="P117" s="93"/>
      <c r="Q117" s="93"/>
      <c r="R117" s="93"/>
      <c r="S117" s="93"/>
      <c r="T117" s="93"/>
      <c r="U117" s="93"/>
      <c r="V117" s="206"/>
      <c r="W117" s="33"/>
      <c r="X117" s="93"/>
      <c r="Y117" s="93"/>
      <c r="Z117" s="93"/>
      <c r="AA117" s="93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>
      <c r="A118" s="299">
        <v>30400007</v>
      </c>
      <c r="B118" s="65" t="s">
        <v>91</v>
      </c>
      <c r="C118" s="16" t="s">
        <v>74</v>
      </c>
      <c r="D118" s="17">
        <v>5.07</v>
      </c>
      <c r="E118" s="17"/>
      <c r="F118" s="6"/>
      <c r="G118" s="93">
        <f>SUM('31:13'!G118)</f>
        <v>404</v>
      </c>
      <c r="H118" s="93">
        <f>SUM('31:13'!H118)</f>
        <v>2048.2800000000002</v>
      </c>
      <c r="I118" s="93">
        <f>SUM('31:13'!I118)</f>
        <v>50</v>
      </c>
      <c r="J118" s="31">
        <f t="array" ref="J118">IF(ISERROR(G118/I118),"",G118/I118)</f>
        <v>8.08</v>
      </c>
      <c r="K118" s="35">
        <f t="array" ref="K118">IF(ISERROR(G118/L118),"",G118/L118)</f>
        <v>44.888888888888886</v>
      </c>
      <c r="L118" s="87">
        <v>9</v>
      </c>
      <c r="M118" s="36">
        <f t="shared" ref="M118:M120" si="37">IF(ISERROR(I118-K118),"",I118-K118)</f>
        <v>5.1111111111111143</v>
      </c>
      <c r="N118" s="93">
        <f>SUM('31:13'!N118)</f>
        <v>0</v>
      </c>
      <c r="O118" s="93">
        <f>SUM('31:13'!O118)</f>
        <v>0</v>
      </c>
      <c r="P118" s="93">
        <f>SUM('31:13'!P118)</f>
        <v>0</v>
      </c>
      <c r="Q118" s="93">
        <f>SUM('31:13'!Q118)</f>
        <v>0</v>
      </c>
      <c r="R118" s="93">
        <f>SUM('31:13'!R118)</f>
        <v>0</v>
      </c>
      <c r="S118" s="93">
        <f>SUM('31:13'!S118)</f>
        <v>0</v>
      </c>
      <c r="T118" s="93">
        <f>SUM('31:13'!T118)</f>
        <v>0</v>
      </c>
      <c r="U118" s="93">
        <f>SUM('31:13'!U118)</f>
        <v>0</v>
      </c>
      <c r="V118" s="206">
        <f t="shared" ref="V118:V120" si="38">SUM(X118:AA118)</f>
        <v>0</v>
      </c>
      <c r="W118" s="33">
        <f t="shared" ref="W118" si="39">IF(ISERROR(V118/G118),"",V118/G118)</f>
        <v>0</v>
      </c>
      <c r="X118" s="93">
        <f>SUM('31:13'!X118)</f>
        <v>0</v>
      </c>
      <c r="Y118" s="93">
        <f>SUM('31:13'!Y118)</f>
        <v>0</v>
      </c>
      <c r="Z118" s="93">
        <f>SUM('31:13'!Z118)</f>
        <v>0</v>
      </c>
      <c r="AA118" s="93">
        <f>SUM('31:13'!AA118)</f>
        <v>0</v>
      </c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>
      <c r="A119" s="299">
        <v>30400006</v>
      </c>
      <c r="B119" s="65" t="s">
        <v>91</v>
      </c>
      <c r="C119" s="16" t="s">
        <v>53</v>
      </c>
      <c r="D119" s="17">
        <v>5.07</v>
      </c>
      <c r="E119" s="17"/>
      <c r="F119" s="6"/>
      <c r="G119" s="93">
        <f>SUM('31:13'!G119)</f>
        <v>0</v>
      </c>
      <c r="H119" s="93">
        <f>SUM('31:13'!H119)</f>
        <v>0</v>
      </c>
      <c r="I119" s="93">
        <f>SUM('31:13'!I119)</f>
        <v>0</v>
      </c>
      <c r="J119" s="31" t="str">
        <f t="array" ref="J119">IF(ISERROR(G119/I119),"",G119/I119)</f>
        <v/>
      </c>
      <c r="K119" s="35">
        <f t="array" ref="K119">IF(ISERROR(G119/L119),"",G119/L119)</f>
        <v>0</v>
      </c>
      <c r="L119" s="87">
        <v>9</v>
      </c>
      <c r="M119" s="36">
        <f t="shared" si="37"/>
        <v>0</v>
      </c>
      <c r="N119" s="93">
        <f>SUM('31:13'!N119)</f>
        <v>0</v>
      </c>
      <c r="O119" s="93">
        <f>SUM('31:13'!O119)</f>
        <v>0</v>
      </c>
      <c r="P119" s="93">
        <f>SUM('31:13'!P119)</f>
        <v>0</v>
      </c>
      <c r="Q119" s="93">
        <f>SUM('31:13'!Q119)</f>
        <v>0</v>
      </c>
      <c r="R119" s="93">
        <f>SUM('31:13'!R119)</f>
        <v>0</v>
      </c>
      <c r="S119" s="93">
        <f>SUM('31:13'!S119)</f>
        <v>0</v>
      </c>
      <c r="T119" s="93">
        <f>SUM('31:13'!T119)</f>
        <v>0</v>
      </c>
      <c r="U119" s="93">
        <f>SUM('31:13'!U119)</f>
        <v>0</v>
      </c>
      <c r="V119" s="206">
        <f t="shared" si="38"/>
        <v>0</v>
      </c>
      <c r="W119" s="33" t="str">
        <f>IF(ISERROR(V119/G119),"",V119/G119)</f>
        <v/>
      </c>
      <c r="X119" s="93">
        <f>SUM('31:13'!X119)</f>
        <v>0</v>
      </c>
      <c r="Y119" s="93">
        <f>SUM('31:13'!Y119)</f>
        <v>0</v>
      </c>
      <c r="Z119" s="93">
        <f>SUM('31:13'!Z119)</f>
        <v>0</v>
      </c>
      <c r="AA119" s="93">
        <f>SUM('31:13'!AA119)</f>
        <v>0</v>
      </c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>
      <c r="A120" s="299">
        <v>30400006</v>
      </c>
      <c r="B120" s="65" t="s">
        <v>91</v>
      </c>
      <c r="C120" s="16" t="s">
        <v>60</v>
      </c>
      <c r="D120" s="17">
        <v>5.0599999999999996</v>
      </c>
      <c r="E120" s="17"/>
      <c r="F120" s="53"/>
      <c r="G120" s="93">
        <f>SUM('31:13'!G120)</f>
        <v>565</v>
      </c>
      <c r="H120" s="93">
        <f>SUM('31:13'!H120)</f>
        <v>2858.8999999999996</v>
      </c>
      <c r="I120" s="93">
        <f>SUM('31:13'!I120)</f>
        <v>29.5</v>
      </c>
      <c r="J120" s="31">
        <f t="array" ref="J120">IF(ISERROR(G120/I120),"",G120/I120)</f>
        <v>19.152542372881356</v>
      </c>
      <c r="K120" s="339">
        <f t="array" ref="K120">IF(ISERROR(G120/L120),"",G120/L120)</f>
        <v>62.777777777777779</v>
      </c>
      <c r="L120" s="87">
        <v>9</v>
      </c>
      <c r="M120" s="36">
        <f t="shared" si="37"/>
        <v>-33.277777777777779</v>
      </c>
      <c r="N120" s="93">
        <f>SUM('31:13'!N120)</f>
        <v>0</v>
      </c>
      <c r="O120" s="93">
        <f>SUM('31:13'!O120)</f>
        <v>0</v>
      </c>
      <c r="P120" s="93">
        <f>SUM('31:13'!P120)</f>
        <v>0</v>
      </c>
      <c r="Q120" s="93">
        <f>SUM('31:13'!Q120)</f>
        <v>0</v>
      </c>
      <c r="R120" s="93">
        <f>SUM('31:13'!R120)</f>
        <v>0</v>
      </c>
      <c r="S120" s="93">
        <f>SUM('31:13'!S120)</f>
        <v>0</v>
      </c>
      <c r="T120" s="93">
        <f>SUM('31:13'!T120)</f>
        <v>0</v>
      </c>
      <c r="U120" s="93">
        <f>SUM('31:13'!U120)</f>
        <v>0</v>
      </c>
      <c r="V120" s="206">
        <f t="shared" si="38"/>
        <v>0</v>
      </c>
      <c r="W120" s="33">
        <f>IF(ISERROR(V120/G120),"",V120/G120)</f>
        <v>0</v>
      </c>
      <c r="X120" s="93">
        <f>SUM('31:13'!X120)</f>
        <v>0</v>
      </c>
      <c r="Y120" s="93">
        <f>SUM('31:13'!Y120)</f>
        <v>0</v>
      </c>
      <c r="Z120" s="93">
        <f>SUM('31:13'!Z120)</f>
        <v>0</v>
      </c>
      <c r="AA120" s="93">
        <f>SUM('31:13'!AA120)</f>
        <v>0</v>
      </c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>
      <c r="A121" s="691" t="s">
        <v>92</v>
      </c>
      <c r="B121" s="692"/>
      <c r="C121" s="342" t="s">
        <v>71</v>
      </c>
      <c r="D121" s="20"/>
      <c r="E121" s="20"/>
      <c r="F121" s="32"/>
      <c r="G121" s="99">
        <f>SUM(G87:G120)</f>
        <v>8203</v>
      </c>
      <c r="H121" s="30">
        <f>SUM(H87:H120)</f>
        <v>41126.29</v>
      </c>
      <c r="I121" s="30">
        <f>SUM(I87:I120)</f>
        <v>885</v>
      </c>
      <c r="J121" s="31">
        <f t="array" ref="J121">IF(ISERROR(G121/I121),"",G121/I121)</f>
        <v>9.2689265536723155</v>
      </c>
      <c r="K121" s="30">
        <f>SUM(K87:K120)</f>
        <v>1109.4419110459435</v>
      </c>
      <c r="L121" s="98"/>
      <c r="M121" s="89">
        <f t="shared" ref="M121:V121" si="40">SUM(M87:M120)</f>
        <v>-271.1919110459433</v>
      </c>
      <c r="N121" s="30">
        <f t="shared" si="40"/>
        <v>0</v>
      </c>
      <c r="O121" s="91">
        <f t="shared" si="40"/>
        <v>0</v>
      </c>
      <c r="P121" s="91">
        <f t="shared" si="40"/>
        <v>0</v>
      </c>
      <c r="Q121" s="91">
        <f t="shared" si="40"/>
        <v>0</v>
      </c>
      <c r="R121" s="91">
        <f t="shared" si="40"/>
        <v>0</v>
      </c>
      <c r="S121" s="92">
        <f t="shared" si="40"/>
        <v>0</v>
      </c>
      <c r="T121" s="91">
        <f t="shared" si="40"/>
        <v>0</v>
      </c>
      <c r="U121" s="91">
        <f t="shared" si="40"/>
        <v>0</v>
      </c>
      <c r="V121" s="206">
        <f t="shared" si="40"/>
        <v>0</v>
      </c>
      <c r="W121" s="33">
        <f t="shared" ref="W121:W142" si="41">IF(ISERROR(V121/G121),"",V121/G121)</f>
        <v>0</v>
      </c>
      <c r="X121" s="92">
        <f>SUM(X87:X120)</f>
        <v>0</v>
      </c>
      <c r="Y121" s="92">
        <f>SUM(Y87:Y120)</f>
        <v>0</v>
      </c>
      <c r="Z121" s="92">
        <f>SUM(Z87:Z120)</f>
        <v>0</v>
      </c>
      <c r="AA121" s="92">
        <f>SUM(AA87:AA120)</f>
        <v>0</v>
      </c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>
      <c r="A122" s="299">
        <v>30100038</v>
      </c>
      <c r="B122" s="62" t="s">
        <v>93</v>
      </c>
      <c r="C122" s="16" t="s">
        <v>94</v>
      </c>
      <c r="D122" s="17">
        <v>5.03</v>
      </c>
      <c r="E122" s="17"/>
      <c r="F122" s="6"/>
      <c r="G122" s="93">
        <f>SUM('31:13'!G122)</f>
        <v>1304</v>
      </c>
      <c r="H122" s="93">
        <f>SUM('31:13'!H122)</f>
        <v>6559.1200000000008</v>
      </c>
      <c r="I122" s="93">
        <f>SUM('31:13'!I122)</f>
        <v>48.5</v>
      </c>
      <c r="J122" s="31">
        <f t="array" ref="J122">IF(ISERROR(G122/I122),"",G122/I122)</f>
        <v>26.88659793814433</v>
      </c>
      <c r="K122" s="35">
        <f t="array" ref="K122">IF(ISERROR(G122/L122),"",G122/L122)</f>
        <v>52.16</v>
      </c>
      <c r="L122" s="87">
        <v>25</v>
      </c>
      <c r="M122" s="36">
        <f t="shared" ref="M122:M136" si="42">IF(ISERROR(I122-K122),"",I122-K122)</f>
        <v>-3.6599999999999966</v>
      </c>
      <c r="N122" s="93">
        <f>SUM('31:13'!N122)</f>
        <v>0</v>
      </c>
      <c r="O122" s="93">
        <f>SUM('31:13'!O122)</f>
        <v>0</v>
      </c>
      <c r="P122" s="93">
        <f>SUM('31:13'!P122)</f>
        <v>0</v>
      </c>
      <c r="Q122" s="93">
        <f>SUM('31:13'!Q122)</f>
        <v>0</v>
      </c>
      <c r="R122" s="93">
        <f>SUM('31:13'!R122)</f>
        <v>0</v>
      </c>
      <c r="S122" s="93">
        <f>SUM('31:13'!S122)</f>
        <v>0</v>
      </c>
      <c r="T122" s="93">
        <f>SUM('31:13'!T122)</f>
        <v>0</v>
      </c>
      <c r="U122" s="93">
        <f>SUM('31:13'!U122)</f>
        <v>0</v>
      </c>
      <c r="V122" s="206">
        <f t="shared" ref="V122:V136" si="43">SUM(X122:AA122)</f>
        <v>0</v>
      </c>
      <c r="W122" s="33">
        <f t="shared" si="41"/>
        <v>0</v>
      </c>
      <c r="X122" s="93">
        <f>SUM('31:13'!X122)</f>
        <v>0</v>
      </c>
      <c r="Y122" s="93">
        <f>SUM('31:13'!Y122)</f>
        <v>0</v>
      </c>
      <c r="Z122" s="93">
        <f>SUM('31:13'!Z122)</f>
        <v>0</v>
      </c>
      <c r="AA122" s="93">
        <f>SUM('31:13'!AA122)</f>
        <v>0</v>
      </c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>
      <c r="A123" s="299">
        <v>30100037</v>
      </c>
      <c r="B123" s="62" t="s">
        <v>93</v>
      </c>
      <c r="C123" s="16" t="s">
        <v>74</v>
      </c>
      <c r="D123" s="17">
        <v>5.03</v>
      </c>
      <c r="E123" s="17"/>
      <c r="F123" s="6"/>
      <c r="G123" s="93">
        <f>SUM('31:13'!G123)</f>
        <v>1813</v>
      </c>
      <c r="H123" s="93">
        <f>SUM('31:13'!H123)</f>
        <v>9119.39</v>
      </c>
      <c r="I123" s="93">
        <f>SUM('31:13'!I123)</f>
        <v>71</v>
      </c>
      <c r="J123" s="31">
        <f t="array" ref="J123">IF(ISERROR(G123/I123),"",G123/I123)</f>
        <v>25.535211267605632</v>
      </c>
      <c r="K123" s="35">
        <f t="array" ref="K123">IF(ISERROR(G123/L123),"",G123/L123)</f>
        <v>72.52</v>
      </c>
      <c r="L123" s="87">
        <v>25</v>
      </c>
      <c r="M123" s="36">
        <f t="shared" si="42"/>
        <v>-1.519999999999996</v>
      </c>
      <c r="N123" s="93">
        <f>SUM('31:13'!N123)</f>
        <v>0</v>
      </c>
      <c r="O123" s="93">
        <f>SUM('31:13'!O123)</f>
        <v>0</v>
      </c>
      <c r="P123" s="93">
        <f>SUM('31:13'!P123)</f>
        <v>0</v>
      </c>
      <c r="Q123" s="93">
        <f>SUM('31:13'!Q123)</f>
        <v>0</v>
      </c>
      <c r="R123" s="93">
        <f>SUM('31:13'!R123)</f>
        <v>0</v>
      </c>
      <c r="S123" s="93">
        <f>SUM('31:13'!S123)</f>
        <v>0</v>
      </c>
      <c r="T123" s="93">
        <f>SUM('31:13'!T123)</f>
        <v>0</v>
      </c>
      <c r="U123" s="93">
        <f>SUM('31:13'!U123)</f>
        <v>0</v>
      </c>
      <c r="V123" s="206">
        <f t="shared" si="43"/>
        <v>0</v>
      </c>
      <c r="W123" s="33">
        <f t="shared" si="41"/>
        <v>0</v>
      </c>
      <c r="X123" s="93">
        <f>SUM('31:13'!X123)</f>
        <v>0</v>
      </c>
      <c r="Y123" s="93">
        <f>SUM('31:13'!Y123)</f>
        <v>0</v>
      </c>
      <c r="Z123" s="93">
        <f>SUM('31:13'!Z123)</f>
        <v>0</v>
      </c>
      <c r="AA123" s="93">
        <f>SUM('31:13'!AA123)</f>
        <v>0</v>
      </c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>
      <c r="A124" s="299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93">
        <f>SUM('31:13'!G124)</f>
        <v>1154</v>
      </c>
      <c r="H124" s="93">
        <f>SUM('31:13'!H124)</f>
        <v>5816.16</v>
      </c>
      <c r="I124" s="93">
        <f>SUM('31:13'!I124)</f>
        <v>77</v>
      </c>
      <c r="J124" s="31">
        <f t="array" ref="J124">IF(ISERROR(G124/I124),"",G124/I124)</f>
        <v>14.987012987012987</v>
      </c>
      <c r="K124" s="35">
        <f t="array" ref="K124">IF(ISERROR(G124/L124),"",G124/L124)</f>
        <v>57.7</v>
      </c>
      <c r="L124" s="87">
        <v>20</v>
      </c>
      <c r="M124" s="36">
        <f t="shared" si="42"/>
        <v>19.299999999999997</v>
      </c>
      <c r="N124" s="93">
        <f>SUM('31:13'!N124)</f>
        <v>0</v>
      </c>
      <c r="O124" s="93">
        <f>SUM('31:13'!O124)</f>
        <v>0</v>
      </c>
      <c r="P124" s="93">
        <f>SUM('31:13'!P124)</f>
        <v>0</v>
      </c>
      <c r="Q124" s="93">
        <f>SUM('31:13'!Q124)</f>
        <v>0</v>
      </c>
      <c r="R124" s="93">
        <f>SUM('31:13'!R124)</f>
        <v>0</v>
      </c>
      <c r="S124" s="93">
        <f>SUM('31:13'!S124)</f>
        <v>0</v>
      </c>
      <c r="T124" s="93">
        <f>SUM('31:13'!T124)</f>
        <v>0</v>
      </c>
      <c r="U124" s="93">
        <f>SUM('31:13'!U124)</f>
        <v>0</v>
      </c>
      <c r="V124" s="206">
        <f t="shared" si="43"/>
        <v>0</v>
      </c>
      <c r="W124" s="33">
        <f t="shared" si="41"/>
        <v>0</v>
      </c>
      <c r="X124" s="93">
        <f>SUM('31:13'!X124)</f>
        <v>0</v>
      </c>
      <c r="Y124" s="93">
        <f>SUM('31:13'!Y124)</f>
        <v>0</v>
      </c>
      <c r="Z124" s="93">
        <f>SUM('31:13'!Z124)</f>
        <v>0</v>
      </c>
      <c r="AA124" s="93">
        <f>SUM('31:13'!AA124)</f>
        <v>0</v>
      </c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>
      <c r="A125" s="299"/>
      <c r="B125" s="189" t="s">
        <v>495</v>
      </c>
      <c r="C125" s="16" t="s">
        <v>82</v>
      </c>
      <c r="D125" s="17">
        <v>5.03</v>
      </c>
      <c r="E125" s="17"/>
      <c r="F125" s="6"/>
      <c r="G125" s="93">
        <f>SUM('31:13'!G125)</f>
        <v>0</v>
      </c>
      <c r="H125" s="93">
        <f>SUM('31:13'!H125)</f>
        <v>0</v>
      </c>
      <c r="I125" s="93">
        <f>SUM('31:13'!I125)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87">
        <v>4</v>
      </c>
      <c r="M125" s="36">
        <f t="shared" si="42"/>
        <v>0</v>
      </c>
      <c r="N125" s="93">
        <f>SUM('31:13'!N125)</f>
        <v>0</v>
      </c>
      <c r="O125" s="93">
        <f>SUM('31:13'!O125)</f>
        <v>0</v>
      </c>
      <c r="P125" s="93">
        <f>SUM('31:13'!P125)</f>
        <v>0</v>
      </c>
      <c r="Q125" s="93">
        <f>SUM('31:13'!Q125)</f>
        <v>0</v>
      </c>
      <c r="R125" s="93">
        <f>SUM('31:13'!R125)</f>
        <v>0</v>
      </c>
      <c r="S125" s="93">
        <f>SUM('31:13'!S125)</f>
        <v>0</v>
      </c>
      <c r="T125" s="93">
        <f>SUM('31:13'!T125)</f>
        <v>0</v>
      </c>
      <c r="U125" s="93">
        <f>SUM('31:13'!U125)</f>
        <v>0</v>
      </c>
      <c r="V125" s="206">
        <f t="shared" si="43"/>
        <v>0</v>
      </c>
      <c r="W125" s="33" t="str">
        <f t="shared" si="41"/>
        <v/>
      </c>
      <c r="X125" s="93">
        <f>SUM('31:13'!X125)</f>
        <v>0</v>
      </c>
      <c r="Y125" s="93">
        <f>SUM('31:13'!Y125)</f>
        <v>0</v>
      </c>
      <c r="Z125" s="93">
        <f>SUM('31:13'!Z125)</f>
        <v>0</v>
      </c>
      <c r="AA125" s="93">
        <f>SUM('31:13'!AA125)</f>
        <v>0</v>
      </c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>
      <c r="A126" s="299">
        <v>30100054</v>
      </c>
      <c r="B126" s="63" t="s">
        <v>95</v>
      </c>
      <c r="C126" s="340" t="s">
        <v>72</v>
      </c>
      <c r="D126" s="17">
        <v>5.03</v>
      </c>
      <c r="E126" s="17"/>
      <c r="F126" s="6"/>
      <c r="G126" s="93">
        <f>SUM('31:13'!G126)</f>
        <v>464</v>
      </c>
      <c r="H126" s="93">
        <f>SUM('31:13'!H126)</f>
        <v>2333.92</v>
      </c>
      <c r="I126" s="93">
        <f>SUM('31:13'!I126)</f>
        <v>25.5</v>
      </c>
      <c r="J126" s="31">
        <f t="array" ref="J126">IF(ISERROR(G126/I126),"",G126/I126)</f>
        <v>18.196078431372548</v>
      </c>
      <c r="K126" s="35">
        <f t="array" ref="K126">IF(ISERROR(G126/L126),"",G126/L126)</f>
        <v>116</v>
      </c>
      <c r="L126" s="87">
        <v>4</v>
      </c>
      <c r="M126" s="36">
        <f t="shared" si="42"/>
        <v>-90.5</v>
      </c>
      <c r="N126" s="93">
        <f>SUM('31:13'!N126)</f>
        <v>0</v>
      </c>
      <c r="O126" s="93">
        <f>SUM('31:13'!O126)</f>
        <v>0</v>
      </c>
      <c r="P126" s="93">
        <f>SUM('31:13'!P126)</f>
        <v>0</v>
      </c>
      <c r="Q126" s="93">
        <f>SUM('31:13'!Q126)</f>
        <v>0</v>
      </c>
      <c r="R126" s="93">
        <f>SUM('31:13'!R126)</f>
        <v>0</v>
      </c>
      <c r="S126" s="93">
        <f>SUM('31:13'!S126)</f>
        <v>0</v>
      </c>
      <c r="T126" s="93">
        <f>SUM('31:13'!T126)</f>
        <v>0</v>
      </c>
      <c r="U126" s="93">
        <f>SUM('31:13'!U126)</f>
        <v>0</v>
      </c>
      <c r="V126" s="206">
        <f t="shared" si="43"/>
        <v>0</v>
      </c>
      <c r="W126" s="33">
        <f t="shared" si="41"/>
        <v>0</v>
      </c>
      <c r="X126" s="93">
        <f>SUM('31:13'!X126)</f>
        <v>0</v>
      </c>
      <c r="Y126" s="93">
        <f>SUM('31:13'!Y126)</f>
        <v>0</v>
      </c>
      <c r="Z126" s="93">
        <f>SUM('31:13'!Z126)</f>
        <v>0</v>
      </c>
      <c r="AA126" s="93">
        <f>SUM('31:13'!AA126)</f>
        <v>0</v>
      </c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>
      <c r="A127" s="299">
        <v>30100053</v>
      </c>
      <c r="B127" s="63" t="s">
        <v>95</v>
      </c>
      <c r="C127" s="16" t="s">
        <v>73</v>
      </c>
      <c r="D127" s="17">
        <v>5.03</v>
      </c>
      <c r="E127" s="17"/>
      <c r="F127" s="6"/>
      <c r="G127" s="93">
        <f>SUM('31:13'!G127)</f>
        <v>84</v>
      </c>
      <c r="H127" s="93">
        <f>SUM('31:13'!H127)</f>
        <v>422.52000000000004</v>
      </c>
      <c r="I127" s="93">
        <f>SUM('31:13'!I127)</f>
        <v>7.5</v>
      </c>
      <c r="J127" s="31">
        <f t="array" ref="J127">IF(ISERROR(G127/I127),"",G127/I127)</f>
        <v>11.2</v>
      </c>
      <c r="K127" s="35">
        <f t="array" ref="K127">IF(ISERROR(G127/L127),"",G127/L127)</f>
        <v>21</v>
      </c>
      <c r="L127" s="87">
        <v>4</v>
      </c>
      <c r="M127" s="36">
        <f t="shared" si="42"/>
        <v>-13.5</v>
      </c>
      <c r="N127" s="93">
        <f>SUM('31:13'!N127)</f>
        <v>0</v>
      </c>
      <c r="O127" s="93">
        <f>SUM('31:13'!O127)</f>
        <v>0</v>
      </c>
      <c r="P127" s="93">
        <f>SUM('31:13'!P127)</f>
        <v>0</v>
      </c>
      <c r="Q127" s="93">
        <f>SUM('31:13'!Q127)</f>
        <v>0</v>
      </c>
      <c r="R127" s="93">
        <f>SUM('31:13'!R127)</f>
        <v>0</v>
      </c>
      <c r="S127" s="93">
        <f>SUM('31:13'!S127)</f>
        <v>0</v>
      </c>
      <c r="T127" s="93">
        <f>SUM('31:13'!T127)</f>
        <v>0</v>
      </c>
      <c r="U127" s="93">
        <f>SUM('31:13'!U127)</f>
        <v>0</v>
      </c>
      <c r="V127" s="206">
        <f t="shared" si="43"/>
        <v>0</v>
      </c>
      <c r="W127" s="33">
        <f t="shared" si="41"/>
        <v>0</v>
      </c>
      <c r="X127" s="93">
        <f>SUM('31:13'!X127)</f>
        <v>0</v>
      </c>
      <c r="Y127" s="93">
        <f>SUM('31:13'!Y127)</f>
        <v>0</v>
      </c>
      <c r="Z127" s="93">
        <f>SUM('31:13'!Z127)</f>
        <v>0</v>
      </c>
      <c r="AA127" s="93">
        <f>SUM('31:13'!AA127)</f>
        <v>0</v>
      </c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>
      <c r="A128" s="299"/>
      <c r="B128" s="63" t="s">
        <v>95</v>
      </c>
      <c r="C128" s="16" t="s">
        <v>60</v>
      </c>
      <c r="D128" s="17">
        <v>5.03</v>
      </c>
      <c r="E128" s="17"/>
      <c r="F128" s="6"/>
      <c r="G128" s="93">
        <f>SUM('31:13'!G128)</f>
        <v>0</v>
      </c>
      <c r="H128" s="93">
        <f>SUM('31:13'!H128)</f>
        <v>0</v>
      </c>
      <c r="I128" s="93">
        <f>SUM('31:13'!I128)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87">
        <v>4</v>
      </c>
      <c r="M128" s="36">
        <f t="shared" si="42"/>
        <v>0</v>
      </c>
      <c r="N128" s="93">
        <f>SUM('31:13'!N128)</f>
        <v>0</v>
      </c>
      <c r="O128" s="93">
        <f>SUM('31:13'!O128)</f>
        <v>0</v>
      </c>
      <c r="P128" s="93">
        <f>SUM('31:13'!P128)</f>
        <v>0</v>
      </c>
      <c r="Q128" s="93">
        <f>SUM('31:13'!Q128)</f>
        <v>0</v>
      </c>
      <c r="R128" s="93">
        <f>SUM('31:13'!R128)</f>
        <v>0</v>
      </c>
      <c r="S128" s="93">
        <f>SUM('31:13'!S128)</f>
        <v>0</v>
      </c>
      <c r="T128" s="93">
        <f>SUM('31:13'!T128)</f>
        <v>0</v>
      </c>
      <c r="U128" s="93">
        <f>SUM('31:13'!U128)</f>
        <v>0</v>
      </c>
      <c r="V128" s="206">
        <f t="shared" si="43"/>
        <v>0</v>
      </c>
      <c r="W128" s="33" t="str">
        <f t="shared" si="41"/>
        <v/>
      </c>
      <c r="X128" s="93">
        <f>SUM('31:13'!X128)</f>
        <v>0</v>
      </c>
      <c r="Y128" s="93">
        <f>SUM('31:13'!Y128)</f>
        <v>0</v>
      </c>
      <c r="Z128" s="93">
        <f>SUM('31:13'!Z128)</f>
        <v>0</v>
      </c>
      <c r="AA128" s="93">
        <f>SUM('31:13'!AA128)</f>
        <v>0</v>
      </c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>
      <c r="A129" s="299"/>
      <c r="B129" s="63" t="s">
        <v>95</v>
      </c>
      <c r="C129" s="340" t="s">
        <v>96</v>
      </c>
      <c r="D129" s="17">
        <v>5.03</v>
      </c>
      <c r="E129" s="17"/>
      <c r="F129" s="6"/>
      <c r="G129" s="93">
        <f>SUM('31:13'!G129)</f>
        <v>0</v>
      </c>
      <c r="H129" s="93">
        <f>SUM('31:13'!H129)</f>
        <v>0</v>
      </c>
      <c r="I129" s="93">
        <f>SUM('31:13'!I129)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87">
        <v>4</v>
      </c>
      <c r="M129" s="36">
        <f t="shared" si="42"/>
        <v>0</v>
      </c>
      <c r="N129" s="93">
        <f>SUM('31:13'!N129)</f>
        <v>0</v>
      </c>
      <c r="O129" s="93">
        <f>SUM('31:13'!O129)</f>
        <v>0</v>
      </c>
      <c r="P129" s="93">
        <f>SUM('31:13'!P129)</f>
        <v>0</v>
      </c>
      <c r="Q129" s="93">
        <f>SUM('31:13'!Q129)</f>
        <v>0</v>
      </c>
      <c r="R129" s="93">
        <f>SUM('31:13'!R129)</f>
        <v>0</v>
      </c>
      <c r="S129" s="93">
        <f>SUM('31:13'!S129)</f>
        <v>0</v>
      </c>
      <c r="T129" s="93">
        <f>SUM('31:13'!T129)</f>
        <v>0</v>
      </c>
      <c r="U129" s="93">
        <f>SUM('31:13'!U129)</f>
        <v>0</v>
      </c>
      <c r="V129" s="206">
        <f t="shared" si="43"/>
        <v>0</v>
      </c>
      <c r="W129" s="33" t="str">
        <f t="shared" si="41"/>
        <v/>
      </c>
      <c r="X129" s="93">
        <f>SUM('31:13'!X129)</f>
        <v>0</v>
      </c>
      <c r="Y129" s="93">
        <f>SUM('31:13'!Y129)</f>
        <v>0</v>
      </c>
      <c r="Z129" s="93">
        <f>SUM('31:13'!Z129)</f>
        <v>0</v>
      </c>
      <c r="AA129" s="93">
        <f>SUM('31:13'!AA129)</f>
        <v>0</v>
      </c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>
      <c r="A130" s="299">
        <v>30101067</v>
      </c>
      <c r="B130" s="189" t="s">
        <v>229</v>
      </c>
      <c r="C130" s="340" t="s">
        <v>82</v>
      </c>
      <c r="D130" s="17">
        <v>5.03</v>
      </c>
      <c r="E130" s="17"/>
      <c r="F130" s="6"/>
      <c r="G130" s="93">
        <f>SUM('31:13'!G130)</f>
        <v>0</v>
      </c>
      <c r="H130" s="93">
        <f>SUM('31:13'!H130)</f>
        <v>0</v>
      </c>
      <c r="I130" s="93">
        <f>SUM('31:13'!I130)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87"/>
      <c r="M130" s="36" t="str">
        <f t="shared" si="42"/>
        <v/>
      </c>
      <c r="N130" s="93">
        <f>SUM('31:13'!N130)</f>
        <v>0</v>
      </c>
      <c r="O130" s="93">
        <f>SUM('31:13'!O130)</f>
        <v>0</v>
      </c>
      <c r="P130" s="93">
        <f>SUM('31:13'!P130)</f>
        <v>0</v>
      </c>
      <c r="Q130" s="93">
        <f>SUM('31:13'!Q130)</f>
        <v>0</v>
      </c>
      <c r="R130" s="93">
        <f>SUM('31:13'!R130)</f>
        <v>0</v>
      </c>
      <c r="S130" s="93">
        <f>SUM('31:13'!S130)</f>
        <v>0</v>
      </c>
      <c r="T130" s="93">
        <f>SUM('31:13'!T130)</f>
        <v>0</v>
      </c>
      <c r="U130" s="93">
        <f>SUM('31:13'!U130)</f>
        <v>0</v>
      </c>
      <c r="V130" s="206">
        <f t="shared" si="43"/>
        <v>0</v>
      </c>
      <c r="W130" s="33" t="str">
        <f t="shared" si="41"/>
        <v/>
      </c>
      <c r="X130" s="93">
        <f>SUM('31:13'!X130)</f>
        <v>0</v>
      </c>
      <c r="Y130" s="93">
        <f>SUM('31:13'!Y130)</f>
        <v>0</v>
      </c>
      <c r="Z130" s="93">
        <f>SUM('31:13'!Z130)</f>
        <v>0</v>
      </c>
      <c r="AA130" s="93">
        <f>SUM('31:13'!AA130)</f>
        <v>0</v>
      </c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>
      <c r="A131" s="299">
        <v>30101068</v>
      </c>
      <c r="B131" s="63" t="s">
        <v>97</v>
      </c>
      <c r="C131" s="340" t="s">
        <v>72</v>
      </c>
      <c r="D131" s="17">
        <v>5.03</v>
      </c>
      <c r="E131" s="17"/>
      <c r="F131" s="6"/>
      <c r="G131" s="93">
        <f>SUM('31:13'!G131)</f>
        <v>0</v>
      </c>
      <c r="H131" s="93">
        <f>SUM('31:13'!H131)</f>
        <v>0</v>
      </c>
      <c r="I131" s="93">
        <f>SUM('31:13'!I131)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87"/>
      <c r="M131" s="36" t="str">
        <f t="shared" si="42"/>
        <v/>
      </c>
      <c r="N131" s="93">
        <f>SUM('31:13'!N131)</f>
        <v>0</v>
      </c>
      <c r="O131" s="93">
        <f>SUM('31:13'!O131)</f>
        <v>0</v>
      </c>
      <c r="P131" s="93">
        <f>SUM('31:13'!P131)</f>
        <v>0</v>
      </c>
      <c r="Q131" s="93">
        <f>SUM('31:13'!Q131)</f>
        <v>0</v>
      </c>
      <c r="R131" s="93">
        <f>SUM('31:13'!R131)</f>
        <v>0</v>
      </c>
      <c r="S131" s="93">
        <f>SUM('31:13'!S131)</f>
        <v>0</v>
      </c>
      <c r="T131" s="93">
        <f>SUM('31:13'!T131)</f>
        <v>0</v>
      </c>
      <c r="U131" s="93">
        <f>SUM('31:13'!U131)</f>
        <v>0</v>
      </c>
      <c r="V131" s="206">
        <f t="shared" si="43"/>
        <v>0</v>
      </c>
      <c r="W131" s="33" t="str">
        <f t="shared" si="41"/>
        <v/>
      </c>
      <c r="X131" s="93">
        <f>SUM('31:13'!X131)</f>
        <v>0</v>
      </c>
      <c r="Y131" s="93">
        <f>SUM('31:13'!Y131)</f>
        <v>0</v>
      </c>
      <c r="Z131" s="93">
        <f>SUM('31:13'!Z131)</f>
        <v>0</v>
      </c>
      <c r="AA131" s="93">
        <f>SUM('31:13'!AA131)</f>
        <v>0</v>
      </c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>
      <c r="A132" s="299">
        <v>30101069</v>
      </c>
      <c r="B132" s="63" t="s">
        <v>97</v>
      </c>
      <c r="C132" s="340" t="s">
        <v>60</v>
      </c>
      <c r="D132" s="17">
        <v>5.03</v>
      </c>
      <c r="E132" s="17"/>
      <c r="F132" s="6"/>
      <c r="G132" s="93">
        <f>SUM('31:13'!G132)</f>
        <v>0</v>
      </c>
      <c r="H132" s="93">
        <f>SUM('31:13'!H132)</f>
        <v>0</v>
      </c>
      <c r="I132" s="93">
        <f>SUM('31:13'!I132)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87"/>
      <c r="M132" s="36" t="str">
        <f t="shared" si="42"/>
        <v/>
      </c>
      <c r="N132" s="93">
        <f>SUM('31:13'!N132)</f>
        <v>0</v>
      </c>
      <c r="O132" s="93">
        <f>SUM('31:13'!O132)</f>
        <v>0</v>
      </c>
      <c r="P132" s="93">
        <f>SUM('31:13'!P132)</f>
        <v>0</v>
      </c>
      <c r="Q132" s="93">
        <f>SUM('31:13'!Q132)</f>
        <v>0</v>
      </c>
      <c r="R132" s="93">
        <f>SUM('31:13'!R132)</f>
        <v>0</v>
      </c>
      <c r="S132" s="93">
        <f>SUM('31:13'!S132)</f>
        <v>0</v>
      </c>
      <c r="T132" s="93">
        <f>SUM('31:13'!T132)</f>
        <v>0</v>
      </c>
      <c r="U132" s="93">
        <f>SUM('31:13'!U132)</f>
        <v>0</v>
      </c>
      <c r="V132" s="206">
        <f t="shared" si="43"/>
        <v>0</v>
      </c>
      <c r="W132" s="33" t="str">
        <f t="shared" si="41"/>
        <v/>
      </c>
      <c r="X132" s="93">
        <f>SUM('31:13'!X132)</f>
        <v>0</v>
      </c>
      <c r="Y132" s="93">
        <f>SUM('31:13'!Y132)</f>
        <v>0</v>
      </c>
      <c r="Z132" s="93">
        <f>SUM('31:13'!Z132)</f>
        <v>0</v>
      </c>
      <c r="AA132" s="93">
        <f>SUM('31:13'!AA132)</f>
        <v>0</v>
      </c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>
      <c r="A133" s="299">
        <v>30101070</v>
      </c>
      <c r="B133" s="63" t="s">
        <v>97</v>
      </c>
      <c r="C133" s="340" t="s">
        <v>96</v>
      </c>
      <c r="D133" s="17">
        <v>5.03</v>
      </c>
      <c r="E133" s="17"/>
      <c r="F133" s="6"/>
      <c r="G133" s="93">
        <f>SUM('31:13'!G133)</f>
        <v>0</v>
      </c>
      <c r="H133" s="93">
        <f>SUM('31:13'!H133)</f>
        <v>0</v>
      </c>
      <c r="I133" s="93">
        <f>SUM('31:13'!I133)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87"/>
      <c r="M133" s="36" t="str">
        <f t="shared" si="42"/>
        <v/>
      </c>
      <c r="N133" s="93">
        <f>SUM('31:13'!N133)</f>
        <v>0</v>
      </c>
      <c r="O133" s="93">
        <f>SUM('31:13'!O133)</f>
        <v>0</v>
      </c>
      <c r="P133" s="93">
        <f>SUM('31:13'!P133)</f>
        <v>0</v>
      </c>
      <c r="Q133" s="93">
        <f>SUM('31:13'!Q133)</f>
        <v>0</v>
      </c>
      <c r="R133" s="93">
        <f>SUM('31:13'!R133)</f>
        <v>0</v>
      </c>
      <c r="S133" s="93">
        <f>SUM('31:13'!S133)</f>
        <v>0</v>
      </c>
      <c r="T133" s="93">
        <f>SUM('31:13'!T133)</f>
        <v>0</v>
      </c>
      <c r="U133" s="93">
        <f>SUM('31:13'!U133)</f>
        <v>0</v>
      </c>
      <c r="V133" s="206">
        <f t="shared" si="43"/>
        <v>0</v>
      </c>
      <c r="W133" s="33" t="str">
        <f t="shared" si="41"/>
        <v/>
      </c>
      <c r="X133" s="93">
        <f>SUM('31:13'!X133)</f>
        <v>0</v>
      </c>
      <c r="Y133" s="93">
        <f>SUM('31:13'!Y133)</f>
        <v>0</v>
      </c>
      <c r="Z133" s="93">
        <f>SUM('31:13'!Z133)</f>
        <v>0</v>
      </c>
      <c r="AA133" s="93">
        <f>SUM('31:13'!AA133)</f>
        <v>0</v>
      </c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>
      <c r="A134" s="299">
        <v>30101071</v>
      </c>
      <c r="B134" s="63" t="s">
        <v>97</v>
      </c>
      <c r="C134" s="340" t="s">
        <v>73</v>
      </c>
      <c r="D134" s="17">
        <v>5.03</v>
      </c>
      <c r="E134" s="17"/>
      <c r="F134" s="6"/>
      <c r="G134" s="93">
        <f>SUM('31:13'!G134)</f>
        <v>0</v>
      </c>
      <c r="H134" s="93">
        <f>SUM('31:13'!H134)</f>
        <v>0</v>
      </c>
      <c r="I134" s="93">
        <f>SUM('31:13'!I134)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87"/>
      <c r="M134" s="36" t="str">
        <f t="shared" si="42"/>
        <v/>
      </c>
      <c r="N134" s="93">
        <f>SUM('31:13'!N134)</f>
        <v>0</v>
      </c>
      <c r="O134" s="93">
        <f>SUM('31:13'!O134)</f>
        <v>0</v>
      </c>
      <c r="P134" s="93">
        <f>SUM('31:13'!P134)</f>
        <v>0</v>
      </c>
      <c r="Q134" s="93">
        <f>SUM('31:13'!Q134)</f>
        <v>0</v>
      </c>
      <c r="R134" s="93">
        <f>SUM('31:13'!R134)</f>
        <v>0</v>
      </c>
      <c r="S134" s="93">
        <f>SUM('31:13'!S134)</f>
        <v>0</v>
      </c>
      <c r="T134" s="93">
        <f>SUM('31:13'!T134)</f>
        <v>0</v>
      </c>
      <c r="U134" s="93">
        <f>SUM('31:13'!U134)</f>
        <v>0</v>
      </c>
      <c r="V134" s="206">
        <f t="shared" si="43"/>
        <v>0</v>
      </c>
      <c r="W134" s="33" t="str">
        <f t="shared" si="41"/>
        <v/>
      </c>
      <c r="X134" s="93">
        <f>SUM('31:13'!X134)</f>
        <v>0</v>
      </c>
      <c r="Y134" s="93">
        <f>SUM('31:13'!Y134)</f>
        <v>0</v>
      </c>
      <c r="Z134" s="93">
        <f>SUM('31:13'!Z134)</f>
        <v>0</v>
      </c>
      <c r="AA134" s="93">
        <f>SUM('31:13'!AA134)</f>
        <v>0</v>
      </c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>
      <c r="A135" s="300">
        <v>30100001</v>
      </c>
      <c r="B135" s="62" t="s">
        <v>98</v>
      </c>
      <c r="C135" s="16" t="s">
        <v>74</v>
      </c>
      <c r="D135" s="17">
        <v>5.0599999999999996</v>
      </c>
      <c r="E135" s="17"/>
      <c r="F135" s="6"/>
      <c r="G135" s="93">
        <f>SUM('31:13'!G135)</f>
        <v>1781</v>
      </c>
      <c r="H135" s="93">
        <f>SUM('31:13'!H135)</f>
        <v>9011.86</v>
      </c>
      <c r="I135" s="93">
        <f>SUM('31:13'!I135)</f>
        <v>66</v>
      </c>
      <c r="J135" s="31">
        <f t="array" ref="J135">IF(ISERROR(G135/I135),"",G135/I135)</f>
        <v>26.984848484848484</v>
      </c>
      <c r="K135" s="35">
        <f t="array" ref="K135">IF(ISERROR(G135/L135),"",G135/L135)</f>
        <v>71.239999999999995</v>
      </c>
      <c r="L135" s="87">
        <v>25</v>
      </c>
      <c r="M135" s="36">
        <f t="shared" si="42"/>
        <v>-5.2399999999999949</v>
      </c>
      <c r="N135" s="93">
        <f>SUM('31:13'!N135)</f>
        <v>0</v>
      </c>
      <c r="O135" s="93">
        <f>SUM('31:13'!O135)</f>
        <v>0</v>
      </c>
      <c r="P135" s="93">
        <f>SUM('31:13'!P135)</f>
        <v>0</v>
      </c>
      <c r="Q135" s="93">
        <f>SUM('31:13'!Q135)</f>
        <v>0</v>
      </c>
      <c r="R135" s="93">
        <f>SUM('31:13'!R135)</f>
        <v>0</v>
      </c>
      <c r="S135" s="93">
        <f>SUM('31:13'!S135)</f>
        <v>0</v>
      </c>
      <c r="T135" s="93">
        <f>SUM('31:13'!T135)</f>
        <v>0</v>
      </c>
      <c r="U135" s="93">
        <f>SUM('31:13'!U135)</f>
        <v>0</v>
      </c>
      <c r="V135" s="206">
        <f t="shared" si="43"/>
        <v>0</v>
      </c>
      <c r="W135" s="33">
        <f t="shared" si="41"/>
        <v>0</v>
      </c>
      <c r="X135" s="93">
        <f>SUM('31:13'!X135)</f>
        <v>0</v>
      </c>
      <c r="Y135" s="93">
        <f>SUM('31:13'!Y135)</f>
        <v>0</v>
      </c>
      <c r="Z135" s="93">
        <f>SUM('31:13'!Z135)</f>
        <v>0</v>
      </c>
      <c r="AA135" s="93">
        <f>SUM('31:13'!AA135)</f>
        <v>0</v>
      </c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>
      <c r="A136" s="300">
        <v>30100002</v>
      </c>
      <c r="B136" s="62" t="s">
        <v>98</v>
      </c>
      <c r="C136" s="16" t="s">
        <v>94</v>
      </c>
      <c r="D136" s="17">
        <v>5.0599999999999996</v>
      </c>
      <c r="E136" s="17"/>
      <c r="F136" s="6"/>
      <c r="G136" s="93">
        <f>SUM('31:13'!G136)</f>
        <v>2599</v>
      </c>
      <c r="H136" s="93">
        <f>SUM('31:13'!H136)</f>
        <v>13150.94</v>
      </c>
      <c r="I136" s="93">
        <f>SUM('31:13'!I136)</f>
        <v>105</v>
      </c>
      <c r="J136" s="31">
        <f t="array" ref="J136">IF(ISERROR(G136/I136),"",G136/I136)</f>
        <v>24.752380952380953</v>
      </c>
      <c r="K136" s="35">
        <f t="array" ref="K136">IF(ISERROR(G136/L136),"",G136/L136)</f>
        <v>113</v>
      </c>
      <c r="L136" s="87">
        <v>23</v>
      </c>
      <c r="M136" s="36">
        <f t="shared" si="42"/>
        <v>-8</v>
      </c>
      <c r="N136" s="93">
        <f>SUM('31:13'!N136)</f>
        <v>0</v>
      </c>
      <c r="O136" s="93">
        <f>SUM('31:13'!O136)</f>
        <v>0</v>
      </c>
      <c r="P136" s="93">
        <f>SUM('31:13'!P136)</f>
        <v>0</v>
      </c>
      <c r="Q136" s="93">
        <f>SUM('31:13'!Q136)</f>
        <v>0</v>
      </c>
      <c r="R136" s="93">
        <f>SUM('31:13'!R136)</f>
        <v>0</v>
      </c>
      <c r="S136" s="93">
        <f>SUM('31:13'!S136)</f>
        <v>0</v>
      </c>
      <c r="T136" s="93">
        <f>SUM('31:13'!T136)</f>
        <v>0</v>
      </c>
      <c r="U136" s="93">
        <f>SUM('31:13'!U136)</f>
        <v>0</v>
      </c>
      <c r="V136" s="206">
        <f t="shared" si="43"/>
        <v>0</v>
      </c>
      <c r="W136" s="33">
        <f t="shared" si="41"/>
        <v>0</v>
      </c>
      <c r="X136" s="93">
        <f>SUM('31:13'!X136)</f>
        <v>0</v>
      </c>
      <c r="Y136" s="93">
        <f>SUM('31:13'!Y136)</f>
        <v>0</v>
      </c>
      <c r="Z136" s="93">
        <f>SUM('31:13'!Z136)</f>
        <v>0</v>
      </c>
      <c r="AA136" s="93">
        <f>SUM('31:13'!AA136)</f>
        <v>0</v>
      </c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691" t="s">
        <v>99</v>
      </c>
      <c r="B137" s="692"/>
      <c r="C137" s="342" t="s">
        <v>71</v>
      </c>
      <c r="D137" s="20"/>
      <c r="E137" s="20"/>
      <c r="F137" s="32"/>
      <c r="G137" s="99">
        <f>SUM(G122:G136)</f>
        <v>9199</v>
      </c>
      <c r="H137" s="30">
        <f>SUM(H122:H136)</f>
        <v>46413.91</v>
      </c>
      <c r="I137" s="30">
        <f>SUM(I122:I136)</f>
        <v>400.5</v>
      </c>
      <c r="J137" s="31">
        <f t="array" ref="J137">IF(ISERROR(G137/I137),"",G137/I137)</f>
        <v>22.968789013732835</v>
      </c>
      <c r="K137" s="30">
        <f>SUM(K122:K136)</f>
        <v>503.62</v>
      </c>
      <c r="L137" s="98"/>
      <c r="M137" s="89">
        <f>SUM(M122:M136)</f>
        <v>-103.11999999999999</v>
      </c>
      <c r="N137" s="30">
        <f>SUM(N122:N136)</f>
        <v>0</v>
      </c>
      <c r="O137" s="93">
        <f>SUM('31:13'!O137)</f>
        <v>0</v>
      </c>
      <c r="P137" s="93">
        <f>SUM('31:13'!P137)</f>
        <v>0</v>
      </c>
      <c r="Q137" s="93">
        <f>SUM('31:13'!Q137)</f>
        <v>0</v>
      </c>
      <c r="R137" s="93">
        <f>SUM('31:13'!R137)</f>
        <v>0</v>
      </c>
      <c r="S137" s="93">
        <f>SUM('31:13'!S137)</f>
        <v>0</v>
      </c>
      <c r="T137" s="93">
        <f>SUM('31:13'!T137)</f>
        <v>0</v>
      </c>
      <c r="U137" s="93">
        <f>SUM('31:13'!U137)</f>
        <v>0</v>
      </c>
      <c r="V137" s="208">
        <f t="shared" ref="V137" si="44">SUM(V122:V136)</f>
        <v>0</v>
      </c>
      <c r="W137" s="33">
        <f t="shared" si="41"/>
        <v>0</v>
      </c>
      <c r="X137" s="93">
        <f>SUM('31:13'!X137)</f>
        <v>0</v>
      </c>
      <c r="Y137" s="93">
        <f>SUM('31:13'!Y137)</f>
        <v>0</v>
      </c>
      <c r="Z137" s="93">
        <f>SUM('31:13'!Z137)</f>
        <v>0</v>
      </c>
      <c r="AA137" s="93">
        <f>SUM('31:13'!AA137)</f>
        <v>0</v>
      </c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>
      <c r="A138" s="300">
        <v>30400025</v>
      </c>
      <c r="B138" s="62" t="s">
        <v>100</v>
      </c>
      <c r="C138" s="16" t="s">
        <v>53</v>
      </c>
      <c r="D138" s="17">
        <v>5.04</v>
      </c>
      <c r="E138" s="17"/>
      <c r="F138" s="6"/>
      <c r="G138" s="93">
        <f>SUM('31:13'!G138)</f>
        <v>0</v>
      </c>
      <c r="H138" s="93">
        <f>SUM('31:13'!H138)</f>
        <v>0</v>
      </c>
      <c r="I138" s="93">
        <f>SUM('31:13'!I138)</f>
        <v>0</v>
      </c>
      <c r="J138" s="31" t="str">
        <f t="array" ref="J138">IF(ISERROR(G138/I138),"",G138/I138)</f>
        <v/>
      </c>
      <c r="K138" s="35">
        <f t="array" ref="K138">IF(ISERROR(G138/L138),"",G138/L138)</f>
        <v>0</v>
      </c>
      <c r="L138" s="87">
        <v>22</v>
      </c>
      <c r="M138" s="36">
        <f t="shared" ref="M138:M142" si="45">IF(ISERROR(I138-K138),"",I138-K138)</f>
        <v>0</v>
      </c>
      <c r="N138" s="93">
        <f>SUM('31:13'!N138)</f>
        <v>0</v>
      </c>
      <c r="O138" s="93">
        <f>SUM('31:13'!O138)</f>
        <v>0</v>
      </c>
      <c r="P138" s="93">
        <f>SUM('31:13'!P138)</f>
        <v>0</v>
      </c>
      <c r="Q138" s="93">
        <f>SUM('31:13'!Q138)</f>
        <v>0</v>
      </c>
      <c r="R138" s="93">
        <f>SUM('31:13'!R138)</f>
        <v>0</v>
      </c>
      <c r="S138" s="93">
        <f>SUM('31:13'!S138)</f>
        <v>0</v>
      </c>
      <c r="T138" s="93">
        <f>SUM('31:13'!T138)</f>
        <v>0</v>
      </c>
      <c r="U138" s="93">
        <f>SUM('31:13'!U138)</f>
        <v>0</v>
      </c>
      <c r="V138" s="206">
        <f t="shared" ref="V138:V142" si="46">SUM(X138:AA138)</f>
        <v>0</v>
      </c>
      <c r="W138" s="33" t="str">
        <f t="shared" si="41"/>
        <v/>
      </c>
      <c r="X138" s="93">
        <f>SUM('31:13'!X138)</f>
        <v>0</v>
      </c>
      <c r="Y138" s="93">
        <f>SUM('31:13'!Y138)</f>
        <v>0</v>
      </c>
      <c r="Z138" s="93">
        <f>SUM('31:13'!Z138)</f>
        <v>0</v>
      </c>
      <c r="AA138" s="93">
        <f>SUM('31:13'!AA138)</f>
        <v>0</v>
      </c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>
      <c r="A139" s="300">
        <v>30400023</v>
      </c>
      <c r="B139" s="62" t="s">
        <v>100</v>
      </c>
      <c r="C139" s="16" t="s">
        <v>60</v>
      </c>
      <c r="D139" s="17">
        <v>5.04</v>
      </c>
      <c r="E139" s="17"/>
      <c r="F139" s="6"/>
      <c r="G139" s="93">
        <f>SUM('31:13'!G139)</f>
        <v>0</v>
      </c>
      <c r="H139" s="93">
        <f>SUM('31:13'!H139)</f>
        <v>0</v>
      </c>
      <c r="I139" s="93">
        <f>SUM('31:13'!I139)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87">
        <v>22</v>
      </c>
      <c r="M139" s="36">
        <f t="shared" si="45"/>
        <v>0</v>
      </c>
      <c r="N139" s="93">
        <f>SUM('31:13'!N139)</f>
        <v>0</v>
      </c>
      <c r="O139" s="93">
        <f>SUM('31:13'!O139)</f>
        <v>0</v>
      </c>
      <c r="P139" s="93">
        <f>SUM('31:13'!P139)</f>
        <v>0</v>
      </c>
      <c r="Q139" s="93">
        <f>SUM('31:13'!Q139)</f>
        <v>0</v>
      </c>
      <c r="R139" s="93">
        <f>SUM('31:13'!R139)</f>
        <v>0</v>
      </c>
      <c r="S139" s="93">
        <f>SUM('31:13'!S139)</f>
        <v>0</v>
      </c>
      <c r="T139" s="93">
        <f>SUM('31:13'!T139)</f>
        <v>0</v>
      </c>
      <c r="U139" s="93">
        <f>SUM('31:13'!U139)</f>
        <v>0</v>
      </c>
      <c r="V139" s="206">
        <f t="shared" si="46"/>
        <v>0</v>
      </c>
      <c r="W139" s="33" t="str">
        <f t="shared" si="41"/>
        <v/>
      </c>
      <c r="X139" s="93">
        <f>SUM('31:13'!X139)</f>
        <v>0</v>
      </c>
      <c r="Y139" s="93">
        <f>SUM('31:13'!Y139)</f>
        <v>0</v>
      </c>
      <c r="Z139" s="93">
        <f>SUM('31:13'!Z139)</f>
        <v>0</v>
      </c>
      <c r="AA139" s="93">
        <f>SUM('31:13'!AA139)</f>
        <v>0</v>
      </c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>
      <c r="A140" s="300">
        <v>30400024</v>
      </c>
      <c r="B140" s="62" t="s">
        <v>100</v>
      </c>
      <c r="C140" s="16" t="s">
        <v>74</v>
      </c>
      <c r="D140" s="17">
        <v>5.04</v>
      </c>
      <c r="E140" s="17"/>
      <c r="F140" s="6"/>
      <c r="G140" s="93">
        <f>SUM('31:13'!G140)</f>
        <v>0</v>
      </c>
      <c r="H140" s="93">
        <f>SUM('31:13'!H140)</f>
        <v>0</v>
      </c>
      <c r="I140" s="93">
        <f>SUM('31:13'!I140)</f>
        <v>0</v>
      </c>
      <c r="J140" s="31" t="str">
        <f t="array" ref="J140">IF(ISERROR(G140/I140),"",G140/I140)</f>
        <v/>
      </c>
      <c r="K140" s="35">
        <f t="array" ref="K140">IF(ISERROR(G140/L140),"",G140/L140)</f>
        <v>0</v>
      </c>
      <c r="L140" s="87">
        <v>22</v>
      </c>
      <c r="M140" s="36">
        <f t="shared" si="45"/>
        <v>0</v>
      </c>
      <c r="N140" s="93">
        <f>SUM('31:13'!N140)</f>
        <v>0</v>
      </c>
      <c r="O140" s="93">
        <f>SUM('31:13'!O140)</f>
        <v>0</v>
      </c>
      <c r="P140" s="93">
        <f>SUM('31:13'!P140)</f>
        <v>0</v>
      </c>
      <c r="Q140" s="93">
        <f>SUM('31:13'!Q140)</f>
        <v>0</v>
      </c>
      <c r="R140" s="93">
        <f>SUM('31:13'!R140)</f>
        <v>0</v>
      </c>
      <c r="S140" s="93">
        <f>SUM('31:13'!S140)</f>
        <v>0</v>
      </c>
      <c r="T140" s="93">
        <f>SUM('31:13'!T140)</f>
        <v>0</v>
      </c>
      <c r="U140" s="93">
        <f>SUM('31:13'!U140)</f>
        <v>0</v>
      </c>
      <c r="V140" s="206">
        <f t="shared" si="46"/>
        <v>0</v>
      </c>
      <c r="W140" s="33" t="str">
        <f t="shared" si="41"/>
        <v/>
      </c>
      <c r="X140" s="93">
        <f>SUM('31:13'!X140)</f>
        <v>0</v>
      </c>
      <c r="Y140" s="93">
        <f>SUM('31:13'!Y140)</f>
        <v>0</v>
      </c>
      <c r="Z140" s="93">
        <f>SUM('31:13'!Z140)</f>
        <v>0</v>
      </c>
      <c r="AA140" s="93">
        <f>SUM('31:13'!AA140)</f>
        <v>0</v>
      </c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>
      <c r="A141" s="300"/>
      <c r="B141" s="192" t="s">
        <v>232</v>
      </c>
      <c r="C141" s="16" t="s">
        <v>66</v>
      </c>
      <c r="D141" s="17">
        <v>5.04</v>
      </c>
      <c r="E141" s="17"/>
      <c r="F141" s="6"/>
      <c r="G141" s="93">
        <f>SUM('31:13'!G141)</f>
        <v>0</v>
      </c>
      <c r="H141" s="93">
        <f>SUM('31:13'!H141)</f>
        <v>0</v>
      </c>
      <c r="I141" s="93">
        <f>SUM('31:13'!I141)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87">
        <v>22</v>
      </c>
      <c r="M141" s="36">
        <f t="shared" si="45"/>
        <v>0</v>
      </c>
      <c r="N141" s="93">
        <f>SUM('31:13'!N141)</f>
        <v>0</v>
      </c>
      <c r="O141" s="93">
        <f>SUM('31:13'!O141)</f>
        <v>0</v>
      </c>
      <c r="P141" s="93">
        <f>SUM('31:13'!P141)</f>
        <v>0</v>
      </c>
      <c r="Q141" s="93">
        <f>SUM('31:13'!Q141)</f>
        <v>0</v>
      </c>
      <c r="R141" s="93">
        <f>SUM('31:13'!R141)</f>
        <v>0</v>
      </c>
      <c r="S141" s="93">
        <f>SUM('31:13'!S141)</f>
        <v>0</v>
      </c>
      <c r="T141" s="93">
        <f>SUM('31:13'!T141)</f>
        <v>0</v>
      </c>
      <c r="U141" s="93">
        <f>SUM('31:13'!U141)</f>
        <v>0</v>
      </c>
      <c r="V141" s="206">
        <f t="shared" si="46"/>
        <v>0</v>
      </c>
      <c r="W141" s="33" t="str">
        <f t="shared" si="41"/>
        <v/>
      </c>
      <c r="X141" s="93">
        <f>SUM('31:13'!X141)</f>
        <v>0</v>
      </c>
      <c r="Y141" s="93">
        <f>SUM('31:13'!Y141)</f>
        <v>0</v>
      </c>
      <c r="Z141" s="93">
        <f>SUM('31:13'!Z141)</f>
        <v>0</v>
      </c>
      <c r="AA141" s="93">
        <f>SUM('31:13'!AA141)</f>
        <v>0</v>
      </c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>
      <c r="A142" s="300"/>
      <c r="B142" s="62" t="s">
        <v>100</v>
      </c>
      <c r="C142" s="16" t="s">
        <v>101</v>
      </c>
      <c r="D142" s="17">
        <v>5.04</v>
      </c>
      <c r="E142" s="17"/>
      <c r="F142" s="6"/>
      <c r="G142" s="93">
        <f>SUM('31:13'!G142)</f>
        <v>0</v>
      </c>
      <c r="H142" s="93">
        <f>SUM('31:13'!H142)</f>
        <v>0</v>
      </c>
      <c r="I142" s="93">
        <f>SUM('31:13'!I142)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87">
        <v>22</v>
      </c>
      <c r="M142" s="36">
        <f t="shared" si="45"/>
        <v>0</v>
      </c>
      <c r="N142" s="93">
        <f>SUM('31:13'!N142)</f>
        <v>0</v>
      </c>
      <c r="O142" s="93">
        <f>SUM('31:13'!O142)</f>
        <v>0</v>
      </c>
      <c r="P142" s="93">
        <f>SUM('31:13'!P142)</f>
        <v>0</v>
      </c>
      <c r="Q142" s="93">
        <f>SUM('31:13'!Q142)</f>
        <v>0</v>
      </c>
      <c r="R142" s="93">
        <f>SUM('31:13'!R142)</f>
        <v>0</v>
      </c>
      <c r="S142" s="93">
        <f>SUM('31:13'!S142)</f>
        <v>0</v>
      </c>
      <c r="T142" s="93">
        <f>SUM('31:13'!T142)</f>
        <v>0</v>
      </c>
      <c r="U142" s="93">
        <f>SUM('31:13'!U142)</f>
        <v>0</v>
      </c>
      <c r="V142" s="206">
        <f t="shared" si="46"/>
        <v>0</v>
      </c>
      <c r="W142" s="33" t="str">
        <f t="shared" si="41"/>
        <v/>
      </c>
      <c r="X142" s="93">
        <f>SUM('31:13'!X142)</f>
        <v>0</v>
      </c>
      <c r="Y142" s="93">
        <f>SUM('31:13'!Y142)</f>
        <v>0</v>
      </c>
      <c r="Z142" s="93">
        <f>SUM('31:13'!Z142)</f>
        <v>0</v>
      </c>
      <c r="AA142" s="93">
        <f>SUM('31:13'!AA142)</f>
        <v>0</v>
      </c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>
      <c r="A143" s="300">
        <v>30400019</v>
      </c>
      <c r="B143" s="192" t="s">
        <v>440</v>
      </c>
      <c r="C143" s="187" t="s">
        <v>442</v>
      </c>
      <c r="D143" s="17">
        <v>5.04</v>
      </c>
      <c r="E143" s="17"/>
      <c r="F143" s="6"/>
      <c r="G143" s="93">
        <f>SUM('31:13'!G143)</f>
        <v>1170</v>
      </c>
      <c r="H143" s="93">
        <f>SUM('31:13'!H143)</f>
        <v>5896.7999999999993</v>
      </c>
      <c r="I143" s="93">
        <f>SUM('31:13'!I143)</f>
        <v>87</v>
      </c>
      <c r="J143" s="31">
        <f t="array" ref="J143">IF(ISERROR(G143/I143),"",G143/I143)</f>
        <v>13.448275862068966</v>
      </c>
      <c r="K143" s="35">
        <f t="array" ref="K143">IF(ISERROR(G143/L143),"",G143/L143)</f>
        <v>86.666666666666671</v>
      </c>
      <c r="L143" s="87">
        <v>13.5</v>
      </c>
      <c r="M143" s="36"/>
      <c r="N143" s="93"/>
      <c r="O143" s="93"/>
      <c r="P143" s="93"/>
      <c r="Q143" s="93"/>
      <c r="R143" s="93"/>
      <c r="S143" s="93"/>
      <c r="T143" s="93"/>
      <c r="U143" s="93"/>
      <c r="V143" s="206"/>
      <c r="W143" s="33"/>
      <c r="X143" s="93"/>
      <c r="Y143" s="93"/>
      <c r="Z143" s="93"/>
      <c r="AA143" s="93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>
      <c r="A144" s="300">
        <v>30400020</v>
      </c>
      <c r="B144" s="192" t="s">
        <v>439</v>
      </c>
      <c r="C144" s="187" t="s">
        <v>516</v>
      </c>
      <c r="D144" s="17">
        <v>5.04</v>
      </c>
      <c r="E144" s="17"/>
      <c r="F144" s="6"/>
      <c r="G144" s="93">
        <f>SUM('31:13'!G144)</f>
        <v>1261</v>
      </c>
      <c r="H144" s="93">
        <f>SUM('31:13'!H144)</f>
        <v>6355.4400000000005</v>
      </c>
      <c r="I144" s="93">
        <f>SUM('31:13'!I144)</f>
        <v>102.22</v>
      </c>
      <c r="J144" s="31">
        <f t="array" ref="J144">IF(ISERROR(G144/I144),"",G144/I144)</f>
        <v>12.336137742124828</v>
      </c>
      <c r="K144" s="35">
        <f t="array" ref="K144">IF(ISERROR(G144/L144),"",G144/L144)</f>
        <v>93.407407407407405</v>
      </c>
      <c r="L144" s="87">
        <v>13.5</v>
      </c>
      <c r="M144" s="36"/>
      <c r="N144" s="93"/>
      <c r="O144" s="93"/>
      <c r="P144" s="93"/>
      <c r="Q144" s="93"/>
      <c r="R144" s="93"/>
      <c r="S144" s="93"/>
      <c r="T144" s="93"/>
      <c r="U144" s="93"/>
      <c r="V144" s="206"/>
      <c r="W144" s="33"/>
      <c r="X144" s="93"/>
      <c r="Y144" s="93"/>
      <c r="Z144" s="93"/>
      <c r="AA144" s="93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>
      <c r="A145" s="300">
        <v>30400021</v>
      </c>
      <c r="B145" s="192" t="s">
        <v>439</v>
      </c>
      <c r="C145" s="187" t="s">
        <v>517</v>
      </c>
      <c r="D145" s="17">
        <v>5.04</v>
      </c>
      <c r="E145" s="17"/>
      <c r="F145" s="6"/>
      <c r="G145" s="93">
        <f>SUM('31:13'!G145)</f>
        <v>1297</v>
      </c>
      <c r="H145" s="93">
        <f>SUM('31:13'!H145)</f>
        <v>6536.8799999999992</v>
      </c>
      <c r="I145" s="93">
        <f>SUM('31:13'!I145)</f>
        <v>90</v>
      </c>
      <c r="J145" s="31"/>
      <c r="K145" s="35">
        <f t="array" ref="K145">IF(ISERROR(G145/L145),"",G145/L145)</f>
        <v>96.074074074074076</v>
      </c>
      <c r="L145" s="87">
        <v>13.5</v>
      </c>
      <c r="M145" s="36"/>
      <c r="N145" s="93"/>
      <c r="O145" s="93"/>
      <c r="P145" s="93"/>
      <c r="Q145" s="93"/>
      <c r="R145" s="93"/>
      <c r="S145" s="93"/>
      <c r="T145" s="93"/>
      <c r="U145" s="93"/>
      <c r="V145" s="206"/>
      <c r="W145" s="33"/>
      <c r="X145" s="93"/>
      <c r="Y145" s="93"/>
      <c r="Z145" s="93"/>
      <c r="AA145" s="93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>
      <c r="A146" s="300">
        <v>30400018</v>
      </c>
      <c r="B146" s="192" t="s">
        <v>439</v>
      </c>
      <c r="C146" s="16" t="s">
        <v>55</v>
      </c>
      <c r="D146" s="17">
        <v>5.04</v>
      </c>
      <c r="E146" s="17"/>
      <c r="F146" s="6"/>
      <c r="G146" s="93">
        <f>SUM('31:13'!G146)</f>
        <v>560</v>
      </c>
      <c r="H146" s="93">
        <f>SUM('31:13'!H146)</f>
        <v>2822.4</v>
      </c>
      <c r="I146" s="93">
        <f>SUM('31:13'!I146)</f>
        <v>40</v>
      </c>
      <c r="J146" s="31"/>
      <c r="K146" s="35">
        <f t="array" ref="K146">IF(ISERROR(G146/L146),"",G146/L146)</f>
        <v>41.481481481481481</v>
      </c>
      <c r="L146" s="87">
        <v>13.5</v>
      </c>
      <c r="M146" s="36"/>
      <c r="N146" s="93"/>
      <c r="O146" s="93"/>
      <c r="P146" s="93"/>
      <c r="Q146" s="93"/>
      <c r="R146" s="93"/>
      <c r="S146" s="93"/>
      <c r="T146" s="93"/>
      <c r="U146" s="93"/>
      <c r="V146" s="206"/>
      <c r="W146" s="33"/>
      <c r="X146" s="93"/>
      <c r="Y146" s="93"/>
      <c r="Z146" s="93"/>
      <c r="AA146" s="93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>
      <c r="A147" s="300">
        <v>30400022</v>
      </c>
      <c r="B147" s="62" t="s">
        <v>100</v>
      </c>
      <c r="C147" s="16" t="s">
        <v>55</v>
      </c>
      <c r="D147" s="17">
        <v>5.04</v>
      </c>
      <c r="E147" s="17"/>
      <c r="F147" s="6"/>
      <c r="G147" s="93">
        <f>SUM('31:13'!G147)</f>
        <v>0</v>
      </c>
      <c r="H147" s="93">
        <f>SUM('31:13'!H147)</f>
        <v>0</v>
      </c>
      <c r="I147" s="93">
        <f>SUM('31:13'!I147)</f>
        <v>0</v>
      </c>
      <c r="J147" s="31" t="str">
        <f t="array" ref="J147">IF(ISERROR(G147/I147),"",G147/I147)</f>
        <v/>
      </c>
      <c r="K147" s="35">
        <f t="array" ref="K147">IF(ISERROR(G147/L147),"",G147/L147)</f>
        <v>0</v>
      </c>
      <c r="L147" s="87">
        <v>22</v>
      </c>
      <c r="M147" s="36">
        <f t="shared" ref="M147" si="47">IF(ISERROR(I147-K147),"",I147-K147)</f>
        <v>0</v>
      </c>
      <c r="N147" s="93">
        <f>SUM('31:13'!N147)</f>
        <v>0</v>
      </c>
      <c r="O147" s="93">
        <f>SUM('31:13'!O147)</f>
        <v>0</v>
      </c>
      <c r="P147" s="93">
        <f>SUM('31:13'!P147)</f>
        <v>0</v>
      </c>
      <c r="Q147" s="93">
        <f>SUM('31:13'!Q147)</f>
        <v>0</v>
      </c>
      <c r="R147" s="93">
        <f>SUM('31:13'!R147)</f>
        <v>0</v>
      </c>
      <c r="S147" s="93">
        <f>SUM('31:13'!S147)</f>
        <v>0</v>
      </c>
      <c r="T147" s="93">
        <f>SUM('31:13'!T147)</f>
        <v>0</v>
      </c>
      <c r="U147" s="93">
        <f>SUM('31:13'!U147)</f>
        <v>0</v>
      </c>
      <c r="V147" s="206">
        <f t="shared" ref="V147" si="48">SUM(X147:AA147)</f>
        <v>0</v>
      </c>
      <c r="W147" s="33" t="str">
        <f t="shared" ref="W147:W152" si="49">IF(ISERROR(V147/G147),"",V147/G147)</f>
        <v/>
      </c>
      <c r="X147" s="93">
        <f>SUM('31:13'!X147)</f>
        <v>0</v>
      </c>
      <c r="Y147" s="93">
        <f>SUM('31:13'!Y147)</f>
        <v>0</v>
      </c>
      <c r="Z147" s="93">
        <f>SUM('31:13'!Z147)</f>
        <v>0</v>
      </c>
      <c r="AA147" s="93">
        <f>SUM('31:13'!AA147)</f>
        <v>0</v>
      </c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>
      <c r="A148" s="691" t="s">
        <v>102</v>
      </c>
      <c r="B148" s="692"/>
      <c r="C148" s="342" t="s">
        <v>71</v>
      </c>
      <c r="D148" s="20"/>
      <c r="E148" s="20"/>
      <c r="F148" s="32"/>
      <c r="G148" s="99">
        <f>SUM(G138:G147)</f>
        <v>4288</v>
      </c>
      <c r="H148" s="99">
        <f>SUM(H138:H147)</f>
        <v>21611.52</v>
      </c>
      <c r="I148" s="99">
        <f>SUM(I138:I147)</f>
        <v>319.22000000000003</v>
      </c>
      <c r="J148" s="31">
        <f t="array" ref="J148">IF(ISERROR(G148/I148),"",G148/I148)</f>
        <v>13.43274230937911</v>
      </c>
      <c r="K148" s="30">
        <f>SUM(K138:K147)</f>
        <v>317.62962962962962</v>
      </c>
      <c r="L148" s="98"/>
      <c r="M148" s="89">
        <f>SUM(M138:M147)</f>
        <v>0</v>
      </c>
      <c r="N148" s="30">
        <f>SUM(N138:N147)</f>
        <v>0</v>
      </c>
      <c r="O148" s="91">
        <f>SUM(O138:O147)</f>
        <v>0</v>
      </c>
      <c r="P148" s="91">
        <f>SUM(P138:P147)</f>
        <v>0</v>
      </c>
      <c r="Q148" s="91">
        <f>SUM(Q138:Q147)</f>
        <v>0</v>
      </c>
      <c r="R148" s="91"/>
      <c r="S148" s="92">
        <f>SUM(S138:S147)</f>
        <v>0</v>
      </c>
      <c r="T148" s="91">
        <f>SUM(T138:T147)</f>
        <v>0</v>
      </c>
      <c r="U148" s="91">
        <f>SUM(U138:U147)</f>
        <v>0</v>
      </c>
      <c r="V148" s="206">
        <f>SUM(V138:V147)</f>
        <v>0</v>
      </c>
      <c r="W148" s="33">
        <f t="shared" si="49"/>
        <v>0</v>
      </c>
      <c r="X148" s="92">
        <f>SUM(X138:X147)</f>
        <v>0</v>
      </c>
      <c r="Y148" s="92">
        <f>SUM(Y138:Y147)</f>
        <v>0</v>
      </c>
      <c r="Z148" s="92">
        <f>SUM(Z138:Z147)</f>
        <v>0</v>
      </c>
      <c r="AA148" s="92">
        <f>SUM(AA138:AA147)</f>
        <v>0</v>
      </c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>
      <c r="A149" s="299">
        <v>30700013</v>
      </c>
      <c r="B149" s="64" t="s">
        <v>475</v>
      </c>
      <c r="C149" s="335"/>
      <c r="D149" s="17">
        <v>3.65</v>
      </c>
      <c r="E149" s="17"/>
      <c r="F149" s="53"/>
      <c r="G149" s="93">
        <f>SUM('31:13'!G149)</f>
        <v>0</v>
      </c>
      <c r="H149" s="93">
        <f>SUM('31:13'!H149)</f>
        <v>0</v>
      </c>
      <c r="I149" s="93">
        <f>SUM('31:13'!I149)</f>
        <v>0</v>
      </c>
      <c r="J149" s="31" t="str">
        <f t="array" ref="J149">IF(ISERROR(G149/I149),"",G149/I149)</f>
        <v/>
      </c>
      <c r="K149" s="339">
        <f t="array" ref="K149">IF(ISERROR(G149/L149),"",G149/L149)</f>
        <v>0</v>
      </c>
      <c r="L149" s="87">
        <v>5</v>
      </c>
      <c r="M149" s="36">
        <f t="shared" ref="M149:M152" si="50">IF(ISERROR(I149-K149),"",I149-K149)</f>
        <v>0</v>
      </c>
      <c r="N149" s="93">
        <f>SUM('31:13'!N149)</f>
        <v>0</v>
      </c>
      <c r="O149" s="93">
        <f>SUM('31:13'!O149)</f>
        <v>0</v>
      </c>
      <c r="P149" s="93">
        <f>SUM('31:13'!P149)</f>
        <v>0</v>
      </c>
      <c r="Q149" s="93">
        <f>SUM('31:13'!Q149)</f>
        <v>0</v>
      </c>
      <c r="R149" s="93">
        <f>SUM('31:13'!R149)</f>
        <v>0</v>
      </c>
      <c r="S149" s="93">
        <f>SUM('31:13'!S149)</f>
        <v>0</v>
      </c>
      <c r="T149" s="93">
        <f>SUM('31:13'!T149)</f>
        <v>0</v>
      </c>
      <c r="U149" s="93">
        <f>SUM('31:13'!U149)</f>
        <v>0</v>
      </c>
      <c r="V149" s="206">
        <f t="shared" ref="V149:V152" si="51">SUM(X149:AA149)</f>
        <v>0</v>
      </c>
      <c r="W149" s="33" t="str">
        <f t="shared" si="49"/>
        <v/>
      </c>
      <c r="X149" s="93">
        <f>SUM('31:13'!X149)</f>
        <v>0</v>
      </c>
      <c r="Y149" s="93">
        <f>SUM('31:13'!Y149)</f>
        <v>0</v>
      </c>
      <c r="Z149" s="93">
        <f>SUM('31:13'!Z149)</f>
        <v>0</v>
      </c>
      <c r="AA149" s="93">
        <f>SUM('31:13'!AA149)</f>
        <v>0</v>
      </c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>
      <c r="A150" s="299">
        <v>30700014</v>
      </c>
      <c r="B150" s="64" t="s">
        <v>0</v>
      </c>
      <c r="C150" s="335"/>
      <c r="D150" s="17">
        <v>6.58</v>
      </c>
      <c r="E150" s="17"/>
      <c r="F150" s="6"/>
      <c r="G150" s="93">
        <f>SUM('31:13'!G150)</f>
        <v>607</v>
      </c>
      <c r="H150" s="93">
        <f>SUM('31:13'!H150)</f>
        <v>3994.0599999999995</v>
      </c>
      <c r="I150" s="93">
        <f>SUM('31:13'!I150)</f>
        <v>111</v>
      </c>
      <c r="J150" s="31">
        <f t="array" ref="J150">IF(ISERROR(G150/I150),"",G150/I150)</f>
        <v>5.4684684684684681</v>
      </c>
      <c r="K150" s="35">
        <f t="array" ref="K150">IF(ISERROR(G150/L150),"",G150/L150)</f>
        <v>121.4</v>
      </c>
      <c r="L150" s="87">
        <v>5</v>
      </c>
      <c r="M150" s="36">
        <f t="shared" si="50"/>
        <v>-10.400000000000006</v>
      </c>
      <c r="N150" s="93">
        <f>SUM('31:13'!N150)</f>
        <v>0</v>
      </c>
      <c r="O150" s="93">
        <f>SUM('31:13'!O150)</f>
        <v>0</v>
      </c>
      <c r="P150" s="93">
        <f>SUM('31:13'!P150)</f>
        <v>0</v>
      </c>
      <c r="Q150" s="93">
        <f>SUM('31:13'!Q150)</f>
        <v>0</v>
      </c>
      <c r="R150" s="93">
        <f>SUM('31:13'!R150)</f>
        <v>0</v>
      </c>
      <c r="S150" s="93">
        <f>SUM('31:13'!S150)</f>
        <v>0</v>
      </c>
      <c r="T150" s="93">
        <f>SUM('31:13'!T150)</f>
        <v>0</v>
      </c>
      <c r="U150" s="93">
        <f>SUM('31:13'!U150)</f>
        <v>0</v>
      </c>
      <c r="V150" s="206">
        <f t="shared" si="51"/>
        <v>0</v>
      </c>
      <c r="W150" s="33">
        <f t="shared" si="49"/>
        <v>0</v>
      </c>
      <c r="X150" s="93">
        <f>SUM('31:13'!X150)</f>
        <v>0</v>
      </c>
      <c r="Y150" s="93">
        <f>SUM('31:13'!Y150)</f>
        <v>0</v>
      </c>
      <c r="Z150" s="93">
        <f>SUM('31:13'!Z150)</f>
        <v>0</v>
      </c>
      <c r="AA150" s="93">
        <f>SUM('31:13'!AA150)</f>
        <v>0</v>
      </c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 ht="19.5" customHeight="1">
      <c r="A151" s="299">
        <v>30700016</v>
      </c>
      <c r="B151" s="64" t="s">
        <v>1</v>
      </c>
      <c r="C151" s="335"/>
      <c r="D151" s="17">
        <v>7.8</v>
      </c>
      <c r="E151" s="17"/>
      <c r="F151" s="6"/>
      <c r="G151" s="93">
        <f>SUM('31:13'!G151)</f>
        <v>422</v>
      </c>
      <c r="H151" s="93">
        <f>SUM('31:13'!H151)</f>
        <v>3291.5999999999995</v>
      </c>
      <c r="I151" s="93">
        <f>SUM('31:13'!I151)</f>
        <v>68.5</v>
      </c>
      <c r="J151" s="31">
        <f t="array" ref="J151">IF(ISERROR(G151/I151),"",G151/I151)</f>
        <v>6.1605839416058394</v>
      </c>
      <c r="K151" s="35">
        <f t="array" ref="K151">IF(ISERROR(G151/L151),"",G151/L151)</f>
        <v>91.739130434782609</v>
      </c>
      <c r="L151" s="87">
        <v>4.5999999999999996</v>
      </c>
      <c r="M151" s="36">
        <f t="shared" si="50"/>
        <v>-23.239130434782609</v>
      </c>
      <c r="N151" s="93">
        <f>SUM('31:13'!N151)</f>
        <v>0</v>
      </c>
      <c r="O151" s="93">
        <f>SUM('31:13'!O151)</f>
        <v>0</v>
      </c>
      <c r="P151" s="93">
        <f>SUM('31:13'!P151)</f>
        <v>0</v>
      </c>
      <c r="Q151" s="93">
        <f>SUM('31:13'!Q151)</f>
        <v>0</v>
      </c>
      <c r="R151" s="93">
        <f>SUM('31:13'!R151)</f>
        <v>0</v>
      </c>
      <c r="S151" s="93">
        <f>SUM('31:13'!S151)</f>
        <v>0</v>
      </c>
      <c r="T151" s="93">
        <f>SUM('31:13'!T151)</f>
        <v>0</v>
      </c>
      <c r="U151" s="93">
        <f>SUM('31:13'!U151)</f>
        <v>0</v>
      </c>
      <c r="V151" s="206">
        <f t="shared" si="51"/>
        <v>0</v>
      </c>
      <c r="W151" s="33">
        <f t="shared" si="49"/>
        <v>0</v>
      </c>
      <c r="X151" s="93">
        <f>SUM('31:13'!X151)</f>
        <v>0</v>
      </c>
      <c r="Y151" s="93">
        <f>SUM('31:13'!Y151)</f>
        <v>0</v>
      </c>
      <c r="Z151" s="93">
        <f>SUM('31:13'!Z151)</f>
        <v>0</v>
      </c>
      <c r="AA151" s="93">
        <f>SUM('31:13'!AA151)</f>
        <v>0</v>
      </c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>
      <c r="A152" s="299">
        <v>30700017</v>
      </c>
      <c r="B152" s="64" t="s">
        <v>2</v>
      </c>
      <c r="C152" s="335"/>
      <c r="D152" s="17">
        <v>4.4000000000000004</v>
      </c>
      <c r="E152" s="17"/>
      <c r="F152" s="6"/>
      <c r="G152" s="93">
        <f>SUM('31:13'!G152)</f>
        <v>320</v>
      </c>
      <c r="H152" s="93">
        <f>SUM('31:13'!H152)</f>
        <v>1408</v>
      </c>
      <c r="I152" s="93">
        <f>SUM('31:13'!I152)</f>
        <v>67.5</v>
      </c>
      <c r="J152" s="31">
        <f t="array" ref="J152">IF(ISERROR(G152/I152),"",G152/I152)</f>
        <v>4.7407407407407405</v>
      </c>
      <c r="K152" s="35">
        <f t="array" ref="K152">IF(ISERROR(G152/L152),"",G152/L152)</f>
        <v>55.172413793103452</v>
      </c>
      <c r="L152" s="87">
        <v>5.8</v>
      </c>
      <c r="M152" s="36">
        <f t="shared" si="50"/>
        <v>12.327586206896548</v>
      </c>
      <c r="N152" s="93">
        <f>SUM('31:13'!N152)</f>
        <v>0</v>
      </c>
      <c r="O152" s="93">
        <f>SUM('31:13'!O152)</f>
        <v>0</v>
      </c>
      <c r="P152" s="93">
        <f>SUM('31:13'!P152)</f>
        <v>0</v>
      </c>
      <c r="Q152" s="93">
        <f>SUM('31:13'!Q152)</f>
        <v>0</v>
      </c>
      <c r="R152" s="93">
        <f>SUM('31:13'!R152)</f>
        <v>0</v>
      </c>
      <c r="S152" s="93">
        <f>SUM('31:13'!S152)</f>
        <v>0</v>
      </c>
      <c r="T152" s="93">
        <f>SUM('31:13'!T152)</f>
        <v>0</v>
      </c>
      <c r="U152" s="93">
        <f>SUM('31:13'!U152)</f>
        <v>0</v>
      </c>
      <c r="V152" s="206">
        <f t="shared" si="51"/>
        <v>0</v>
      </c>
      <c r="W152" s="33">
        <f t="shared" si="49"/>
        <v>0</v>
      </c>
      <c r="X152" s="93">
        <f>SUM('31:13'!X152)</f>
        <v>0</v>
      </c>
      <c r="Y152" s="93">
        <f>SUM('31:13'!Y152)</f>
        <v>0</v>
      </c>
      <c r="Z152" s="93">
        <f>SUM('31:13'!Z152)</f>
        <v>0</v>
      </c>
      <c r="AA152" s="93">
        <f>SUM('31:13'!AA152)</f>
        <v>0</v>
      </c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>
      <c r="A153" s="299">
        <v>30700001</v>
      </c>
      <c r="B153" s="191" t="s">
        <v>359</v>
      </c>
      <c r="C153" s="188"/>
      <c r="D153" s="17"/>
      <c r="E153" s="17"/>
      <c r="F153" s="6"/>
      <c r="G153" s="93">
        <f>SUM('31:13'!G153)</f>
        <v>0</v>
      </c>
      <c r="H153" s="93">
        <f>SUM('31:13'!H153)</f>
        <v>0</v>
      </c>
      <c r="I153" s="93">
        <f>SUM('31:13'!I153)</f>
        <v>0</v>
      </c>
      <c r="J153" s="31"/>
      <c r="K153" s="35"/>
      <c r="L153" s="87">
        <v>6</v>
      </c>
      <c r="M153" s="36"/>
      <c r="N153" s="93">
        <f>SUM('31:13'!N153)</f>
        <v>0</v>
      </c>
      <c r="O153" s="93">
        <f>SUM('31:13'!O153)</f>
        <v>0</v>
      </c>
      <c r="P153" s="93">
        <f>SUM('31:13'!P153)</f>
        <v>0</v>
      </c>
      <c r="Q153" s="93">
        <f>SUM('31:13'!Q153)</f>
        <v>0</v>
      </c>
      <c r="R153" s="93">
        <f>SUM('31:13'!R153)</f>
        <v>0</v>
      </c>
      <c r="S153" s="93">
        <f>SUM('31:13'!S153)</f>
        <v>0</v>
      </c>
      <c r="T153" s="93">
        <f>SUM('31:13'!T153)</f>
        <v>0</v>
      </c>
      <c r="U153" s="93">
        <f>SUM('31:13'!U153)</f>
        <v>0</v>
      </c>
      <c r="V153" s="206"/>
      <c r="W153" s="33"/>
      <c r="X153" s="93">
        <f>SUM('31:13'!X153)</f>
        <v>0</v>
      </c>
      <c r="Y153" s="93">
        <f>SUM('31:13'!Y153)</f>
        <v>0</v>
      </c>
      <c r="Z153" s="93">
        <f>SUM('31:13'!Z153)</f>
        <v>0</v>
      </c>
      <c r="AA153" s="93">
        <f>SUM('31:13'!AA153)</f>
        <v>0</v>
      </c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>
      <c r="A154" s="305"/>
      <c r="B154" s="281" t="s">
        <v>239</v>
      </c>
      <c r="C154" s="335" t="s">
        <v>53</v>
      </c>
      <c r="D154" s="17">
        <v>6.04</v>
      </c>
      <c r="E154" s="17"/>
      <c r="F154" s="6"/>
      <c r="G154" s="93">
        <f>SUM('31:13'!G154)</f>
        <v>0</v>
      </c>
      <c r="H154" s="93">
        <f>SUM('31:13'!H154)</f>
        <v>0</v>
      </c>
      <c r="I154" s="93">
        <f>SUM('31:13'!I154)</f>
        <v>0</v>
      </c>
      <c r="J154" s="31" t="str">
        <f t="array" ref="J154">IF(ISERROR(G154/I154),"",G154/I154)</f>
        <v/>
      </c>
      <c r="K154" s="35">
        <f t="array" ref="K154">IF(ISERROR(G154/L154),"",G154/L154)</f>
        <v>0</v>
      </c>
      <c r="L154" s="87">
        <v>6</v>
      </c>
      <c r="M154" s="36">
        <f t="shared" ref="M154:M155" si="52">IF(ISERROR(I154-K154),"",I154-K154)</f>
        <v>0</v>
      </c>
      <c r="N154" s="93">
        <f>SUM('31:13'!N154)</f>
        <v>0</v>
      </c>
      <c r="O154" s="93">
        <f>SUM('31:13'!O154)</f>
        <v>0</v>
      </c>
      <c r="P154" s="93">
        <f>SUM('31:13'!P154)</f>
        <v>0</v>
      </c>
      <c r="Q154" s="93">
        <f>SUM('31:13'!Q154)</f>
        <v>0</v>
      </c>
      <c r="R154" s="93">
        <f>SUM('31:13'!R154)</f>
        <v>0</v>
      </c>
      <c r="S154" s="93">
        <f>SUM('31:13'!S154)</f>
        <v>0</v>
      </c>
      <c r="T154" s="93">
        <f>SUM('31:13'!T154)</f>
        <v>0</v>
      </c>
      <c r="U154" s="93">
        <f>SUM('31:13'!U154)</f>
        <v>0</v>
      </c>
      <c r="V154" s="206">
        <f t="shared" ref="V154:V155" si="53">SUM(X154:AA154)</f>
        <v>0</v>
      </c>
      <c r="W154" s="33" t="str">
        <f t="shared" ref="W154:W155" si="54">IF(ISERROR(V154/G154),"",V154/G154)</f>
        <v/>
      </c>
      <c r="X154" s="93">
        <f>SUM('31:13'!X154)</f>
        <v>0</v>
      </c>
      <c r="Y154" s="93">
        <f>SUM('31:13'!Y154)</f>
        <v>0</v>
      </c>
      <c r="Z154" s="93">
        <f>SUM('31:13'!Z154)</f>
        <v>0</v>
      </c>
      <c r="AA154" s="93">
        <f>SUM('31:13'!AA154)</f>
        <v>0</v>
      </c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>
      <c r="A155" s="305">
        <v>30700019</v>
      </c>
      <c r="B155" s="66" t="s">
        <v>104</v>
      </c>
      <c r="C155" s="335" t="s">
        <v>60</v>
      </c>
      <c r="D155" s="17">
        <v>6.04</v>
      </c>
      <c r="E155" s="17"/>
      <c r="F155" s="6"/>
      <c r="G155" s="93">
        <f>SUM('31:13'!G155)</f>
        <v>0</v>
      </c>
      <c r="H155" s="93">
        <f>SUM('31:13'!H155)</f>
        <v>0</v>
      </c>
      <c r="I155" s="93">
        <f>SUM('31:13'!I155)</f>
        <v>0</v>
      </c>
      <c r="J155" s="31" t="str">
        <f t="array" ref="J155">IF(ISERROR(G155/I155),"",G155/I155)</f>
        <v/>
      </c>
      <c r="K155" s="35">
        <f t="array" ref="K155">IF(ISERROR(G155/L155),"",G155/L155)</f>
        <v>0</v>
      </c>
      <c r="L155" s="87">
        <v>6</v>
      </c>
      <c r="M155" s="36">
        <f t="shared" si="52"/>
        <v>0</v>
      </c>
      <c r="N155" s="93">
        <f>SUM('31:13'!N155)</f>
        <v>0</v>
      </c>
      <c r="O155" s="93">
        <f>SUM('31:13'!O155)</f>
        <v>0</v>
      </c>
      <c r="P155" s="93">
        <f>SUM('31:13'!P155)</f>
        <v>0</v>
      </c>
      <c r="Q155" s="93">
        <f>SUM('31:13'!Q155)</f>
        <v>0</v>
      </c>
      <c r="R155" s="93">
        <f>SUM('31:13'!R155)</f>
        <v>0</v>
      </c>
      <c r="S155" s="93">
        <f>SUM('31:13'!S155)</f>
        <v>0</v>
      </c>
      <c r="T155" s="93">
        <f>SUM('31:13'!T155)</f>
        <v>0</v>
      </c>
      <c r="U155" s="93">
        <f>SUM('31:13'!U155)</f>
        <v>0</v>
      </c>
      <c r="V155" s="206">
        <f t="shared" si="53"/>
        <v>0</v>
      </c>
      <c r="W155" s="33" t="str">
        <f t="shared" si="54"/>
        <v/>
      </c>
      <c r="X155" s="93">
        <f>SUM('31:13'!X155)</f>
        <v>0</v>
      </c>
      <c r="Y155" s="93">
        <f>SUM('31:13'!Y155)</f>
        <v>0</v>
      </c>
      <c r="Z155" s="93">
        <f>SUM('31:13'!Z155)</f>
        <v>0</v>
      </c>
      <c r="AA155" s="93">
        <f>SUM('31:13'!AA155)</f>
        <v>0</v>
      </c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>
      <c r="A156" s="305">
        <v>30601015</v>
      </c>
      <c r="B156" s="281" t="s">
        <v>443</v>
      </c>
      <c r="C156" s="335" t="s">
        <v>53</v>
      </c>
      <c r="D156" s="17">
        <v>6</v>
      </c>
      <c r="E156" s="17"/>
      <c r="F156" s="6"/>
      <c r="G156" s="93">
        <f>SUM('31:13'!G156)</f>
        <v>300</v>
      </c>
      <c r="H156" s="93">
        <f>SUM('31:13'!H156)</f>
        <v>1800</v>
      </c>
      <c r="I156" s="93">
        <f>SUM('31:13'!I156)</f>
        <v>165</v>
      </c>
      <c r="J156" s="31"/>
      <c r="K156" s="35"/>
      <c r="L156" s="87"/>
      <c r="M156" s="36"/>
      <c r="N156" s="93"/>
      <c r="O156" s="93"/>
      <c r="P156" s="93"/>
      <c r="Q156" s="93"/>
      <c r="R156" s="93"/>
      <c r="S156" s="93"/>
      <c r="T156" s="93"/>
      <c r="U156" s="93"/>
      <c r="V156" s="206"/>
      <c r="W156" s="33"/>
      <c r="X156" s="93"/>
      <c r="Y156" s="93"/>
      <c r="Z156" s="93"/>
      <c r="AA156" s="93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>
      <c r="A157" s="305">
        <v>30101016</v>
      </c>
      <c r="B157" s="281" t="s">
        <v>443</v>
      </c>
      <c r="C157" s="335" t="s">
        <v>446</v>
      </c>
      <c r="D157" s="17">
        <v>6</v>
      </c>
      <c r="E157" s="17"/>
      <c r="F157" s="6"/>
      <c r="G157" s="93">
        <f>SUM('31:13'!G157)</f>
        <v>0</v>
      </c>
      <c r="H157" s="93">
        <f>SUM('31:13'!H157)</f>
        <v>0</v>
      </c>
      <c r="I157" s="93"/>
      <c r="J157" s="31"/>
      <c r="K157" s="35"/>
      <c r="L157" s="87">
        <v>6</v>
      </c>
      <c r="M157" s="36"/>
      <c r="N157" s="93"/>
      <c r="O157" s="93"/>
      <c r="P157" s="93"/>
      <c r="Q157" s="93"/>
      <c r="R157" s="93"/>
      <c r="S157" s="93"/>
      <c r="T157" s="93"/>
      <c r="U157" s="93"/>
      <c r="V157" s="206"/>
      <c r="W157" s="33"/>
      <c r="X157" s="93"/>
      <c r="Y157" s="93"/>
      <c r="Z157" s="93"/>
      <c r="AA157" s="93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>
      <c r="A158" s="299">
        <v>30700018</v>
      </c>
      <c r="B158" s="61" t="s">
        <v>159</v>
      </c>
      <c r="C158" s="16"/>
      <c r="D158" s="17">
        <v>7.3</v>
      </c>
      <c r="E158" s="17"/>
      <c r="F158" s="6"/>
      <c r="G158" s="93">
        <f>SUM('31:13'!G158)</f>
        <v>0</v>
      </c>
      <c r="H158" s="93">
        <f>SUM('31:13'!H158)</f>
        <v>0</v>
      </c>
      <c r="I158" s="93">
        <f>SUM('31:13'!I158)</f>
        <v>0</v>
      </c>
      <c r="J158" s="31" t="str">
        <f t="array" ref="J158">IF(ISERROR(G158/I158),"",G158/I158)</f>
        <v/>
      </c>
      <c r="K158" s="35" t="str">
        <f t="array" ref="K158">IF(ISERROR(G158/L158),"",G158/L158)</f>
        <v/>
      </c>
      <c r="L158" s="87"/>
      <c r="M158" s="36" t="str">
        <f t="shared" ref="M158:M159" si="55">IF(ISERROR(I158-K158),"",I158-K158)</f>
        <v/>
      </c>
      <c r="N158" s="93">
        <f>SUM('31:13'!N158)</f>
        <v>0</v>
      </c>
      <c r="O158" s="93">
        <f>SUM('31:13'!O158)</f>
        <v>0</v>
      </c>
      <c r="P158" s="93">
        <f>SUM('31:13'!P158)</f>
        <v>0</v>
      </c>
      <c r="Q158" s="93">
        <f>SUM('31:13'!Q158)</f>
        <v>0</v>
      </c>
      <c r="R158" s="93">
        <f>SUM('31:13'!R158)</f>
        <v>0</v>
      </c>
      <c r="S158" s="93">
        <f>SUM('31:13'!S158)</f>
        <v>0</v>
      </c>
      <c r="T158" s="93">
        <f>SUM('31:13'!T158)</f>
        <v>0</v>
      </c>
      <c r="U158" s="93">
        <f>SUM('31:13'!U158)</f>
        <v>0</v>
      </c>
      <c r="V158" s="206">
        <f t="shared" ref="V158:V159" si="56">SUM(X158:AA158)</f>
        <v>0</v>
      </c>
      <c r="W158" s="33" t="str">
        <f t="shared" ref="W158:W159" si="57">IF(ISERROR(V158/G158),"",V158/G158)</f>
        <v/>
      </c>
      <c r="X158" s="93">
        <f>SUM('31:13'!X158)</f>
        <v>0</v>
      </c>
      <c r="Y158" s="93">
        <f>SUM('31:13'!Y158)</f>
        <v>0</v>
      </c>
      <c r="Z158" s="93">
        <f>SUM('31:13'!Z158)</f>
        <v>0</v>
      </c>
      <c r="AA158" s="93">
        <f>SUM('31:13'!AA158)</f>
        <v>0</v>
      </c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>
      <c r="A159" s="299">
        <v>30700010</v>
      </c>
      <c r="B159" s="61" t="s">
        <v>105</v>
      </c>
      <c r="C159" s="16"/>
      <c r="D159" s="17">
        <f>78*120/1000</f>
        <v>9.36</v>
      </c>
      <c r="E159" s="17"/>
      <c r="F159" s="6"/>
      <c r="G159" s="93">
        <f>SUM('31:13'!G159)</f>
        <v>0</v>
      </c>
      <c r="H159" s="93">
        <f>SUM('31:13'!H159)</f>
        <v>0</v>
      </c>
      <c r="I159" s="93">
        <f>SUM('31:13'!I159)</f>
        <v>0</v>
      </c>
      <c r="J159" s="31" t="str">
        <f t="array" ref="J159">IF(ISERROR(G159/I159),"",G159/I159)</f>
        <v/>
      </c>
      <c r="K159" s="35">
        <f t="array" ref="K159">IF(ISERROR(G159/L159),"",G159/L159)</f>
        <v>0</v>
      </c>
      <c r="L159" s="87">
        <v>5.5</v>
      </c>
      <c r="M159" s="36">
        <f t="shared" si="55"/>
        <v>0</v>
      </c>
      <c r="N159" s="93">
        <f>SUM('31:13'!N159)</f>
        <v>0</v>
      </c>
      <c r="O159" s="93">
        <f>SUM('31:13'!O159)</f>
        <v>0</v>
      </c>
      <c r="P159" s="93">
        <f>SUM('31:13'!P159)</f>
        <v>0</v>
      </c>
      <c r="Q159" s="93">
        <f>SUM('31:13'!Q159)</f>
        <v>0</v>
      </c>
      <c r="R159" s="93">
        <f>SUM('31:13'!R159)</f>
        <v>0</v>
      </c>
      <c r="S159" s="93">
        <f>SUM('31:13'!S159)</f>
        <v>0</v>
      </c>
      <c r="T159" s="93">
        <f>SUM('31:13'!T159)</f>
        <v>0</v>
      </c>
      <c r="U159" s="93">
        <f>SUM('31:13'!U159)</f>
        <v>0</v>
      </c>
      <c r="V159" s="206">
        <f t="shared" si="56"/>
        <v>0</v>
      </c>
      <c r="W159" s="33" t="str">
        <f t="shared" si="57"/>
        <v/>
      </c>
      <c r="X159" s="93">
        <f>SUM('31:13'!X159)</f>
        <v>0</v>
      </c>
      <c r="Y159" s="93">
        <f>SUM('31:13'!Y159)</f>
        <v>0</v>
      </c>
      <c r="Z159" s="93">
        <f>SUM('31:13'!Z159)</f>
        <v>0</v>
      </c>
      <c r="AA159" s="93">
        <f>SUM('31:13'!AA159)</f>
        <v>0</v>
      </c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>
      <c r="A160" s="299">
        <v>30700015</v>
      </c>
      <c r="B160" s="336" t="s">
        <v>159</v>
      </c>
      <c r="C160" s="16"/>
      <c r="D160" s="17">
        <v>4.5</v>
      </c>
      <c r="E160" s="17"/>
      <c r="F160" s="6"/>
      <c r="G160" s="93">
        <f>SUM('31:13'!G160)</f>
        <v>0</v>
      </c>
      <c r="H160" s="93">
        <f>SUM('31:13'!H160)</f>
        <v>0</v>
      </c>
      <c r="I160" s="93">
        <f>SUM('31:13'!I160)</f>
        <v>0</v>
      </c>
      <c r="J160" s="31"/>
      <c r="K160" s="35">
        <f t="array" ref="K160">IF(ISERROR(G160/L160),"",G160/L160)</f>
        <v>0</v>
      </c>
      <c r="L160" s="87">
        <v>6.5</v>
      </c>
      <c r="M160" s="36">
        <f>IF(ISERROR(I160-K160),"",I160-K160)</f>
        <v>0</v>
      </c>
      <c r="N160" s="93">
        <f>SUM('31:13'!N160)</f>
        <v>0</v>
      </c>
      <c r="O160" s="93">
        <f>SUM('31:13'!O160)</f>
        <v>0</v>
      </c>
      <c r="P160" s="93">
        <f>SUM('31:13'!P160)</f>
        <v>0</v>
      </c>
      <c r="Q160" s="93">
        <f>SUM('31:13'!Q160)</f>
        <v>0</v>
      </c>
      <c r="R160" s="93">
        <f>SUM('31:13'!R160)</f>
        <v>0</v>
      </c>
      <c r="S160" s="93">
        <f>SUM('31:13'!S160)</f>
        <v>0</v>
      </c>
      <c r="T160" s="93">
        <f>SUM('31:13'!T160)</f>
        <v>0</v>
      </c>
      <c r="U160" s="93">
        <f>SUM('31:13'!U160)</f>
        <v>0</v>
      </c>
      <c r="V160" s="206"/>
      <c r="W160" s="33"/>
      <c r="X160" s="93">
        <f>SUM('31:13'!X160)</f>
        <v>0</v>
      </c>
      <c r="Y160" s="93">
        <f>SUM('31:13'!Y160)</f>
        <v>0</v>
      </c>
      <c r="Z160" s="93">
        <f>SUM('31:13'!Z160)</f>
        <v>0</v>
      </c>
      <c r="AA160" s="93">
        <f>SUM('31:13'!AA160)</f>
        <v>0</v>
      </c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>
      <c r="A161" s="299">
        <v>30700012</v>
      </c>
      <c r="B161" s="336" t="s">
        <v>160</v>
      </c>
      <c r="C161" s="16"/>
      <c r="D161" s="17">
        <v>4.5</v>
      </c>
      <c r="E161" s="17"/>
      <c r="F161" s="6"/>
      <c r="G161" s="93">
        <f>SUM('31:13'!G161)</f>
        <v>0</v>
      </c>
      <c r="H161" s="93">
        <f>SUM('31:13'!H161)</f>
        <v>0</v>
      </c>
      <c r="I161" s="93">
        <f>SUM('31:13'!I161)</f>
        <v>0</v>
      </c>
      <c r="J161" s="31"/>
      <c r="K161" s="35">
        <f t="array" ref="K161">IF(ISERROR(G161/L161),"",G161/L161)</f>
        <v>0</v>
      </c>
      <c r="L161" s="87">
        <v>7.5</v>
      </c>
      <c r="M161" s="36">
        <f>IF(ISERROR(I161-K161),"",I161-K161)</f>
        <v>0</v>
      </c>
      <c r="N161" s="93">
        <f>SUM('31:13'!N161)</f>
        <v>0</v>
      </c>
      <c r="O161" s="93">
        <f>SUM('31:13'!O161)</f>
        <v>0</v>
      </c>
      <c r="P161" s="93">
        <f>SUM('31:13'!P161)</f>
        <v>0</v>
      </c>
      <c r="Q161" s="93">
        <f>SUM('31:13'!Q161)</f>
        <v>0</v>
      </c>
      <c r="R161" s="93">
        <f>SUM('31:13'!R161)</f>
        <v>0</v>
      </c>
      <c r="S161" s="93">
        <f>SUM('31:13'!S161)</f>
        <v>0</v>
      </c>
      <c r="T161" s="93">
        <f>SUM('31:13'!T161)</f>
        <v>0</v>
      </c>
      <c r="U161" s="93">
        <f>SUM('31:13'!U161)</f>
        <v>0</v>
      </c>
      <c r="V161" s="206"/>
      <c r="W161" s="33"/>
      <c r="X161" s="93">
        <f>SUM('31:13'!X161)</f>
        <v>0</v>
      </c>
      <c r="Y161" s="93">
        <f>SUM('31:13'!Y161)</f>
        <v>0</v>
      </c>
      <c r="Z161" s="93">
        <f>SUM('31:13'!Z161)</f>
        <v>0</v>
      </c>
      <c r="AA161" s="93">
        <f>SUM('31:13'!AA161)</f>
        <v>0</v>
      </c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>
      <c r="A162" s="306">
        <v>30101063</v>
      </c>
      <c r="B162" s="254" t="s">
        <v>437</v>
      </c>
      <c r="C162" s="16"/>
      <c r="D162" s="17">
        <v>5.03</v>
      </c>
      <c r="E162" s="17"/>
      <c r="F162" s="6"/>
      <c r="G162" s="93">
        <f>SUM('31:13'!G162)</f>
        <v>0</v>
      </c>
      <c r="H162" s="93">
        <f>SUM('31:13'!H162)</f>
        <v>0</v>
      </c>
      <c r="I162" s="93">
        <f>SUM('31:13'!I162)</f>
        <v>0</v>
      </c>
      <c r="J162" s="31"/>
      <c r="K162" s="35"/>
      <c r="L162" s="87"/>
      <c r="M162" s="36"/>
      <c r="N162" s="93"/>
      <c r="O162" s="93"/>
      <c r="P162" s="93"/>
      <c r="Q162" s="93"/>
      <c r="R162" s="93"/>
      <c r="S162" s="93"/>
      <c r="T162" s="93"/>
      <c r="U162" s="93"/>
      <c r="V162" s="206"/>
      <c r="W162" s="33"/>
      <c r="X162" s="93"/>
      <c r="Y162" s="93"/>
      <c r="Z162" s="93"/>
      <c r="AA162" s="93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</row>
    <row r="163" spans="1:106">
      <c r="A163" s="691" t="s">
        <v>106</v>
      </c>
      <c r="B163" s="692"/>
      <c r="C163" s="342" t="s">
        <v>71</v>
      </c>
      <c r="D163" s="20"/>
      <c r="E163" s="20"/>
      <c r="F163" s="32"/>
      <c r="G163" s="94">
        <f>SUM(G149:G162)</f>
        <v>1649</v>
      </c>
      <c r="H163" s="30">
        <f>SUM(H149:H162)</f>
        <v>10493.66</v>
      </c>
      <c r="I163" s="30">
        <f>SUM(I149:I162)</f>
        <v>412</v>
      </c>
      <c r="J163" s="31">
        <f t="array" ref="J163">IF(ISERROR(G163/I163),"",G163/I163)</f>
        <v>4.0024271844660193</v>
      </c>
      <c r="K163" s="30">
        <f>SUM(K149:K159)</f>
        <v>268.31154422788603</v>
      </c>
      <c r="L163" s="98"/>
      <c r="M163" s="89">
        <f t="shared" ref="M163:V163" si="58">SUM(M149:M159)</f>
        <v>-21.311544227886067</v>
      </c>
      <c r="N163" s="20">
        <f t="shared" si="58"/>
        <v>0</v>
      </c>
      <c r="O163" s="91">
        <f t="shared" si="58"/>
        <v>0</v>
      </c>
      <c r="P163" s="91">
        <f t="shared" si="58"/>
        <v>0</v>
      </c>
      <c r="Q163" s="91">
        <f t="shared" si="58"/>
        <v>0</v>
      </c>
      <c r="R163" s="91">
        <f t="shared" si="58"/>
        <v>0</v>
      </c>
      <c r="S163" s="92">
        <f t="shared" si="58"/>
        <v>0</v>
      </c>
      <c r="T163" s="91">
        <f t="shared" si="58"/>
        <v>0</v>
      </c>
      <c r="U163" s="91">
        <f t="shared" si="58"/>
        <v>0</v>
      </c>
      <c r="V163" s="206">
        <f t="shared" si="58"/>
        <v>0</v>
      </c>
      <c r="W163" s="33">
        <f t="shared" ref="W163" si="59">IF(ISERROR(V163/G163),"",V163/G163)</f>
        <v>0</v>
      </c>
      <c r="X163" s="92">
        <f>SUM(X149:X159)</f>
        <v>0</v>
      </c>
      <c r="Y163" s="92">
        <f>SUM(Y149:Y159)</f>
        <v>0</v>
      </c>
      <c r="Z163" s="92">
        <f>SUM(Z149:Z159)</f>
        <v>0</v>
      </c>
      <c r="AA163" s="92">
        <f>SUM(AA149:AA159)</f>
        <v>0</v>
      </c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</row>
    <row r="164" spans="1:106">
      <c r="A164" s="693" t="s">
        <v>108</v>
      </c>
      <c r="B164" s="694"/>
      <c r="C164" s="694"/>
      <c r="D164" s="694"/>
      <c r="E164" s="694"/>
      <c r="F164" s="695"/>
      <c r="G164" s="193">
        <f>SUM(G28,G86,G121,G137,G148,G163)</f>
        <v>72928</v>
      </c>
      <c r="H164" s="193">
        <f>SUM(H28,H86,H121,H137,H148,H163)</f>
        <v>360523.41</v>
      </c>
      <c r="I164" s="193">
        <f>SUM(I28,I86,I121,I137,I148,I163)</f>
        <v>3828.7200000000003</v>
      </c>
      <c r="J164" s="52">
        <f t="array" ref="J164">IF(ISERROR(G164/I164),"",G164/I164)</f>
        <v>19.047619047619047</v>
      </c>
      <c r="K164" s="193">
        <f>SUM(K28,K86,K121,K137,K148,K163)</f>
        <v>4024.757123092947</v>
      </c>
      <c r="L164" s="52">
        <f>IF(ISERROR(G164/K164),"",G164/K164)</f>
        <v>18.119851153640859</v>
      </c>
      <c r="M164" s="193">
        <f t="shared" ref="M164:AA164" si="60">SUM(M28,M86,M121,M137,M148,M163)</f>
        <v>-429.6582626940866</v>
      </c>
      <c r="N164" s="193">
        <f t="shared" si="60"/>
        <v>0</v>
      </c>
      <c r="O164" s="193">
        <f t="shared" si="60"/>
        <v>0</v>
      </c>
      <c r="P164" s="193">
        <f t="shared" si="60"/>
        <v>0</v>
      </c>
      <c r="Q164" s="193">
        <f t="shared" si="60"/>
        <v>0</v>
      </c>
      <c r="R164" s="193">
        <f t="shared" si="60"/>
        <v>0</v>
      </c>
      <c r="S164" s="193">
        <f t="shared" si="60"/>
        <v>0</v>
      </c>
      <c r="T164" s="193">
        <f t="shared" si="60"/>
        <v>0</v>
      </c>
      <c r="U164" s="193">
        <f t="shared" si="60"/>
        <v>0</v>
      </c>
      <c r="V164" s="193">
        <f t="shared" si="60"/>
        <v>0</v>
      </c>
      <c r="W164" s="193">
        <f t="shared" si="60"/>
        <v>0</v>
      </c>
      <c r="X164" s="193">
        <f t="shared" si="60"/>
        <v>0</v>
      </c>
      <c r="Y164" s="193">
        <f t="shared" si="60"/>
        <v>0</v>
      </c>
      <c r="Z164" s="193">
        <f t="shared" si="60"/>
        <v>0</v>
      </c>
      <c r="AA164" s="193">
        <f t="shared" si="60"/>
        <v>0</v>
      </c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</row>
    <row r="165" spans="1:106" ht="15.75" customHeight="1">
      <c r="A165" s="583" t="s">
        <v>503</v>
      </c>
      <c r="B165" s="337" t="s">
        <v>110</v>
      </c>
      <c r="C165" s="674" t="s">
        <v>111</v>
      </c>
      <c r="D165" s="674"/>
      <c r="E165" s="684" t="s">
        <v>112</v>
      </c>
      <c r="F165" s="684"/>
      <c r="G165" s="654" t="s">
        <v>113</v>
      </c>
      <c r="H165" s="654"/>
      <c r="I165" s="684" t="s">
        <v>114</v>
      </c>
      <c r="J165" s="684"/>
      <c r="K165" s="684" t="s">
        <v>36</v>
      </c>
      <c r="L165" s="684"/>
      <c r="M165" s="684" t="s">
        <v>115</v>
      </c>
      <c r="N165" s="684"/>
      <c r="O165" s="684" t="s">
        <v>116</v>
      </c>
      <c r="P165" s="654" t="s">
        <v>117</v>
      </c>
      <c r="Q165" s="654"/>
      <c r="R165" s="654" t="s">
        <v>36</v>
      </c>
      <c r="S165" s="654"/>
      <c r="T165" s="654" t="s">
        <v>118</v>
      </c>
      <c r="U165" s="654"/>
      <c r="V165" s="654" t="s">
        <v>119</v>
      </c>
      <c r="W165" s="654"/>
      <c r="X165" s="654" t="s">
        <v>36</v>
      </c>
      <c r="Y165" s="654"/>
      <c r="Z165" s="654" t="s">
        <v>118</v>
      </c>
      <c r="AA165" s="654"/>
      <c r="AE165" s="14"/>
      <c r="AF165" s="14"/>
      <c r="AG165" s="3"/>
      <c r="AH165" s="34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 ht="13.5" customHeight="1">
      <c r="A166" s="584"/>
      <c r="B166" s="337" t="s">
        <v>120</v>
      </c>
      <c r="C166" s="689">
        <f>SUM('31:13'!C166)</f>
        <v>14</v>
      </c>
      <c r="D166" s="690"/>
      <c r="E166" s="688">
        <f>D166*11</f>
        <v>0</v>
      </c>
      <c r="F166" s="688"/>
      <c r="G166" s="689">
        <f>SUM('31:13'!G166)</f>
        <v>14</v>
      </c>
      <c r="H166" s="690"/>
      <c r="I166" s="684">
        <f>G166*11</f>
        <v>154</v>
      </c>
      <c r="J166" s="684"/>
      <c r="K166" s="684">
        <f>E166-I166</f>
        <v>-154</v>
      </c>
      <c r="L166" s="684"/>
      <c r="M166" s="686" t="str">
        <f>IF(ISERROR(K166/E166),"",K166/E166)</f>
        <v/>
      </c>
      <c r="N166" s="686"/>
      <c r="O166" s="684"/>
      <c r="P166" s="654" t="s">
        <v>70</v>
      </c>
      <c r="Q166" s="654"/>
      <c r="R166" s="677">
        <f>SUM(O28:U28)</f>
        <v>0</v>
      </c>
      <c r="S166" s="677"/>
      <c r="T166" s="685" t="str">
        <f t="array" ref="T166">IF(ISERROR(R166/R173),"",R166/R173)</f>
        <v/>
      </c>
      <c r="U166" s="685"/>
      <c r="V166" s="654" t="s">
        <v>41</v>
      </c>
      <c r="W166" s="654"/>
      <c r="X166" s="677">
        <f>SUM(P27,P85,P120,P136,P147,P161)</f>
        <v>0</v>
      </c>
      <c r="Y166" s="677"/>
      <c r="Z166" s="685" t="str">
        <f t="array" ref="Z166">IF(ISERROR(X166/X173),"",X166/X173)</f>
        <v/>
      </c>
      <c r="AA166" s="685"/>
      <c r="AE166" s="14"/>
      <c r="AF166" s="14"/>
      <c r="AG166" s="3"/>
      <c r="AH166" s="346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>
      <c r="A167" s="584"/>
      <c r="B167" s="337" t="s">
        <v>121</v>
      </c>
      <c r="C167" s="689">
        <f>SUM('31:13'!C167)</f>
        <v>14</v>
      </c>
      <c r="D167" s="690"/>
      <c r="E167" s="688">
        <f>D167*11</f>
        <v>0</v>
      </c>
      <c r="F167" s="688"/>
      <c r="G167" s="689">
        <f>SUM('31:13'!G167)</f>
        <v>14</v>
      </c>
      <c r="H167" s="690"/>
      <c r="I167" s="684">
        <f>G167*11</f>
        <v>154</v>
      </c>
      <c r="J167" s="684"/>
      <c r="K167" s="684">
        <f>E167-I167</f>
        <v>-154</v>
      </c>
      <c r="L167" s="684"/>
      <c r="M167" s="686" t="str">
        <f>IF(ISERROR(K167/E167),"",K167/E167)</f>
        <v/>
      </c>
      <c r="N167" s="686"/>
      <c r="O167" s="684"/>
      <c r="P167" s="654" t="s">
        <v>86</v>
      </c>
      <c r="Q167" s="654"/>
      <c r="R167" s="677">
        <f>SUM(O86:U86)</f>
        <v>0</v>
      </c>
      <c r="S167" s="677"/>
      <c r="T167" s="685" t="str">
        <f>IF(ISERROR(R167/R173),"",R167/R173)</f>
        <v/>
      </c>
      <c r="U167" s="685"/>
      <c r="V167" s="654" t="s">
        <v>42</v>
      </c>
      <c r="W167" s="654"/>
      <c r="X167" s="677">
        <f>SUM(P28,P86,P121,P137,P148,P163)</f>
        <v>0</v>
      </c>
      <c r="Y167" s="677"/>
      <c r="Z167" s="685" t="str">
        <f>IF(ISERROR(X167/X173),"",X167/X173)</f>
        <v/>
      </c>
      <c r="AA167" s="685"/>
      <c r="AE167" s="14"/>
      <c r="AF167" s="14"/>
      <c r="AG167" s="3"/>
      <c r="AH167" s="346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21"/>
      <c r="AV167" s="21"/>
      <c r="AW167" s="21"/>
      <c r="AX167" s="21"/>
      <c r="AY167" s="21"/>
      <c r="AZ167" s="21"/>
      <c r="BA167" s="21"/>
    </row>
    <row r="168" spans="1:106">
      <c r="A168" s="584"/>
      <c r="B168" s="337" t="s">
        <v>122</v>
      </c>
      <c r="C168" s="689">
        <f>SUM('31:13'!C168)</f>
        <v>14</v>
      </c>
      <c r="D168" s="690"/>
      <c r="E168" s="688">
        <f>D168*11</f>
        <v>0</v>
      </c>
      <c r="F168" s="688"/>
      <c r="G168" s="689">
        <f>SUM('31:13'!G168)</f>
        <v>14</v>
      </c>
      <c r="H168" s="690"/>
      <c r="I168" s="684">
        <f>G168*8</f>
        <v>112</v>
      </c>
      <c r="J168" s="684"/>
      <c r="K168" s="684">
        <f>E168-I168</f>
        <v>-112</v>
      </c>
      <c r="L168" s="684"/>
      <c r="M168" s="686" t="str">
        <f>IF(ISERROR(K168/E168),"",K168/E168)</f>
        <v/>
      </c>
      <c r="N168" s="686"/>
      <c r="O168" s="684"/>
      <c r="P168" s="654" t="s">
        <v>92</v>
      </c>
      <c r="Q168" s="654"/>
      <c r="R168" s="677">
        <f>SUM(O121:U121)</f>
        <v>0</v>
      </c>
      <c r="S168" s="677"/>
      <c r="T168" s="685" t="str">
        <f>IF(ISERROR(R168/R173),"",R168/R173)</f>
        <v/>
      </c>
      <c r="U168" s="685"/>
      <c r="V168" s="654" t="s">
        <v>43</v>
      </c>
      <c r="W168" s="654"/>
      <c r="X168" s="677">
        <f>SUM(P29,P87,P122,P138,P149,P164)</f>
        <v>0</v>
      </c>
      <c r="Y168" s="677"/>
      <c r="Z168" s="685" t="str">
        <f>IF(ISERROR(X168/X173),"",X168/X173)</f>
        <v/>
      </c>
      <c r="AA168" s="685"/>
      <c r="AE168" s="14"/>
      <c r="AF168" s="14"/>
      <c r="AG168" s="346"/>
      <c r="AH168" s="346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21"/>
      <c r="AV168" s="21"/>
      <c r="AW168" s="21"/>
      <c r="AX168" s="21"/>
      <c r="AY168" s="21"/>
      <c r="AZ168" s="21"/>
      <c r="BA168" s="21"/>
    </row>
    <row r="169" spans="1:106">
      <c r="A169" s="584"/>
      <c r="B169" s="337" t="s">
        <v>47</v>
      </c>
      <c r="C169" s="689">
        <f>SUM('31:13'!C169)</f>
        <v>14</v>
      </c>
      <c r="D169" s="690"/>
      <c r="E169" s="688">
        <f>D169*11</f>
        <v>0</v>
      </c>
      <c r="F169" s="688"/>
      <c r="G169" s="689">
        <f>SUM('31:13'!G169)</f>
        <v>14</v>
      </c>
      <c r="H169" s="690"/>
      <c r="I169" s="684">
        <f>G169*11</f>
        <v>154</v>
      </c>
      <c r="J169" s="684"/>
      <c r="K169" s="684">
        <f>E169-I169</f>
        <v>-154</v>
      </c>
      <c r="L169" s="684"/>
      <c r="M169" s="686" t="str">
        <f>IF(ISERROR(K169/E169),"",K169/E169)</f>
        <v/>
      </c>
      <c r="N169" s="686"/>
      <c r="O169" s="684"/>
      <c r="P169" s="654" t="s">
        <v>99</v>
      </c>
      <c r="Q169" s="654"/>
      <c r="R169" s="677">
        <f>SUM(O137:U137)</f>
        <v>0</v>
      </c>
      <c r="S169" s="677"/>
      <c r="T169" s="685" t="str">
        <f>IF(ISERROR(R169/R173),"",R169/R173)</f>
        <v/>
      </c>
      <c r="U169" s="685"/>
      <c r="V169" s="654" t="s">
        <v>44</v>
      </c>
      <c r="W169" s="654"/>
      <c r="X169" s="677">
        <f>SUM(P31,P88,P123,P139,P150,P165)</f>
        <v>0</v>
      </c>
      <c r="Y169" s="677"/>
      <c r="Z169" s="685" t="str">
        <f>IF(ISERROR(X169/X173),"",X169/X173)</f>
        <v/>
      </c>
      <c r="AA169" s="685"/>
      <c r="AE169" s="14"/>
      <c r="AF169" s="14"/>
      <c r="AG169" s="346"/>
      <c r="AH169" s="346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21"/>
      <c r="AV169" s="21"/>
      <c r="AW169" s="21"/>
      <c r="AX169" s="21"/>
      <c r="AY169" s="21"/>
      <c r="AZ169" s="21"/>
      <c r="BA169" s="21"/>
    </row>
    <row r="170" spans="1:106">
      <c r="A170" s="585"/>
      <c r="B170" s="337" t="s">
        <v>123</v>
      </c>
      <c r="C170" s="687">
        <f>SUM(C166:D169)</f>
        <v>56</v>
      </c>
      <c r="D170" s="684"/>
      <c r="E170" s="684">
        <f>SUM(F166:F169)</f>
        <v>0</v>
      </c>
      <c r="F170" s="684"/>
      <c r="G170" s="687">
        <f>SUM(G166:H169)</f>
        <v>56</v>
      </c>
      <c r="H170" s="684"/>
      <c r="I170" s="684">
        <f>SUM(I166:J169)</f>
        <v>574</v>
      </c>
      <c r="J170" s="684"/>
      <c r="K170" s="684">
        <f>SUM(K166:L169)</f>
        <v>-574</v>
      </c>
      <c r="L170" s="684"/>
      <c r="M170" s="686" t="str">
        <f>IF(ISERROR(K170/E170),"",K170/E170)</f>
        <v/>
      </c>
      <c r="N170" s="686"/>
      <c r="O170" s="684"/>
      <c r="P170" s="654" t="s">
        <v>102</v>
      </c>
      <c r="Q170" s="654"/>
      <c r="R170" s="677">
        <f>SUM(O148:U148)</f>
        <v>0</v>
      </c>
      <c r="S170" s="677"/>
      <c r="T170" s="685" t="str">
        <f>IF(ISERROR(R170/R173),"",R170/R173)</f>
        <v/>
      </c>
      <c r="U170" s="685"/>
      <c r="V170" s="654" t="s">
        <v>45</v>
      </c>
      <c r="W170" s="654"/>
      <c r="X170" s="677">
        <f>SUM(P32,P89,P124,P140,P151,P166)</f>
        <v>0</v>
      </c>
      <c r="Y170" s="677"/>
      <c r="Z170" s="685" t="str">
        <f>IF(ISERROR(X170/X173),"",X170/X173)</f>
        <v/>
      </c>
      <c r="AA170" s="685"/>
      <c r="AE170" s="14"/>
      <c r="AF170" s="14"/>
      <c r="AG170" s="346"/>
      <c r="AH170" s="346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343"/>
      <c r="AV170" s="343"/>
      <c r="AW170" s="343"/>
      <c r="AX170" s="343"/>
      <c r="AY170" s="343"/>
      <c r="AZ170" s="343"/>
      <c r="BA170" s="343"/>
    </row>
    <row r="171" spans="1:106" ht="17.25">
      <c r="A171" s="309" t="s">
        <v>504</v>
      </c>
      <c r="B171" s="337">
        <f>G164</f>
        <v>72928</v>
      </c>
      <c r="C171" s="677" t="s">
        <v>155</v>
      </c>
      <c r="D171" s="677"/>
      <c r="E171" s="654">
        <f>H164</f>
        <v>360523.41</v>
      </c>
      <c r="F171" s="654"/>
      <c r="G171" s="654" t="s">
        <v>34</v>
      </c>
      <c r="H171" s="654"/>
      <c r="I171" s="683">
        <f>L164</f>
        <v>18.119851153640859</v>
      </c>
      <c r="J171" s="683"/>
      <c r="K171" s="684" t="s">
        <v>32</v>
      </c>
      <c r="L171" s="684"/>
      <c r="M171" s="683">
        <f>J164</f>
        <v>19.047619047619047</v>
      </c>
      <c r="N171" s="683"/>
      <c r="O171" s="684"/>
      <c r="P171" s="654" t="s">
        <v>106</v>
      </c>
      <c r="Q171" s="654"/>
      <c r="R171" s="677">
        <f>SUM(O163:U163)</f>
        <v>0</v>
      </c>
      <c r="S171" s="677"/>
      <c r="T171" s="685" t="str">
        <f>IF(ISERROR(R171/R173),"",R171/R173)</f>
        <v/>
      </c>
      <c r="U171" s="685"/>
      <c r="V171" s="654" t="s">
        <v>46</v>
      </c>
      <c r="W171" s="654"/>
      <c r="X171" s="677">
        <f>SUM(P33,P90,P125,P141,P152,P167)</f>
        <v>0</v>
      </c>
      <c r="Y171" s="677"/>
      <c r="Z171" s="685" t="str">
        <f>IF(ISERROR(X171/X173),"",X171/X173)</f>
        <v/>
      </c>
      <c r="AA171" s="685"/>
      <c r="AE171" s="14"/>
      <c r="AF171" s="14"/>
      <c r="AG171" s="346"/>
      <c r="AH171" s="346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343"/>
      <c r="AV171" s="343"/>
      <c r="AW171" s="343"/>
      <c r="AX171" s="343"/>
      <c r="AY171" s="343"/>
      <c r="AZ171" s="343"/>
      <c r="BA171" s="343"/>
    </row>
    <row r="172" spans="1:106" ht="17.25">
      <c r="A172" s="310" t="s">
        <v>505</v>
      </c>
      <c r="B172" s="337">
        <f>I164+C170</f>
        <v>3884.7200000000003</v>
      </c>
      <c r="C172" s="654" t="s">
        <v>114</v>
      </c>
      <c r="D172" s="654"/>
      <c r="E172" s="674">
        <f>K164+I170</f>
        <v>4598.757123092947</v>
      </c>
      <c r="F172" s="674"/>
      <c r="G172" s="654" t="s">
        <v>150</v>
      </c>
      <c r="H172" s="654"/>
      <c r="I172" s="683">
        <f>B172-E172</f>
        <v>-714.03712309294679</v>
      </c>
      <c r="J172" s="683"/>
      <c r="K172" s="684" t="s">
        <v>151</v>
      </c>
      <c r="L172" s="684"/>
      <c r="M172" s="686">
        <f>IF(ISERROR(I172/B172),"",I172/B172)</f>
        <v>-0.18380658659902047</v>
      </c>
      <c r="N172" s="686"/>
      <c r="O172" s="684"/>
      <c r="P172" s="654" t="s">
        <v>107</v>
      </c>
      <c r="Q172" s="654"/>
      <c r="R172" s="677"/>
      <c r="S172" s="677"/>
      <c r="T172" s="685" t="str">
        <f>IF(ISERROR(R172/R173),"",R172/R173)</f>
        <v/>
      </c>
      <c r="U172" s="685"/>
      <c r="V172" s="654" t="s">
        <v>47</v>
      </c>
      <c r="W172" s="654"/>
      <c r="X172" s="677"/>
      <c r="Y172" s="677"/>
      <c r="Z172" s="685" t="str">
        <f>IF(ISERROR(X172/X173),"",X172/X173)</f>
        <v/>
      </c>
      <c r="AA172" s="685"/>
      <c r="AE172" s="14"/>
      <c r="AF172" s="14"/>
      <c r="AG172" s="346"/>
      <c r="AH172" s="346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343"/>
      <c r="AV172" s="343"/>
      <c r="AW172" s="343"/>
      <c r="AX172" s="343"/>
      <c r="AY172" s="343"/>
      <c r="AZ172" s="343"/>
      <c r="BA172" s="343"/>
    </row>
    <row r="173" spans="1:106" ht="15.75" customHeight="1">
      <c r="A173" s="310" t="s">
        <v>507</v>
      </c>
      <c r="B173" s="337">
        <f>N164</f>
        <v>0</v>
      </c>
      <c r="C173" s="654" t="s">
        <v>149</v>
      </c>
      <c r="D173" s="654"/>
      <c r="E173" s="685">
        <f>IF(ISERROR(B173/B172),"",B173/B172)</f>
        <v>0</v>
      </c>
      <c r="F173" s="685"/>
      <c r="G173" s="654" t="s">
        <v>158</v>
      </c>
      <c r="H173" s="654"/>
      <c r="I173" s="684">
        <f>V164</f>
        <v>0</v>
      </c>
      <c r="J173" s="684"/>
      <c r="K173" s="684" t="s">
        <v>156</v>
      </c>
      <c r="L173" s="684"/>
      <c r="M173" s="686">
        <f t="array" ref="M173">IF(ISERROR(I173/B171),"",I173/B171)</f>
        <v>0</v>
      </c>
      <c r="N173" s="686"/>
      <c r="O173" s="684"/>
      <c r="P173" s="654" t="s">
        <v>123</v>
      </c>
      <c r="Q173" s="654"/>
      <c r="R173" s="677">
        <f>SUM(R166:S172)</f>
        <v>0</v>
      </c>
      <c r="S173" s="677"/>
      <c r="T173" s="685">
        <f>SUM(T166:U172)</f>
        <v>0</v>
      </c>
      <c r="U173" s="685"/>
      <c r="V173" s="654" t="s">
        <v>123</v>
      </c>
      <c r="W173" s="654"/>
      <c r="X173" s="677">
        <f>SUM(X166:Y172)</f>
        <v>0</v>
      </c>
      <c r="Y173" s="677"/>
      <c r="Z173" s="685">
        <f>SUM(Z166:AA172)</f>
        <v>0</v>
      </c>
      <c r="AA173" s="685"/>
      <c r="AE173" s="14"/>
      <c r="AF173" s="14"/>
      <c r="AG173" s="346"/>
      <c r="AH173" s="346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343"/>
      <c r="AV173" s="343"/>
      <c r="AW173" s="343"/>
      <c r="AX173" s="343"/>
      <c r="AY173" s="343"/>
      <c r="AZ173" s="343"/>
      <c r="BA173" s="343"/>
    </row>
    <row r="174" spans="1:106">
      <c r="A174" s="716" t="s">
        <v>128</v>
      </c>
      <c r="B174" s="716"/>
      <c r="C174" s="716"/>
      <c r="D174" s="716"/>
      <c r="E174" s="716"/>
      <c r="F174" s="716"/>
      <c r="G174" s="716"/>
      <c r="H174" s="716"/>
      <c r="I174" s="716"/>
      <c r="J174" s="724"/>
      <c r="K174" s="716"/>
      <c r="L174" s="716"/>
      <c r="M174" s="716"/>
      <c r="N174" s="716"/>
      <c r="O174" s="716"/>
      <c r="P174" s="716"/>
      <c r="Q174" s="716"/>
      <c r="R174" s="716"/>
      <c r="S174" s="716"/>
      <c r="T174" s="716"/>
      <c r="U174" s="716"/>
      <c r="V174" s="716"/>
      <c r="W174" s="716"/>
      <c r="X174" s="716"/>
      <c r="Y174" s="716"/>
      <c r="Z174" s="716"/>
      <c r="AA174" s="716"/>
      <c r="AB174" s="716"/>
      <c r="AC174" s="716"/>
      <c r="AD174" s="716"/>
      <c r="AE174" s="716"/>
      <c r="AF174" s="716"/>
      <c r="AG174" s="716"/>
      <c r="AH174" s="716"/>
      <c r="AI174" s="716"/>
      <c r="AJ174" s="716"/>
      <c r="AK174" s="716"/>
      <c r="AL174" s="716"/>
      <c r="AM174" s="716"/>
      <c r="AN174" s="716"/>
      <c r="AO174" s="716"/>
      <c r="AP174" s="716"/>
      <c r="AQ174" s="716"/>
      <c r="AR174" s="716"/>
      <c r="AS174" s="716"/>
      <c r="AT174" s="716"/>
      <c r="AU174" s="716"/>
      <c r="AV174" s="716"/>
      <c r="AW174" s="716"/>
      <c r="AX174" s="716"/>
      <c r="AY174" s="716"/>
      <c r="AZ174" s="716"/>
      <c r="BA174" s="716"/>
    </row>
    <row r="175" spans="1:106">
      <c r="A175" s="604" t="s">
        <v>502</v>
      </c>
      <c r="B175" s="705" t="s">
        <v>25</v>
      </c>
      <c r="C175" s="705" t="s">
        <v>26</v>
      </c>
      <c r="D175" s="705" t="s">
        <v>27</v>
      </c>
      <c r="E175" s="717" t="s">
        <v>28</v>
      </c>
      <c r="F175" s="720" t="s">
        <v>29</v>
      </c>
      <c r="G175" s="684" t="s">
        <v>30</v>
      </c>
      <c r="H175" s="684"/>
      <c r="I175" s="705" t="s">
        <v>31</v>
      </c>
      <c r="J175" s="708" t="s">
        <v>32</v>
      </c>
      <c r="K175" s="711" t="s">
        <v>33</v>
      </c>
      <c r="L175" s="705" t="s">
        <v>34</v>
      </c>
      <c r="M175" s="714" t="s">
        <v>35</v>
      </c>
      <c r="N175" s="702" t="s">
        <v>36</v>
      </c>
      <c r="O175" s="684" t="s">
        <v>37</v>
      </c>
      <c r="P175" s="684"/>
      <c r="Q175" s="684"/>
      <c r="R175" s="684"/>
      <c r="S175" s="684"/>
      <c r="T175" s="684"/>
      <c r="U175" s="684"/>
      <c r="V175" s="703" t="s">
        <v>38</v>
      </c>
      <c r="W175" s="702" t="s">
        <v>39</v>
      </c>
      <c r="X175" s="684" t="s">
        <v>40</v>
      </c>
      <c r="Y175" s="684"/>
      <c r="Z175" s="684"/>
      <c r="AA175" s="684"/>
      <c r="AB175" s="21"/>
      <c r="AC175" s="21"/>
      <c r="AD175" s="21"/>
      <c r="AE175" s="21"/>
      <c r="AF175" s="21"/>
      <c r="AG175" s="21"/>
      <c r="AH175" s="21"/>
      <c r="AI175" s="704"/>
      <c r="AJ175" s="700"/>
      <c r="AK175" s="700"/>
      <c r="AL175" s="700"/>
      <c r="AM175" s="700"/>
      <c r="AN175" s="700"/>
      <c r="AO175" s="700"/>
      <c r="AP175" s="700"/>
      <c r="AQ175" s="700"/>
      <c r="AR175" s="700"/>
      <c r="AS175" s="700"/>
      <c r="AT175" s="700"/>
      <c r="AU175" s="700"/>
      <c r="AV175" s="700"/>
      <c r="AW175" s="700"/>
      <c r="AX175" s="700"/>
      <c r="AY175" s="700"/>
      <c r="AZ175" s="700"/>
      <c r="BA175" s="700"/>
    </row>
    <row r="176" spans="1:106" ht="15.75" customHeight="1">
      <c r="A176" s="605"/>
      <c r="B176" s="706"/>
      <c r="C176" s="706"/>
      <c r="D176" s="706"/>
      <c r="E176" s="718"/>
      <c r="F176" s="721"/>
      <c r="G176" s="684"/>
      <c r="H176" s="684"/>
      <c r="I176" s="706"/>
      <c r="J176" s="709"/>
      <c r="K176" s="712"/>
      <c r="L176" s="706"/>
      <c r="M176" s="715"/>
      <c r="N176" s="702"/>
      <c r="O176" s="684" t="s">
        <v>41</v>
      </c>
      <c r="P176" s="684" t="s">
        <v>42</v>
      </c>
      <c r="Q176" s="684" t="s">
        <v>43</v>
      </c>
      <c r="R176" s="701" t="s">
        <v>44</v>
      </c>
      <c r="S176" s="654" t="s">
        <v>45</v>
      </c>
      <c r="T176" s="684" t="s">
        <v>46</v>
      </c>
      <c r="U176" s="684" t="s">
        <v>47</v>
      </c>
      <c r="V176" s="703"/>
      <c r="W176" s="702"/>
      <c r="X176" s="684" t="s">
        <v>13</v>
      </c>
      <c r="Y176" s="684" t="s">
        <v>48</v>
      </c>
      <c r="Z176" s="684" t="s">
        <v>49</v>
      </c>
      <c r="AA176" s="684" t="s">
        <v>47</v>
      </c>
      <c r="AB176" s="21"/>
      <c r="AC176" s="21"/>
      <c r="AD176" s="21"/>
      <c r="AE176" s="21"/>
      <c r="AF176" s="21"/>
      <c r="AG176" s="21"/>
      <c r="AH176" s="21"/>
      <c r="AI176" s="704"/>
      <c r="AJ176" s="700"/>
      <c r="AK176" s="700"/>
      <c r="AL176" s="700"/>
      <c r="AM176" s="700"/>
      <c r="AN176" s="700"/>
      <c r="AO176" s="700"/>
      <c r="AP176" s="700"/>
      <c r="AQ176" s="700"/>
      <c r="AR176" s="700"/>
      <c r="AS176" s="723"/>
      <c r="AT176" s="723"/>
      <c r="AU176" s="723"/>
      <c r="AV176" s="723"/>
      <c r="AW176" s="723"/>
      <c r="AX176" s="723"/>
      <c r="AY176" s="723"/>
      <c r="AZ176" s="723"/>
      <c r="BA176" s="723"/>
    </row>
    <row r="177" spans="1:53" ht="15.75" customHeight="1">
      <c r="A177" s="606"/>
      <c r="B177" s="707"/>
      <c r="C177" s="707"/>
      <c r="D177" s="707"/>
      <c r="E177" s="719"/>
      <c r="F177" s="722"/>
      <c r="G177" s="335" t="s">
        <v>50</v>
      </c>
      <c r="H177" s="335" t="s">
        <v>51</v>
      </c>
      <c r="I177" s="707"/>
      <c r="J177" s="710"/>
      <c r="K177" s="713"/>
      <c r="L177" s="707"/>
      <c r="M177" s="715"/>
      <c r="N177" s="702"/>
      <c r="O177" s="684"/>
      <c r="P177" s="684"/>
      <c r="Q177" s="684"/>
      <c r="R177" s="701"/>
      <c r="S177" s="654"/>
      <c r="T177" s="684"/>
      <c r="U177" s="684"/>
      <c r="V177" s="703"/>
      <c r="W177" s="702"/>
      <c r="X177" s="684"/>
      <c r="Y177" s="684"/>
      <c r="Z177" s="684"/>
      <c r="AA177" s="684"/>
      <c r="AB177" s="21"/>
      <c r="AC177" s="21"/>
      <c r="AD177" s="21"/>
      <c r="AE177" s="21"/>
      <c r="AF177" s="21"/>
      <c r="AG177" s="21"/>
      <c r="AH177" s="21"/>
      <c r="AI177" s="704"/>
      <c r="AJ177" s="700"/>
      <c r="AK177" s="700"/>
      <c r="AL177" s="343"/>
      <c r="AM177" s="343"/>
      <c r="AN177" s="343"/>
      <c r="AO177" s="343"/>
      <c r="AP177" s="343"/>
      <c r="AQ177" s="343"/>
      <c r="AR177" s="343"/>
      <c r="AS177" s="21"/>
      <c r="AT177" s="21"/>
      <c r="AU177" s="21"/>
      <c r="AV177" s="344"/>
      <c r="AW177" s="343"/>
      <c r="AX177" s="343"/>
      <c r="AY177" s="343"/>
      <c r="AZ177" s="343"/>
      <c r="BA177" s="343"/>
    </row>
    <row r="178" spans="1:53">
      <c r="A178" s="315">
        <v>30100030</v>
      </c>
      <c r="B178" s="82" t="s">
        <v>52</v>
      </c>
      <c r="C178" s="81" t="s">
        <v>53</v>
      </c>
      <c r="D178" s="80">
        <v>5.03</v>
      </c>
      <c r="E178" s="80"/>
      <c r="F178" s="83"/>
      <c r="G178" s="93">
        <f>SUM('31:13'!G178)</f>
        <v>300</v>
      </c>
      <c r="H178" s="95">
        <f t="shared" ref="H178:H183" si="61">D178*G178</f>
        <v>1509</v>
      </c>
      <c r="I178" s="93">
        <f>SUM('31:13'!I178)</f>
        <v>11.5</v>
      </c>
      <c r="J178" s="31">
        <f t="array" ref="J178">IF(ISERROR(G178/I178),"",G178/I178)</f>
        <v>26.086956521739129</v>
      </c>
      <c r="K178" s="96">
        <f t="array" ref="K178">IF(ISERROR(G178/L178),"",G178/L178)</f>
        <v>18.75</v>
      </c>
      <c r="L178" s="84">
        <v>16</v>
      </c>
      <c r="M178" s="97">
        <f t="shared" ref="M178:M189" si="62">IF(ISERROR(I178-K178),"",I178-K178)</f>
        <v>-7.25</v>
      </c>
      <c r="N178" s="93">
        <f>SUM('31:13'!N178)</f>
        <v>0</v>
      </c>
      <c r="O178" s="93">
        <f>SUM('31:13'!O178)</f>
        <v>0</v>
      </c>
      <c r="P178" s="93">
        <f>SUM('31:13'!P178)</f>
        <v>0</v>
      </c>
      <c r="Q178" s="93">
        <f>SUM('31:13'!Q178)</f>
        <v>0</v>
      </c>
      <c r="R178" s="93">
        <f>SUM('31:13'!R178)</f>
        <v>0</v>
      </c>
      <c r="S178" s="93">
        <f>SUM('31:13'!S178)</f>
        <v>0</v>
      </c>
      <c r="T178" s="93">
        <f>SUM('31:13'!T178)</f>
        <v>0</v>
      </c>
      <c r="U178" s="93">
        <f>SUM('31:13'!U178)</f>
        <v>0</v>
      </c>
      <c r="V178" s="206">
        <f t="shared" ref="V178:V189" si="63">SUM(X178:AA178)</f>
        <v>0</v>
      </c>
      <c r="W178" s="33">
        <f t="shared" ref="W178:W189" si="64">IF(ISERROR(V178/G178),"",V178/G178)</f>
        <v>0</v>
      </c>
      <c r="X178" s="93">
        <f>SUM('31:13'!X178)</f>
        <v>0</v>
      </c>
      <c r="Y178" s="93">
        <f>SUM('31:13'!Y178)</f>
        <v>0</v>
      </c>
      <c r="Z178" s="93">
        <f>SUM('31:13'!Z178)</f>
        <v>0</v>
      </c>
      <c r="AA178" s="93">
        <f>SUM('31:13'!AA178)</f>
        <v>0</v>
      </c>
      <c r="AB178" s="73"/>
      <c r="AC178" s="54"/>
      <c r="AD178" s="346"/>
      <c r="AE178" s="54"/>
      <c r="AF178" s="54"/>
      <c r="AG178" s="54"/>
      <c r="AH178" s="54"/>
      <c r="AI178" s="57"/>
      <c r="AJ178" s="57"/>
      <c r="AK178" s="57"/>
      <c r="AL178" s="345"/>
      <c r="AM178" s="54"/>
      <c r="AN178" s="345"/>
      <c r="AO178" s="345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</row>
    <row r="179" spans="1:53">
      <c r="A179" s="300"/>
      <c r="B179" s="62" t="s">
        <v>54</v>
      </c>
      <c r="C179" s="16" t="s">
        <v>53</v>
      </c>
      <c r="D179" s="17">
        <v>5.03</v>
      </c>
      <c r="E179" s="17"/>
      <c r="F179" s="6"/>
      <c r="G179" s="93">
        <f>SUM('31:13'!G179)</f>
        <v>0</v>
      </c>
      <c r="H179" s="95">
        <f t="shared" si="61"/>
        <v>0</v>
      </c>
      <c r="I179" s="93">
        <f>SUM('31:13'!I179)</f>
        <v>0</v>
      </c>
      <c r="J179" s="31" t="str">
        <f t="array" ref="J179">IF(ISERROR(G179/I179),"",G179/I179)</f>
        <v/>
      </c>
      <c r="K179" s="35">
        <f t="array" ref="K179">IF(ISERROR(G179/L179),"",G179/L179)</f>
        <v>0</v>
      </c>
      <c r="L179" s="87">
        <v>19</v>
      </c>
      <c r="M179" s="36">
        <f t="shared" si="62"/>
        <v>0</v>
      </c>
      <c r="N179" s="93">
        <f>SUM('31:13'!N179)</f>
        <v>0</v>
      </c>
      <c r="O179" s="93">
        <f>SUM('31:13'!O179)</f>
        <v>0</v>
      </c>
      <c r="P179" s="93">
        <f>SUM('31:13'!P179)</f>
        <v>0</v>
      </c>
      <c r="Q179" s="93">
        <f>SUM('31:13'!Q179)</f>
        <v>0</v>
      </c>
      <c r="R179" s="93">
        <f>SUM('31:13'!R179)</f>
        <v>0</v>
      </c>
      <c r="S179" s="93">
        <f>SUM('31:13'!S179)</f>
        <v>0</v>
      </c>
      <c r="T179" s="93">
        <f>SUM('31:13'!T179)</f>
        <v>0</v>
      </c>
      <c r="U179" s="93">
        <f>SUM('31:13'!U179)</f>
        <v>0</v>
      </c>
      <c r="V179" s="206">
        <f t="shared" si="63"/>
        <v>0</v>
      </c>
      <c r="W179" s="33" t="str">
        <f t="shared" si="64"/>
        <v/>
      </c>
      <c r="X179" s="93">
        <f>SUM('31:13'!X179)</f>
        <v>0</v>
      </c>
      <c r="Y179" s="93">
        <f>SUM('31:13'!Y179)</f>
        <v>0</v>
      </c>
      <c r="Z179" s="93">
        <f>SUM('31:13'!Z179)</f>
        <v>0</v>
      </c>
      <c r="AA179" s="93">
        <f>SUM('31:13'!AA179)</f>
        <v>0</v>
      </c>
      <c r="AB179" s="73"/>
      <c r="AC179" s="54"/>
      <c r="AD179" s="346"/>
      <c r="AE179" s="54"/>
      <c r="AF179" s="54"/>
      <c r="AG179" s="54"/>
      <c r="AH179" s="54"/>
      <c r="AI179" s="57"/>
      <c r="AJ179" s="57"/>
      <c r="AK179" s="57"/>
      <c r="AL179" s="54"/>
      <c r="AM179" s="54"/>
      <c r="AN179" s="345"/>
      <c r="AO179" s="54"/>
      <c r="AP179" s="345"/>
      <c r="AQ179" s="54"/>
      <c r="AR179" s="54"/>
      <c r="AS179" s="345"/>
      <c r="AT179" s="345"/>
      <c r="AU179" s="345"/>
      <c r="AV179" s="345"/>
      <c r="AW179" s="55"/>
      <c r="AX179" s="54"/>
      <c r="AY179" s="54"/>
      <c r="AZ179" s="54"/>
      <c r="BA179" s="54"/>
    </row>
    <row r="180" spans="1:53">
      <c r="A180" s="301"/>
      <c r="B180" s="62" t="s">
        <v>54</v>
      </c>
      <c r="C180" s="16" t="s">
        <v>55</v>
      </c>
      <c r="D180" s="17">
        <v>5.03</v>
      </c>
      <c r="E180" s="17"/>
      <c r="F180" s="6"/>
      <c r="G180" s="93">
        <f>SUM('31:13'!G180)</f>
        <v>0</v>
      </c>
      <c r="H180" s="95">
        <f t="shared" si="61"/>
        <v>0</v>
      </c>
      <c r="I180" s="93">
        <f>SUM('31:13'!I180)</f>
        <v>0</v>
      </c>
      <c r="J180" s="31" t="str">
        <f t="array" ref="J180">IF(ISERROR(G180/I180),"",G180/I180)</f>
        <v/>
      </c>
      <c r="K180" s="35">
        <f t="array" ref="K180">IF(ISERROR(G180/L180),"",G180/L180)</f>
        <v>0</v>
      </c>
      <c r="L180" s="87">
        <v>19</v>
      </c>
      <c r="M180" s="36">
        <f t="shared" si="62"/>
        <v>0</v>
      </c>
      <c r="N180" s="93">
        <f>SUM('31:13'!N180)</f>
        <v>0</v>
      </c>
      <c r="O180" s="93">
        <f>SUM('31:13'!O180)</f>
        <v>0</v>
      </c>
      <c r="P180" s="93">
        <f>SUM('31:13'!P180)</f>
        <v>0</v>
      </c>
      <c r="Q180" s="93">
        <f>SUM('31:13'!Q180)</f>
        <v>0</v>
      </c>
      <c r="R180" s="93">
        <f>SUM('31:13'!R180)</f>
        <v>0</v>
      </c>
      <c r="S180" s="93">
        <f>SUM('31:13'!S180)</f>
        <v>0</v>
      </c>
      <c r="T180" s="93">
        <f>SUM('31:13'!T180)</f>
        <v>0</v>
      </c>
      <c r="U180" s="93">
        <f>SUM('31:13'!U180)</f>
        <v>0</v>
      </c>
      <c r="V180" s="206">
        <f t="shared" si="63"/>
        <v>0</v>
      </c>
      <c r="W180" s="33" t="str">
        <f t="shared" si="64"/>
        <v/>
      </c>
      <c r="X180" s="93">
        <f>SUM('31:13'!X180)</f>
        <v>0</v>
      </c>
      <c r="Y180" s="93">
        <f>SUM('31:13'!Y180)</f>
        <v>0</v>
      </c>
      <c r="Z180" s="93">
        <f>SUM('31:13'!Z180)</f>
        <v>0</v>
      </c>
      <c r="AA180" s="93">
        <f>SUM('31:13'!AA180)</f>
        <v>0</v>
      </c>
      <c r="AB180" s="73"/>
      <c r="AC180" s="54"/>
      <c r="AD180" s="346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345"/>
      <c r="AP180" s="54"/>
      <c r="AQ180" s="54"/>
      <c r="AR180" s="54"/>
      <c r="AS180" s="56"/>
      <c r="AT180" s="56"/>
      <c r="AU180" s="56"/>
      <c r="AV180" s="54"/>
      <c r="AW180" s="54"/>
      <c r="AX180" s="54"/>
      <c r="AY180" s="54"/>
      <c r="AZ180" s="54"/>
      <c r="BA180" s="54"/>
    </row>
    <row r="181" spans="1:53">
      <c r="A181" s="315">
        <v>30100048</v>
      </c>
      <c r="B181" s="62" t="s">
        <v>56</v>
      </c>
      <c r="C181" s="16" t="s">
        <v>53</v>
      </c>
      <c r="D181" s="17">
        <v>5.03</v>
      </c>
      <c r="E181" s="17"/>
      <c r="F181" s="6"/>
      <c r="G181" s="93">
        <f>SUM('31:13'!G181)</f>
        <v>1246</v>
      </c>
      <c r="H181" s="95">
        <f t="shared" si="61"/>
        <v>6267.38</v>
      </c>
      <c r="I181" s="93">
        <f>SUM('31:13'!I181)</f>
        <v>96.05</v>
      </c>
      <c r="J181" s="31">
        <f t="array" ref="J181">IF(ISERROR(G181/I181),"",G181/I181)</f>
        <v>12.972410203019262</v>
      </c>
      <c r="K181" s="35">
        <f t="array" ref="K181">IF(ISERROR(G181/L181),"",G181/L181)</f>
        <v>65.578947368421055</v>
      </c>
      <c r="L181" s="87">
        <v>19</v>
      </c>
      <c r="M181" s="36">
        <f t="shared" si="62"/>
        <v>30.471052631578942</v>
      </c>
      <c r="N181" s="93">
        <f>SUM('31:13'!N181)</f>
        <v>0</v>
      </c>
      <c r="O181" s="93">
        <f>SUM('31:13'!O181)</f>
        <v>0</v>
      </c>
      <c r="P181" s="93">
        <f>SUM('31:13'!P181)</f>
        <v>0</v>
      </c>
      <c r="Q181" s="93">
        <f>SUM('31:13'!Q181)</f>
        <v>0</v>
      </c>
      <c r="R181" s="93">
        <f>SUM('31:13'!R181)</f>
        <v>0</v>
      </c>
      <c r="S181" s="93">
        <f>SUM('31:13'!S181)</f>
        <v>0</v>
      </c>
      <c r="T181" s="93">
        <f>SUM('31:13'!T181)</f>
        <v>0</v>
      </c>
      <c r="U181" s="93">
        <f>SUM('31:13'!U181)</f>
        <v>0</v>
      </c>
      <c r="V181" s="206">
        <f t="shared" si="63"/>
        <v>0</v>
      </c>
      <c r="W181" s="33">
        <f t="shared" si="64"/>
        <v>0</v>
      </c>
      <c r="X181" s="93">
        <f>SUM('31:13'!X181)</f>
        <v>0</v>
      </c>
      <c r="Y181" s="93">
        <f>SUM('31:13'!Y181)</f>
        <v>0</v>
      </c>
      <c r="Z181" s="93">
        <f>SUM('31:13'!Z181)</f>
        <v>0</v>
      </c>
      <c r="AA181" s="93">
        <f>SUM('31:13'!AA181)</f>
        <v>0</v>
      </c>
      <c r="AB181" s="73"/>
      <c r="AC181" s="54"/>
      <c r="AD181" s="346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5"/>
      <c r="AW181" s="55"/>
      <c r="AX181" s="55"/>
      <c r="AY181" s="54"/>
      <c r="AZ181" s="54"/>
      <c r="BA181" s="54"/>
    </row>
    <row r="182" spans="1:53">
      <c r="A182" s="315">
        <v>30100047</v>
      </c>
      <c r="B182" s="62" t="s">
        <v>56</v>
      </c>
      <c r="C182" s="16" t="s">
        <v>57</v>
      </c>
      <c r="D182" s="17">
        <v>5.03</v>
      </c>
      <c r="E182" s="17"/>
      <c r="F182" s="6"/>
      <c r="G182" s="93">
        <f>SUM('31:13'!G182)</f>
        <v>1427</v>
      </c>
      <c r="H182" s="95">
        <f t="shared" si="61"/>
        <v>7177.81</v>
      </c>
      <c r="I182" s="93">
        <f>SUM('31:13'!I182)</f>
        <v>86</v>
      </c>
      <c r="J182" s="31">
        <f t="array" ref="J182">IF(ISERROR(G182/I182),"",G182/I182)</f>
        <v>16.593023255813954</v>
      </c>
      <c r="K182" s="35">
        <f t="array" ref="K182">IF(ISERROR(G182/L182),"",G182/L182)</f>
        <v>71.349999999999994</v>
      </c>
      <c r="L182" s="87">
        <v>20</v>
      </c>
      <c r="M182" s="36">
        <f t="shared" si="62"/>
        <v>14.650000000000006</v>
      </c>
      <c r="N182" s="93">
        <f>SUM('31:13'!N182)</f>
        <v>0</v>
      </c>
      <c r="O182" s="93">
        <f>SUM('31:13'!O182)</f>
        <v>0</v>
      </c>
      <c r="P182" s="93">
        <f>SUM('31:13'!P182)</f>
        <v>0</v>
      </c>
      <c r="Q182" s="93">
        <f>SUM('31:13'!Q182)</f>
        <v>0</v>
      </c>
      <c r="R182" s="93">
        <f>SUM('31:13'!R182)</f>
        <v>0</v>
      </c>
      <c r="S182" s="93">
        <f>SUM('31:13'!S182)</f>
        <v>0</v>
      </c>
      <c r="T182" s="93">
        <f>SUM('31:13'!T182)</f>
        <v>0</v>
      </c>
      <c r="U182" s="93">
        <f>SUM('31:13'!U182)</f>
        <v>0</v>
      </c>
      <c r="V182" s="206">
        <f t="shared" si="63"/>
        <v>0</v>
      </c>
      <c r="W182" s="33">
        <f t="shared" si="64"/>
        <v>0</v>
      </c>
      <c r="X182" s="93">
        <f>SUM('31:13'!X182)</f>
        <v>0</v>
      </c>
      <c r="Y182" s="93">
        <f>SUM('31:13'!Y182)</f>
        <v>0</v>
      </c>
      <c r="Z182" s="93">
        <f>SUM('31:13'!Z182)</f>
        <v>0</v>
      </c>
      <c r="AA182" s="93">
        <f>SUM('31:13'!AA182)</f>
        <v>0</v>
      </c>
      <c r="AB182" s="73"/>
      <c r="AC182" s="54"/>
      <c r="AD182" s="346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>
      <c r="A183" s="315">
        <v>30100052</v>
      </c>
      <c r="B183" s="62" t="s">
        <v>58</v>
      </c>
      <c r="C183" s="16" t="s">
        <v>53</v>
      </c>
      <c r="D183" s="17">
        <v>5.04</v>
      </c>
      <c r="E183" s="17"/>
      <c r="F183" s="6"/>
      <c r="G183" s="93">
        <f>SUM('31:13'!G183)</f>
        <v>1097</v>
      </c>
      <c r="H183" s="95">
        <f t="shared" si="61"/>
        <v>5528.88</v>
      </c>
      <c r="I183" s="93">
        <f>SUM('31:13'!I183)</f>
        <v>88.5</v>
      </c>
      <c r="J183" s="31">
        <f t="array" ref="J183">IF(ISERROR(G183/I183),"",G183/I183)</f>
        <v>12.395480225988701</v>
      </c>
      <c r="K183" s="35">
        <f t="array" ref="K183">IF(ISERROR(G183/L183),"",G183/L183)</f>
        <v>57.736842105263158</v>
      </c>
      <c r="L183" s="87">
        <v>19</v>
      </c>
      <c r="M183" s="36">
        <f t="shared" si="62"/>
        <v>30.763157894736842</v>
      </c>
      <c r="N183" s="93">
        <f>SUM('31:13'!N183)</f>
        <v>0</v>
      </c>
      <c r="O183" s="93">
        <f>SUM('31:13'!O183)</f>
        <v>0</v>
      </c>
      <c r="P183" s="93">
        <f>SUM('31:13'!P183)</f>
        <v>0</v>
      </c>
      <c r="Q183" s="93">
        <f>SUM('31:13'!Q183)</f>
        <v>0</v>
      </c>
      <c r="R183" s="93">
        <f>SUM('31:13'!R183)</f>
        <v>0</v>
      </c>
      <c r="S183" s="93">
        <f>SUM('31:13'!S183)</f>
        <v>0</v>
      </c>
      <c r="T183" s="93">
        <f>SUM('31:13'!T183)</f>
        <v>0</v>
      </c>
      <c r="U183" s="93">
        <f>SUM('31:13'!U183)</f>
        <v>0</v>
      </c>
      <c r="V183" s="206">
        <f t="shared" si="63"/>
        <v>0</v>
      </c>
      <c r="W183" s="33">
        <f t="shared" si="64"/>
        <v>0</v>
      </c>
      <c r="X183" s="93">
        <f>SUM('31:13'!X183)</f>
        <v>0</v>
      </c>
      <c r="Y183" s="93">
        <f>SUM('31:13'!Y183)</f>
        <v>0</v>
      </c>
      <c r="Z183" s="93">
        <f>SUM('31:13'!Z183)</f>
        <v>0</v>
      </c>
      <c r="AA183" s="93">
        <f>SUM('31:13'!AA183)</f>
        <v>0</v>
      </c>
      <c r="AB183" s="73"/>
      <c r="AC183" s="54"/>
      <c r="AD183" s="346"/>
      <c r="AE183" s="54"/>
      <c r="AF183" s="54"/>
      <c r="AG183" s="54"/>
      <c r="AH183" s="54"/>
      <c r="AI183" s="57"/>
      <c r="AJ183" s="57"/>
      <c r="AK183" s="57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>
      <c r="A184" s="332">
        <v>30100059</v>
      </c>
      <c r="B184" s="62" t="s">
        <v>59</v>
      </c>
      <c r="C184" s="16" t="s">
        <v>60</v>
      </c>
      <c r="D184" s="17">
        <v>5.03</v>
      </c>
      <c r="E184" s="17"/>
      <c r="F184" s="6"/>
      <c r="G184" s="93">
        <f>SUM('31:13'!G184)</f>
        <v>580</v>
      </c>
      <c r="H184" s="95">
        <f>D184*G184</f>
        <v>2917.4</v>
      </c>
      <c r="I184" s="93">
        <f>SUM('31:13'!I184)</f>
        <v>47.5</v>
      </c>
      <c r="J184" s="31">
        <f t="array" ref="J184">IF(ISERROR(G184/I184),"",G184/I184)</f>
        <v>12.210526315789474</v>
      </c>
      <c r="K184" s="35">
        <f t="array" ref="K184">IF(ISERROR(G184/L184),"",G184/L184)</f>
        <v>193.33333333333334</v>
      </c>
      <c r="L184" s="87">
        <v>3</v>
      </c>
      <c r="M184" s="36">
        <f t="shared" si="62"/>
        <v>-145.83333333333334</v>
      </c>
      <c r="N184" s="93">
        <f>SUM('31:13'!N184)</f>
        <v>0</v>
      </c>
      <c r="O184" s="93">
        <f>SUM('31:13'!O184)</f>
        <v>0</v>
      </c>
      <c r="P184" s="93">
        <f>SUM('31:13'!P184)</f>
        <v>0</v>
      </c>
      <c r="Q184" s="93">
        <f>SUM('31:13'!Q184)</f>
        <v>0</v>
      </c>
      <c r="R184" s="93">
        <f>SUM('31:13'!R184)</f>
        <v>0</v>
      </c>
      <c r="S184" s="93">
        <f>SUM('31:13'!S184)</f>
        <v>0</v>
      </c>
      <c r="T184" s="93">
        <f>SUM('31:13'!T184)</f>
        <v>0</v>
      </c>
      <c r="U184" s="93">
        <f>SUM('31:13'!U184)</f>
        <v>0</v>
      </c>
      <c r="V184" s="206">
        <f t="shared" si="63"/>
        <v>0</v>
      </c>
      <c r="W184" s="33">
        <f t="shared" si="64"/>
        <v>0</v>
      </c>
      <c r="X184" s="93">
        <f>SUM('31:13'!X184)</f>
        <v>0</v>
      </c>
      <c r="Y184" s="93">
        <f>SUM('31:13'!Y184)</f>
        <v>0</v>
      </c>
      <c r="Z184" s="93">
        <f>SUM('31:13'!Z184)</f>
        <v>0</v>
      </c>
      <c r="AA184" s="93">
        <f>SUM('31:13'!AA184)</f>
        <v>0</v>
      </c>
      <c r="AB184" s="73"/>
      <c r="AC184" s="54"/>
      <c r="AD184" s="346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>
      <c r="A185" s="302">
        <v>30100060</v>
      </c>
      <c r="B185" s="62" t="s">
        <v>59</v>
      </c>
      <c r="C185" s="16" t="s">
        <v>61</v>
      </c>
      <c r="D185" s="17">
        <v>5.03</v>
      </c>
      <c r="E185" s="17"/>
      <c r="F185" s="6"/>
      <c r="G185" s="93">
        <f>SUM('31:13'!G185)</f>
        <v>42</v>
      </c>
      <c r="H185" s="95">
        <f t="shared" ref="H185:H198" si="65">D185*G185</f>
        <v>211.26000000000002</v>
      </c>
      <c r="I185" s="93">
        <f>SUM('31:13'!I185)</f>
        <v>4.5</v>
      </c>
      <c r="J185" s="31">
        <f t="array" ref="J185">IF(ISERROR(G185/I185),"",G185/I185)</f>
        <v>9.3333333333333339</v>
      </c>
      <c r="K185" s="35">
        <f t="array" ref="K185">IF(ISERROR(G185/L185),"",G185/L185)</f>
        <v>14</v>
      </c>
      <c r="L185" s="87">
        <v>3</v>
      </c>
      <c r="M185" s="36">
        <f t="shared" si="62"/>
        <v>-9.5</v>
      </c>
      <c r="N185" s="93">
        <f>SUM('31:13'!N185)</f>
        <v>0</v>
      </c>
      <c r="O185" s="93">
        <f>SUM('31:13'!O185)</f>
        <v>0</v>
      </c>
      <c r="P185" s="93">
        <f>SUM('31:13'!P185)</f>
        <v>0</v>
      </c>
      <c r="Q185" s="93">
        <f>SUM('31:13'!Q185)</f>
        <v>0</v>
      </c>
      <c r="R185" s="93">
        <f>SUM('31:13'!R185)</f>
        <v>0</v>
      </c>
      <c r="S185" s="93">
        <f>SUM('31:13'!S185)</f>
        <v>0</v>
      </c>
      <c r="T185" s="93">
        <f>SUM('31:13'!T185)</f>
        <v>0</v>
      </c>
      <c r="U185" s="93">
        <f>SUM('31:13'!U185)</f>
        <v>0</v>
      </c>
      <c r="V185" s="206">
        <f t="shared" si="63"/>
        <v>0</v>
      </c>
      <c r="W185" s="33">
        <f t="shared" si="64"/>
        <v>0</v>
      </c>
      <c r="X185" s="93">
        <f>SUM('31:13'!X185)</f>
        <v>0</v>
      </c>
      <c r="Y185" s="93">
        <f>SUM('31:13'!Y185)</f>
        <v>0</v>
      </c>
      <c r="Z185" s="93">
        <f>SUM('31:13'!Z185)</f>
        <v>0</v>
      </c>
      <c r="AA185" s="93">
        <f>SUM('31:13'!AA185)</f>
        <v>0</v>
      </c>
      <c r="AB185" s="73"/>
      <c r="AC185" s="54"/>
      <c r="AD185" s="346"/>
      <c r="AE185" s="54"/>
      <c r="AF185" s="54"/>
      <c r="AG185" s="54"/>
      <c r="AH185" s="54"/>
      <c r="AI185" s="57"/>
      <c r="AJ185" s="57"/>
      <c r="AK185" s="57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>
      <c r="A186" s="300">
        <v>30200006</v>
      </c>
      <c r="B186" s="62" t="s">
        <v>62</v>
      </c>
      <c r="C186" s="16" t="s">
        <v>63</v>
      </c>
      <c r="D186" s="17">
        <v>5.04</v>
      </c>
      <c r="E186" s="17"/>
      <c r="F186" s="79"/>
      <c r="G186" s="93">
        <f>SUM('31:13'!G186)</f>
        <v>2311</v>
      </c>
      <c r="H186" s="95">
        <f t="shared" si="65"/>
        <v>11647.44</v>
      </c>
      <c r="I186" s="93">
        <f>SUM('31:13'!I186)</f>
        <v>180</v>
      </c>
      <c r="J186" s="31">
        <f t="array" ref="J186">IF(ISERROR(G186/I186),"",G186/I186)</f>
        <v>12.838888888888889</v>
      </c>
      <c r="K186" s="35">
        <f t="array" ref="K186">IF(ISERROR(G186/L186),"",G186/L186)</f>
        <v>135.94117647058823</v>
      </c>
      <c r="L186" s="87">
        <v>17</v>
      </c>
      <c r="M186" s="36">
        <f t="shared" si="62"/>
        <v>44.058823529411768</v>
      </c>
      <c r="N186" s="93">
        <f>SUM('31:13'!N186)</f>
        <v>0</v>
      </c>
      <c r="O186" s="93">
        <f>SUM('31:13'!O186)</f>
        <v>0</v>
      </c>
      <c r="P186" s="93">
        <f>SUM('31:13'!P186)</f>
        <v>0</v>
      </c>
      <c r="Q186" s="93">
        <f>SUM('31:13'!Q186)</f>
        <v>0</v>
      </c>
      <c r="R186" s="93">
        <f>SUM('31:13'!R186)</f>
        <v>0</v>
      </c>
      <c r="S186" s="93">
        <f>SUM('31:13'!S186)</f>
        <v>0</v>
      </c>
      <c r="T186" s="93">
        <f>SUM('31:13'!T186)</f>
        <v>0</v>
      </c>
      <c r="U186" s="93">
        <f>SUM('31:13'!U186)</f>
        <v>0</v>
      </c>
      <c r="V186" s="206">
        <f t="shared" si="63"/>
        <v>0</v>
      </c>
      <c r="W186" s="33">
        <f t="shared" si="64"/>
        <v>0</v>
      </c>
      <c r="X186" s="93">
        <f>SUM('31:13'!X186)</f>
        <v>0</v>
      </c>
      <c r="Y186" s="93">
        <f>SUM('31:13'!Y186)</f>
        <v>0</v>
      </c>
      <c r="Z186" s="93">
        <f>SUM('31:13'!Z186)</f>
        <v>0</v>
      </c>
      <c r="AA186" s="93">
        <f>SUM('31:13'!AA186)</f>
        <v>0</v>
      </c>
      <c r="AB186" s="73"/>
      <c r="AC186" s="54"/>
      <c r="AD186" s="346"/>
      <c r="AE186" s="54"/>
      <c r="AF186" s="54"/>
      <c r="AG186" s="54"/>
      <c r="AH186" s="54"/>
      <c r="AI186" s="57"/>
      <c r="AJ186" s="57"/>
      <c r="AK186" s="57"/>
      <c r="AL186" s="345"/>
      <c r="AM186" s="54"/>
      <c r="AN186" s="54"/>
      <c r="AO186" s="54"/>
      <c r="AP186" s="345"/>
      <c r="AQ186" s="345"/>
      <c r="AR186" s="345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>
      <c r="A187" s="300">
        <v>30200005</v>
      </c>
      <c r="B187" s="62" t="s">
        <v>62</v>
      </c>
      <c r="C187" s="16" t="s">
        <v>64</v>
      </c>
      <c r="D187" s="17">
        <v>5.04</v>
      </c>
      <c r="E187" s="17"/>
      <c r="F187" s="79"/>
      <c r="G187" s="93">
        <f>SUM('31:13'!G187)</f>
        <v>1892</v>
      </c>
      <c r="H187" s="95">
        <f t="shared" si="65"/>
        <v>9535.68</v>
      </c>
      <c r="I187" s="93">
        <f>SUM('31:13'!I187)</f>
        <v>143.5</v>
      </c>
      <c r="J187" s="31">
        <f t="array" ref="J187">IF(ISERROR(G187/I187),"",G187/I187)</f>
        <v>13.184668989547038</v>
      </c>
      <c r="K187" s="35">
        <f t="array" ref="K187">IF(ISERROR(G187/L187),"",G187/L187)</f>
        <v>111.29411764705883</v>
      </c>
      <c r="L187" s="87">
        <v>17</v>
      </c>
      <c r="M187" s="36">
        <f t="shared" si="62"/>
        <v>32.205882352941174</v>
      </c>
      <c r="N187" s="93">
        <f>SUM('31:13'!N187)</f>
        <v>0</v>
      </c>
      <c r="O187" s="93">
        <f>SUM('31:13'!O187)</f>
        <v>0</v>
      </c>
      <c r="P187" s="93">
        <f>SUM('31:13'!P187)</f>
        <v>0</v>
      </c>
      <c r="Q187" s="93">
        <f>SUM('31:13'!Q187)</f>
        <v>0</v>
      </c>
      <c r="R187" s="93">
        <f>SUM('31:13'!R187)</f>
        <v>0</v>
      </c>
      <c r="S187" s="93">
        <f>SUM('31:13'!S187)</f>
        <v>0</v>
      </c>
      <c r="T187" s="93">
        <f>SUM('31:13'!T187)</f>
        <v>0</v>
      </c>
      <c r="U187" s="93">
        <f>SUM('31:13'!U187)</f>
        <v>0</v>
      </c>
      <c r="V187" s="206">
        <f t="shared" si="63"/>
        <v>0</v>
      </c>
      <c r="W187" s="33">
        <f t="shared" si="64"/>
        <v>0</v>
      </c>
      <c r="X187" s="93">
        <f>SUM('31:13'!X187)</f>
        <v>0</v>
      </c>
      <c r="Y187" s="93">
        <f>SUM('31:13'!Y187)</f>
        <v>0</v>
      </c>
      <c r="Z187" s="93">
        <f>SUM('31:13'!Z187)</f>
        <v>0</v>
      </c>
      <c r="AA187" s="93">
        <f>SUM('31:13'!AA187)</f>
        <v>0</v>
      </c>
      <c r="AB187" s="73"/>
      <c r="AC187" s="54"/>
      <c r="AD187" s="346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>
      <c r="A188" s="302">
        <v>30100063</v>
      </c>
      <c r="B188" s="202" t="s">
        <v>171</v>
      </c>
      <c r="C188" s="16" t="s">
        <v>379</v>
      </c>
      <c r="D188" s="108"/>
      <c r="E188" s="17"/>
      <c r="F188" s="6"/>
      <c r="G188" s="93">
        <f>SUM('31:13'!G188)</f>
        <v>0</v>
      </c>
      <c r="H188" s="95">
        <f t="shared" si="65"/>
        <v>0</v>
      </c>
      <c r="I188" s="93">
        <f>SUM('31:13'!I188)</f>
        <v>0</v>
      </c>
      <c r="J188" s="31" t="str">
        <f t="array" ref="J188">IF(ISERROR(G188/I188),"",G188/I188)</f>
        <v/>
      </c>
      <c r="K188" s="35">
        <f t="array" ref="K188">IF(ISERROR(G188/L188),"",G188/L188)</f>
        <v>0</v>
      </c>
      <c r="L188" s="87">
        <v>17</v>
      </c>
      <c r="M188" s="36">
        <f t="shared" si="62"/>
        <v>0</v>
      </c>
      <c r="N188" s="93">
        <f>SUM('31:13'!N188)</f>
        <v>0</v>
      </c>
      <c r="O188" s="93">
        <f>SUM('31:13'!O188)</f>
        <v>0</v>
      </c>
      <c r="P188" s="93">
        <f>SUM('31:13'!P188)</f>
        <v>0</v>
      </c>
      <c r="Q188" s="93">
        <f>SUM('31:13'!Q188)</f>
        <v>0</v>
      </c>
      <c r="R188" s="93">
        <f>SUM('31:13'!R188)</f>
        <v>0</v>
      </c>
      <c r="S188" s="93">
        <f>SUM('31:13'!S188)</f>
        <v>0</v>
      </c>
      <c r="T188" s="93">
        <f>SUM('31:13'!T188)</f>
        <v>0</v>
      </c>
      <c r="U188" s="93">
        <f>SUM('31:13'!U188)</f>
        <v>0</v>
      </c>
      <c r="V188" s="206">
        <f t="shared" si="63"/>
        <v>0</v>
      </c>
      <c r="W188" s="33" t="str">
        <f t="shared" si="64"/>
        <v/>
      </c>
      <c r="X188" s="93">
        <f>SUM('31:13'!X188)</f>
        <v>0</v>
      </c>
      <c r="Y188" s="93">
        <f>SUM('31:13'!Y188)</f>
        <v>0</v>
      </c>
      <c r="Z188" s="93">
        <f>SUM('31:13'!Z188)</f>
        <v>0</v>
      </c>
      <c r="AA188" s="93">
        <f>SUM('31:13'!AA188)</f>
        <v>0</v>
      </c>
      <c r="AB188" s="73"/>
      <c r="AC188" s="54"/>
      <c r="AD188" s="346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>
      <c r="A189" s="302">
        <v>30100061</v>
      </c>
      <c r="B189" s="202" t="s">
        <v>171</v>
      </c>
      <c r="C189" s="16" t="s">
        <v>380</v>
      </c>
      <c r="D189" s="108"/>
      <c r="E189" s="17"/>
      <c r="F189" s="6"/>
      <c r="G189" s="93">
        <f>SUM('31:13'!G189)</f>
        <v>0</v>
      </c>
      <c r="H189" s="95">
        <f t="shared" si="65"/>
        <v>0</v>
      </c>
      <c r="I189" s="93">
        <f>SUM('31:13'!I189)</f>
        <v>0</v>
      </c>
      <c r="J189" s="31" t="str">
        <f t="array" ref="J189">IF(ISERROR(G189/I189),"",G189/I189)</f>
        <v/>
      </c>
      <c r="K189" s="35">
        <f t="array" ref="K189">IF(ISERROR(G189/L189),"",G189/L189)</f>
        <v>0</v>
      </c>
      <c r="L189" s="87">
        <v>17</v>
      </c>
      <c r="M189" s="36">
        <f t="shared" si="62"/>
        <v>0</v>
      </c>
      <c r="N189" s="93">
        <f>SUM('31:13'!N189)</f>
        <v>0</v>
      </c>
      <c r="O189" s="93">
        <f>SUM('31:13'!O189)</f>
        <v>0</v>
      </c>
      <c r="P189" s="93">
        <f>SUM('31:13'!P189)</f>
        <v>0</v>
      </c>
      <c r="Q189" s="93">
        <f>SUM('31:13'!Q189)</f>
        <v>0</v>
      </c>
      <c r="R189" s="93">
        <f>SUM('31:13'!R189)</f>
        <v>0</v>
      </c>
      <c r="S189" s="93">
        <f>SUM('31:13'!S189)</f>
        <v>0</v>
      </c>
      <c r="T189" s="93">
        <f>SUM('31:13'!T189)</f>
        <v>0</v>
      </c>
      <c r="U189" s="93">
        <f>SUM('31:13'!U189)</f>
        <v>0</v>
      </c>
      <c r="V189" s="206">
        <f t="shared" si="63"/>
        <v>0</v>
      </c>
      <c r="W189" s="33" t="str">
        <f t="shared" si="64"/>
        <v/>
      </c>
      <c r="X189" s="93">
        <f>SUM('31:13'!X189)</f>
        <v>0</v>
      </c>
      <c r="Y189" s="93">
        <f>SUM('31:13'!Y189)</f>
        <v>0</v>
      </c>
      <c r="Z189" s="93">
        <f>SUM('31:13'!Z189)</f>
        <v>0</v>
      </c>
      <c r="AA189" s="93">
        <f>SUM('31:13'!AA189)</f>
        <v>0</v>
      </c>
      <c r="AB189" s="73"/>
      <c r="AC189" s="54"/>
      <c r="AD189" s="346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>
      <c r="A190" s="300">
        <v>30200001</v>
      </c>
      <c r="B190" s="202" t="s">
        <v>67</v>
      </c>
      <c r="C190" s="16" t="s">
        <v>381</v>
      </c>
      <c r="D190" s="108">
        <v>5.0599999999999996</v>
      </c>
      <c r="E190" s="17"/>
      <c r="F190" s="6"/>
      <c r="G190" s="93">
        <f>SUM('31:13'!G190)</f>
        <v>3332</v>
      </c>
      <c r="H190" s="95">
        <f t="shared" si="65"/>
        <v>16859.919999999998</v>
      </c>
      <c r="I190" s="93">
        <f>SUM('31:13'!I190)</f>
        <v>250</v>
      </c>
      <c r="J190" s="31">
        <f t="array" ref="J190">IF(ISERROR(G190/I190),"",G190/I190)</f>
        <v>13.327999999999999</v>
      </c>
      <c r="K190" s="35">
        <f t="array" ref="K190">IF(ISERROR(G190/L190),"",G190/L190)</f>
        <v>175.36842105263159</v>
      </c>
      <c r="L190" s="87">
        <v>19</v>
      </c>
      <c r="M190" s="36">
        <f>IF(ISERROR(I190-K190),"",I190-K190)</f>
        <v>74.631578947368411</v>
      </c>
      <c r="N190" s="93">
        <f>SUM('31:13'!N190)</f>
        <v>0</v>
      </c>
      <c r="O190" s="93">
        <f>SUM('31:13'!O190)</f>
        <v>0</v>
      </c>
      <c r="P190" s="93">
        <f>SUM('31:13'!P190)</f>
        <v>0</v>
      </c>
      <c r="Q190" s="93">
        <f>SUM('31:13'!Q190)</f>
        <v>0</v>
      </c>
      <c r="R190" s="93">
        <f>SUM('31:13'!R190)</f>
        <v>0</v>
      </c>
      <c r="S190" s="93">
        <f>SUM('31:13'!S190)</f>
        <v>0</v>
      </c>
      <c r="T190" s="93">
        <f>SUM('31:13'!T190)</f>
        <v>0</v>
      </c>
      <c r="U190" s="93">
        <f>SUM('31:13'!U190)</f>
        <v>0</v>
      </c>
      <c r="V190" s="206">
        <f>SUM(X190:AA190)</f>
        <v>0</v>
      </c>
      <c r="W190" s="33">
        <f>IF(ISERROR(V190/G190),"",V190/G190)</f>
        <v>0</v>
      </c>
      <c r="X190" s="93">
        <f>SUM('31:13'!X190)</f>
        <v>0</v>
      </c>
      <c r="Y190" s="93">
        <f>SUM('31:13'!Y190)</f>
        <v>0</v>
      </c>
      <c r="Z190" s="93">
        <f>SUM('31:13'!Z190)</f>
        <v>0</v>
      </c>
      <c r="AA190" s="93">
        <f>SUM('31:13'!AA190)</f>
        <v>0</v>
      </c>
      <c r="AB190" s="73"/>
      <c r="AC190" s="54"/>
      <c r="AD190" s="346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>
      <c r="A191" s="300">
        <v>30200002</v>
      </c>
      <c r="B191" s="62" t="s">
        <v>68</v>
      </c>
      <c r="C191" s="16" t="s">
        <v>63</v>
      </c>
      <c r="D191" s="17">
        <v>5.09</v>
      </c>
      <c r="E191" s="17"/>
      <c r="F191" s="6"/>
      <c r="G191" s="93">
        <f>SUM('31:13'!G191)</f>
        <v>3943</v>
      </c>
      <c r="H191" s="95">
        <f t="shared" si="65"/>
        <v>20069.87</v>
      </c>
      <c r="I191" s="93">
        <f>SUM('31:13'!I191)</f>
        <v>227.5</v>
      </c>
      <c r="J191" s="31">
        <f t="array" ref="J191">IF(ISERROR(G191/I191),"",G191/I191)</f>
        <v>17.331868131868131</v>
      </c>
      <c r="K191" s="35">
        <f t="array" ref="K191">IF(ISERROR(G191/L191),"",G191/L191)</f>
        <v>171.43478260869566</v>
      </c>
      <c r="L191" s="87">
        <v>23</v>
      </c>
      <c r="M191" s="36">
        <f t="shared" ref="M191:M194" si="66">IF(ISERROR(I191-K191),"",I191-K191)</f>
        <v>56.065217391304344</v>
      </c>
      <c r="N191" s="93">
        <f>SUM('31:13'!N191)</f>
        <v>0</v>
      </c>
      <c r="O191" s="93">
        <f>SUM('31:13'!O191)</f>
        <v>0</v>
      </c>
      <c r="P191" s="93">
        <f>SUM('31:13'!P191)</f>
        <v>0</v>
      </c>
      <c r="Q191" s="93">
        <f>SUM('31:13'!Q191)</f>
        <v>0</v>
      </c>
      <c r="R191" s="93">
        <f>SUM('31:13'!R191)</f>
        <v>0</v>
      </c>
      <c r="S191" s="93">
        <f>SUM('31:13'!S191)</f>
        <v>0</v>
      </c>
      <c r="T191" s="93">
        <f>SUM('31:13'!T191)</f>
        <v>0</v>
      </c>
      <c r="U191" s="93">
        <f>SUM('31:13'!U191)</f>
        <v>0</v>
      </c>
      <c r="V191" s="206">
        <f t="shared" ref="V191:V194" si="67">SUM(X191:AA191)</f>
        <v>0</v>
      </c>
      <c r="W191" s="33">
        <f t="shared" ref="W191:W194" si="68">IF(ISERROR(V191/G191),"",V191/G191)</f>
        <v>0</v>
      </c>
      <c r="X191" s="93">
        <f>SUM('31:13'!X191)</f>
        <v>0</v>
      </c>
      <c r="Y191" s="93">
        <f>SUM('31:13'!Y191)</f>
        <v>0</v>
      </c>
      <c r="Z191" s="93">
        <f>SUM('31:13'!Z191)</f>
        <v>0</v>
      </c>
      <c r="AA191" s="93">
        <f>SUM('31:13'!AA191)</f>
        <v>0</v>
      </c>
      <c r="AB191" s="73"/>
      <c r="AC191" s="54"/>
      <c r="AD191" s="346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>
      <c r="A192" s="300">
        <v>30200003</v>
      </c>
      <c r="B192" s="62" t="s">
        <v>68</v>
      </c>
      <c r="C192" s="16" t="s">
        <v>64</v>
      </c>
      <c r="D192" s="17">
        <v>5.09</v>
      </c>
      <c r="E192" s="17"/>
      <c r="F192" s="6"/>
      <c r="G192" s="93">
        <f>SUM('31:13'!G192)</f>
        <v>2100</v>
      </c>
      <c r="H192" s="95">
        <f t="shared" si="65"/>
        <v>10689</v>
      </c>
      <c r="I192" s="93">
        <f>SUM('31:13'!I192)</f>
        <v>120</v>
      </c>
      <c r="J192" s="31">
        <f t="array" ref="J192">IF(ISERROR(G192/I192),"",G192/I192)</f>
        <v>17.5</v>
      </c>
      <c r="K192" s="35">
        <f t="array" ref="K192">IF(ISERROR(G192/L192),"",G192/L192)</f>
        <v>91.304347826086953</v>
      </c>
      <c r="L192" s="87">
        <v>23</v>
      </c>
      <c r="M192" s="36">
        <f t="shared" si="66"/>
        <v>28.695652173913047</v>
      </c>
      <c r="N192" s="93">
        <f>SUM('31:13'!N192)</f>
        <v>0</v>
      </c>
      <c r="O192" s="93">
        <f>SUM('31:13'!O192)</f>
        <v>0</v>
      </c>
      <c r="P192" s="93">
        <f>SUM('31:13'!P192)</f>
        <v>0</v>
      </c>
      <c r="Q192" s="93">
        <f>SUM('31:13'!Q192)</f>
        <v>0</v>
      </c>
      <c r="R192" s="93">
        <f>SUM('31:13'!R192)</f>
        <v>0</v>
      </c>
      <c r="S192" s="93">
        <f>SUM('31:13'!S192)</f>
        <v>0</v>
      </c>
      <c r="T192" s="93">
        <f>SUM('31:13'!T192)</f>
        <v>0</v>
      </c>
      <c r="U192" s="93">
        <f>SUM('31:13'!U192)</f>
        <v>0</v>
      </c>
      <c r="V192" s="206">
        <f t="shared" si="67"/>
        <v>0</v>
      </c>
      <c r="W192" s="33">
        <f t="shared" si="68"/>
        <v>0</v>
      </c>
      <c r="X192" s="93">
        <f>SUM('31:13'!X192)</f>
        <v>0</v>
      </c>
      <c r="Y192" s="93">
        <f>SUM('31:13'!Y192)</f>
        <v>0</v>
      </c>
      <c r="Z192" s="93">
        <f>SUM('31:13'!Z192)</f>
        <v>0</v>
      </c>
      <c r="AA192" s="93">
        <f>SUM('31:13'!AA192)</f>
        <v>0</v>
      </c>
      <c r="AB192" s="73"/>
      <c r="AC192" s="54"/>
      <c r="AD192" s="346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>
      <c r="A193" s="300">
        <v>30100003</v>
      </c>
      <c r="B193" s="141" t="s">
        <v>198</v>
      </c>
      <c r="C193" s="333" t="s">
        <v>190</v>
      </c>
      <c r="D193" s="108">
        <v>4.8</v>
      </c>
      <c r="E193" s="17"/>
      <c r="F193" s="6"/>
      <c r="G193" s="93">
        <f>SUM('31:13'!G193)</f>
        <v>0</v>
      </c>
      <c r="H193" s="95">
        <f t="shared" si="65"/>
        <v>0</v>
      </c>
      <c r="I193" s="93">
        <f>SUM('31:13'!I193)</f>
        <v>0</v>
      </c>
      <c r="J193" s="31" t="str">
        <f t="array" ref="J193">IF(ISERROR(G193/I193),"",G193/I193)</f>
        <v/>
      </c>
      <c r="K193" s="35">
        <f t="array" ref="K193">IF(ISERROR(G193/L193),"",G193/L193)</f>
        <v>0</v>
      </c>
      <c r="L193" s="87">
        <v>4</v>
      </c>
      <c r="M193" s="36">
        <f t="shared" si="66"/>
        <v>0</v>
      </c>
      <c r="N193" s="93">
        <f>SUM('31:13'!N193)</f>
        <v>0</v>
      </c>
      <c r="O193" s="93">
        <f>SUM('31:13'!O193)</f>
        <v>0</v>
      </c>
      <c r="P193" s="93">
        <f>SUM('31:13'!P193)</f>
        <v>0</v>
      </c>
      <c r="Q193" s="93">
        <f>SUM('31:13'!Q193)</f>
        <v>0</v>
      </c>
      <c r="R193" s="93">
        <f>SUM('31:13'!R193)</f>
        <v>0</v>
      </c>
      <c r="S193" s="93">
        <f>SUM('31:13'!S193)</f>
        <v>0</v>
      </c>
      <c r="T193" s="93">
        <f>SUM('31:13'!T193)</f>
        <v>0</v>
      </c>
      <c r="U193" s="93">
        <f>SUM('31:13'!U193)</f>
        <v>0</v>
      </c>
      <c r="V193" s="206">
        <f t="shared" si="67"/>
        <v>0</v>
      </c>
      <c r="W193" s="33" t="str">
        <f t="shared" si="68"/>
        <v/>
      </c>
      <c r="X193" s="93">
        <f>SUM('31:13'!X193)</f>
        <v>0</v>
      </c>
      <c r="Y193" s="93">
        <f>SUM('31:13'!Y193)</f>
        <v>0</v>
      </c>
      <c r="Z193" s="93">
        <f>SUM('31:13'!Z193)</f>
        <v>0</v>
      </c>
      <c r="AA193" s="93">
        <f>SUM('31:13'!AA193)</f>
        <v>0</v>
      </c>
      <c r="AB193" s="73"/>
      <c r="AC193" s="54"/>
      <c r="AD193" s="346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>
      <c r="A194" s="300">
        <v>30100004</v>
      </c>
      <c r="B194" s="141" t="s">
        <v>198</v>
      </c>
      <c r="C194" s="333" t="s">
        <v>187</v>
      </c>
      <c r="D194" s="108">
        <v>4.8</v>
      </c>
      <c r="E194" s="17"/>
      <c r="F194" s="13"/>
      <c r="G194" s="93">
        <f>SUM('31:13'!G194)</f>
        <v>0</v>
      </c>
      <c r="H194" s="95">
        <f t="shared" si="65"/>
        <v>0</v>
      </c>
      <c r="I194" s="93">
        <f>SUM('31:13'!I194)</f>
        <v>0</v>
      </c>
      <c r="J194" s="31" t="str">
        <f t="array" ref="J194">IF(ISERROR(G194/I194),"",G194/I194)</f>
        <v/>
      </c>
      <c r="K194" s="35">
        <f t="array" ref="K194">IF(ISERROR(G194/L194),"",G194/L194)</f>
        <v>0</v>
      </c>
      <c r="L194" s="87">
        <v>4</v>
      </c>
      <c r="M194" s="36">
        <f t="shared" si="66"/>
        <v>0</v>
      </c>
      <c r="N194" s="93">
        <f>SUM('31:13'!N194)</f>
        <v>0</v>
      </c>
      <c r="O194" s="93">
        <f>SUM('31:13'!O194)</f>
        <v>0</v>
      </c>
      <c r="P194" s="93">
        <f>SUM('31:13'!P194)</f>
        <v>0</v>
      </c>
      <c r="Q194" s="93">
        <f>SUM('31:13'!Q194)</f>
        <v>0</v>
      </c>
      <c r="R194" s="93">
        <f>SUM('31:13'!R194)</f>
        <v>0</v>
      </c>
      <c r="S194" s="93">
        <f>SUM('31:13'!S194)</f>
        <v>0</v>
      </c>
      <c r="T194" s="93">
        <f>SUM('31:13'!T194)</f>
        <v>0</v>
      </c>
      <c r="U194" s="93">
        <f>SUM('31:13'!U194)</f>
        <v>0</v>
      </c>
      <c r="V194" s="206">
        <f t="shared" si="67"/>
        <v>0</v>
      </c>
      <c r="W194" s="33" t="str">
        <f t="shared" si="68"/>
        <v/>
      </c>
      <c r="X194" s="93">
        <f>SUM('31:13'!X194)</f>
        <v>0</v>
      </c>
      <c r="Y194" s="93">
        <f>SUM('31:13'!Y194)</f>
        <v>0</v>
      </c>
      <c r="Z194" s="93">
        <f>SUM('31:13'!Z194)</f>
        <v>0</v>
      </c>
      <c r="AA194" s="93">
        <f>SUM('31:13'!AA194)</f>
        <v>0</v>
      </c>
      <c r="AB194" s="73"/>
      <c r="AC194" s="54"/>
      <c r="AD194" s="346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>
      <c r="A195" s="300">
        <v>30100006</v>
      </c>
      <c r="B195" s="141" t="s">
        <v>198</v>
      </c>
      <c r="C195" s="333" t="s">
        <v>179</v>
      </c>
      <c r="D195" s="108">
        <v>4.8</v>
      </c>
      <c r="E195" s="17"/>
      <c r="F195" s="13"/>
      <c r="G195" s="93">
        <f>SUM('31:13'!G195)</f>
        <v>0</v>
      </c>
      <c r="H195" s="95">
        <f t="shared" si="65"/>
        <v>0</v>
      </c>
      <c r="I195" s="93">
        <f>SUM('31:13'!I195)</f>
        <v>0</v>
      </c>
      <c r="J195" s="31"/>
      <c r="K195" s="35">
        <f t="array" ref="K195">IF(ISERROR(G195/L195),"",G195/L195)</f>
        <v>0</v>
      </c>
      <c r="L195" s="87">
        <v>4</v>
      </c>
      <c r="M195" s="36">
        <f>IF(ISERROR(I195-K195),"",I195-K195)</f>
        <v>0</v>
      </c>
      <c r="N195" s="93">
        <f>SUM('31:13'!N195)</f>
        <v>0</v>
      </c>
      <c r="O195" s="93">
        <f>SUM('31:13'!O195)</f>
        <v>0</v>
      </c>
      <c r="P195" s="93">
        <f>SUM('31:13'!P195)</f>
        <v>0</v>
      </c>
      <c r="Q195" s="93">
        <f>SUM('31:13'!Q195)</f>
        <v>0</v>
      </c>
      <c r="R195" s="93">
        <f>SUM('31:13'!R195)</f>
        <v>0</v>
      </c>
      <c r="S195" s="93">
        <f>SUM('31:13'!S195)</f>
        <v>0</v>
      </c>
      <c r="T195" s="93">
        <f>SUM('31:13'!T195)</f>
        <v>0</v>
      </c>
      <c r="U195" s="93">
        <f>SUM('31:13'!U195)</f>
        <v>0</v>
      </c>
      <c r="V195" s="206"/>
      <c r="W195" s="33"/>
      <c r="X195" s="93">
        <f>SUM('31:13'!X195)</f>
        <v>0</v>
      </c>
      <c r="Y195" s="93">
        <f>SUM('31:13'!Y195)</f>
        <v>0</v>
      </c>
      <c r="Z195" s="93">
        <f>SUM('31:13'!Z195)</f>
        <v>0</v>
      </c>
      <c r="AA195" s="93">
        <f>SUM('31:13'!AA195)</f>
        <v>0</v>
      </c>
      <c r="AB195" s="73"/>
      <c r="AC195" s="54"/>
      <c r="AD195" s="346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>
      <c r="A196" s="300">
        <v>30100005</v>
      </c>
      <c r="B196" s="141" t="s">
        <v>198</v>
      </c>
      <c r="C196" s="333" t="s">
        <v>199</v>
      </c>
      <c r="D196" s="108">
        <v>4.8</v>
      </c>
      <c r="E196" s="17"/>
      <c r="F196" s="13"/>
      <c r="G196" s="93">
        <f>SUM('31:13'!G196)</f>
        <v>0</v>
      </c>
      <c r="H196" s="95">
        <f t="shared" si="65"/>
        <v>0</v>
      </c>
      <c r="I196" s="93">
        <f>SUM('31:13'!I196)</f>
        <v>0</v>
      </c>
      <c r="J196" s="31"/>
      <c r="K196" s="35">
        <f t="array" ref="K196">IF(ISERROR(G196/L196),"",G196/L196)</f>
        <v>0</v>
      </c>
      <c r="L196" s="87">
        <v>4</v>
      </c>
      <c r="M196" s="36">
        <f>IF(ISERROR(I196-K196),"",I196-K196)</f>
        <v>0</v>
      </c>
      <c r="N196" s="93">
        <f>SUM('31:13'!N196)</f>
        <v>0</v>
      </c>
      <c r="O196" s="93">
        <f>SUM('31:13'!O196)</f>
        <v>0</v>
      </c>
      <c r="P196" s="93">
        <f>SUM('31:13'!P196)</f>
        <v>0</v>
      </c>
      <c r="Q196" s="93">
        <f>SUM('31:13'!Q196)</f>
        <v>0</v>
      </c>
      <c r="R196" s="93">
        <f>SUM('31:13'!R196)</f>
        <v>0</v>
      </c>
      <c r="S196" s="93">
        <f>SUM('31:13'!S196)</f>
        <v>0</v>
      </c>
      <c r="T196" s="93">
        <f>SUM('31:13'!T196)</f>
        <v>0</v>
      </c>
      <c r="U196" s="93">
        <f>SUM('31:13'!U196)</f>
        <v>0</v>
      </c>
      <c r="V196" s="206"/>
      <c r="W196" s="33"/>
      <c r="X196" s="93">
        <f>SUM('31:13'!X196)</f>
        <v>0</v>
      </c>
      <c r="Y196" s="93">
        <f>SUM('31:13'!Y196)</f>
        <v>0</v>
      </c>
      <c r="Z196" s="93">
        <f>SUM('31:13'!Z196)</f>
        <v>0</v>
      </c>
      <c r="AA196" s="93">
        <f>SUM('31:13'!AA196)</f>
        <v>0</v>
      </c>
      <c r="AB196" s="73"/>
      <c r="AC196" s="54"/>
      <c r="AD196" s="346"/>
      <c r="AE196" s="54"/>
      <c r="AF196" s="54"/>
      <c r="AG196" s="54"/>
      <c r="AH196" s="54"/>
      <c r="AI196" s="57"/>
      <c r="AJ196" s="57"/>
      <c r="AK196" s="57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</row>
    <row r="197" spans="1:53">
      <c r="A197" s="300">
        <v>30100009</v>
      </c>
      <c r="B197" s="141" t="s">
        <v>200</v>
      </c>
      <c r="C197" s="126" t="s">
        <v>190</v>
      </c>
      <c r="D197" s="108">
        <v>4.99</v>
      </c>
      <c r="E197" s="17"/>
      <c r="F197" s="13"/>
      <c r="G197" s="93">
        <f>SUM('31:13'!G197)</f>
        <v>737</v>
      </c>
      <c r="H197" s="95">
        <f t="shared" si="65"/>
        <v>3677.63</v>
      </c>
      <c r="I197" s="93">
        <f>SUM('31:13'!I197)</f>
        <v>40.5</v>
      </c>
      <c r="J197" s="31"/>
      <c r="K197" s="35">
        <f t="array" ref="K197">IF(ISERROR(G197/L197),"",G197/L197)</f>
        <v>31.361702127659573</v>
      </c>
      <c r="L197" s="87">
        <v>23.5</v>
      </c>
      <c r="M197" s="36">
        <f>IF(ISERROR(I197-K197),"",I197-K197)</f>
        <v>9.1382978723404271</v>
      </c>
      <c r="N197" s="93">
        <f>SUM('31:13'!N197)</f>
        <v>0</v>
      </c>
      <c r="O197" s="93">
        <f>SUM('31:13'!O197)</f>
        <v>0</v>
      </c>
      <c r="P197" s="93">
        <f>SUM('31:13'!P197)</f>
        <v>0</v>
      </c>
      <c r="Q197" s="93">
        <f>SUM('31:13'!Q197)</f>
        <v>0</v>
      </c>
      <c r="R197" s="93">
        <f>SUM('31:13'!R197)</f>
        <v>0</v>
      </c>
      <c r="S197" s="93">
        <f>SUM('31:13'!S197)</f>
        <v>0</v>
      </c>
      <c r="T197" s="93">
        <f>SUM('31:13'!T197)</f>
        <v>0</v>
      </c>
      <c r="U197" s="93">
        <f>SUM('31:13'!U197)</f>
        <v>0</v>
      </c>
      <c r="V197" s="206"/>
      <c r="W197" s="33"/>
      <c r="X197" s="93">
        <f>SUM('31:13'!X197)</f>
        <v>0</v>
      </c>
      <c r="Y197" s="93">
        <f>SUM('31:13'!Y197)</f>
        <v>0</v>
      </c>
      <c r="Z197" s="93">
        <f>SUM('31:13'!Z197)</f>
        <v>0</v>
      </c>
      <c r="AA197" s="93">
        <f>SUM('31:13'!AA197)</f>
        <v>0</v>
      </c>
      <c r="AB197" s="73"/>
      <c r="AC197" s="54"/>
      <c r="AD197" s="346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>
      <c r="A198" s="299">
        <v>30200004</v>
      </c>
      <c r="B198" s="141" t="s">
        <v>200</v>
      </c>
      <c r="C198" s="126" t="s">
        <v>189</v>
      </c>
      <c r="D198" s="108">
        <v>4.99</v>
      </c>
      <c r="E198" s="17"/>
      <c r="F198" s="13"/>
      <c r="G198" s="93">
        <f>SUM('31:13'!G198)</f>
        <v>1675</v>
      </c>
      <c r="H198" s="95">
        <f t="shared" si="65"/>
        <v>8358.25</v>
      </c>
      <c r="I198" s="93">
        <f>SUM('31:13'!I198)</f>
        <v>86</v>
      </c>
      <c r="J198" s="31"/>
      <c r="K198" s="35">
        <f t="array" ref="K198">IF(ISERROR(G198/L198),"",G198/L198)</f>
        <v>71.276595744680847</v>
      </c>
      <c r="L198" s="87">
        <v>23.5</v>
      </c>
      <c r="M198" s="36">
        <f>IF(ISERROR(I198-K198),"",I198-K198)</f>
        <v>14.723404255319153</v>
      </c>
      <c r="N198" s="93">
        <f>SUM('31:13'!N198)</f>
        <v>0</v>
      </c>
      <c r="O198" s="93">
        <f>SUM('31:13'!O198)</f>
        <v>0</v>
      </c>
      <c r="P198" s="93">
        <f>SUM('31:13'!P198)</f>
        <v>0</v>
      </c>
      <c r="Q198" s="93">
        <f>SUM('31:13'!Q198)</f>
        <v>0</v>
      </c>
      <c r="R198" s="93">
        <f>SUM('31:13'!R198)</f>
        <v>0</v>
      </c>
      <c r="S198" s="93">
        <f>SUM('31:13'!S198)</f>
        <v>0</v>
      </c>
      <c r="T198" s="93">
        <f>SUM('31:13'!T198)</f>
        <v>0</v>
      </c>
      <c r="U198" s="93">
        <f>SUM('31:13'!U198)</f>
        <v>0</v>
      </c>
      <c r="V198" s="206"/>
      <c r="W198" s="33"/>
      <c r="X198" s="93">
        <f>SUM('31:13'!X198)</f>
        <v>0</v>
      </c>
      <c r="Y198" s="93">
        <f>SUM('31:13'!Y198)</f>
        <v>0</v>
      </c>
      <c r="Z198" s="93">
        <f>SUM('31:13'!Z198)</f>
        <v>0</v>
      </c>
      <c r="AA198" s="93">
        <f>SUM('31:13'!AA198)</f>
        <v>0</v>
      </c>
      <c r="AB198" s="73"/>
      <c r="AC198" s="54"/>
      <c r="AD198" s="346"/>
      <c r="AE198" s="54"/>
      <c r="AF198" s="54"/>
      <c r="AG198" s="54"/>
      <c r="AH198" s="54"/>
      <c r="AI198" s="57"/>
      <c r="AJ198" s="57"/>
      <c r="AK198" s="57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</row>
    <row r="199" spans="1:53">
      <c r="A199" s="697" t="s">
        <v>70</v>
      </c>
      <c r="B199" s="698"/>
      <c r="C199" s="31" t="s">
        <v>71</v>
      </c>
      <c r="D199" s="30"/>
      <c r="E199" s="30"/>
      <c r="F199" s="30"/>
      <c r="G199" s="94">
        <f>SUM(G178:G198)</f>
        <v>20682</v>
      </c>
      <c r="H199" s="30">
        <f>SUM(H178:H198)</f>
        <v>104449.52</v>
      </c>
      <c r="I199" s="30">
        <f>SUM(I178:I198)</f>
        <v>1381.55</v>
      </c>
      <c r="J199" s="31">
        <f t="array" ref="J199">IF(ISERROR(G199/I199),"",G199/I199)</f>
        <v>14.970142231551518</v>
      </c>
      <c r="K199" s="30">
        <f>SUM(K178:K198)</f>
        <v>1208.7302662844193</v>
      </c>
      <c r="L199" s="98"/>
      <c r="M199" s="89">
        <f t="shared" ref="M199:AA199" si="69">SUM(M178:M198)</f>
        <v>172.81973371558075</v>
      </c>
      <c r="N199" s="30">
        <f t="shared" si="69"/>
        <v>0</v>
      </c>
      <c r="O199" s="34">
        <f t="shared" si="69"/>
        <v>0</v>
      </c>
      <c r="P199" s="34">
        <f t="shared" si="69"/>
        <v>0</v>
      </c>
      <c r="Q199" s="34">
        <f t="shared" si="69"/>
        <v>0</v>
      </c>
      <c r="R199" s="34">
        <f t="shared" si="69"/>
        <v>0</v>
      </c>
      <c r="S199" s="34">
        <f t="shared" si="69"/>
        <v>0</v>
      </c>
      <c r="T199" s="34">
        <f t="shared" si="69"/>
        <v>0</v>
      </c>
      <c r="U199" s="34">
        <f t="shared" si="69"/>
        <v>0</v>
      </c>
      <c r="V199" s="206">
        <f t="shared" si="69"/>
        <v>0</v>
      </c>
      <c r="W199" s="33">
        <f t="shared" si="69"/>
        <v>0</v>
      </c>
      <c r="X199" s="92">
        <f t="shared" si="69"/>
        <v>0</v>
      </c>
      <c r="Y199" s="92">
        <f t="shared" si="69"/>
        <v>0</v>
      </c>
      <c r="Z199" s="92">
        <f t="shared" si="69"/>
        <v>0</v>
      </c>
      <c r="AA199" s="92">
        <f t="shared" si="69"/>
        <v>0</v>
      </c>
      <c r="AB199" s="70"/>
      <c r="AC199" s="70"/>
      <c r="AD199" s="58"/>
      <c r="AE199" s="70"/>
      <c r="AF199" s="70"/>
      <c r="AG199" s="70"/>
      <c r="AH199" s="70"/>
      <c r="AI199" s="58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  <c r="AU199" s="58"/>
      <c r="AV199" s="58"/>
      <c r="AW199" s="58"/>
      <c r="AX199" s="58"/>
      <c r="AY199" s="58"/>
      <c r="AZ199" s="58"/>
      <c r="BA199" s="58"/>
    </row>
    <row r="200" spans="1:53">
      <c r="A200" s="300">
        <v>30100012</v>
      </c>
      <c r="B200" s="61" t="s">
        <v>76</v>
      </c>
      <c r="C200" s="16" t="s">
        <v>73</v>
      </c>
      <c r="D200" s="17">
        <v>5.03</v>
      </c>
      <c r="E200" s="17"/>
      <c r="F200" s="6"/>
      <c r="G200" s="93">
        <f>SUM('31:13'!G200)</f>
        <v>1667</v>
      </c>
      <c r="H200" s="339">
        <f t="shared" ref="H200:H256" si="70">D200*G200</f>
        <v>8385.01</v>
      </c>
      <c r="I200" s="93">
        <f>SUM('31:13'!I200)</f>
        <v>28.5</v>
      </c>
      <c r="J200" s="31">
        <f t="array" ref="J200">IF(ISERROR(G200/I200),"",G200/I200)</f>
        <v>58.491228070175438</v>
      </c>
      <c r="K200" s="35">
        <f t="array" ref="K200">IF(ISERROR(G200/L200),"",G200/L200)</f>
        <v>32.057692307692307</v>
      </c>
      <c r="L200" s="87">
        <v>52</v>
      </c>
      <c r="M200" s="36">
        <f t="shared" ref="M200" si="71">IF(ISERROR(I200-K200),"",I200-K200)</f>
        <v>-3.5576923076923066</v>
      </c>
      <c r="N200" s="93">
        <f>SUM('31:13'!N200)</f>
        <v>0</v>
      </c>
      <c r="O200" s="93">
        <f>SUM('31:13'!O200)</f>
        <v>0</v>
      </c>
      <c r="P200" s="93">
        <f>SUM('31:13'!P200)</f>
        <v>0</v>
      </c>
      <c r="Q200" s="93">
        <f>SUM('31:13'!Q200)</f>
        <v>0</v>
      </c>
      <c r="R200" s="93">
        <f>SUM('31:13'!R200)</f>
        <v>0</v>
      </c>
      <c r="S200" s="93">
        <f>SUM('31:13'!S200)</f>
        <v>0</v>
      </c>
      <c r="T200" s="93">
        <f>SUM('31:13'!T200)</f>
        <v>0</v>
      </c>
      <c r="U200" s="93">
        <f>SUM('31:13'!U200)</f>
        <v>0</v>
      </c>
      <c r="V200" s="206">
        <f t="shared" ref="V200" si="72">SUM(X200:AA200)</f>
        <v>0</v>
      </c>
      <c r="W200" s="33">
        <f t="shared" ref="W200" si="73">IF(ISERROR(V200/G200),"",V200/G200)</f>
        <v>0</v>
      </c>
      <c r="X200" s="93">
        <f>SUM('31:13'!X200)</f>
        <v>0</v>
      </c>
      <c r="Y200" s="93">
        <f>SUM('31:13'!Y200)</f>
        <v>0</v>
      </c>
      <c r="Z200" s="93">
        <f>SUM('31:13'!Z200)</f>
        <v>0</v>
      </c>
      <c r="AA200" s="93">
        <f>SUM('31:13'!AA200)</f>
        <v>0</v>
      </c>
      <c r="AB200" s="25"/>
      <c r="AC200" s="54"/>
      <c r="AD200" s="346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>
      <c r="A201" s="300">
        <v>30100011</v>
      </c>
      <c r="B201" s="190" t="s">
        <v>426</v>
      </c>
      <c r="C201" s="187" t="s">
        <v>428</v>
      </c>
      <c r="D201" s="17">
        <v>5.03</v>
      </c>
      <c r="E201" s="17"/>
      <c r="F201" s="6"/>
      <c r="G201" s="93">
        <f>SUM('31:13'!G201)</f>
        <v>2129</v>
      </c>
      <c r="H201" s="339">
        <f t="shared" si="70"/>
        <v>10708.87</v>
      </c>
      <c r="I201" s="93">
        <f>SUM('31:13'!I201)</f>
        <v>36</v>
      </c>
      <c r="J201" s="31"/>
      <c r="K201" s="35"/>
      <c r="L201" s="87">
        <v>52</v>
      </c>
      <c r="M201" s="36"/>
      <c r="N201" s="93"/>
      <c r="O201" s="93"/>
      <c r="P201" s="93"/>
      <c r="Q201" s="93"/>
      <c r="R201" s="93"/>
      <c r="S201" s="93"/>
      <c r="T201" s="93"/>
      <c r="U201" s="93"/>
      <c r="V201" s="206"/>
      <c r="W201" s="33"/>
      <c r="X201" s="93"/>
      <c r="Y201" s="93"/>
      <c r="Z201" s="93"/>
      <c r="AA201" s="93"/>
      <c r="AB201" s="25"/>
      <c r="AC201" s="54"/>
      <c r="AD201" s="346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 ht="17.25" customHeight="1">
      <c r="A202" s="300">
        <v>30100010</v>
      </c>
      <c r="B202" s="61" t="s">
        <v>76</v>
      </c>
      <c r="C202" s="16" t="s">
        <v>60</v>
      </c>
      <c r="D202" s="17">
        <v>5.03</v>
      </c>
      <c r="E202" s="17"/>
      <c r="F202" s="6"/>
      <c r="G202" s="93">
        <f>SUM('31:13'!G202)</f>
        <v>1804</v>
      </c>
      <c r="H202" s="339">
        <f t="shared" si="70"/>
        <v>9074.1200000000008</v>
      </c>
      <c r="I202" s="93">
        <f>SUM('31:13'!I202)</f>
        <v>30</v>
      </c>
      <c r="J202" s="31">
        <f t="array" ref="J202">IF(ISERROR(G202/I202),"",G202/I202)</f>
        <v>60.133333333333333</v>
      </c>
      <c r="K202" s="35">
        <f t="array" ref="K202">IF(ISERROR(G202/L202),"",G202/L202)</f>
        <v>34.692307692307693</v>
      </c>
      <c r="L202" s="87">
        <v>52</v>
      </c>
      <c r="M202" s="36">
        <f t="shared" ref="M202" si="74">IF(ISERROR(I202-K202),"",I202-K202)</f>
        <v>-4.6923076923076934</v>
      </c>
      <c r="N202" s="93">
        <f>SUM('31:13'!N202)</f>
        <v>0</v>
      </c>
      <c r="O202" s="93">
        <f>SUM('31:13'!O202)</f>
        <v>0</v>
      </c>
      <c r="P202" s="93">
        <f>SUM('31:13'!P202)</f>
        <v>0</v>
      </c>
      <c r="Q202" s="93">
        <f>SUM('31:13'!Q202)</f>
        <v>0</v>
      </c>
      <c r="R202" s="93">
        <f>SUM('31:13'!R202)</f>
        <v>0</v>
      </c>
      <c r="S202" s="93">
        <f>SUM('31:13'!S202)</f>
        <v>0</v>
      </c>
      <c r="T202" s="93">
        <f>SUM('31:13'!T202)</f>
        <v>0</v>
      </c>
      <c r="U202" s="93">
        <f>SUM('31:13'!U202)</f>
        <v>0</v>
      </c>
      <c r="V202" s="206">
        <f t="shared" ref="V202:V204" si="75">SUM(X202:AA202)</f>
        <v>0</v>
      </c>
      <c r="W202" s="33">
        <f t="shared" ref="W202:W204" si="76">IF(ISERROR(V202/G202),"",V202/G202)</f>
        <v>0</v>
      </c>
      <c r="X202" s="93">
        <f>SUM('31:13'!X202)</f>
        <v>0</v>
      </c>
      <c r="Y202" s="93">
        <f>SUM('31:13'!Y202)</f>
        <v>0</v>
      </c>
      <c r="Z202" s="93">
        <f>SUM('31:13'!Z202)</f>
        <v>0</v>
      </c>
      <c r="AA202" s="93">
        <f>SUM('31:13'!AA202)</f>
        <v>0</v>
      </c>
      <c r="AB202" s="25"/>
      <c r="AC202" s="54"/>
      <c r="AD202" s="346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>
      <c r="A203" s="300">
        <v>30100014</v>
      </c>
      <c r="B203" s="61" t="s">
        <v>76</v>
      </c>
      <c r="C203" s="16" t="s">
        <v>72</v>
      </c>
      <c r="D203" s="17">
        <v>5.03</v>
      </c>
      <c r="E203" s="17"/>
      <c r="F203" s="6"/>
      <c r="G203" s="93">
        <f>SUM('31:13'!G203)</f>
        <v>1655</v>
      </c>
      <c r="H203" s="339">
        <f t="shared" si="70"/>
        <v>8324.65</v>
      </c>
      <c r="I203" s="93">
        <f>SUM('31:13'!I203)</f>
        <v>21</v>
      </c>
      <c r="J203" s="31">
        <f t="array" ref="J203">IF(ISERROR(G203/I203),"",G203/I203)</f>
        <v>78.80952380952381</v>
      </c>
      <c r="K203" s="35">
        <f t="array" ref="K203">IF(ISERROR(G203/L203),"",G203/L203)</f>
        <v>31.826923076923077</v>
      </c>
      <c r="L203" s="87">
        <v>52</v>
      </c>
      <c r="M203" s="36">
        <f>IF(ISERROR(I203-K203),"",I203-K203)</f>
        <v>-10.826923076923077</v>
      </c>
      <c r="N203" s="93">
        <f>SUM('31:13'!N203)</f>
        <v>0</v>
      </c>
      <c r="O203" s="93">
        <f>SUM('31:13'!O203)</f>
        <v>0</v>
      </c>
      <c r="P203" s="93">
        <f>SUM('31:13'!P203)</f>
        <v>0</v>
      </c>
      <c r="Q203" s="93">
        <f>SUM('31:13'!Q203)</f>
        <v>0</v>
      </c>
      <c r="R203" s="93">
        <f>SUM('31:13'!R203)</f>
        <v>0</v>
      </c>
      <c r="S203" s="93">
        <f>SUM('31:13'!S203)</f>
        <v>0</v>
      </c>
      <c r="T203" s="93">
        <f>SUM('31:13'!T203)</f>
        <v>0</v>
      </c>
      <c r="U203" s="93">
        <f>SUM('31:13'!U203)</f>
        <v>0</v>
      </c>
      <c r="V203" s="206">
        <f t="shared" si="75"/>
        <v>0</v>
      </c>
      <c r="W203" s="33">
        <f t="shared" si="76"/>
        <v>0</v>
      </c>
      <c r="X203" s="93">
        <f>SUM('31:13'!X203)</f>
        <v>0</v>
      </c>
      <c r="Y203" s="93">
        <f>SUM('31:13'!Y203)</f>
        <v>0</v>
      </c>
      <c r="Z203" s="93">
        <f>SUM('31:13'!Z203)</f>
        <v>0</v>
      </c>
      <c r="AA203" s="93">
        <f>SUM('31:13'!AA203)</f>
        <v>0</v>
      </c>
      <c r="AB203" s="25"/>
      <c r="AC203" s="54"/>
      <c r="AD203" s="346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>
      <c r="A204" s="300">
        <v>30100013</v>
      </c>
      <c r="B204" s="61" t="s">
        <v>76</v>
      </c>
      <c r="C204" s="16" t="s">
        <v>77</v>
      </c>
      <c r="D204" s="17">
        <v>5.03</v>
      </c>
      <c r="E204" s="17"/>
      <c r="F204" s="6"/>
      <c r="G204" s="93">
        <f>SUM('31:13'!G204)</f>
        <v>1714</v>
      </c>
      <c r="H204" s="339">
        <f t="shared" si="70"/>
        <v>8621.42</v>
      </c>
      <c r="I204" s="93">
        <f>SUM('31:13'!I204)</f>
        <v>22.5</v>
      </c>
      <c r="J204" s="31">
        <f t="array" ref="J204">IF(ISERROR(G204/I204),"",G204/I204)</f>
        <v>76.177777777777777</v>
      </c>
      <c r="K204" s="35">
        <f t="array" ref="K204">IF(ISERROR(G204/L204),"",G204/L204)</f>
        <v>32.96153846153846</v>
      </c>
      <c r="L204" s="87">
        <v>52</v>
      </c>
      <c r="M204" s="36">
        <f t="shared" ref="M204" si="77">IF(ISERROR(I204-K204),"",I204-K204)</f>
        <v>-10.46153846153846</v>
      </c>
      <c r="N204" s="93">
        <f>SUM('31:13'!N204)</f>
        <v>0</v>
      </c>
      <c r="O204" s="93">
        <f>SUM('31:13'!O204)</f>
        <v>0</v>
      </c>
      <c r="P204" s="93">
        <f>SUM('31:13'!P204)</f>
        <v>0</v>
      </c>
      <c r="Q204" s="93">
        <f>SUM('31:13'!Q204)</f>
        <v>0</v>
      </c>
      <c r="R204" s="93">
        <f>SUM('31:13'!R204)</f>
        <v>0</v>
      </c>
      <c r="S204" s="93">
        <f>SUM('31:13'!S204)</f>
        <v>0</v>
      </c>
      <c r="T204" s="93">
        <f>SUM('31:13'!T204)</f>
        <v>0</v>
      </c>
      <c r="U204" s="93">
        <f>SUM('31:13'!U204)</f>
        <v>0</v>
      </c>
      <c r="V204" s="206">
        <f t="shared" si="75"/>
        <v>0</v>
      </c>
      <c r="W204" s="33">
        <f t="shared" si="76"/>
        <v>0</v>
      </c>
      <c r="X204" s="93">
        <f>SUM('31:13'!X204)</f>
        <v>0</v>
      </c>
      <c r="Y204" s="93">
        <f>SUM('31:13'!Y204)</f>
        <v>0</v>
      </c>
      <c r="Z204" s="93">
        <f>SUM('31:13'!Z204)</f>
        <v>0</v>
      </c>
      <c r="AA204" s="93">
        <f>SUM('31:13'!AA204)</f>
        <v>0</v>
      </c>
      <c r="AB204" s="25"/>
      <c r="AC204" s="54"/>
      <c r="AD204" s="346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>
      <c r="A205" s="300">
        <v>30100016</v>
      </c>
      <c r="B205" s="334" t="s">
        <v>414</v>
      </c>
      <c r="C205" s="187" t="s">
        <v>415</v>
      </c>
      <c r="D205" s="17">
        <v>5.03</v>
      </c>
      <c r="E205" s="17"/>
      <c r="F205" s="6"/>
      <c r="G205" s="93">
        <f>SUM('31:13'!G205)</f>
        <v>816</v>
      </c>
      <c r="H205" s="339">
        <f t="shared" si="70"/>
        <v>4104.4800000000005</v>
      </c>
      <c r="I205" s="93">
        <f>SUM('31:13'!I205)</f>
        <v>7</v>
      </c>
      <c r="J205" s="31"/>
      <c r="K205" s="35"/>
      <c r="L205" s="87">
        <v>52</v>
      </c>
      <c r="M205" s="36"/>
      <c r="N205" s="93"/>
      <c r="O205" s="93"/>
      <c r="P205" s="93"/>
      <c r="Q205" s="93"/>
      <c r="R205" s="93"/>
      <c r="S205" s="93"/>
      <c r="T205" s="93"/>
      <c r="U205" s="93"/>
      <c r="V205" s="206"/>
      <c r="W205" s="33"/>
      <c r="X205" s="93"/>
      <c r="Y205" s="93"/>
      <c r="Z205" s="93"/>
      <c r="AA205" s="93"/>
      <c r="AB205" s="25"/>
      <c r="AC205" s="54"/>
      <c r="AD205" s="346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>
      <c r="A206" s="300">
        <v>30100017</v>
      </c>
      <c r="B206" s="334" t="s">
        <v>414</v>
      </c>
      <c r="C206" s="187" t="s">
        <v>416</v>
      </c>
      <c r="D206" s="17">
        <v>5.03</v>
      </c>
      <c r="E206" s="17"/>
      <c r="F206" s="6"/>
      <c r="G206" s="93">
        <f>SUM('31:13'!G206)</f>
        <v>600</v>
      </c>
      <c r="H206" s="339">
        <f t="shared" si="70"/>
        <v>3018</v>
      </c>
      <c r="I206" s="93">
        <f>SUM('31:13'!I206)</f>
        <v>11</v>
      </c>
      <c r="J206" s="31"/>
      <c r="K206" s="35"/>
      <c r="L206" s="87">
        <v>52</v>
      </c>
      <c r="M206" s="36"/>
      <c r="N206" s="93"/>
      <c r="O206" s="93"/>
      <c r="P206" s="93"/>
      <c r="Q206" s="93"/>
      <c r="R206" s="93"/>
      <c r="S206" s="93"/>
      <c r="T206" s="93"/>
      <c r="U206" s="93"/>
      <c r="V206" s="206"/>
      <c r="W206" s="33"/>
      <c r="X206" s="93"/>
      <c r="Y206" s="93"/>
      <c r="Z206" s="93"/>
      <c r="AA206" s="93"/>
      <c r="AB206" s="25"/>
      <c r="AC206" s="54"/>
      <c r="AD206" s="346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>
      <c r="A207" s="300">
        <v>30100015</v>
      </c>
      <c r="B207" s="334" t="s">
        <v>414</v>
      </c>
      <c r="C207" s="187" t="s">
        <v>417</v>
      </c>
      <c r="D207" s="17">
        <v>5.03</v>
      </c>
      <c r="E207" s="17"/>
      <c r="F207" s="6"/>
      <c r="G207" s="93">
        <f>SUM('31:13'!G207)</f>
        <v>736</v>
      </c>
      <c r="H207" s="339">
        <f t="shared" si="70"/>
        <v>3702.0800000000004</v>
      </c>
      <c r="I207" s="93">
        <f>SUM('31:13'!I207)</f>
        <v>9</v>
      </c>
      <c r="J207" s="31"/>
      <c r="K207" s="35"/>
      <c r="L207" s="87">
        <v>52</v>
      </c>
      <c r="M207" s="36"/>
      <c r="N207" s="93"/>
      <c r="O207" s="93"/>
      <c r="P207" s="93"/>
      <c r="Q207" s="93"/>
      <c r="R207" s="93"/>
      <c r="S207" s="93"/>
      <c r="T207" s="93"/>
      <c r="U207" s="93"/>
      <c r="V207" s="206"/>
      <c r="W207" s="33"/>
      <c r="X207" s="93"/>
      <c r="Y207" s="93"/>
      <c r="Z207" s="93"/>
      <c r="AA207" s="93"/>
      <c r="AB207" s="25"/>
      <c r="AC207" s="54"/>
      <c r="AD207" s="346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>
      <c r="A208" s="300">
        <v>30100027</v>
      </c>
      <c r="B208" s="61" t="s">
        <v>78</v>
      </c>
      <c r="C208" s="16" t="s">
        <v>53</v>
      </c>
      <c r="D208" s="17">
        <v>5.08</v>
      </c>
      <c r="E208" s="17"/>
      <c r="F208" s="6"/>
      <c r="G208" s="93">
        <f>SUM('31:13'!G208)</f>
        <v>1678</v>
      </c>
      <c r="H208" s="339">
        <f t="shared" si="70"/>
        <v>8524.24</v>
      </c>
      <c r="I208" s="93">
        <f>SUM('31:13'!I208)</f>
        <v>88.5</v>
      </c>
      <c r="J208" s="31">
        <f t="array" ref="J208">IF(ISERROR(G208/I208),"",G208/I208)</f>
        <v>18.960451977401132</v>
      </c>
      <c r="K208" s="35">
        <f t="array" ref="K208">IF(ISERROR(G208/L208),"",G208/L208)</f>
        <v>79.904761904761898</v>
      </c>
      <c r="L208" s="87">
        <v>21</v>
      </c>
      <c r="M208" s="36">
        <f t="shared" ref="M208:M237" si="78">IF(ISERROR(I208-K208),"",I208-K208)</f>
        <v>8.595238095238102</v>
      </c>
      <c r="N208" s="93">
        <f>SUM('31:13'!N208)</f>
        <v>0</v>
      </c>
      <c r="O208" s="93">
        <f>SUM('31:13'!O208)</f>
        <v>0</v>
      </c>
      <c r="P208" s="93">
        <f>SUM('31:13'!P208)</f>
        <v>0</v>
      </c>
      <c r="Q208" s="93">
        <f>SUM('31:13'!Q208)</f>
        <v>0</v>
      </c>
      <c r="R208" s="93">
        <f>SUM('31:13'!R208)</f>
        <v>0</v>
      </c>
      <c r="S208" s="93">
        <f>SUM('31:13'!S208)</f>
        <v>0</v>
      </c>
      <c r="T208" s="93">
        <f>SUM('31:13'!T208)</f>
        <v>0</v>
      </c>
      <c r="U208" s="93">
        <f>SUM('31:13'!U208)</f>
        <v>0</v>
      </c>
      <c r="V208" s="206">
        <f t="shared" ref="V208:V219" si="79">SUM(X208:AA208)</f>
        <v>0</v>
      </c>
      <c r="W208" s="33">
        <f t="shared" ref="W208:W219" si="80">IF(ISERROR(V208/G208),"",V208/G208)</f>
        <v>0</v>
      </c>
      <c r="X208" s="93">
        <f>SUM('31:13'!X208)</f>
        <v>0</v>
      </c>
      <c r="Y208" s="93">
        <f>SUM('31:13'!Y208)</f>
        <v>0</v>
      </c>
      <c r="Z208" s="93">
        <f>SUM('31:13'!Z208)</f>
        <v>0</v>
      </c>
      <c r="AA208" s="93">
        <f>SUM('31:13'!AA208)</f>
        <v>0</v>
      </c>
      <c r="AB208" s="25"/>
      <c r="AC208" s="54"/>
      <c r="AD208" s="346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>
      <c r="A209" s="300">
        <v>30100023</v>
      </c>
      <c r="B209" s="61" t="s">
        <v>78</v>
      </c>
      <c r="C209" s="16" t="s">
        <v>74</v>
      </c>
      <c r="D209" s="17">
        <v>5.08</v>
      </c>
      <c r="E209" s="17"/>
      <c r="F209" s="6"/>
      <c r="G209" s="93">
        <f>SUM('31:13'!G209)</f>
        <v>1601</v>
      </c>
      <c r="H209" s="339">
        <f t="shared" si="70"/>
        <v>8133.08</v>
      </c>
      <c r="I209" s="93">
        <f>SUM('31:13'!I209)</f>
        <v>91</v>
      </c>
      <c r="J209" s="31">
        <f t="array" ref="J209">IF(ISERROR(G209/I209),"",G209/I209)</f>
        <v>17.593406593406595</v>
      </c>
      <c r="K209" s="35">
        <f t="array" ref="K209">IF(ISERROR(G209/L209),"",G209/L209)</f>
        <v>76.238095238095241</v>
      </c>
      <c r="L209" s="87">
        <v>21</v>
      </c>
      <c r="M209" s="36">
        <f t="shared" si="78"/>
        <v>14.761904761904759</v>
      </c>
      <c r="N209" s="93">
        <f>SUM('31:13'!N209)</f>
        <v>0</v>
      </c>
      <c r="O209" s="93">
        <f>SUM('31:13'!O209)</f>
        <v>0</v>
      </c>
      <c r="P209" s="93">
        <f>SUM('31:13'!P209)</f>
        <v>0</v>
      </c>
      <c r="Q209" s="93">
        <f>SUM('31:13'!Q209)</f>
        <v>0</v>
      </c>
      <c r="R209" s="93">
        <f>SUM('31:13'!R209)</f>
        <v>0</v>
      </c>
      <c r="S209" s="93">
        <f>SUM('31:13'!S209)</f>
        <v>0</v>
      </c>
      <c r="T209" s="93">
        <f>SUM('31:13'!T209)</f>
        <v>0</v>
      </c>
      <c r="U209" s="93">
        <f>SUM('31:13'!U209)</f>
        <v>0</v>
      </c>
      <c r="V209" s="206">
        <f t="shared" si="79"/>
        <v>0</v>
      </c>
      <c r="W209" s="33">
        <f t="shared" si="80"/>
        <v>0</v>
      </c>
      <c r="X209" s="93">
        <f>SUM('31:13'!X209)</f>
        <v>0</v>
      </c>
      <c r="Y209" s="93">
        <f>SUM('31:13'!Y209)</f>
        <v>0</v>
      </c>
      <c r="Z209" s="93">
        <f>SUM('31:13'!Z209)</f>
        <v>0</v>
      </c>
      <c r="AA209" s="93">
        <f>SUM('31:13'!AA209)</f>
        <v>0</v>
      </c>
      <c r="AB209" s="25"/>
      <c r="AC209" s="54"/>
      <c r="AD209" s="346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>
      <c r="A210" s="300">
        <v>30100024</v>
      </c>
      <c r="B210" s="61" t="s">
        <v>78</v>
      </c>
      <c r="C210" s="16" t="s">
        <v>75</v>
      </c>
      <c r="D210" s="17">
        <v>5.08</v>
      </c>
      <c r="E210" s="17"/>
      <c r="F210" s="6"/>
      <c r="G210" s="93">
        <f>SUM('31:13'!G210)</f>
        <v>0</v>
      </c>
      <c r="H210" s="339">
        <f t="shared" si="70"/>
        <v>0</v>
      </c>
      <c r="I210" s="93">
        <f>SUM('31:13'!I210)</f>
        <v>0</v>
      </c>
      <c r="J210" s="31" t="str">
        <f t="array" ref="J210">IF(ISERROR(G210/I210),"",G210/I210)</f>
        <v/>
      </c>
      <c r="K210" s="35">
        <f t="array" ref="K210">IF(ISERROR(G210/L210),"",G210/L210)</f>
        <v>0</v>
      </c>
      <c r="L210" s="87">
        <v>21</v>
      </c>
      <c r="M210" s="36">
        <f t="shared" si="78"/>
        <v>0</v>
      </c>
      <c r="N210" s="93">
        <f>SUM('31:13'!N210)</f>
        <v>0</v>
      </c>
      <c r="O210" s="93">
        <f>SUM('31:13'!O210)</f>
        <v>0</v>
      </c>
      <c r="P210" s="93">
        <f>SUM('31:13'!P210)</f>
        <v>0</v>
      </c>
      <c r="Q210" s="93">
        <f>SUM('31:13'!Q210)</f>
        <v>0</v>
      </c>
      <c r="R210" s="93">
        <f>SUM('31:13'!R210)</f>
        <v>0</v>
      </c>
      <c r="S210" s="93">
        <f>SUM('31:13'!S210)</f>
        <v>0</v>
      </c>
      <c r="T210" s="93">
        <f>SUM('31:13'!T210)</f>
        <v>0</v>
      </c>
      <c r="U210" s="93">
        <f>SUM('31:13'!U210)</f>
        <v>0</v>
      </c>
      <c r="V210" s="206">
        <f t="shared" si="79"/>
        <v>0</v>
      </c>
      <c r="W210" s="33" t="str">
        <f t="shared" si="80"/>
        <v/>
      </c>
      <c r="X210" s="93">
        <f>SUM('31:13'!X210)</f>
        <v>0</v>
      </c>
      <c r="Y210" s="93">
        <f>SUM('31:13'!Y210)</f>
        <v>0</v>
      </c>
      <c r="Z210" s="93">
        <f>SUM('31:13'!Z210)</f>
        <v>0</v>
      </c>
      <c r="AA210" s="93">
        <f>SUM('31:13'!AA210)</f>
        <v>0</v>
      </c>
      <c r="AB210" s="25"/>
      <c r="AC210" s="54"/>
      <c r="AD210" s="346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>
      <c r="A211" s="300">
        <v>30100022</v>
      </c>
      <c r="B211" s="61" t="s">
        <v>78</v>
      </c>
      <c r="C211" s="16" t="s">
        <v>60</v>
      </c>
      <c r="D211" s="17">
        <v>5.08</v>
      </c>
      <c r="E211" s="17"/>
      <c r="F211" s="6"/>
      <c r="G211" s="93">
        <f>SUM('31:13'!G211)</f>
        <v>1592</v>
      </c>
      <c r="H211" s="339">
        <f t="shared" si="70"/>
        <v>8087.36</v>
      </c>
      <c r="I211" s="93">
        <f>SUM('31:13'!I211)</f>
        <v>78</v>
      </c>
      <c r="J211" s="31">
        <f t="array" ref="J211">IF(ISERROR(G211/I211),"",G211/I211)</f>
        <v>20.410256410256409</v>
      </c>
      <c r="K211" s="35">
        <f t="array" ref="K211">IF(ISERROR(G211/L211),"",G211/L211)</f>
        <v>75.80952380952381</v>
      </c>
      <c r="L211" s="87">
        <v>21</v>
      </c>
      <c r="M211" s="36">
        <f t="shared" si="78"/>
        <v>2.1904761904761898</v>
      </c>
      <c r="N211" s="93">
        <f>SUM('31:13'!N211)</f>
        <v>0</v>
      </c>
      <c r="O211" s="93">
        <f>SUM('31:13'!O211)</f>
        <v>0</v>
      </c>
      <c r="P211" s="93">
        <f>SUM('31:13'!P211)</f>
        <v>0</v>
      </c>
      <c r="Q211" s="93">
        <f>SUM('31:13'!Q211)</f>
        <v>0</v>
      </c>
      <c r="R211" s="93">
        <f>SUM('31:13'!R211)</f>
        <v>0</v>
      </c>
      <c r="S211" s="93">
        <f>SUM('31:13'!S211)</f>
        <v>0</v>
      </c>
      <c r="T211" s="93">
        <f>SUM('31:13'!T211)</f>
        <v>0</v>
      </c>
      <c r="U211" s="93">
        <f>SUM('31:13'!U211)</f>
        <v>0</v>
      </c>
      <c r="V211" s="206">
        <f t="shared" si="79"/>
        <v>0</v>
      </c>
      <c r="W211" s="33">
        <f t="shared" si="80"/>
        <v>0</v>
      </c>
      <c r="X211" s="93">
        <f>SUM('31:13'!X211)</f>
        <v>0</v>
      </c>
      <c r="Y211" s="93">
        <f>SUM('31:13'!Y211)</f>
        <v>0</v>
      </c>
      <c r="Z211" s="93">
        <f>SUM('31:13'!Z211)</f>
        <v>0</v>
      </c>
      <c r="AA211" s="93">
        <f>SUM('31:13'!AA211)</f>
        <v>0</v>
      </c>
      <c r="AB211" s="25"/>
      <c r="AC211" s="54"/>
      <c r="AD211" s="346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>
      <c r="A212" s="300">
        <v>30100029</v>
      </c>
      <c r="B212" s="61" t="s">
        <v>78</v>
      </c>
      <c r="C212" s="16" t="s">
        <v>72</v>
      </c>
      <c r="D212" s="17">
        <v>5.08</v>
      </c>
      <c r="E212" s="17"/>
      <c r="F212" s="6"/>
      <c r="G212" s="93">
        <f>SUM('31:13'!G212)</f>
        <v>1362</v>
      </c>
      <c r="H212" s="339">
        <f t="shared" si="70"/>
        <v>6918.96</v>
      </c>
      <c r="I212" s="93">
        <f>SUM('31:13'!I212)</f>
        <v>76</v>
      </c>
      <c r="J212" s="31">
        <f t="array" ref="J212">IF(ISERROR(G212/I212),"",G212/I212)</f>
        <v>17.921052631578949</v>
      </c>
      <c r="K212" s="35">
        <f t="array" ref="K212">IF(ISERROR(G212/L212),"",G212/L212)</f>
        <v>64.857142857142861</v>
      </c>
      <c r="L212" s="87">
        <v>21</v>
      </c>
      <c r="M212" s="36">
        <f t="shared" si="78"/>
        <v>11.142857142857139</v>
      </c>
      <c r="N212" s="93">
        <f>SUM('31:13'!N212)</f>
        <v>0</v>
      </c>
      <c r="O212" s="93">
        <f>SUM('31:13'!O212)</f>
        <v>0</v>
      </c>
      <c r="P212" s="93">
        <f>SUM('31:13'!P212)</f>
        <v>0</v>
      </c>
      <c r="Q212" s="93">
        <f>SUM('31:13'!Q212)</f>
        <v>0</v>
      </c>
      <c r="R212" s="93">
        <f>SUM('31:13'!R212)</f>
        <v>0</v>
      </c>
      <c r="S212" s="93">
        <f>SUM('31:13'!S212)</f>
        <v>0</v>
      </c>
      <c r="T212" s="93">
        <f>SUM('31:13'!T212)</f>
        <v>0</v>
      </c>
      <c r="U212" s="93">
        <f>SUM('31:13'!U212)</f>
        <v>0</v>
      </c>
      <c r="V212" s="206">
        <f t="shared" si="79"/>
        <v>0</v>
      </c>
      <c r="W212" s="33">
        <f t="shared" si="80"/>
        <v>0</v>
      </c>
      <c r="X212" s="93">
        <f>SUM('31:13'!X212)</f>
        <v>0</v>
      </c>
      <c r="Y212" s="93">
        <f>SUM('31:13'!Y212)</f>
        <v>0</v>
      </c>
      <c r="Z212" s="93">
        <f>SUM('31:13'!Z212)</f>
        <v>0</v>
      </c>
      <c r="AA212" s="93">
        <f>SUM('31:13'!AA212)</f>
        <v>0</v>
      </c>
      <c r="AB212" s="25"/>
      <c r="AC212" s="54"/>
      <c r="AD212" s="346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>
      <c r="A213" s="300">
        <v>30100026</v>
      </c>
      <c r="B213" s="61" t="s">
        <v>78</v>
      </c>
      <c r="C213" s="16" t="s">
        <v>73</v>
      </c>
      <c r="D213" s="17">
        <v>5.08</v>
      </c>
      <c r="E213" s="17"/>
      <c r="F213" s="6"/>
      <c r="G213" s="93">
        <f>SUM('31:13'!G213)</f>
        <v>2050</v>
      </c>
      <c r="H213" s="339">
        <f t="shared" si="70"/>
        <v>10414</v>
      </c>
      <c r="I213" s="93">
        <f>SUM('31:13'!I213)</f>
        <v>148.5</v>
      </c>
      <c r="J213" s="31">
        <f t="array" ref="J213">IF(ISERROR(G213/I213),"",G213/I213)</f>
        <v>13.804713804713804</v>
      </c>
      <c r="K213" s="35">
        <f t="array" ref="K213">IF(ISERROR(G213/L213),"",G213/L213)</f>
        <v>97.61904761904762</v>
      </c>
      <c r="L213" s="87">
        <v>21</v>
      </c>
      <c r="M213" s="36">
        <f t="shared" si="78"/>
        <v>50.88095238095238</v>
      </c>
      <c r="N213" s="93">
        <f>SUM('31:13'!N213)</f>
        <v>0</v>
      </c>
      <c r="O213" s="93">
        <f>SUM('31:13'!O213)</f>
        <v>0</v>
      </c>
      <c r="P213" s="93">
        <f>SUM('31:13'!P213)</f>
        <v>0</v>
      </c>
      <c r="Q213" s="93">
        <f>SUM('31:13'!Q213)</f>
        <v>0</v>
      </c>
      <c r="R213" s="93">
        <f>SUM('31:13'!R213)</f>
        <v>0</v>
      </c>
      <c r="S213" s="93">
        <f>SUM('31:13'!S213)</f>
        <v>0</v>
      </c>
      <c r="T213" s="93">
        <f>SUM('31:13'!T213)</f>
        <v>0</v>
      </c>
      <c r="U213" s="93">
        <f>SUM('31:13'!U213)</f>
        <v>0</v>
      </c>
      <c r="V213" s="206">
        <f t="shared" si="79"/>
        <v>0</v>
      </c>
      <c r="W213" s="33">
        <f t="shared" si="80"/>
        <v>0</v>
      </c>
      <c r="X213" s="93">
        <f>SUM('31:13'!X213)</f>
        <v>0</v>
      </c>
      <c r="Y213" s="93">
        <f>SUM('31:13'!Y213)</f>
        <v>0</v>
      </c>
      <c r="Z213" s="93">
        <f>SUM('31:13'!Z213)</f>
        <v>0</v>
      </c>
      <c r="AA213" s="93">
        <f>SUM('31:13'!AA213)</f>
        <v>0</v>
      </c>
      <c r="AB213" s="73"/>
      <c r="AC213" s="54"/>
      <c r="AD213" s="346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>
      <c r="A214" s="300">
        <v>30100025</v>
      </c>
      <c r="B214" s="61" t="s">
        <v>78</v>
      </c>
      <c r="C214" s="16" t="s">
        <v>61</v>
      </c>
      <c r="D214" s="17">
        <v>5.08</v>
      </c>
      <c r="E214" s="17"/>
      <c r="F214" s="6"/>
      <c r="G214" s="93">
        <f>SUM('31:13'!G214)</f>
        <v>0</v>
      </c>
      <c r="H214" s="339">
        <f t="shared" si="70"/>
        <v>0</v>
      </c>
      <c r="I214" s="93">
        <f>SUM('31:13'!I214)</f>
        <v>0</v>
      </c>
      <c r="J214" s="31" t="str">
        <f t="array" ref="J214">IF(ISERROR(G214/I214),"",G214/I214)</f>
        <v/>
      </c>
      <c r="K214" s="35">
        <f t="array" ref="K214">IF(ISERROR(G214/L214),"",G214/L214)</f>
        <v>0</v>
      </c>
      <c r="L214" s="87">
        <v>21</v>
      </c>
      <c r="M214" s="36">
        <f t="shared" si="78"/>
        <v>0</v>
      </c>
      <c r="N214" s="93">
        <f>SUM('31:13'!N214)</f>
        <v>0</v>
      </c>
      <c r="O214" s="93">
        <f>SUM('31:13'!O214)</f>
        <v>0</v>
      </c>
      <c r="P214" s="93">
        <f>SUM('31:13'!P214)</f>
        <v>0</v>
      </c>
      <c r="Q214" s="93">
        <f>SUM('31:13'!Q214)</f>
        <v>0</v>
      </c>
      <c r="R214" s="93">
        <f>SUM('31:13'!R214)</f>
        <v>0</v>
      </c>
      <c r="S214" s="93">
        <f>SUM('31:13'!S214)</f>
        <v>0</v>
      </c>
      <c r="T214" s="93">
        <f>SUM('31:13'!T214)</f>
        <v>0</v>
      </c>
      <c r="U214" s="93">
        <f>SUM('31:13'!U214)</f>
        <v>0</v>
      </c>
      <c r="V214" s="206">
        <f t="shared" si="79"/>
        <v>0</v>
      </c>
      <c r="W214" s="33" t="str">
        <f t="shared" si="80"/>
        <v/>
      </c>
      <c r="X214" s="93">
        <f>SUM('31:13'!X214)</f>
        <v>0</v>
      </c>
      <c r="Y214" s="93">
        <f>SUM('31:13'!Y214)</f>
        <v>0</v>
      </c>
      <c r="Z214" s="93">
        <f>SUM('31:13'!Z214)</f>
        <v>0</v>
      </c>
      <c r="AA214" s="93">
        <f>SUM('31:13'!AA214)</f>
        <v>0</v>
      </c>
      <c r="AB214" s="25"/>
      <c r="AC214" s="54"/>
      <c r="AD214" s="346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>
      <c r="A215" s="300">
        <v>30100028</v>
      </c>
      <c r="B215" s="61" t="s">
        <v>78</v>
      </c>
      <c r="C215" s="16" t="s">
        <v>77</v>
      </c>
      <c r="D215" s="17">
        <v>5.08</v>
      </c>
      <c r="E215" s="17"/>
      <c r="F215" s="6"/>
      <c r="G215" s="93">
        <f>SUM('31:13'!G215)</f>
        <v>1538</v>
      </c>
      <c r="H215" s="339">
        <f t="shared" si="70"/>
        <v>7813.04</v>
      </c>
      <c r="I215" s="93">
        <f>SUM('31:13'!I215)</f>
        <v>87.5</v>
      </c>
      <c r="J215" s="31">
        <f t="array" ref="J215">IF(ISERROR(G215/I215),"",G215/I215)</f>
        <v>17.577142857142857</v>
      </c>
      <c r="K215" s="35">
        <f t="array" ref="K215">IF(ISERROR(G215/L215),"",G215/L215)</f>
        <v>73.238095238095241</v>
      </c>
      <c r="L215" s="87">
        <v>21</v>
      </c>
      <c r="M215" s="36">
        <f t="shared" si="78"/>
        <v>14.261904761904759</v>
      </c>
      <c r="N215" s="93">
        <f>SUM('31:13'!N215)</f>
        <v>0</v>
      </c>
      <c r="O215" s="93">
        <f>SUM('31:13'!O215)</f>
        <v>0</v>
      </c>
      <c r="P215" s="93">
        <f>SUM('31:13'!P215)</f>
        <v>0</v>
      </c>
      <c r="Q215" s="93">
        <f>SUM('31:13'!Q215)</f>
        <v>0</v>
      </c>
      <c r="R215" s="93">
        <f>SUM('31:13'!R215)</f>
        <v>0</v>
      </c>
      <c r="S215" s="93">
        <f>SUM('31:13'!S215)</f>
        <v>0</v>
      </c>
      <c r="T215" s="93">
        <f>SUM('31:13'!T215)</f>
        <v>0</v>
      </c>
      <c r="U215" s="93">
        <f>SUM('31:13'!U215)</f>
        <v>0</v>
      </c>
      <c r="V215" s="206">
        <f t="shared" si="79"/>
        <v>0</v>
      </c>
      <c r="W215" s="33">
        <f t="shared" si="80"/>
        <v>0</v>
      </c>
      <c r="X215" s="93">
        <f>SUM('31:13'!X215)</f>
        <v>0</v>
      </c>
      <c r="Y215" s="93">
        <f>SUM('31:13'!Y215)</f>
        <v>0</v>
      </c>
      <c r="Z215" s="93">
        <f>SUM('31:13'!Z215)</f>
        <v>0</v>
      </c>
      <c r="AA215" s="93">
        <f>SUM('31:13'!AA215)</f>
        <v>0</v>
      </c>
      <c r="AB215" s="73"/>
      <c r="AC215" s="54"/>
      <c r="AD215" s="346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>
      <c r="A216" s="300">
        <v>30100032</v>
      </c>
      <c r="B216" s="61" t="s">
        <v>79</v>
      </c>
      <c r="C216" s="16" t="s">
        <v>65</v>
      </c>
      <c r="D216" s="17">
        <v>5.03</v>
      </c>
      <c r="E216" s="17"/>
      <c r="F216" s="6"/>
      <c r="G216" s="93">
        <f>SUM('31:13'!G216)</f>
        <v>2435</v>
      </c>
      <c r="H216" s="339">
        <f t="shared" si="70"/>
        <v>12248.050000000001</v>
      </c>
      <c r="I216" s="93">
        <f>SUM('31:13'!I216)</f>
        <v>26.02</v>
      </c>
      <c r="J216" s="31">
        <f t="array" ref="J216">IF(ISERROR(G216/I216),"",G216/I216)</f>
        <v>93.581860107609529</v>
      </c>
      <c r="K216" s="35">
        <f t="array" ref="K216">IF(ISERROR(G216/L216),"",G216/L216)</f>
        <v>43.482142857142854</v>
      </c>
      <c r="L216" s="87">
        <v>56</v>
      </c>
      <c r="M216" s="36">
        <f t="shared" si="78"/>
        <v>-17.462142857142855</v>
      </c>
      <c r="N216" s="93">
        <f>SUM('31:13'!N216)</f>
        <v>0</v>
      </c>
      <c r="O216" s="93">
        <f>SUM('31:13'!O216)</f>
        <v>0</v>
      </c>
      <c r="P216" s="93">
        <f>SUM('31:13'!P216)</f>
        <v>0</v>
      </c>
      <c r="Q216" s="93">
        <f>SUM('31:13'!Q216)</f>
        <v>0</v>
      </c>
      <c r="R216" s="93">
        <f>SUM('31:13'!R216)</f>
        <v>0</v>
      </c>
      <c r="S216" s="93">
        <f>SUM('31:13'!S216)</f>
        <v>0</v>
      </c>
      <c r="T216" s="93">
        <f>SUM('31:13'!T216)</f>
        <v>0</v>
      </c>
      <c r="U216" s="93">
        <f>SUM('31:13'!U216)</f>
        <v>0</v>
      </c>
      <c r="V216" s="206">
        <f t="shared" si="79"/>
        <v>0</v>
      </c>
      <c r="W216" s="33">
        <f t="shared" si="80"/>
        <v>0</v>
      </c>
      <c r="X216" s="93">
        <f>SUM('31:13'!X216)</f>
        <v>0</v>
      </c>
      <c r="Y216" s="93">
        <f>SUM('31:13'!Y216)</f>
        <v>0</v>
      </c>
      <c r="Z216" s="93">
        <f>SUM('31:13'!Z216)</f>
        <v>0</v>
      </c>
      <c r="AA216" s="93">
        <f>SUM('31:13'!AA216)</f>
        <v>0</v>
      </c>
      <c r="AB216" s="25"/>
      <c r="AC216" s="54"/>
      <c r="AD216" s="346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>
      <c r="A217" s="300">
        <v>30100033</v>
      </c>
      <c r="B217" s="61" t="s">
        <v>79</v>
      </c>
      <c r="C217" s="16" t="s">
        <v>53</v>
      </c>
      <c r="D217" s="17">
        <v>5.03</v>
      </c>
      <c r="E217" s="17"/>
      <c r="F217" s="6"/>
      <c r="G217" s="93">
        <f>SUM('31:13'!G217)</f>
        <v>1228</v>
      </c>
      <c r="H217" s="339">
        <f t="shared" si="70"/>
        <v>6176.84</v>
      </c>
      <c r="I217" s="93">
        <f>SUM('31:13'!I217)</f>
        <v>18.02</v>
      </c>
      <c r="J217" s="31">
        <f t="array" ref="J217">IF(ISERROR(G217/I217),"",G217/I217)</f>
        <v>68.146503884572695</v>
      </c>
      <c r="K217" s="35">
        <f t="array" ref="K217">IF(ISERROR(G217/L217),"",G217/L217)</f>
        <v>21.928571428571427</v>
      </c>
      <c r="L217" s="87">
        <v>56</v>
      </c>
      <c r="M217" s="36">
        <f t="shared" si="78"/>
        <v>-3.9085714285714275</v>
      </c>
      <c r="N217" s="93">
        <f>SUM('31:13'!N217)</f>
        <v>0</v>
      </c>
      <c r="O217" s="93">
        <f>SUM('31:13'!O217)</f>
        <v>0</v>
      </c>
      <c r="P217" s="93">
        <f>SUM('31:13'!P217)</f>
        <v>0</v>
      </c>
      <c r="Q217" s="93">
        <f>SUM('31:13'!Q217)</f>
        <v>0</v>
      </c>
      <c r="R217" s="93">
        <f>SUM('31:13'!R217)</f>
        <v>0</v>
      </c>
      <c r="S217" s="93">
        <f>SUM('31:13'!S217)</f>
        <v>0</v>
      </c>
      <c r="T217" s="93">
        <f>SUM('31:13'!T217)</f>
        <v>0</v>
      </c>
      <c r="U217" s="93">
        <f>SUM('31:13'!U217)</f>
        <v>0</v>
      </c>
      <c r="V217" s="206">
        <f t="shared" si="79"/>
        <v>0</v>
      </c>
      <c r="W217" s="33">
        <f t="shared" si="80"/>
        <v>0</v>
      </c>
      <c r="X217" s="93">
        <f>SUM('31:13'!X217)</f>
        <v>0</v>
      </c>
      <c r="Y217" s="93">
        <f>SUM('31:13'!Y217)</f>
        <v>0</v>
      </c>
      <c r="Z217" s="93">
        <f>SUM('31:13'!Z217)</f>
        <v>0</v>
      </c>
      <c r="AA217" s="93">
        <f>SUM('31:13'!AA217)</f>
        <v>0</v>
      </c>
      <c r="AB217" s="25"/>
      <c r="AC217" s="54"/>
      <c r="AD217" s="346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>
      <c r="A218" s="300">
        <v>30100062</v>
      </c>
      <c r="B218" s="61" t="s">
        <v>79</v>
      </c>
      <c r="C218" s="16" t="s">
        <v>66</v>
      </c>
      <c r="D218" s="17">
        <v>5.03</v>
      </c>
      <c r="E218" s="17"/>
      <c r="F218" s="6"/>
      <c r="G218" s="93">
        <f>SUM('31:13'!G218)</f>
        <v>1641</v>
      </c>
      <c r="H218" s="339">
        <f t="shared" si="70"/>
        <v>8254.23</v>
      </c>
      <c r="I218" s="93">
        <f>SUM('31:13'!I218)</f>
        <v>30.21</v>
      </c>
      <c r="J218" s="31">
        <f t="array" ref="J218">IF(ISERROR(G218/I218),"",G218/I218)</f>
        <v>54.319761668321746</v>
      </c>
      <c r="K218" s="35">
        <f t="array" ref="K218">IF(ISERROR(G218/L218),"",G218/L218)</f>
        <v>29.303571428571427</v>
      </c>
      <c r="L218" s="87">
        <v>56</v>
      </c>
      <c r="M218" s="36">
        <f t="shared" si="78"/>
        <v>0.9064285714285738</v>
      </c>
      <c r="N218" s="93">
        <f>SUM('31:13'!N218)</f>
        <v>0</v>
      </c>
      <c r="O218" s="93">
        <f>SUM('31:13'!O218)</f>
        <v>0</v>
      </c>
      <c r="P218" s="93">
        <f>SUM('31:13'!P218)</f>
        <v>0</v>
      </c>
      <c r="Q218" s="93">
        <f>SUM('31:13'!Q218)</f>
        <v>0</v>
      </c>
      <c r="R218" s="93">
        <f>SUM('31:13'!R218)</f>
        <v>0</v>
      </c>
      <c r="S218" s="93">
        <f>SUM('31:13'!S218)</f>
        <v>0</v>
      </c>
      <c r="T218" s="93">
        <f>SUM('31:13'!T218)</f>
        <v>0</v>
      </c>
      <c r="U218" s="93">
        <f>SUM('31:13'!U218)</f>
        <v>0</v>
      </c>
      <c r="V218" s="206">
        <f t="shared" si="79"/>
        <v>0</v>
      </c>
      <c r="W218" s="33">
        <f t="shared" si="80"/>
        <v>0</v>
      </c>
      <c r="X218" s="93">
        <f>SUM('31:13'!X218)</f>
        <v>0</v>
      </c>
      <c r="Y218" s="93">
        <f>SUM('31:13'!Y218)</f>
        <v>0</v>
      </c>
      <c r="Z218" s="93">
        <f>SUM('31:13'!Z218)</f>
        <v>0</v>
      </c>
      <c r="AA218" s="93">
        <f>SUM('31:13'!AA218)</f>
        <v>0</v>
      </c>
      <c r="AB218" s="25"/>
      <c r="AC218" s="54"/>
      <c r="AD218" s="346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>
      <c r="A219" s="300">
        <v>30100031</v>
      </c>
      <c r="B219" s="61" t="s">
        <v>79</v>
      </c>
      <c r="C219" s="16" t="s">
        <v>74</v>
      </c>
      <c r="D219" s="17">
        <v>5.03</v>
      </c>
      <c r="E219" s="17"/>
      <c r="F219" s="6"/>
      <c r="G219" s="93">
        <f>SUM('31:13'!G219)</f>
        <v>1359</v>
      </c>
      <c r="H219" s="339">
        <f t="shared" si="70"/>
        <v>6835.77</v>
      </c>
      <c r="I219" s="93">
        <f>SUM('31:13'!I219)</f>
        <v>25.5</v>
      </c>
      <c r="J219" s="31">
        <f t="array" ref="J219">IF(ISERROR(G219/I219),"",G219/I219)</f>
        <v>53.294117647058826</v>
      </c>
      <c r="K219" s="35">
        <f t="array" ref="K219">IF(ISERROR(G219/L219),"",G219/L219)</f>
        <v>24.267857142857142</v>
      </c>
      <c r="L219" s="87">
        <v>56</v>
      </c>
      <c r="M219" s="36">
        <f t="shared" si="78"/>
        <v>1.2321428571428577</v>
      </c>
      <c r="N219" s="93">
        <f>SUM('31:13'!N219)</f>
        <v>0</v>
      </c>
      <c r="O219" s="93">
        <f>SUM('31:13'!O219)</f>
        <v>0</v>
      </c>
      <c r="P219" s="93">
        <f>SUM('31:13'!P219)</f>
        <v>0</v>
      </c>
      <c r="Q219" s="93">
        <f>SUM('31:13'!Q219)</f>
        <v>0</v>
      </c>
      <c r="R219" s="93">
        <f>SUM('31:13'!R219)</f>
        <v>0</v>
      </c>
      <c r="S219" s="93">
        <f>SUM('31:13'!S219)</f>
        <v>0</v>
      </c>
      <c r="T219" s="93">
        <f>SUM('31:13'!T219)</f>
        <v>0</v>
      </c>
      <c r="U219" s="93">
        <f>SUM('31:13'!U219)</f>
        <v>0</v>
      </c>
      <c r="V219" s="206">
        <f t="shared" si="79"/>
        <v>0</v>
      </c>
      <c r="W219" s="33">
        <f t="shared" si="80"/>
        <v>0</v>
      </c>
      <c r="X219" s="93">
        <f>SUM('31:13'!X219)</f>
        <v>0</v>
      </c>
      <c r="Y219" s="93">
        <f>SUM('31:13'!Y219)</f>
        <v>0</v>
      </c>
      <c r="Z219" s="93">
        <f>SUM('31:13'!Z219)</f>
        <v>0</v>
      </c>
      <c r="AA219" s="93">
        <f>SUM('31:13'!AA219)</f>
        <v>0</v>
      </c>
      <c r="AB219" s="25"/>
      <c r="AC219" s="54"/>
      <c r="AD219" s="346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>
      <c r="A220" s="300">
        <v>30100019</v>
      </c>
      <c r="B220" s="61" t="s">
        <v>385</v>
      </c>
      <c r="C220" s="16" t="s">
        <v>386</v>
      </c>
      <c r="D220" s="17">
        <v>5.03</v>
      </c>
      <c r="E220" s="17"/>
      <c r="F220" s="6"/>
      <c r="G220" s="93">
        <f>SUM('31:13'!G220)</f>
        <v>679</v>
      </c>
      <c r="H220" s="339">
        <f t="shared" si="70"/>
        <v>3415.3700000000003</v>
      </c>
      <c r="I220" s="93">
        <f>SUM('31:13'!I220)</f>
        <v>14</v>
      </c>
      <c r="J220" s="31"/>
      <c r="K220" s="35">
        <f t="array" ref="K220">IF(ISERROR(G220/L220),"",G220/L220)</f>
        <v>12.574074074074074</v>
      </c>
      <c r="L220" s="87">
        <v>54</v>
      </c>
      <c r="M220" s="36">
        <f t="shared" si="78"/>
        <v>1.4259259259259256</v>
      </c>
      <c r="N220" s="93">
        <f>SUM('31:13'!N220)</f>
        <v>0</v>
      </c>
      <c r="O220" s="93">
        <f>SUM('31:13'!O220)</f>
        <v>0</v>
      </c>
      <c r="P220" s="93">
        <f>SUM('31:13'!P220)</f>
        <v>0</v>
      </c>
      <c r="Q220" s="93">
        <f>SUM('31:13'!Q220)</f>
        <v>0</v>
      </c>
      <c r="R220" s="93">
        <f>SUM('31:13'!R220)</f>
        <v>0</v>
      </c>
      <c r="S220" s="93">
        <f>SUM('31:13'!S220)</f>
        <v>0</v>
      </c>
      <c r="T220" s="93">
        <f>SUM('31:13'!T220)</f>
        <v>0</v>
      </c>
      <c r="U220" s="93">
        <f>SUM('31:13'!U220)</f>
        <v>0</v>
      </c>
      <c r="V220" s="206"/>
      <c r="W220" s="33"/>
      <c r="X220" s="93">
        <f>SUM('31:13'!X220)</f>
        <v>0</v>
      </c>
      <c r="Y220" s="93">
        <f>SUM('31:13'!Y220)</f>
        <v>0</v>
      </c>
      <c r="Z220" s="93">
        <f>SUM('31:13'!Z220)</f>
        <v>0</v>
      </c>
      <c r="AA220" s="93">
        <f>SUM('31:13'!AA220)</f>
        <v>0</v>
      </c>
      <c r="AB220" s="25"/>
      <c r="AC220" s="54"/>
      <c r="AD220" s="346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>
      <c r="A221" s="300">
        <v>30100020</v>
      </c>
      <c r="B221" s="61" t="s">
        <v>385</v>
      </c>
      <c r="C221" s="16" t="s">
        <v>387</v>
      </c>
      <c r="D221" s="17">
        <v>5.03</v>
      </c>
      <c r="E221" s="17"/>
      <c r="F221" s="6"/>
      <c r="G221" s="93">
        <f>SUM('31:13'!G221)</f>
        <v>527</v>
      </c>
      <c r="H221" s="339">
        <f t="shared" si="70"/>
        <v>2650.81</v>
      </c>
      <c r="I221" s="93">
        <f>SUM('31:13'!I221)</f>
        <v>19</v>
      </c>
      <c r="J221" s="31"/>
      <c r="K221" s="35">
        <f t="array" ref="K221">IF(ISERROR(G221/L221),"",G221/L221)</f>
        <v>9.7592592592592595</v>
      </c>
      <c r="L221" s="87">
        <v>54</v>
      </c>
      <c r="M221" s="36">
        <f t="shared" si="78"/>
        <v>9.2407407407407405</v>
      </c>
      <c r="N221" s="93">
        <f>SUM('31:13'!N221)</f>
        <v>0</v>
      </c>
      <c r="O221" s="93">
        <f>SUM('31:13'!O221)</f>
        <v>0</v>
      </c>
      <c r="P221" s="93">
        <f>SUM('31:13'!P221)</f>
        <v>0</v>
      </c>
      <c r="Q221" s="93">
        <f>SUM('31:13'!Q221)</f>
        <v>0</v>
      </c>
      <c r="R221" s="93">
        <f>SUM('31:13'!R221)</f>
        <v>0</v>
      </c>
      <c r="S221" s="93">
        <f>SUM('31:13'!S221)</f>
        <v>0</v>
      </c>
      <c r="T221" s="93">
        <f>SUM('31:13'!T221)</f>
        <v>0</v>
      </c>
      <c r="U221" s="93">
        <f>SUM('31:13'!U221)</f>
        <v>0</v>
      </c>
      <c r="V221" s="206"/>
      <c r="W221" s="33"/>
      <c r="X221" s="93">
        <f>SUM('31:13'!X221)</f>
        <v>0</v>
      </c>
      <c r="Y221" s="93">
        <f>SUM('31:13'!Y221)</f>
        <v>0</v>
      </c>
      <c r="Z221" s="93">
        <f>SUM('31:13'!Z221)</f>
        <v>0</v>
      </c>
      <c r="AA221" s="93">
        <f>SUM('31:13'!AA221)</f>
        <v>0</v>
      </c>
      <c r="AB221" s="25"/>
      <c r="AC221" s="54"/>
      <c r="AD221" s="346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>
      <c r="A222" s="300">
        <v>30100021</v>
      </c>
      <c r="B222" s="190" t="s">
        <v>388</v>
      </c>
      <c r="C222" s="16" t="s">
        <v>390</v>
      </c>
      <c r="D222" s="17">
        <v>5.03</v>
      </c>
      <c r="E222" s="17"/>
      <c r="F222" s="6"/>
      <c r="G222" s="93">
        <f>SUM('31:13'!G222)</f>
        <v>792</v>
      </c>
      <c r="H222" s="339">
        <f t="shared" si="70"/>
        <v>3983.76</v>
      </c>
      <c r="I222" s="93">
        <f>SUM('31:13'!I222)</f>
        <v>17.5</v>
      </c>
      <c r="J222" s="31"/>
      <c r="K222" s="35">
        <f t="array" ref="K222">IF(ISERROR(G222/L222),"",G222/L222)</f>
        <v>14.666666666666666</v>
      </c>
      <c r="L222" s="87">
        <v>54</v>
      </c>
      <c r="M222" s="36">
        <f t="shared" si="78"/>
        <v>2.8333333333333339</v>
      </c>
      <c r="N222" s="93">
        <f>SUM('31:13'!N222)</f>
        <v>0</v>
      </c>
      <c r="O222" s="93">
        <f>SUM('31:13'!O222)</f>
        <v>0</v>
      </c>
      <c r="P222" s="93">
        <f>SUM('31:13'!P222)</f>
        <v>0</v>
      </c>
      <c r="Q222" s="93">
        <f>SUM('31:13'!Q222)</f>
        <v>0</v>
      </c>
      <c r="R222" s="93">
        <f>SUM('31:13'!R222)</f>
        <v>0</v>
      </c>
      <c r="S222" s="93">
        <f>SUM('31:13'!S222)</f>
        <v>0</v>
      </c>
      <c r="T222" s="93">
        <f>SUM('31:13'!T222)</f>
        <v>0</v>
      </c>
      <c r="U222" s="93">
        <f>SUM('31:13'!U222)</f>
        <v>0</v>
      </c>
      <c r="V222" s="206"/>
      <c r="W222" s="33"/>
      <c r="X222" s="93">
        <f>SUM('31:13'!X222)</f>
        <v>0</v>
      </c>
      <c r="Y222" s="93">
        <f>SUM('31:13'!Y222)</f>
        <v>0</v>
      </c>
      <c r="Z222" s="93">
        <f>SUM('31:13'!Z222)</f>
        <v>0</v>
      </c>
      <c r="AA222" s="93">
        <f>SUM('31:13'!AA222)</f>
        <v>0</v>
      </c>
      <c r="AB222" s="25"/>
      <c r="AC222" s="54"/>
      <c r="AD222" s="346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>
      <c r="A223" s="300">
        <v>30100018</v>
      </c>
      <c r="B223" s="190" t="s">
        <v>388</v>
      </c>
      <c r="C223" s="16" t="s">
        <v>392</v>
      </c>
      <c r="D223" s="17">
        <v>5.03</v>
      </c>
      <c r="E223" s="17"/>
      <c r="F223" s="6"/>
      <c r="G223" s="93">
        <f>SUM('31:13'!G223)</f>
        <v>145</v>
      </c>
      <c r="H223" s="339">
        <f t="shared" si="70"/>
        <v>729.35</v>
      </c>
      <c r="I223" s="93">
        <f>SUM('31:13'!I223)</f>
        <v>3</v>
      </c>
      <c r="J223" s="31"/>
      <c r="K223" s="35">
        <f t="array" ref="K223">IF(ISERROR(G223/L223),"",G223/L223)</f>
        <v>2.6851851851851851</v>
      </c>
      <c r="L223" s="87">
        <v>54</v>
      </c>
      <c r="M223" s="36">
        <f t="shared" si="78"/>
        <v>0.31481481481481488</v>
      </c>
      <c r="N223" s="93">
        <f>SUM('31:13'!N223)</f>
        <v>0</v>
      </c>
      <c r="O223" s="93">
        <f>SUM('31:13'!O223)</f>
        <v>0</v>
      </c>
      <c r="P223" s="93">
        <f>SUM('31:13'!P223)</f>
        <v>0</v>
      </c>
      <c r="Q223" s="93">
        <f>SUM('31:13'!Q223)</f>
        <v>0</v>
      </c>
      <c r="R223" s="93">
        <f>SUM('31:13'!R223)</f>
        <v>0</v>
      </c>
      <c r="S223" s="93">
        <f>SUM('31:13'!S223)</f>
        <v>0</v>
      </c>
      <c r="T223" s="93">
        <f>SUM('31:13'!T223)</f>
        <v>0</v>
      </c>
      <c r="U223" s="93">
        <f>SUM('31:13'!U223)</f>
        <v>0</v>
      </c>
      <c r="V223" s="206"/>
      <c r="W223" s="33"/>
      <c r="X223" s="93">
        <f>SUM('31:13'!X223)</f>
        <v>0</v>
      </c>
      <c r="Y223" s="93">
        <f>SUM('31:13'!Y223)</f>
        <v>0</v>
      </c>
      <c r="Z223" s="93">
        <f>SUM('31:13'!Z223)</f>
        <v>0</v>
      </c>
      <c r="AA223" s="93">
        <f>SUM('31:13'!AA223)</f>
        <v>0</v>
      </c>
      <c r="AB223" s="25"/>
      <c r="AC223" s="54"/>
      <c r="AD223" s="346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>
      <c r="A224" s="303">
        <v>30700007</v>
      </c>
      <c r="B224" s="190" t="s">
        <v>424</v>
      </c>
      <c r="C224" s="187" t="s">
        <v>364</v>
      </c>
      <c r="D224" s="17">
        <v>5.03</v>
      </c>
      <c r="E224" s="17"/>
      <c r="F224" s="6"/>
      <c r="G224" s="93">
        <f>SUM('31:13'!G224)</f>
        <v>0</v>
      </c>
      <c r="H224" s="339">
        <f t="shared" si="70"/>
        <v>0</v>
      </c>
      <c r="I224" s="93">
        <f>SUM('31:13'!I224)</f>
        <v>0</v>
      </c>
      <c r="J224" s="31"/>
      <c r="K224" s="35">
        <f t="array" ref="K224">IF(ISERROR(G224/L224),"",G224/L224)</f>
        <v>0</v>
      </c>
      <c r="L224" s="87">
        <v>3</v>
      </c>
      <c r="M224" s="36">
        <f t="shared" si="78"/>
        <v>0</v>
      </c>
      <c r="N224" s="93">
        <f>SUM('31:13'!N224)</f>
        <v>0</v>
      </c>
      <c r="O224" s="93">
        <f>SUM('31:13'!O224)</f>
        <v>0</v>
      </c>
      <c r="P224" s="93">
        <f>SUM('31:13'!P224)</f>
        <v>0</v>
      </c>
      <c r="Q224" s="93">
        <f>SUM('31:13'!Q224)</f>
        <v>0</v>
      </c>
      <c r="R224" s="93">
        <f>SUM('31:13'!R224)</f>
        <v>0</v>
      </c>
      <c r="S224" s="93">
        <f>SUM('31:13'!S224)</f>
        <v>0</v>
      </c>
      <c r="T224" s="93">
        <f>SUM('31:13'!T224)</f>
        <v>0</v>
      </c>
      <c r="U224" s="93">
        <f>SUM('31:13'!U224)</f>
        <v>0</v>
      </c>
      <c r="V224" s="206"/>
      <c r="W224" s="33"/>
      <c r="X224" s="93">
        <f>SUM('31:13'!X224)</f>
        <v>0</v>
      </c>
      <c r="Y224" s="93">
        <f>SUM('31:13'!Y224)</f>
        <v>0</v>
      </c>
      <c r="Z224" s="93">
        <f>SUM('31:13'!Z224)</f>
        <v>0</v>
      </c>
      <c r="AA224" s="93">
        <f>SUM('31:13'!AA224)</f>
        <v>0</v>
      </c>
      <c r="AB224" s="25"/>
      <c r="AC224" s="54"/>
      <c r="AD224" s="346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>
      <c r="A225" s="303">
        <v>30700006</v>
      </c>
      <c r="B225" s="190" t="s">
        <v>424</v>
      </c>
      <c r="C225" s="187" t="s">
        <v>365</v>
      </c>
      <c r="D225" s="17">
        <v>5.03</v>
      </c>
      <c r="E225" s="17"/>
      <c r="F225" s="6"/>
      <c r="G225" s="93">
        <f>SUM('31:13'!G225)</f>
        <v>0</v>
      </c>
      <c r="H225" s="339">
        <f t="shared" si="70"/>
        <v>0</v>
      </c>
      <c r="I225" s="93">
        <f>SUM('31:13'!I225)</f>
        <v>0</v>
      </c>
      <c r="J225" s="31"/>
      <c r="K225" s="35">
        <f t="array" ref="K225">IF(ISERROR(G225/L225),"",G225/L225)</f>
        <v>0</v>
      </c>
      <c r="L225" s="87">
        <v>3</v>
      </c>
      <c r="M225" s="36">
        <f t="shared" si="78"/>
        <v>0</v>
      </c>
      <c r="N225" s="93">
        <f>SUM('31:13'!N225)</f>
        <v>0</v>
      </c>
      <c r="O225" s="93">
        <f>SUM('31:13'!O225)</f>
        <v>0</v>
      </c>
      <c r="P225" s="93">
        <f>SUM('31:13'!P225)</f>
        <v>0</v>
      </c>
      <c r="Q225" s="93">
        <f>SUM('31:13'!Q225)</f>
        <v>0</v>
      </c>
      <c r="R225" s="93">
        <f>SUM('31:13'!R225)</f>
        <v>0</v>
      </c>
      <c r="S225" s="93">
        <f>SUM('31:13'!S225)</f>
        <v>0</v>
      </c>
      <c r="T225" s="93">
        <f>SUM('31:13'!T225)</f>
        <v>0</v>
      </c>
      <c r="U225" s="93">
        <f>SUM('31:13'!U225)</f>
        <v>0</v>
      </c>
      <c r="V225" s="206"/>
      <c r="W225" s="33"/>
      <c r="X225" s="93">
        <f>SUM('31:13'!X225)</f>
        <v>0</v>
      </c>
      <c r="Y225" s="93">
        <f>SUM('31:13'!Y225)</f>
        <v>0</v>
      </c>
      <c r="Z225" s="93">
        <f>SUM('31:13'!Z225)</f>
        <v>0</v>
      </c>
      <c r="AA225" s="93">
        <f>SUM('31:13'!AA225)</f>
        <v>0</v>
      </c>
      <c r="AB225" s="25"/>
      <c r="AC225" s="54"/>
      <c r="AD225" s="346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>
      <c r="A226" s="303">
        <v>30700008</v>
      </c>
      <c r="B226" s="190" t="s">
        <v>424</v>
      </c>
      <c r="C226" s="187" t="s">
        <v>366</v>
      </c>
      <c r="D226" s="17">
        <v>5.03</v>
      </c>
      <c r="E226" s="17"/>
      <c r="F226" s="6"/>
      <c r="G226" s="93">
        <f>SUM('31:13'!G226)</f>
        <v>0</v>
      </c>
      <c r="H226" s="339">
        <f t="shared" si="70"/>
        <v>0</v>
      </c>
      <c r="I226" s="93">
        <f>SUM('31:13'!I226)</f>
        <v>0</v>
      </c>
      <c r="J226" s="31"/>
      <c r="K226" s="35">
        <f t="array" ref="K226">IF(ISERROR(G226/L226),"",G226/L226)</f>
        <v>0</v>
      </c>
      <c r="L226" s="87">
        <v>3</v>
      </c>
      <c r="M226" s="36">
        <f t="shared" si="78"/>
        <v>0</v>
      </c>
      <c r="N226" s="93">
        <f>SUM('31:13'!N226)</f>
        <v>0</v>
      </c>
      <c r="O226" s="93">
        <f>SUM('31:13'!O226)</f>
        <v>0</v>
      </c>
      <c r="P226" s="93">
        <f>SUM('31:13'!P226)</f>
        <v>0</v>
      </c>
      <c r="Q226" s="93">
        <f>SUM('31:13'!Q226)</f>
        <v>0</v>
      </c>
      <c r="R226" s="93">
        <f>SUM('31:13'!R226)</f>
        <v>0</v>
      </c>
      <c r="S226" s="93">
        <f>SUM('31:13'!S226)</f>
        <v>0</v>
      </c>
      <c r="T226" s="93">
        <f>SUM('31:13'!T226)</f>
        <v>0</v>
      </c>
      <c r="U226" s="93">
        <f>SUM('31:13'!U226)</f>
        <v>0</v>
      </c>
      <c r="V226" s="206"/>
      <c r="W226" s="33"/>
      <c r="X226" s="93">
        <f>SUM('31:13'!X226)</f>
        <v>0</v>
      </c>
      <c r="Y226" s="93">
        <f>SUM('31:13'!Y226)</f>
        <v>0</v>
      </c>
      <c r="Z226" s="93">
        <f>SUM('31:13'!Z226)</f>
        <v>0</v>
      </c>
      <c r="AA226" s="93">
        <f>SUM('31:13'!AA226)</f>
        <v>0</v>
      </c>
      <c r="AB226" s="25"/>
      <c r="AC226" s="54"/>
      <c r="AD226" s="346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>
      <c r="A227" s="303">
        <v>30700009</v>
      </c>
      <c r="B227" s="190" t="s">
        <v>424</v>
      </c>
      <c r="C227" s="187" t="s">
        <v>367</v>
      </c>
      <c r="D227" s="17">
        <v>5.03</v>
      </c>
      <c r="E227" s="17"/>
      <c r="F227" s="6"/>
      <c r="G227" s="93">
        <f>SUM('31:13'!G227)</f>
        <v>0</v>
      </c>
      <c r="H227" s="339">
        <f t="shared" si="70"/>
        <v>0</v>
      </c>
      <c r="I227" s="93">
        <f>SUM('31:13'!I227)</f>
        <v>0</v>
      </c>
      <c r="J227" s="31"/>
      <c r="K227" s="35">
        <f t="array" ref="K227">IF(ISERROR(G227/L227),"",G227/L227)</f>
        <v>0</v>
      </c>
      <c r="L227" s="87">
        <v>3</v>
      </c>
      <c r="M227" s="36">
        <f t="shared" si="78"/>
        <v>0</v>
      </c>
      <c r="N227" s="93">
        <f>SUM('31:13'!N227)</f>
        <v>0</v>
      </c>
      <c r="O227" s="93">
        <f>SUM('31:13'!O227)</f>
        <v>0</v>
      </c>
      <c r="P227" s="93">
        <f>SUM('31:13'!P227)</f>
        <v>0</v>
      </c>
      <c r="Q227" s="93">
        <f>SUM('31:13'!Q227)</f>
        <v>0</v>
      </c>
      <c r="R227" s="93">
        <f>SUM('31:13'!R227)</f>
        <v>0</v>
      </c>
      <c r="S227" s="93">
        <f>SUM('31:13'!S227)</f>
        <v>0</v>
      </c>
      <c r="T227" s="93">
        <f>SUM('31:13'!T227)</f>
        <v>0</v>
      </c>
      <c r="U227" s="93">
        <f>SUM('31:13'!U227)</f>
        <v>0</v>
      </c>
      <c r="V227" s="206"/>
      <c r="W227" s="33"/>
      <c r="X227" s="93">
        <f>SUM('31:13'!X227)</f>
        <v>0</v>
      </c>
      <c r="Y227" s="93">
        <f>SUM('31:13'!Y227)</f>
        <v>0</v>
      </c>
      <c r="Z227" s="93">
        <f>SUM('31:13'!Z227)</f>
        <v>0</v>
      </c>
      <c r="AA227" s="93">
        <f>SUM('31:13'!AA227)</f>
        <v>0</v>
      </c>
      <c r="AB227" s="25"/>
      <c r="AC227" s="54"/>
      <c r="AD227" s="346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>
      <c r="A228" s="300">
        <v>30100036</v>
      </c>
      <c r="B228" s="62" t="s">
        <v>80</v>
      </c>
      <c r="C228" s="16" t="s">
        <v>61</v>
      </c>
      <c r="D228" s="17">
        <v>5.03</v>
      </c>
      <c r="E228" s="17"/>
      <c r="F228" s="6"/>
      <c r="G228" s="93">
        <f>SUM('31:13'!G228)</f>
        <v>93</v>
      </c>
      <c r="H228" s="339">
        <f t="shared" si="70"/>
        <v>467.79</v>
      </c>
      <c r="I228" s="93">
        <f>SUM('31:13'!I228)</f>
        <v>2</v>
      </c>
      <c r="J228" s="31">
        <f t="array" ref="J228">IF(ISERROR(G228/I228),"",G228/I228)</f>
        <v>46.5</v>
      </c>
      <c r="K228" s="35">
        <f t="array" ref="K228">IF(ISERROR(G228/L228),"",G228/L228)</f>
        <v>2.3250000000000002</v>
      </c>
      <c r="L228" s="87">
        <v>40</v>
      </c>
      <c r="M228" s="36">
        <f t="shared" si="78"/>
        <v>-0.32500000000000018</v>
      </c>
      <c r="N228" s="93">
        <f>SUM('31:13'!N228)</f>
        <v>0</v>
      </c>
      <c r="O228" s="93">
        <f>SUM('31:13'!O228)</f>
        <v>0</v>
      </c>
      <c r="P228" s="93">
        <f>SUM('31:13'!P228)</f>
        <v>0</v>
      </c>
      <c r="Q228" s="93">
        <f>SUM('31:13'!Q228)</f>
        <v>0</v>
      </c>
      <c r="R228" s="93">
        <f>SUM('31:13'!R228)</f>
        <v>0</v>
      </c>
      <c r="S228" s="93">
        <f>SUM('31:13'!S228)</f>
        <v>0</v>
      </c>
      <c r="T228" s="93">
        <f>SUM('31:13'!T228)</f>
        <v>0</v>
      </c>
      <c r="U228" s="93">
        <f>SUM('31:13'!U228)</f>
        <v>0</v>
      </c>
      <c r="V228" s="206">
        <f t="shared" ref="V228:V237" si="81">SUM(X228:AA228)</f>
        <v>0</v>
      </c>
      <c r="W228" s="33">
        <f t="shared" ref="W228:W237" si="82">IF(ISERROR(V228/G228),"",V228/G228)</f>
        <v>0</v>
      </c>
      <c r="X228" s="93">
        <f>SUM('31:13'!X228)</f>
        <v>0</v>
      </c>
      <c r="Y228" s="93">
        <f>SUM('31:13'!Y228)</f>
        <v>0</v>
      </c>
      <c r="Z228" s="93">
        <f>SUM('31:13'!Z228)</f>
        <v>0</v>
      </c>
      <c r="AA228" s="93">
        <f>SUM('31:13'!AA228)</f>
        <v>0</v>
      </c>
      <c r="AB228" s="73"/>
      <c r="AC228" s="54"/>
      <c r="AD228" s="346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>
      <c r="A229" s="300">
        <v>30100034</v>
      </c>
      <c r="B229" s="62" t="s">
        <v>80</v>
      </c>
      <c r="C229" s="16" t="s">
        <v>60</v>
      </c>
      <c r="D229" s="17">
        <v>5.03</v>
      </c>
      <c r="E229" s="17"/>
      <c r="F229" s="6"/>
      <c r="G229" s="93">
        <f>SUM('31:13'!G229)</f>
        <v>484</v>
      </c>
      <c r="H229" s="339">
        <f t="shared" si="70"/>
        <v>2434.52</v>
      </c>
      <c r="I229" s="93">
        <f>SUM('31:13'!I229)</f>
        <v>6</v>
      </c>
      <c r="J229" s="31">
        <f t="array" ref="J229">IF(ISERROR(G229/I229),"",G229/I229)</f>
        <v>80.666666666666671</v>
      </c>
      <c r="K229" s="35">
        <f t="array" ref="K229">IF(ISERROR(G229/L229),"",G229/L229)</f>
        <v>12.1</v>
      </c>
      <c r="L229" s="87">
        <v>40</v>
      </c>
      <c r="M229" s="36">
        <f t="shared" si="78"/>
        <v>-6.1</v>
      </c>
      <c r="N229" s="93">
        <f>SUM('31:13'!N229)</f>
        <v>0</v>
      </c>
      <c r="O229" s="93">
        <f>SUM('31:13'!O229)</f>
        <v>0</v>
      </c>
      <c r="P229" s="93">
        <f>SUM('31:13'!P229)</f>
        <v>0</v>
      </c>
      <c r="Q229" s="93">
        <f>SUM('31:13'!Q229)</f>
        <v>0</v>
      </c>
      <c r="R229" s="93">
        <f>SUM('31:13'!R229)</f>
        <v>0</v>
      </c>
      <c r="S229" s="93">
        <f>SUM('31:13'!S229)</f>
        <v>0</v>
      </c>
      <c r="T229" s="93">
        <f>SUM('31:13'!T229)</f>
        <v>0</v>
      </c>
      <c r="U229" s="93">
        <f>SUM('31:13'!U229)</f>
        <v>0</v>
      </c>
      <c r="V229" s="206">
        <f t="shared" si="81"/>
        <v>0</v>
      </c>
      <c r="W229" s="33">
        <f t="shared" si="82"/>
        <v>0</v>
      </c>
      <c r="X229" s="93">
        <f>SUM('31:13'!X229)</f>
        <v>0</v>
      </c>
      <c r="Y229" s="93">
        <f>SUM('31:13'!Y229)</f>
        <v>0</v>
      </c>
      <c r="Z229" s="93">
        <f>SUM('31:13'!Z229)</f>
        <v>0</v>
      </c>
      <c r="AA229" s="93">
        <f>SUM('31:13'!AA229)</f>
        <v>0</v>
      </c>
      <c r="AB229" s="73"/>
      <c r="AC229" s="54"/>
      <c r="AD229" s="346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>
      <c r="A230" s="300">
        <v>30100035</v>
      </c>
      <c r="B230" s="62" t="s">
        <v>80</v>
      </c>
      <c r="C230" s="16" t="s">
        <v>65</v>
      </c>
      <c r="D230" s="17">
        <v>5.03</v>
      </c>
      <c r="E230" s="17"/>
      <c r="F230" s="6"/>
      <c r="G230" s="93">
        <f>SUM('31:13'!G230)</f>
        <v>184</v>
      </c>
      <c r="H230" s="339">
        <f t="shared" si="70"/>
        <v>925.5200000000001</v>
      </c>
      <c r="I230" s="93">
        <f>SUM('31:13'!I230)</f>
        <v>4.5</v>
      </c>
      <c r="J230" s="31">
        <f t="array" ref="J230">IF(ISERROR(G230/I230),"",G230/I230)</f>
        <v>40.888888888888886</v>
      </c>
      <c r="K230" s="35">
        <f t="array" ref="K230">IF(ISERROR(G230/L230),"",G230/L230)</f>
        <v>4.5999999999999996</v>
      </c>
      <c r="L230" s="87">
        <v>40</v>
      </c>
      <c r="M230" s="36">
        <f t="shared" si="78"/>
        <v>-9.9999999999999645E-2</v>
      </c>
      <c r="N230" s="93">
        <f>SUM('31:13'!N230)</f>
        <v>0</v>
      </c>
      <c r="O230" s="93">
        <f>SUM('31:13'!O230)</f>
        <v>0</v>
      </c>
      <c r="P230" s="93">
        <f>SUM('31:13'!P230)</f>
        <v>0</v>
      </c>
      <c r="Q230" s="93">
        <f>SUM('31:13'!Q230)</f>
        <v>0</v>
      </c>
      <c r="R230" s="93">
        <f>SUM('31:13'!R230)</f>
        <v>0</v>
      </c>
      <c r="S230" s="93">
        <f>SUM('31:13'!S230)</f>
        <v>0</v>
      </c>
      <c r="T230" s="93">
        <f>SUM('31:13'!T230)</f>
        <v>0</v>
      </c>
      <c r="U230" s="93">
        <f>SUM('31:13'!U230)</f>
        <v>0</v>
      </c>
      <c r="V230" s="206">
        <f t="shared" si="81"/>
        <v>0</v>
      </c>
      <c r="W230" s="33">
        <f t="shared" si="82"/>
        <v>0</v>
      </c>
      <c r="X230" s="93">
        <f>SUM('31:13'!X230)</f>
        <v>0</v>
      </c>
      <c r="Y230" s="93">
        <f>SUM('31:13'!Y230)</f>
        <v>0</v>
      </c>
      <c r="Z230" s="93">
        <f>SUM('31:13'!Z230)</f>
        <v>0</v>
      </c>
      <c r="AA230" s="93">
        <f>SUM('31:13'!AA230)</f>
        <v>0</v>
      </c>
      <c r="AB230" s="73"/>
      <c r="AC230" s="54"/>
      <c r="AD230" s="346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>
      <c r="A231" s="300">
        <v>30100040</v>
      </c>
      <c r="B231" s="62" t="s">
        <v>81</v>
      </c>
      <c r="C231" s="16" t="s">
        <v>82</v>
      </c>
      <c r="D231" s="17">
        <v>5.03</v>
      </c>
      <c r="E231" s="17"/>
      <c r="F231" s="6"/>
      <c r="G231" s="93">
        <f>SUM('31:13'!G231)</f>
        <v>0</v>
      </c>
      <c r="H231" s="339">
        <f t="shared" si="70"/>
        <v>0</v>
      </c>
      <c r="I231" s="93">
        <f>SUM('31:13'!I231)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87">
        <v>50</v>
      </c>
      <c r="M231" s="36">
        <f t="shared" si="78"/>
        <v>0</v>
      </c>
      <c r="N231" s="93">
        <f>SUM('31:13'!N231)</f>
        <v>0</v>
      </c>
      <c r="O231" s="93">
        <f>SUM('31:13'!O231)</f>
        <v>0</v>
      </c>
      <c r="P231" s="93">
        <f>SUM('31:13'!P231)</f>
        <v>0</v>
      </c>
      <c r="Q231" s="93">
        <f>SUM('31:13'!Q231)</f>
        <v>0</v>
      </c>
      <c r="R231" s="93">
        <f>SUM('31:13'!R231)</f>
        <v>0</v>
      </c>
      <c r="S231" s="93">
        <f>SUM('31:13'!S231)</f>
        <v>0</v>
      </c>
      <c r="T231" s="93">
        <f>SUM('31:13'!T231)</f>
        <v>0</v>
      </c>
      <c r="U231" s="93">
        <f>SUM('31:13'!U231)</f>
        <v>0</v>
      </c>
      <c r="V231" s="206">
        <f t="shared" si="81"/>
        <v>0</v>
      </c>
      <c r="W231" s="33" t="str">
        <f t="shared" si="82"/>
        <v/>
      </c>
      <c r="X231" s="93">
        <f>SUM('31:13'!X231)</f>
        <v>0</v>
      </c>
      <c r="Y231" s="93">
        <f>SUM('31:13'!Y231)</f>
        <v>0</v>
      </c>
      <c r="Z231" s="93">
        <f>SUM('31:13'!Z231)</f>
        <v>0</v>
      </c>
      <c r="AA231" s="93">
        <f>SUM('31:13'!AA231)</f>
        <v>0</v>
      </c>
      <c r="AB231" s="73"/>
      <c r="AC231" s="54"/>
      <c r="AD231" s="346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>
      <c r="A232" s="300">
        <v>30100039</v>
      </c>
      <c r="B232" s="62" t="s">
        <v>81</v>
      </c>
      <c r="C232" s="16" t="s">
        <v>60</v>
      </c>
      <c r="D232" s="17">
        <v>5.03</v>
      </c>
      <c r="E232" s="17"/>
      <c r="F232" s="6"/>
      <c r="G232" s="93">
        <f>SUM('31:13'!G232)</f>
        <v>0</v>
      </c>
      <c r="H232" s="339">
        <f t="shared" si="70"/>
        <v>0</v>
      </c>
      <c r="I232" s="93">
        <f>SUM('31:13'!I232)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87">
        <v>50</v>
      </c>
      <c r="M232" s="36">
        <f t="shared" si="78"/>
        <v>0</v>
      </c>
      <c r="N232" s="93">
        <f>SUM('31:13'!N232)</f>
        <v>0</v>
      </c>
      <c r="O232" s="93">
        <f>SUM('31:13'!O232)</f>
        <v>0</v>
      </c>
      <c r="P232" s="93">
        <f>SUM('31:13'!P232)</f>
        <v>0</v>
      </c>
      <c r="Q232" s="93">
        <f>SUM('31:13'!Q232)</f>
        <v>0</v>
      </c>
      <c r="R232" s="93">
        <f>SUM('31:13'!R232)</f>
        <v>0</v>
      </c>
      <c r="S232" s="93">
        <f>SUM('31:13'!S232)</f>
        <v>0</v>
      </c>
      <c r="T232" s="93">
        <f>SUM('31:13'!T232)</f>
        <v>0</v>
      </c>
      <c r="U232" s="93">
        <f>SUM('31:13'!U232)</f>
        <v>0</v>
      </c>
      <c r="V232" s="206">
        <f t="shared" si="81"/>
        <v>0</v>
      </c>
      <c r="W232" s="33" t="str">
        <f t="shared" si="82"/>
        <v/>
      </c>
      <c r="X232" s="93">
        <f>SUM('31:13'!X232)</f>
        <v>0</v>
      </c>
      <c r="Y232" s="93">
        <f>SUM('31:13'!Y232)</f>
        <v>0</v>
      </c>
      <c r="Z232" s="93">
        <f>SUM('31:13'!Z232)</f>
        <v>0</v>
      </c>
      <c r="AA232" s="93">
        <f>SUM('31:13'!AA232)</f>
        <v>0</v>
      </c>
      <c r="AB232" s="73"/>
      <c r="AC232" s="54"/>
      <c r="AD232" s="346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>
      <c r="A233" s="300">
        <v>30100042</v>
      </c>
      <c r="B233" s="62" t="s">
        <v>81</v>
      </c>
      <c r="C233" s="16" t="s">
        <v>61</v>
      </c>
      <c r="D233" s="17">
        <v>5.03</v>
      </c>
      <c r="E233" s="17"/>
      <c r="F233" s="6"/>
      <c r="G233" s="93">
        <f>SUM('31:13'!G233)</f>
        <v>0</v>
      </c>
      <c r="H233" s="339">
        <f t="shared" si="70"/>
        <v>0</v>
      </c>
      <c r="I233" s="93">
        <f>SUM('31:13'!I233)</f>
        <v>0</v>
      </c>
      <c r="J233" s="31" t="str">
        <f t="array" ref="J233">IF(ISERROR(G233/I233),"",G233/I233)</f>
        <v/>
      </c>
      <c r="K233" s="35">
        <f t="array" ref="K233">IF(ISERROR(G233/L233),"",G233/L233)</f>
        <v>0</v>
      </c>
      <c r="L233" s="87">
        <v>50</v>
      </c>
      <c r="M233" s="36">
        <f t="shared" si="78"/>
        <v>0</v>
      </c>
      <c r="N233" s="93">
        <f>SUM('31:13'!N233)</f>
        <v>0</v>
      </c>
      <c r="O233" s="93">
        <f>SUM('31:13'!O233)</f>
        <v>0</v>
      </c>
      <c r="P233" s="93">
        <f>SUM('31:13'!P233)</f>
        <v>0</v>
      </c>
      <c r="Q233" s="93">
        <f>SUM('31:13'!Q233)</f>
        <v>0</v>
      </c>
      <c r="R233" s="93">
        <f>SUM('31:13'!R233)</f>
        <v>0</v>
      </c>
      <c r="S233" s="93">
        <f>SUM('31:13'!S233)</f>
        <v>0</v>
      </c>
      <c r="T233" s="93">
        <f>SUM('31:13'!T233)</f>
        <v>0</v>
      </c>
      <c r="U233" s="93">
        <f>SUM('31:13'!U233)</f>
        <v>0</v>
      </c>
      <c r="V233" s="206">
        <f t="shared" si="81"/>
        <v>0</v>
      </c>
      <c r="W233" s="33" t="str">
        <f t="shared" si="82"/>
        <v/>
      </c>
      <c r="X233" s="93">
        <f>SUM('31:13'!X233)</f>
        <v>0</v>
      </c>
      <c r="Y233" s="93">
        <f>SUM('31:13'!Y233)</f>
        <v>0</v>
      </c>
      <c r="Z233" s="93">
        <f>SUM('31:13'!Z233)</f>
        <v>0</v>
      </c>
      <c r="AA233" s="93">
        <f>SUM('31:13'!AA233)</f>
        <v>0</v>
      </c>
      <c r="AB233" s="73"/>
      <c r="AC233" s="54"/>
      <c r="AD233" s="346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>
      <c r="A234" s="300">
        <v>30100041</v>
      </c>
      <c r="B234" s="62" t="s">
        <v>81</v>
      </c>
      <c r="C234" s="16" t="s">
        <v>65</v>
      </c>
      <c r="D234" s="17">
        <v>5.03</v>
      </c>
      <c r="E234" s="17"/>
      <c r="F234" s="6"/>
      <c r="G234" s="93">
        <f>SUM('31:13'!G234)</f>
        <v>0</v>
      </c>
      <c r="H234" s="339">
        <f t="shared" si="70"/>
        <v>0</v>
      </c>
      <c r="I234" s="93">
        <f>SUM('31:13'!I234)</f>
        <v>0</v>
      </c>
      <c r="J234" s="31" t="str">
        <f t="array" ref="J234">IF(ISERROR(G234/I234),"",G234/I234)</f>
        <v/>
      </c>
      <c r="K234" s="35">
        <f t="array" ref="K234">IF(ISERROR(G234/L234),"",G234/L234)</f>
        <v>0</v>
      </c>
      <c r="L234" s="87">
        <v>50</v>
      </c>
      <c r="M234" s="36">
        <f t="shared" si="78"/>
        <v>0</v>
      </c>
      <c r="N234" s="93">
        <f>SUM('31:13'!N234)</f>
        <v>0</v>
      </c>
      <c r="O234" s="93">
        <f>SUM('31:13'!O234)</f>
        <v>0</v>
      </c>
      <c r="P234" s="93">
        <f>SUM('31:13'!P234)</f>
        <v>0</v>
      </c>
      <c r="Q234" s="93">
        <f>SUM('31:13'!Q234)</f>
        <v>0</v>
      </c>
      <c r="R234" s="93">
        <f>SUM('31:13'!R234)</f>
        <v>0</v>
      </c>
      <c r="S234" s="93">
        <f>SUM('31:13'!S234)</f>
        <v>0</v>
      </c>
      <c r="T234" s="93">
        <f>SUM('31:13'!T234)</f>
        <v>0</v>
      </c>
      <c r="U234" s="93">
        <f>SUM('31:13'!U234)</f>
        <v>0</v>
      </c>
      <c r="V234" s="206">
        <f t="shared" si="81"/>
        <v>0</v>
      </c>
      <c r="W234" s="33" t="str">
        <f t="shared" si="82"/>
        <v/>
      </c>
      <c r="X234" s="93">
        <f>SUM('31:13'!X234)</f>
        <v>0</v>
      </c>
      <c r="Y234" s="93">
        <f>SUM('31:13'!Y234)</f>
        <v>0</v>
      </c>
      <c r="Z234" s="93">
        <f>SUM('31:13'!Z234)</f>
        <v>0</v>
      </c>
      <c r="AA234" s="93">
        <f>SUM('31:13'!AA234)</f>
        <v>0</v>
      </c>
      <c r="AB234" s="73"/>
      <c r="AC234" s="54"/>
      <c r="AD234" s="346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>
      <c r="A235" s="300">
        <v>30100045</v>
      </c>
      <c r="B235" s="62" t="s">
        <v>83</v>
      </c>
      <c r="C235" s="16" t="s">
        <v>73</v>
      </c>
      <c r="D235" s="17">
        <v>5.03</v>
      </c>
      <c r="E235" s="17"/>
      <c r="F235" s="6"/>
      <c r="G235" s="93">
        <f>SUM('31:13'!G235)</f>
        <v>654</v>
      </c>
      <c r="H235" s="339">
        <f t="shared" si="70"/>
        <v>3289.6200000000003</v>
      </c>
      <c r="I235" s="93">
        <f>SUM('31:13'!I235)</f>
        <v>10.5</v>
      </c>
      <c r="J235" s="31">
        <f t="array" ref="J235">IF(ISERROR(G235/I235),"",G235/I235)</f>
        <v>62.285714285714285</v>
      </c>
      <c r="K235" s="35">
        <f t="array" ref="K235">IF(ISERROR(G235/L235),"",G235/L235)</f>
        <v>13.08</v>
      </c>
      <c r="L235" s="87">
        <v>50</v>
      </c>
      <c r="M235" s="36">
        <f t="shared" si="78"/>
        <v>-2.58</v>
      </c>
      <c r="N235" s="93">
        <f>SUM('31:13'!N235)</f>
        <v>0</v>
      </c>
      <c r="O235" s="93">
        <f>SUM('31:13'!O235)</f>
        <v>0</v>
      </c>
      <c r="P235" s="93">
        <f>SUM('31:13'!P235)</f>
        <v>0</v>
      </c>
      <c r="Q235" s="93">
        <f>SUM('31:13'!Q235)</f>
        <v>0</v>
      </c>
      <c r="R235" s="93">
        <f>SUM('31:13'!R235)</f>
        <v>0</v>
      </c>
      <c r="S235" s="93">
        <f>SUM('31:13'!S235)</f>
        <v>0</v>
      </c>
      <c r="T235" s="93">
        <f>SUM('31:13'!T235)</f>
        <v>0</v>
      </c>
      <c r="U235" s="93">
        <f>SUM('31:13'!U235)</f>
        <v>0</v>
      </c>
      <c r="V235" s="206">
        <f t="shared" si="81"/>
        <v>0</v>
      </c>
      <c r="W235" s="33">
        <f t="shared" si="82"/>
        <v>0</v>
      </c>
      <c r="X235" s="93">
        <f>SUM('31:13'!X235)</f>
        <v>0</v>
      </c>
      <c r="Y235" s="93">
        <f>SUM('31:13'!Y235)</f>
        <v>0</v>
      </c>
      <c r="Z235" s="93">
        <f>SUM('31:13'!Z235)</f>
        <v>0</v>
      </c>
      <c r="AA235" s="93">
        <f>SUM('31:13'!AA235)</f>
        <v>0</v>
      </c>
      <c r="AB235" s="73"/>
      <c r="AC235" s="54"/>
      <c r="AD235" s="346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>
      <c r="A236" s="300">
        <v>30100044</v>
      </c>
      <c r="B236" s="62" t="s">
        <v>83</v>
      </c>
      <c r="C236" s="16" t="s">
        <v>61</v>
      </c>
      <c r="D236" s="17">
        <v>5.03</v>
      </c>
      <c r="E236" s="17"/>
      <c r="F236" s="6"/>
      <c r="G236" s="93">
        <f>SUM('31:13'!G236)</f>
        <v>927</v>
      </c>
      <c r="H236" s="339">
        <f t="shared" si="70"/>
        <v>4662.8100000000004</v>
      </c>
      <c r="I236" s="93">
        <f>SUM('31:13'!I236)</f>
        <v>18</v>
      </c>
      <c r="J236" s="31">
        <f t="array" ref="J236">IF(ISERROR(G236/I236),"",G236/I236)</f>
        <v>51.5</v>
      </c>
      <c r="K236" s="35">
        <f t="array" ref="K236">IF(ISERROR(G236/L236),"",G236/L236)</f>
        <v>18.54</v>
      </c>
      <c r="L236" s="87">
        <v>50</v>
      </c>
      <c r="M236" s="36">
        <f t="shared" si="78"/>
        <v>-0.53999999999999915</v>
      </c>
      <c r="N236" s="93">
        <f>SUM('31:13'!N236)</f>
        <v>0</v>
      </c>
      <c r="O236" s="93">
        <f>SUM('31:13'!O236)</f>
        <v>0</v>
      </c>
      <c r="P236" s="93">
        <f>SUM('31:13'!P236)</f>
        <v>0</v>
      </c>
      <c r="Q236" s="93">
        <f>SUM('31:13'!Q236)</f>
        <v>0</v>
      </c>
      <c r="R236" s="93">
        <f>SUM('31:13'!R236)</f>
        <v>0</v>
      </c>
      <c r="S236" s="93">
        <f>SUM('31:13'!S236)</f>
        <v>0</v>
      </c>
      <c r="T236" s="93">
        <f>SUM('31:13'!T236)</f>
        <v>0</v>
      </c>
      <c r="U236" s="93">
        <f>SUM('31:13'!U236)</f>
        <v>0</v>
      </c>
      <c r="V236" s="206">
        <f t="shared" si="81"/>
        <v>0</v>
      </c>
      <c r="W236" s="33">
        <f t="shared" si="82"/>
        <v>0</v>
      </c>
      <c r="X236" s="93">
        <f>SUM('31:13'!X236)</f>
        <v>0</v>
      </c>
      <c r="Y236" s="93">
        <f>SUM('31:13'!Y236)</f>
        <v>0</v>
      </c>
      <c r="Z236" s="93">
        <f>SUM('31:13'!Z236)</f>
        <v>0</v>
      </c>
      <c r="AA236" s="93">
        <f>SUM('31:13'!AA236)</f>
        <v>0</v>
      </c>
      <c r="AB236" s="73"/>
      <c r="AC236" s="54"/>
      <c r="AD236" s="346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>
      <c r="A237" s="300">
        <v>30100046</v>
      </c>
      <c r="B237" s="62" t="s">
        <v>83</v>
      </c>
      <c r="C237" s="16" t="s">
        <v>77</v>
      </c>
      <c r="D237" s="17">
        <v>5.03</v>
      </c>
      <c r="E237" s="17"/>
      <c r="F237" s="6"/>
      <c r="G237" s="93">
        <f>SUM('31:13'!G237)</f>
        <v>540</v>
      </c>
      <c r="H237" s="339">
        <f t="shared" si="70"/>
        <v>2716.2000000000003</v>
      </c>
      <c r="I237" s="93">
        <f>SUM('31:13'!I237)</f>
        <v>23</v>
      </c>
      <c r="J237" s="31">
        <f t="array" ref="J237">IF(ISERROR(G237/I237),"",G237/I237)</f>
        <v>23.478260869565219</v>
      </c>
      <c r="K237" s="35">
        <f t="array" ref="K237">IF(ISERROR(G237/L237),"",G237/L237)</f>
        <v>10.8</v>
      </c>
      <c r="L237" s="87">
        <v>50</v>
      </c>
      <c r="M237" s="36">
        <f t="shared" si="78"/>
        <v>12.2</v>
      </c>
      <c r="N237" s="93">
        <f>SUM('31:13'!N237)</f>
        <v>0</v>
      </c>
      <c r="O237" s="93">
        <f>SUM('31:13'!O237)</f>
        <v>0</v>
      </c>
      <c r="P237" s="93">
        <f>SUM('31:13'!P237)</f>
        <v>0</v>
      </c>
      <c r="Q237" s="93">
        <f>SUM('31:13'!Q237)</f>
        <v>0</v>
      </c>
      <c r="R237" s="93">
        <f>SUM('31:13'!R237)</f>
        <v>0</v>
      </c>
      <c r="S237" s="93">
        <f>SUM('31:13'!S237)</f>
        <v>0</v>
      </c>
      <c r="T237" s="93">
        <f>SUM('31:13'!T237)</f>
        <v>0</v>
      </c>
      <c r="U237" s="93">
        <f>SUM('31:13'!U237)</f>
        <v>0</v>
      </c>
      <c r="V237" s="206">
        <f t="shared" si="81"/>
        <v>0</v>
      </c>
      <c r="W237" s="33">
        <f t="shared" si="82"/>
        <v>0</v>
      </c>
      <c r="X237" s="93">
        <f>SUM('31:13'!X237)</f>
        <v>0</v>
      </c>
      <c r="Y237" s="93">
        <f>SUM('31:13'!Y237)</f>
        <v>0</v>
      </c>
      <c r="Z237" s="93">
        <f>SUM('31:13'!Z237)</f>
        <v>0</v>
      </c>
      <c r="AA237" s="93">
        <f>SUM('31:13'!AA237)</f>
        <v>0</v>
      </c>
      <c r="AB237" s="73"/>
      <c r="AC237" s="54"/>
      <c r="AD237" s="346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>
      <c r="A238" s="300">
        <v>30100043</v>
      </c>
      <c r="B238" s="192" t="s">
        <v>429</v>
      </c>
      <c r="C238" s="187" t="s">
        <v>428</v>
      </c>
      <c r="D238" s="17">
        <v>5.03</v>
      </c>
      <c r="E238" s="17"/>
      <c r="F238" s="6"/>
      <c r="G238" s="93">
        <f>SUM('31:13'!G238)</f>
        <v>892</v>
      </c>
      <c r="H238" s="339">
        <f t="shared" si="70"/>
        <v>4486.76</v>
      </c>
      <c r="I238" s="93">
        <f>SUM('31:13'!I238)</f>
        <v>33.5</v>
      </c>
      <c r="J238" s="31"/>
      <c r="K238" s="35"/>
      <c r="L238" s="87">
        <v>50</v>
      </c>
      <c r="M238" s="36"/>
      <c r="N238" s="93"/>
      <c r="O238" s="93"/>
      <c r="P238" s="93"/>
      <c r="Q238" s="93"/>
      <c r="R238" s="93"/>
      <c r="S238" s="93"/>
      <c r="T238" s="93"/>
      <c r="U238" s="93"/>
      <c r="V238" s="206"/>
      <c r="W238" s="33"/>
      <c r="X238" s="93"/>
      <c r="Y238" s="93"/>
      <c r="Z238" s="93"/>
      <c r="AA238" s="93"/>
      <c r="AB238" s="73"/>
      <c r="AC238" s="54"/>
      <c r="AD238" s="346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>
      <c r="A239" s="300">
        <v>30100064</v>
      </c>
      <c r="B239" s="192" t="s">
        <v>401</v>
      </c>
      <c r="C239" s="187" t="s">
        <v>399</v>
      </c>
      <c r="D239" s="17">
        <v>5</v>
      </c>
      <c r="E239" s="17"/>
      <c r="F239" s="6"/>
      <c r="G239" s="93">
        <f>SUM('31:13'!G239)</f>
        <v>496</v>
      </c>
      <c r="H239" s="339">
        <f t="shared" si="70"/>
        <v>2480</v>
      </c>
      <c r="I239" s="93">
        <f>SUM('31:13'!I239)</f>
        <v>17</v>
      </c>
      <c r="J239" s="31"/>
      <c r="K239" s="35">
        <f t="array" ref="K239">IF(ISERROR(G239/L239),"",G239/L239)</f>
        <v>9.92</v>
      </c>
      <c r="L239" s="87">
        <v>50</v>
      </c>
      <c r="M239" s="36">
        <f t="shared" ref="M239:M250" si="83">IF(ISERROR(I239-K239),"",I239-K239)</f>
        <v>7.08</v>
      </c>
      <c r="N239" s="93">
        <f>SUM('31:13'!N239)</f>
        <v>0</v>
      </c>
      <c r="O239" s="93">
        <f>SUM('31:13'!O239)</f>
        <v>0</v>
      </c>
      <c r="P239" s="93">
        <f>SUM('31:13'!P239)</f>
        <v>0</v>
      </c>
      <c r="Q239" s="93">
        <f>SUM('31:13'!Q239)</f>
        <v>0</v>
      </c>
      <c r="R239" s="93">
        <f>SUM('31:13'!R239)</f>
        <v>0</v>
      </c>
      <c r="S239" s="93">
        <f>SUM('31:13'!S239)</f>
        <v>0</v>
      </c>
      <c r="T239" s="93">
        <f>SUM('31:13'!T239)</f>
        <v>0</v>
      </c>
      <c r="U239" s="93">
        <f>SUM('31:13'!U239)</f>
        <v>0</v>
      </c>
      <c r="V239" s="206"/>
      <c r="W239" s="33"/>
      <c r="X239" s="93">
        <f>SUM('31:13'!X239)</f>
        <v>0</v>
      </c>
      <c r="Y239" s="93">
        <f>SUM('31:13'!Y239)</f>
        <v>0</v>
      </c>
      <c r="Z239" s="93">
        <f>SUM('31:13'!Z239)</f>
        <v>0</v>
      </c>
      <c r="AA239" s="93">
        <f>SUM('31:13'!AA239)</f>
        <v>0</v>
      </c>
      <c r="AB239" s="73"/>
      <c r="AC239" s="54"/>
      <c r="AD239" s="346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>
      <c r="A240" s="300">
        <v>30100049</v>
      </c>
      <c r="B240" s="62" t="s">
        <v>84</v>
      </c>
      <c r="C240" s="16" t="s">
        <v>64</v>
      </c>
      <c r="D240" s="17">
        <v>5.03</v>
      </c>
      <c r="E240" s="17"/>
      <c r="F240" s="6"/>
      <c r="G240" s="93">
        <f>SUM('31:13'!G240)</f>
        <v>763</v>
      </c>
      <c r="H240" s="339">
        <f t="shared" si="70"/>
        <v>3837.8900000000003</v>
      </c>
      <c r="I240" s="93">
        <f>SUM('31:13'!I240)</f>
        <v>40.5</v>
      </c>
      <c r="J240" s="31">
        <f t="array" ref="J240">IF(ISERROR(G240/I240),"",G240/I240)</f>
        <v>18.839506172839506</v>
      </c>
      <c r="K240" s="35">
        <f t="array" ref="K240">IF(ISERROR(G240/L240),"",G240/L240)</f>
        <v>35.488372093023258</v>
      </c>
      <c r="L240" s="87">
        <v>21.5</v>
      </c>
      <c r="M240" s="36">
        <f t="shared" si="83"/>
        <v>5.0116279069767415</v>
      </c>
      <c r="N240" s="93">
        <f>SUM('31:13'!N240)</f>
        <v>0</v>
      </c>
      <c r="O240" s="93">
        <f>SUM('31:13'!O240)</f>
        <v>0</v>
      </c>
      <c r="P240" s="93">
        <f>SUM('31:13'!P240)</f>
        <v>0</v>
      </c>
      <c r="Q240" s="93">
        <f>SUM('31:13'!Q240)</f>
        <v>0</v>
      </c>
      <c r="R240" s="93">
        <f>SUM('31:13'!R240)</f>
        <v>0</v>
      </c>
      <c r="S240" s="93">
        <f>SUM('31:13'!S240)</f>
        <v>0</v>
      </c>
      <c r="T240" s="93">
        <f>SUM('31:13'!T240)</f>
        <v>0</v>
      </c>
      <c r="U240" s="93">
        <f>SUM('31:13'!U240)</f>
        <v>0</v>
      </c>
      <c r="V240" s="206">
        <f t="shared" ref="V240:V241" si="84">SUM(X240:AA240)</f>
        <v>0</v>
      </c>
      <c r="W240" s="33">
        <f t="shared" ref="W240:W241" si="85">IF(ISERROR(V240/G240),"",V240/G240)</f>
        <v>0</v>
      </c>
      <c r="X240" s="93">
        <f>SUM('31:13'!X240)</f>
        <v>0</v>
      </c>
      <c r="Y240" s="93">
        <f>SUM('31:13'!Y240)</f>
        <v>0</v>
      </c>
      <c r="Z240" s="93">
        <f>SUM('31:13'!Z240)</f>
        <v>0</v>
      </c>
      <c r="AA240" s="93">
        <f>SUM('31:13'!AA240)</f>
        <v>0</v>
      </c>
      <c r="AB240" s="73"/>
      <c r="AC240" s="54"/>
      <c r="AD240" s="346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>
      <c r="A241" s="300">
        <v>30100050</v>
      </c>
      <c r="B241" s="62" t="s">
        <v>84</v>
      </c>
      <c r="C241" s="16" t="s">
        <v>65</v>
      </c>
      <c r="D241" s="17">
        <v>5.03</v>
      </c>
      <c r="E241" s="17"/>
      <c r="F241" s="6"/>
      <c r="G241" s="93">
        <f>SUM('31:13'!G241)</f>
        <v>949</v>
      </c>
      <c r="H241" s="339">
        <f t="shared" si="70"/>
        <v>4773.47</v>
      </c>
      <c r="I241" s="93">
        <f>SUM('31:13'!I241)</f>
        <v>22</v>
      </c>
      <c r="J241" s="31">
        <f t="array" ref="J241">IF(ISERROR(G241/I241),"",G241/I241)</f>
        <v>43.136363636363633</v>
      </c>
      <c r="K241" s="35">
        <f t="array" ref="K241">IF(ISERROR(G241/L241),"",G241/L241)</f>
        <v>44.139534883720927</v>
      </c>
      <c r="L241" s="87">
        <v>21.5</v>
      </c>
      <c r="M241" s="36">
        <f t="shared" si="83"/>
        <v>-22.139534883720927</v>
      </c>
      <c r="N241" s="93">
        <f>SUM('31:13'!N241)</f>
        <v>0</v>
      </c>
      <c r="O241" s="93">
        <f>SUM('31:13'!O241)</f>
        <v>0</v>
      </c>
      <c r="P241" s="93">
        <f>SUM('31:13'!P241)</f>
        <v>0</v>
      </c>
      <c r="Q241" s="93">
        <f>SUM('31:13'!Q241)</f>
        <v>0</v>
      </c>
      <c r="R241" s="93">
        <f>SUM('31:13'!R241)</f>
        <v>0</v>
      </c>
      <c r="S241" s="93">
        <f>SUM('31:13'!S241)</f>
        <v>0</v>
      </c>
      <c r="T241" s="93">
        <f>SUM('31:13'!T241)</f>
        <v>0</v>
      </c>
      <c r="U241" s="93">
        <f>SUM('31:13'!U241)</f>
        <v>0</v>
      </c>
      <c r="V241" s="206">
        <f t="shared" si="84"/>
        <v>0</v>
      </c>
      <c r="W241" s="33">
        <f t="shared" si="85"/>
        <v>0</v>
      </c>
      <c r="X241" s="93">
        <f>SUM('31:13'!X241)</f>
        <v>0</v>
      </c>
      <c r="Y241" s="93">
        <f>SUM('31:13'!Y241)</f>
        <v>0</v>
      </c>
      <c r="Z241" s="93">
        <f>SUM('31:13'!Z241)</f>
        <v>0</v>
      </c>
      <c r="AA241" s="93">
        <f>SUM('31:13'!AA241)</f>
        <v>0</v>
      </c>
      <c r="AB241" s="73"/>
      <c r="AC241" s="54"/>
      <c r="AD241" s="346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>
      <c r="A242" s="300"/>
      <c r="B242" s="192" t="s">
        <v>360</v>
      </c>
      <c r="C242" s="187" t="s">
        <v>361</v>
      </c>
      <c r="D242" s="17"/>
      <c r="E242" s="17"/>
      <c r="F242" s="6"/>
      <c r="G242" s="93">
        <f>SUM('31:13'!G242)</f>
        <v>0</v>
      </c>
      <c r="H242" s="339">
        <f t="shared" si="70"/>
        <v>0</v>
      </c>
      <c r="I242" s="93">
        <f>SUM('31:13'!I242)</f>
        <v>0</v>
      </c>
      <c r="J242" s="31"/>
      <c r="K242" s="35"/>
      <c r="L242" s="87"/>
      <c r="M242" s="36">
        <f t="shared" si="83"/>
        <v>0</v>
      </c>
      <c r="N242" s="93">
        <f>SUM('31:13'!N242)</f>
        <v>0</v>
      </c>
      <c r="O242" s="93">
        <f>SUM('31:13'!O242)</f>
        <v>0</v>
      </c>
      <c r="P242" s="93">
        <f>SUM('31:13'!P242)</f>
        <v>0</v>
      </c>
      <c r="Q242" s="93">
        <f>SUM('31:13'!Q242)</f>
        <v>0</v>
      </c>
      <c r="R242" s="93">
        <f>SUM('31:13'!R242)</f>
        <v>0</v>
      </c>
      <c r="S242" s="93">
        <f>SUM('31:13'!S242)</f>
        <v>0</v>
      </c>
      <c r="T242" s="93">
        <f>SUM('31:13'!T242)</f>
        <v>0</v>
      </c>
      <c r="U242" s="93">
        <f>SUM('31:13'!U242)</f>
        <v>0</v>
      </c>
      <c r="V242" s="206"/>
      <c r="W242" s="33"/>
      <c r="X242" s="93">
        <f>SUM('31:13'!X242)</f>
        <v>0</v>
      </c>
      <c r="Y242" s="93">
        <f>SUM('31:13'!Y242)</f>
        <v>0</v>
      </c>
      <c r="Z242" s="93">
        <f>SUM('31:13'!Z242)</f>
        <v>0</v>
      </c>
      <c r="AA242" s="93">
        <f>SUM('31:13'!AA242)</f>
        <v>0</v>
      </c>
      <c r="AB242" s="73"/>
      <c r="AC242" s="54"/>
      <c r="AD242" s="346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>
      <c r="A243" s="300">
        <v>30100055</v>
      </c>
      <c r="B243" s="63" t="s">
        <v>85</v>
      </c>
      <c r="C243" s="16" t="s">
        <v>60</v>
      </c>
      <c r="D243" s="17">
        <v>5.0599999999999996</v>
      </c>
      <c r="E243" s="17"/>
      <c r="F243" s="6"/>
      <c r="G243" s="93">
        <f>SUM('31:13'!G243)</f>
        <v>0</v>
      </c>
      <c r="H243" s="339">
        <f t="shared" si="70"/>
        <v>0</v>
      </c>
      <c r="I243" s="93">
        <f>SUM('31:13'!I243)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87"/>
      <c r="M243" s="36" t="str">
        <f t="shared" si="83"/>
        <v/>
      </c>
      <c r="N243" s="93">
        <f>SUM('31:13'!N243)</f>
        <v>0</v>
      </c>
      <c r="O243" s="93">
        <f>SUM('31:13'!O243)</f>
        <v>0</v>
      </c>
      <c r="P243" s="93">
        <f>SUM('31:13'!P243)</f>
        <v>0</v>
      </c>
      <c r="Q243" s="93">
        <f>SUM('31:13'!Q243)</f>
        <v>0</v>
      </c>
      <c r="R243" s="93">
        <f>SUM('31:13'!R243)</f>
        <v>0</v>
      </c>
      <c r="S243" s="93">
        <f>SUM('31:13'!S243)</f>
        <v>0</v>
      </c>
      <c r="T243" s="93">
        <f>SUM('31:13'!T243)</f>
        <v>0</v>
      </c>
      <c r="U243" s="93">
        <f>SUM('31:13'!U243)</f>
        <v>0</v>
      </c>
      <c r="V243" s="206">
        <f t="shared" ref="V243:V246" si="86">SUM(X243:AA243)</f>
        <v>0</v>
      </c>
      <c r="W243" s="33" t="str">
        <f t="shared" ref="W243:W246" si="87">IF(ISERROR(V243/G243),"",V243/G243)</f>
        <v/>
      </c>
      <c r="X243" s="93">
        <f>SUM('31:13'!X243)</f>
        <v>0</v>
      </c>
      <c r="Y243" s="93">
        <f>SUM('31:13'!Y243)</f>
        <v>0</v>
      </c>
      <c r="Z243" s="93">
        <f>SUM('31:13'!Z243)</f>
        <v>0</v>
      </c>
      <c r="AA243" s="93">
        <f>SUM('31:13'!AA243)</f>
        <v>0</v>
      </c>
      <c r="AB243" s="73"/>
      <c r="AC243" s="54"/>
      <c r="AD243" s="346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>
      <c r="A244" s="300">
        <v>30100056</v>
      </c>
      <c r="B244" s="63" t="s">
        <v>85</v>
      </c>
      <c r="C244" s="16" t="s">
        <v>74</v>
      </c>
      <c r="D244" s="17">
        <v>5.0599999999999996</v>
      </c>
      <c r="E244" s="17"/>
      <c r="F244" s="6"/>
      <c r="G244" s="93">
        <f>SUM('31:13'!G244)</f>
        <v>0</v>
      </c>
      <c r="H244" s="339">
        <f t="shared" si="70"/>
        <v>0</v>
      </c>
      <c r="I244" s="93">
        <f>SUM('31:13'!I244)</f>
        <v>0</v>
      </c>
      <c r="J244" s="31" t="str">
        <f t="array" ref="J244">IF(ISERROR(G244/I244),"",G244/I244)</f>
        <v/>
      </c>
      <c r="K244" s="35" t="str">
        <f t="array" ref="K244">IF(ISERROR(G244/L244),"",G244/L244)</f>
        <v/>
      </c>
      <c r="L244" s="87"/>
      <c r="M244" s="36" t="str">
        <f t="shared" si="83"/>
        <v/>
      </c>
      <c r="N244" s="93">
        <f>SUM('31:13'!N244)</f>
        <v>0</v>
      </c>
      <c r="O244" s="93">
        <f>SUM('31:13'!O244)</f>
        <v>0</v>
      </c>
      <c r="P244" s="93">
        <f>SUM('31:13'!P244)</f>
        <v>0</v>
      </c>
      <c r="Q244" s="93">
        <f>SUM('31:13'!Q244)</f>
        <v>0</v>
      </c>
      <c r="R244" s="93">
        <f>SUM('31:13'!R244)</f>
        <v>0</v>
      </c>
      <c r="S244" s="93">
        <f>SUM('31:13'!S244)</f>
        <v>0</v>
      </c>
      <c r="T244" s="93">
        <f>SUM('31:13'!T244)</f>
        <v>0</v>
      </c>
      <c r="U244" s="93">
        <f>SUM('31:13'!U244)</f>
        <v>0</v>
      </c>
      <c r="V244" s="206">
        <f t="shared" si="86"/>
        <v>0</v>
      </c>
      <c r="W244" s="33" t="str">
        <f t="shared" si="87"/>
        <v/>
      </c>
      <c r="X244" s="93">
        <f>SUM('31:13'!X244)</f>
        <v>0</v>
      </c>
      <c r="Y244" s="93">
        <f>SUM('31:13'!Y244)</f>
        <v>0</v>
      </c>
      <c r="Z244" s="93">
        <f>SUM('31:13'!Z244)</f>
        <v>0</v>
      </c>
      <c r="AA244" s="93">
        <f>SUM('31:13'!AA244)</f>
        <v>0</v>
      </c>
      <c r="AB244" s="73"/>
      <c r="AC244" s="54"/>
      <c r="AD244" s="346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>
      <c r="A245" s="300">
        <v>30100057</v>
      </c>
      <c r="B245" s="63" t="s">
        <v>85</v>
      </c>
      <c r="C245" s="16" t="s">
        <v>65</v>
      </c>
      <c r="D245" s="17">
        <v>5.0599999999999996</v>
      </c>
      <c r="E245" s="17"/>
      <c r="F245" s="6"/>
      <c r="G245" s="93">
        <f>SUM('31:13'!G245)</f>
        <v>0</v>
      </c>
      <c r="H245" s="339">
        <f t="shared" si="70"/>
        <v>0</v>
      </c>
      <c r="I245" s="93">
        <f>SUM('31:13'!I245)</f>
        <v>0</v>
      </c>
      <c r="J245" s="31" t="str">
        <f t="array" ref="J245">IF(ISERROR(G245/I245),"",G245/I245)</f>
        <v/>
      </c>
      <c r="K245" s="35" t="str">
        <f t="array" ref="K245">IF(ISERROR(G245/L245),"",G245/L245)</f>
        <v/>
      </c>
      <c r="L245" s="87"/>
      <c r="M245" s="36" t="str">
        <f t="shared" si="83"/>
        <v/>
      </c>
      <c r="N245" s="93">
        <f>SUM('31:13'!N245)</f>
        <v>0</v>
      </c>
      <c r="O245" s="93">
        <f>SUM('31:13'!O245)</f>
        <v>0</v>
      </c>
      <c r="P245" s="93">
        <f>SUM('31:13'!P245)</f>
        <v>0</v>
      </c>
      <c r="Q245" s="93">
        <f>SUM('31:13'!Q245)</f>
        <v>0</v>
      </c>
      <c r="R245" s="93">
        <f>SUM('31:13'!R245)</f>
        <v>0</v>
      </c>
      <c r="S245" s="93">
        <f>SUM('31:13'!S245)</f>
        <v>0</v>
      </c>
      <c r="T245" s="93">
        <f>SUM('31:13'!T245)</f>
        <v>0</v>
      </c>
      <c r="U245" s="93">
        <f>SUM('31:13'!U245)</f>
        <v>0</v>
      </c>
      <c r="V245" s="206">
        <f t="shared" si="86"/>
        <v>0</v>
      </c>
      <c r="W245" s="33" t="str">
        <f t="shared" si="87"/>
        <v/>
      </c>
      <c r="X245" s="93">
        <f>SUM('31:13'!X245)</f>
        <v>0</v>
      </c>
      <c r="Y245" s="93">
        <f>SUM('31:13'!Y245)</f>
        <v>0</v>
      </c>
      <c r="Z245" s="93">
        <f>SUM('31:13'!Z245)</f>
        <v>0</v>
      </c>
      <c r="AA245" s="93">
        <f>SUM('31:13'!AA245)</f>
        <v>0</v>
      </c>
      <c r="AB245" s="73"/>
      <c r="AC245" s="54"/>
      <c r="AD245" s="346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 ht="15" customHeight="1">
      <c r="A246" s="300">
        <v>30100058</v>
      </c>
      <c r="B246" s="63" t="s">
        <v>85</v>
      </c>
      <c r="C246" s="16" t="s">
        <v>61</v>
      </c>
      <c r="D246" s="17">
        <v>5.0599999999999996</v>
      </c>
      <c r="E246" s="17"/>
      <c r="F246" s="6"/>
      <c r="G246" s="93">
        <f>SUM('31:13'!G246)</f>
        <v>0</v>
      </c>
      <c r="H246" s="339">
        <f t="shared" si="70"/>
        <v>0</v>
      </c>
      <c r="I246" s="93">
        <f>SUM('31:13'!I246)</f>
        <v>0</v>
      </c>
      <c r="J246" s="31" t="str">
        <f t="array" ref="J246">IF(ISERROR(G246/I246),"",G246/I246)</f>
        <v/>
      </c>
      <c r="K246" s="35" t="str">
        <f t="array" ref="K246">IF(ISERROR(G246/L246),"",G246/L246)</f>
        <v/>
      </c>
      <c r="L246" s="87"/>
      <c r="M246" s="36" t="str">
        <f t="shared" si="83"/>
        <v/>
      </c>
      <c r="N246" s="93">
        <f>SUM('31:13'!N246)</f>
        <v>0</v>
      </c>
      <c r="O246" s="93">
        <f>SUM('31:13'!O246)</f>
        <v>0</v>
      </c>
      <c r="P246" s="93">
        <f>SUM('31:13'!P246)</f>
        <v>0</v>
      </c>
      <c r="Q246" s="93">
        <f>SUM('31:13'!Q246)</f>
        <v>0</v>
      </c>
      <c r="R246" s="93">
        <f>SUM('31:13'!R246)</f>
        <v>0</v>
      </c>
      <c r="S246" s="93">
        <f>SUM('31:13'!S246)</f>
        <v>0</v>
      </c>
      <c r="T246" s="93">
        <f>SUM('31:13'!T246)</f>
        <v>0</v>
      </c>
      <c r="U246" s="93">
        <f>SUM('31:13'!U246)</f>
        <v>0</v>
      </c>
      <c r="V246" s="206">
        <f t="shared" si="86"/>
        <v>0</v>
      </c>
      <c r="W246" s="33" t="str">
        <f t="shared" si="87"/>
        <v/>
      </c>
      <c r="X246" s="93">
        <f>SUM('31:13'!X246)</f>
        <v>0</v>
      </c>
      <c r="Y246" s="93">
        <f>SUM('31:13'!Y246)</f>
        <v>0</v>
      </c>
      <c r="Z246" s="93">
        <f>SUM('31:13'!Z246)</f>
        <v>0</v>
      </c>
      <c r="AA246" s="93">
        <f>SUM('31:13'!AA246)</f>
        <v>0</v>
      </c>
      <c r="AB246" s="73"/>
      <c r="AC246" s="54"/>
      <c r="AD246" s="346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>
      <c r="A247" s="302">
        <v>30600013</v>
      </c>
      <c r="B247" s="197" t="s">
        <v>377</v>
      </c>
      <c r="C247" s="187" t="s">
        <v>374</v>
      </c>
      <c r="D247" s="17"/>
      <c r="E247" s="17"/>
      <c r="F247" s="6"/>
      <c r="G247" s="93">
        <f>SUM('31:13'!G247)</f>
        <v>0</v>
      </c>
      <c r="H247" s="339">
        <f t="shared" si="70"/>
        <v>0</v>
      </c>
      <c r="I247" s="93">
        <f>SUM('31:13'!I247)</f>
        <v>0</v>
      </c>
      <c r="J247" s="31"/>
      <c r="K247" s="35">
        <f t="array" ref="K247">IF(ISERROR(G247/L247),"",G247/L247)</f>
        <v>0</v>
      </c>
      <c r="L247" s="87">
        <v>24</v>
      </c>
      <c r="M247" s="36">
        <f t="shared" si="83"/>
        <v>0</v>
      </c>
      <c r="N247" s="93">
        <f>SUM('31:13'!N247)</f>
        <v>0</v>
      </c>
      <c r="O247" s="93">
        <f>SUM('31:13'!O247)</f>
        <v>0</v>
      </c>
      <c r="P247" s="93">
        <f>SUM('31:13'!P247)</f>
        <v>0</v>
      </c>
      <c r="Q247" s="93">
        <f>SUM('31:13'!Q247)</f>
        <v>0</v>
      </c>
      <c r="R247" s="93">
        <f>SUM('31:13'!R247)</f>
        <v>0</v>
      </c>
      <c r="S247" s="93">
        <f>SUM('31:13'!S247)</f>
        <v>0</v>
      </c>
      <c r="T247" s="93">
        <f>SUM('31:13'!T247)</f>
        <v>0</v>
      </c>
      <c r="U247" s="93">
        <f>SUM('31:13'!U247)</f>
        <v>0</v>
      </c>
      <c r="V247" s="206"/>
      <c r="W247" s="33"/>
      <c r="X247" s="93">
        <f>SUM('31:13'!X247)</f>
        <v>0</v>
      </c>
      <c r="Y247" s="93">
        <f>SUM('31:13'!Y247)</f>
        <v>0</v>
      </c>
      <c r="Z247" s="93">
        <f>SUM('31:13'!Z247)</f>
        <v>0</v>
      </c>
      <c r="AA247" s="93">
        <f>SUM('31:13'!AA247)</f>
        <v>0</v>
      </c>
      <c r="AB247" s="73"/>
      <c r="AC247" s="54"/>
      <c r="AD247" s="346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>
      <c r="A248" s="302">
        <v>30600014</v>
      </c>
      <c r="B248" s="197" t="s">
        <v>377</v>
      </c>
      <c r="C248" s="187" t="s">
        <v>369</v>
      </c>
      <c r="D248" s="17"/>
      <c r="E248" s="17"/>
      <c r="F248" s="6"/>
      <c r="G248" s="93">
        <f>SUM('31:13'!G248)</f>
        <v>0</v>
      </c>
      <c r="H248" s="339">
        <f t="shared" si="70"/>
        <v>0</v>
      </c>
      <c r="I248" s="93">
        <f>SUM('31:13'!I248)</f>
        <v>0</v>
      </c>
      <c r="J248" s="31"/>
      <c r="K248" s="35">
        <f t="array" ref="K248">IF(ISERROR(G248/L248),"",G248/L248)</f>
        <v>0</v>
      </c>
      <c r="L248" s="87">
        <v>24</v>
      </c>
      <c r="M248" s="36">
        <f t="shared" si="83"/>
        <v>0</v>
      </c>
      <c r="N248" s="93">
        <f>SUM('31:13'!N248)</f>
        <v>0</v>
      </c>
      <c r="O248" s="93">
        <f>SUM('31:13'!O248)</f>
        <v>0</v>
      </c>
      <c r="P248" s="93">
        <f>SUM('31:13'!P248)</f>
        <v>0</v>
      </c>
      <c r="Q248" s="93">
        <f>SUM('31:13'!Q248)</f>
        <v>0</v>
      </c>
      <c r="R248" s="93">
        <f>SUM('31:13'!R248)</f>
        <v>0</v>
      </c>
      <c r="S248" s="93">
        <f>SUM('31:13'!S248)</f>
        <v>0</v>
      </c>
      <c r="T248" s="93">
        <f>SUM('31:13'!T248)</f>
        <v>0</v>
      </c>
      <c r="U248" s="93">
        <f>SUM('31:13'!U248)</f>
        <v>0</v>
      </c>
      <c r="V248" s="206"/>
      <c r="W248" s="33"/>
      <c r="X248" s="93">
        <f>SUM('31:13'!X248)</f>
        <v>0</v>
      </c>
      <c r="Y248" s="93">
        <f>SUM('31:13'!Y248)</f>
        <v>0</v>
      </c>
      <c r="Z248" s="93">
        <f>SUM('31:13'!Z248)</f>
        <v>0</v>
      </c>
      <c r="AA248" s="93">
        <f>SUM('31:13'!AA248)</f>
        <v>0</v>
      </c>
      <c r="AB248" s="73"/>
      <c r="AC248" s="54"/>
      <c r="AD248" s="346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>
      <c r="A249" s="302">
        <v>30600012</v>
      </c>
      <c r="B249" s="197" t="s">
        <v>377</v>
      </c>
      <c r="C249" s="187" t="s">
        <v>370</v>
      </c>
      <c r="D249" s="17"/>
      <c r="E249" s="17"/>
      <c r="F249" s="6"/>
      <c r="G249" s="93">
        <f>SUM('31:13'!G249)</f>
        <v>0</v>
      </c>
      <c r="H249" s="339">
        <f t="shared" si="70"/>
        <v>0</v>
      </c>
      <c r="I249" s="93">
        <f>SUM('31:13'!I249)</f>
        <v>0</v>
      </c>
      <c r="J249" s="31"/>
      <c r="K249" s="35">
        <f t="array" ref="K249">IF(ISERROR(G249/L249),"",G249/L249)</f>
        <v>0</v>
      </c>
      <c r="L249" s="87">
        <v>24</v>
      </c>
      <c r="M249" s="36">
        <f t="shared" si="83"/>
        <v>0</v>
      </c>
      <c r="N249" s="93">
        <f>SUM('31:13'!N249)</f>
        <v>0</v>
      </c>
      <c r="O249" s="93">
        <f>SUM('31:13'!O249)</f>
        <v>0</v>
      </c>
      <c r="P249" s="93">
        <f>SUM('31:13'!P249)</f>
        <v>0</v>
      </c>
      <c r="Q249" s="93">
        <f>SUM('31:13'!Q249)</f>
        <v>0</v>
      </c>
      <c r="R249" s="93">
        <f>SUM('31:13'!R249)</f>
        <v>0</v>
      </c>
      <c r="S249" s="93">
        <f>SUM('31:13'!S249)</f>
        <v>0</v>
      </c>
      <c r="T249" s="93">
        <f>SUM('31:13'!T249)</f>
        <v>0</v>
      </c>
      <c r="U249" s="93">
        <f>SUM('31:13'!U249)</f>
        <v>0</v>
      </c>
      <c r="V249" s="206"/>
      <c r="W249" s="33"/>
      <c r="X249" s="93">
        <f>SUM('31:13'!X249)</f>
        <v>0</v>
      </c>
      <c r="Y249" s="93">
        <f>SUM('31:13'!Y249)</f>
        <v>0</v>
      </c>
      <c r="Z249" s="93">
        <f>SUM('31:13'!Z249)</f>
        <v>0</v>
      </c>
      <c r="AA249" s="93">
        <f>SUM('31:13'!AA249)</f>
        <v>0</v>
      </c>
      <c r="AB249" s="73"/>
      <c r="AC249" s="54"/>
      <c r="AD249" s="346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>
      <c r="A250" s="302">
        <v>30600011</v>
      </c>
      <c r="B250" s="197" t="s">
        <v>377</v>
      </c>
      <c r="C250" s="187" t="s">
        <v>371</v>
      </c>
      <c r="D250" s="17"/>
      <c r="E250" s="17"/>
      <c r="F250" s="6"/>
      <c r="G250" s="93">
        <f>SUM('31:13'!G250)</f>
        <v>0</v>
      </c>
      <c r="H250" s="339">
        <f t="shared" si="70"/>
        <v>0</v>
      </c>
      <c r="I250" s="93">
        <f>SUM('31:13'!I250)</f>
        <v>0</v>
      </c>
      <c r="J250" s="31"/>
      <c r="K250" s="35">
        <f t="array" ref="K250">IF(ISERROR(G250/L250),"",G250/L250)</f>
        <v>0</v>
      </c>
      <c r="L250" s="87">
        <v>24</v>
      </c>
      <c r="M250" s="36">
        <f t="shared" si="83"/>
        <v>0</v>
      </c>
      <c r="N250" s="93">
        <f>SUM('31:13'!N250)</f>
        <v>0</v>
      </c>
      <c r="O250" s="93">
        <f>SUM('31:13'!O250)</f>
        <v>0</v>
      </c>
      <c r="P250" s="93">
        <f>SUM('31:13'!P250)</f>
        <v>0</v>
      </c>
      <c r="Q250" s="93">
        <f>SUM('31:13'!Q250)</f>
        <v>0</v>
      </c>
      <c r="R250" s="93">
        <f>SUM('31:13'!R250)</f>
        <v>0</v>
      </c>
      <c r="S250" s="93">
        <f>SUM('31:13'!S250)</f>
        <v>0</v>
      </c>
      <c r="T250" s="93">
        <f>SUM('31:13'!T250)</f>
        <v>0</v>
      </c>
      <c r="U250" s="93">
        <f>SUM('31:13'!U250)</f>
        <v>0</v>
      </c>
      <c r="V250" s="206"/>
      <c r="W250" s="33"/>
      <c r="X250" s="93">
        <f>SUM('31:13'!X250)</f>
        <v>0</v>
      </c>
      <c r="Y250" s="93">
        <f>SUM('31:13'!Y250)</f>
        <v>0</v>
      </c>
      <c r="Z250" s="93">
        <f>SUM('31:13'!Z250)</f>
        <v>0</v>
      </c>
      <c r="AA250" s="93">
        <f>SUM('31:13'!AA250)</f>
        <v>0</v>
      </c>
      <c r="AB250" s="73"/>
      <c r="AC250" s="54"/>
      <c r="AD250" s="346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>
      <c r="A251" s="302">
        <v>30300002</v>
      </c>
      <c r="B251" s="197" t="s">
        <v>407</v>
      </c>
      <c r="C251" s="187" t="s">
        <v>408</v>
      </c>
      <c r="D251" s="17"/>
      <c r="E251" s="17"/>
      <c r="F251" s="6"/>
      <c r="G251" s="93">
        <f>SUM('31:13'!G251)</f>
        <v>0</v>
      </c>
      <c r="H251" s="339">
        <f t="shared" si="70"/>
        <v>0</v>
      </c>
      <c r="I251" s="93">
        <f>SUM('31:13'!I251)</f>
        <v>0</v>
      </c>
      <c r="J251" s="31"/>
      <c r="K251" s="35"/>
      <c r="L251" s="87">
        <v>4</v>
      </c>
      <c r="M251" s="36"/>
      <c r="N251" s="31"/>
      <c r="O251" s="93"/>
      <c r="P251" s="93"/>
      <c r="Q251" s="93"/>
      <c r="R251" s="93"/>
      <c r="S251" s="93"/>
      <c r="T251" s="93"/>
      <c r="U251" s="93"/>
      <c r="V251" s="206"/>
      <c r="W251" s="33"/>
      <c r="X251" s="93"/>
      <c r="Y251" s="93"/>
      <c r="Z251" s="93"/>
      <c r="AA251" s="93"/>
      <c r="AB251" s="73"/>
      <c r="AC251" s="54"/>
      <c r="AD251" s="346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>
      <c r="A252" s="302">
        <v>30300001</v>
      </c>
      <c r="B252" s="197" t="s">
        <v>407</v>
      </c>
      <c r="C252" s="187" t="s">
        <v>409</v>
      </c>
      <c r="D252" s="17"/>
      <c r="E252" s="17"/>
      <c r="F252" s="6"/>
      <c r="G252" s="93">
        <f>SUM('31:13'!G252)</f>
        <v>0</v>
      </c>
      <c r="H252" s="339">
        <f t="shared" si="70"/>
        <v>0</v>
      </c>
      <c r="I252" s="93">
        <f>SUM('31:13'!I252)</f>
        <v>0</v>
      </c>
      <c r="J252" s="31"/>
      <c r="K252" s="35"/>
      <c r="L252" s="87">
        <v>4</v>
      </c>
      <c r="M252" s="36"/>
      <c r="N252" s="31"/>
      <c r="O252" s="93"/>
      <c r="P252" s="93"/>
      <c r="Q252" s="93"/>
      <c r="R252" s="93"/>
      <c r="S252" s="93"/>
      <c r="T252" s="93"/>
      <c r="U252" s="93"/>
      <c r="V252" s="206"/>
      <c r="W252" s="33"/>
      <c r="X252" s="93"/>
      <c r="Y252" s="93"/>
      <c r="Z252" s="93"/>
      <c r="AA252" s="93"/>
      <c r="AB252" s="73"/>
      <c r="AC252" s="54"/>
      <c r="AD252" s="346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>
      <c r="A253" s="302">
        <v>30300003</v>
      </c>
      <c r="B253" s="197" t="s">
        <v>407</v>
      </c>
      <c r="C253" s="187" t="s">
        <v>411</v>
      </c>
      <c r="D253" s="17"/>
      <c r="E253" s="17"/>
      <c r="F253" s="6"/>
      <c r="G253" s="93">
        <f>SUM('31:13'!G253)</f>
        <v>0</v>
      </c>
      <c r="H253" s="339">
        <f t="shared" si="70"/>
        <v>0</v>
      </c>
      <c r="I253" s="93">
        <f>SUM('31:13'!I253)</f>
        <v>0</v>
      </c>
      <c r="J253" s="31"/>
      <c r="K253" s="35"/>
      <c r="L253" s="87">
        <v>4</v>
      </c>
      <c r="M253" s="36"/>
      <c r="N253" s="31"/>
      <c r="O253" s="93"/>
      <c r="P253" s="93"/>
      <c r="Q253" s="93"/>
      <c r="R253" s="93"/>
      <c r="S253" s="93"/>
      <c r="T253" s="93"/>
      <c r="U253" s="93"/>
      <c r="V253" s="206"/>
      <c r="W253" s="33"/>
      <c r="X253" s="93"/>
      <c r="Y253" s="93"/>
      <c r="Z253" s="93"/>
      <c r="AA253" s="93"/>
      <c r="AB253" s="73"/>
      <c r="AC253" s="54"/>
      <c r="AD253" s="346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>
      <c r="A254" s="302">
        <v>30300005</v>
      </c>
      <c r="B254" s="189" t="s">
        <v>363</v>
      </c>
      <c r="C254" s="16" t="s">
        <v>349</v>
      </c>
      <c r="D254" s="17"/>
      <c r="E254" s="17"/>
      <c r="F254" s="6"/>
      <c r="G254" s="93">
        <f>SUM('31:13'!G254)</f>
        <v>0</v>
      </c>
      <c r="H254" s="339">
        <f t="shared" si="70"/>
        <v>0</v>
      </c>
      <c r="I254" s="93">
        <f>SUM('31:13'!I254)</f>
        <v>0</v>
      </c>
      <c r="J254" s="31"/>
      <c r="K254" s="35"/>
      <c r="L254" s="87">
        <v>4</v>
      </c>
      <c r="M254" s="36"/>
      <c r="N254" s="31"/>
      <c r="O254" s="93">
        <f>SUM('31:13'!O254)</f>
        <v>0</v>
      </c>
      <c r="P254" s="93">
        <f>SUM('31:13'!P254)</f>
        <v>0</v>
      </c>
      <c r="Q254" s="93">
        <f>SUM('31:13'!Q254)</f>
        <v>0</v>
      </c>
      <c r="R254" s="93">
        <f>SUM('31:13'!R254)</f>
        <v>0</v>
      </c>
      <c r="S254" s="93">
        <f>SUM('31:13'!S254)</f>
        <v>0</v>
      </c>
      <c r="T254" s="93">
        <f>SUM('31:13'!T254)</f>
        <v>0</v>
      </c>
      <c r="U254" s="93">
        <f>SUM('31:13'!U254)</f>
        <v>0</v>
      </c>
      <c r="V254" s="206"/>
      <c r="W254" s="33"/>
      <c r="X254" s="93">
        <f>SUM('31:13'!X254)</f>
        <v>0</v>
      </c>
      <c r="Y254" s="93">
        <f>SUM('31:13'!Y254)</f>
        <v>0</v>
      </c>
      <c r="Z254" s="93">
        <f>SUM('31:13'!Z254)</f>
        <v>0</v>
      </c>
      <c r="AA254" s="93">
        <f>SUM('31:13'!AA254)</f>
        <v>0</v>
      </c>
      <c r="AB254" s="73"/>
      <c r="AC254" s="54"/>
      <c r="AD254" s="346"/>
      <c r="AE254" s="54"/>
      <c r="AF254" s="54"/>
      <c r="AG254" s="54"/>
      <c r="AH254" s="5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>
      <c r="A255" s="302">
        <v>30300004</v>
      </c>
      <c r="B255" s="189" t="s">
        <v>363</v>
      </c>
      <c r="C255" s="16" t="s">
        <v>350</v>
      </c>
      <c r="D255" s="17"/>
      <c r="E255" s="17"/>
      <c r="F255" s="6"/>
      <c r="G255" s="93">
        <f>SUM('31:13'!G255)</f>
        <v>0</v>
      </c>
      <c r="H255" s="339">
        <f t="shared" si="70"/>
        <v>0</v>
      </c>
      <c r="I255" s="93">
        <f>SUM('31:13'!I255)</f>
        <v>0</v>
      </c>
      <c r="J255" s="31"/>
      <c r="K255" s="35"/>
      <c r="L255" s="87">
        <v>4</v>
      </c>
      <c r="M255" s="36"/>
      <c r="N255" s="31"/>
      <c r="O255" s="93">
        <f>SUM('31:13'!O255)</f>
        <v>0</v>
      </c>
      <c r="P255" s="93">
        <f>SUM('31:13'!P255)</f>
        <v>0</v>
      </c>
      <c r="Q255" s="93">
        <f>SUM('31:13'!Q255)</f>
        <v>0</v>
      </c>
      <c r="R255" s="93">
        <f>SUM('31:13'!R255)</f>
        <v>0</v>
      </c>
      <c r="S255" s="93">
        <f>SUM('31:13'!S255)</f>
        <v>0</v>
      </c>
      <c r="T255" s="93">
        <f>SUM('31:13'!T255)</f>
        <v>0</v>
      </c>
      <c r="U255" s="93">
        <f>SUM('31:13'!U255)</f>
        <v>0</v>
      </c>
      <c r="V255" s="206"/>
      <c r="W255" s="33"/>
      <c r="X255" s="93">
        <f>SUM('31:13'!X255)</f>
        <v>0</v>
      </c>
      <c r="Y255" s="93">
        <f>SUM('31:13'!Y255)</f>
        <v>0</v>
      </c>
      <c r="Z255" s="93">
        <f>SUM('31:13'!Z255)</f>
        <v>0</v>
      </c>
      <c r="AA255" s="93">
        <f>SUM('31:13'!AA255)</f>
        <v>0</v>
      </c>
      <c r="AB255" s="73"/>
      <c r="AC255" s="54"/>
      <c r="AD255" s="346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>
      <c r="A256" s="302">
        <v>30300006</v>
      </c>
      <c r="B256" s="189" t="s">
        <v>363</v>
      </c>
      <c r="C256" s="16" t="s">
        <v>351</v>
      </c>
      <c r="D256" s="17"/>
      <c r="E256" s="17"/>
      <c r="F256" s="6"/>
      <c r="G256" s="93">
        <f>SUM('31:13'!G256)</f>
        <v>0</v>
      </c>
      <c r="H256" s="339">
        <f t="shared" si="70"/>
        <v>0</v>
      </c>
      <c r="I256" s="93">
        <f>SUM('31:13'!I256)</f>
        <v>0</v>
      </c>
      <c r="J256" s="31"/>
      <c r="K256" s="35"/>
      <c r="L256" s="87">
        <v>4</v>
      </c>
      <c r="M256" s="36"/>
      <c r="N256" s="31"/>
      <c r="O256" s="93">
        <f>SUM('31:13'!O256)</f>
        <v>0</v>
      </c>
      <c r="P256" s="93">
        <f>SUM('31:13'!P256)</f>
        <v>0</v>
      </c>
      <c r="Q256" s="93">
        <f>SUM('31:13'!Q256)</f>
        <v>0</v>
      </c>
      <c r="R256" s="93">
        <f>SUM('31:13'!R256)</f>
        <v>0</v>
      </c>
      <c r="S256" s="93">
        <f>SUM('31:13'!S256)</f>
        <v>0</v>
      </c>
      <c r="T256" s="93">
        <f>SUM('31:13'!T256)</f>
        <v>0</v>
      </c>
      <c r="U256" s="93">
        <f>SUM('31:13'!U256)</f>
        <v>0</v>
      </c>
      <c r="V256" s="206"/>
      <c r="W256" s="33"/>
      <c r="X256" s="93">
        <f>SUM('31:13'!X256)</f>
        <v>0</v>
      </c>
      <c r="Y256" s="93">
        <f>SUM('31:13'!Y256)</f>
        <v>0</v>
      </c>
      <c r="Z256" s="93">
        <f>SUM('31:13'!Z256)</f>
        <v>0</v>
      </c>
      <c r="AA256" s="93">
        <f>SUM('31:13'!AA256)</f>
        <v>0</v>
      </c>
      <c r="AB256" s="73"/>
      <c r="AC256" s="54"/>
      <c r="AD256" s="346"/>
      <c r="AE256" s="54"/>
      <c r="AF256" s="54"/>
      <c r="AG256" s="54"/>
      <c r="AH256" s="5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>
      <c r="A257" s="699" t="s">
        <v>86</v>
      </c>
      <c r="B257" s="699"/>
      <c r="C257" s="342" t="s">
        <v>71</v>
      </c>
      <c r="D257" s="20"/>
      <c r="E257" s="20"/>
      <c r="F257" s="32"/>
      <c r="G257" s="94">
        <f>SUM(G200:G256)</f>
        <v>35730</v>
      </c>
      <c r="H257" s="30">
        <f>SUM(H200:H256)</f>
        <v>180198.07</v>
      </c>
      <c r="I257" s="30">
        <f>SUM(I200:I256)</f>
        <v>1064.75</v>
      </c>
      <c r="J257" s="31">
        <f t="array" ref="J257">IF(ISERROR(G257/I257),"",G257/I257)</f>
        <v>33.5571730453158</v>
      </c>
      <c r="K257" s="30">
        <f>SUM(K200:K256)</f>
        <v>908.86536322420034</v>
      </c>
      <c r="L257" s="98"/>
      <c r="M257" s="89">
        <f t="shared" ref="M257:V257" si="88">SUM(M200:M256)</f>
        <v>59.384636775799564</v>
      </c>
      <c r="N257" s="30">
        <f t="shared" si="88"/>
        <v>0</v>
      </c>
      <c r="O257" s="91">
        <f t="shared" si="88"/>
        <v>0</v>
      </c>
      <c r="P257" s="91">
        <f t="shared" si="88"/>
        <v>0</v>
      </c>
      <c r="Q257" s="91">
        <f t="shared" si="88"/>
        <v>0</v>
      </c>
      <c r="R257" s="91">
        <f t="shared" si="88"/>
        <v>0</v>
      </c>
      <c r="S257" s="92">
        <f t="shared" si="88"/>
        <v>0</v>
      </c>
      <c r="T257" s="91">
        <f t="shared" si="88"/>
        <v>0</v>
      </c>
      <c r="U257" s="91">
        <f t="shared" si="88"/>
        <v>0</v>
      </c>
      <c r="V257" s="206">
        <f t="shared" si="88"/>
        <v>0</v>
      </c>
      <c r="W257" s="33">
        <f t="shared" ref="W257:W264" si="89">IF(ISERROR(V257/G257),"",V257/G257)</f>
        <v>0</v>
      </c>
      <c r="X257" s="92">
        <f>SUM(X200:X256)</f>
        <v>0</v>
      </c>
      <c r="Y257" s="92">
        <f>SUM(Y200:Y256)</f>
        <v>0</v>
      </c>
      <c r="Z257" s="92">
        <f>SUM(Z200:Z256)</f>
        <v>0</v>
      </c>
      <c r="AA257" s="92">
        <f>SUM(AA200:AA256)</f>
        <v>0</v>
      </c>
      <c r="AB257" s="75"/>
      <c r="AC257" s="70"/>
      <c r="AD257" s="346"/>
      <c r="AE257" s="74"/>
      <c r="AF257" s="74"/>
      <c r="AG257" s="74"/>
      <c r="AH257" s="7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>
      <c r="A258" s="299">
        <v>30400012</v>
      </c>
      <c r="B258" s="61" t="s">
        <v>87</v>
      </c>
      <c r="C258" s="16" t="s">
        <v>53</v>
      </c>
      <c r="D258" s="17">
        <v>5.03</v>
      </c>
      <c r="E258" s="17"/>
      <c r="F258" s="6"/>
      <c r="G258" s="93">
        <f>SUM('31:13'!G258)</f>
        <v>0</v>
      </c>
      <c r="H258" s="339">
        <f>D258*G258</f>
        <v>0</v>
      </c>
      <c r="I258" s="93">
        <f>SUM('31:13'!I258)</f>
        <v>0</v>
      </c>
      <c r="J258" s="31" t="str">
        <f t="array" ref="J258">IF(ISERROR(G258/I258),"",G258/I258)</f>
        <v/>
      </c>
      <c r="K258" s="35">
        <f t="array" ref="K258">IF(ISERROR(G258/L258),"",G258/L258)</f>
        <v>0</v>
      </c>
      <c r="L258" s="87">
        <v>8.8000000000000007</v>
      </c>
      <c r="M258" s="36">
        <f t="shared" ref="M258:M265" si="90">IF(ISERROR(I258-K258),"",I258-K258)</f>
        <v>0</v>
      </c>
      <c r="N258" s="31">
        <f t="shared" ref="N258:N265" si="91">SUM(O258:U258)</f>
        <v>0</v>
      </c>
      <c r="O258" s="93">
        <f>SUM('31:13'!O258)</f>
        <v>0</v>
      </c>
      <c r="P258" s="93">
        <f>SUM('31:13'!P258)</f>
        <v>0</v>
      </c>
      <c r="Q258" s="93">
        <f>SUM('31:13'!Q258)</f>
        <v>0</v>
      </c>
      <c r="R258" s="93">
        <f>SUM('31:13'!R258)</f>
        <v>0</v>
      </c>
      <c r="S258" s="93">
        <f>SUM('31:13'!S258)</f>
        <v>0</v>
      </c>
      <c r="T258" s="93">
        <f>SUM('31:13'!T258)</f>
        <v>0</v>
      </c>
      <c r="U258" s="93">
        <f>SUM('31:13'!U258)</f>
        <v>0</v>
      </c>
      <c r="V258" s="206">
        <f t="shared" ref="V258:V264" si="92">SUM(X258:AA258)</f>
        <v>0</v>
      </c>
      <c r="W258" s="33" t="str">
        <f t="shared" si="89"/>
        <v/>
      </c>
      <c r="X258" s="93">
        <f>SUM('31:13'!X258)</f>
        <v>0</v>
      </c>
      <c r="Y258" s="93">
        <f>SUM('31:13'!Y258)</f>
        <v>0</v>
      </c>
      <c r="Z258" s="93">
        <f>SUM('31:13'!Z258)</f>
        <v>0</v>
      </c>
      <c r="AA258" s="93">
        <f>SUM('31:13'!AA258)</f>
        <v>0</v>
      </c>
      <c r="AB258" s="73"/>
      <c r="AC258" s="54"/>
      <c r="AD258" s="346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>
      <c r="A259" s="299">
        <v>30400010</v>
      </c>
      <c r="B259" s="61" t="s">
        <v>87</v>
      </c>
      <c r="C259" s="16" t="s">
        <v>60</v>
      </c>
      <c r="D259" s="17">
        <v>5.03</v>
      </c>
      <c r="E259" s="17"/>
      <c r="F259" s="6"/>
      <c r="G259" s="93">
        <f>SUM('31:13'!G259)</f>
        <v>0</v>
      </c>
      <c r="H259" s="339">
        <f t="shared" ref="H259:H291" si="93">D259*G259</f>
        <v>0</v>
      </c>
      <c r="I259" s="93">
        <f>SUM('31:13'!I259)</f>
        <v>0</v>
      </c>
      <c r="J259" s="31" t="str">
        <f t="array" ref="J259">IF(ISERROR(G259/I259),"",G259/I259)</f>
        <v/>
      </c>
      <c r="K259" s="35">
        <f t="array" ref="K259">IF(ISERROR(G259/L259),"",G259/L259)</f>
        <v>0</v>
      </c>
      <c r="L259" s="87">
        <v>8.8000000000000007</v>
      </c>
      <c r="M259" s="36">
        <f t="shared" si="90"/>
        <v>0</v>
      </c>
      <c r="N259" s="31">
        <f t="shared" si="91"/>
        <v>0</v>
      </c>
      <c r="O259" s="93">
        <f>SUM('31:13'!O259)</f>
        <v>0</v>
      </c>
      <c r="P259" s="93">
        <f>SUM('31:13'!P259)</f>
        <v>0</v>
      </c>
      <c r="Q259" s="93">
        <f>SUM('31:13'!Q259)</f>
        <v>0</v>
      </c>
      <c r="R259" s="93">
        <f>SUM('31:13'!R259)</f>
        <v>0</v>
      </c>
      <c r="S259" s="93">
        <f>SUM('31:13'!S259)</f>
        <v>0</v>
      </c>
      <c r="T259" s="93">
        <f>SUM('31:13'!T259)</f>
        <v>0</v>
      </c>
      <c r="U259" s="93">
        <f>SUM('31:13'!U259)</f>
        <v>0</v>
      </c>
      <c r="V259" s="206">
        <f t="shared" si="92"/>
        <v>0</v>
      </c>
      <c r="W259" s="33" t="str">
        <f t="shared" si="89"/>
        <v/>
      </c>
      <c r="X259" s="93">
        <f>SUM('31:13'!X259)</f>
        <v>0</v>
      </c>
      <c r="Y259" s="93">
        <f>SUM('31:13'!Y259)</f>
        <v>0</v>
      </c>
      <c r="Z259" s="93">
        <f>SUM('31:13'!Z259)</f>
        <v>0</v>
      </c>
      <c r="AA259" s="93">
        <f>SUM('31:13'!AA259)</f>
        <v>0</v>
      </c>
      <c r="AB259" s="73"/>
      <c r="AC259" s="54"/>
      <c r="AD259" s="346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>
      <c r="A260" s="299">
        <v>30400011</v>
      </c>
      <c r="B260" s="61" t="s">
        <v>87</v>
      </c>
      <c r="C260" s="16" t="s">
        <v>74</v>
      </c>
      <c r="D260" s="17">
        <v>5.03</v>
      </c>
      <c r="E260" s="17"/>
      <c r="F260" s="6"/>
      <c r="G260" s="93">
        <f>SUM('31:13'!G260)</f>
        <v>28</v>
      </c>
      <c r="H260" s="339">
        <f t="shared" si="93"/>
        <v>140.84</v>
      </c>
      <c r="I260" s="93">
        <f>SUM('31:13'!I260)</f>
        <v>3</v>
      </c>
      <c r="J260" s="31">
        <f t="array" ref="J260">IF(ISERROR(G260/I260),"",G260/I260)</f>
        <v>9.3333333333333339</v>
      </c>
      <c r="K260" s="35">
        <f t="array" ref="K260">IF(ISERROR(G260/L260),"",G260/L260)</f>
        <v>3.1818181818181817</v>
      </c>
      <c r="L260" s="87">
        <v>8.8000000000000007</v>
      </c>
      <c r="M260" s="36">
        <f t="shared" si="90"/>
        <v>-0.18181818181818166</v>
      </c>
      <c r="N260" s="31">
        <f t="shared" si="91"/>
        <v>0</v>
      </c>
      <c r="O260" s="93">
        <f>SUM('31:13'!O260)</f>
        <v>0</v>
      </c>
      <c r="P260" s="93">
        <f>SUM('31:13'!P260)</f>
        <v>0</v>
      </c>
      <c r="Q260" s="93">
        <f>SUM('31:13'!Q260)</f>
        <v>0</v>
      </c>
      <c r="R260" s="93">
        <f>SUM('31:13'!R260)</f>
        <v>0</v>
      </c>
      <c r="S260" s="93">
        <f>SUM('31:13'!S260)</f>
        <v>0</v>
      </c>
      <c r="T260" s="93">
        <f>SUM('31:13'!T260)</f>
        <v>0</v>
      </c>
      <c r="U260" s="93">
        <f>SUM('31:13'!U260)</f>
        <v>0</v>
      </c>
      <c r="V260" s="206">
        <f t="shared" si="92"/>
        <v>0</v>
      </c>
      <c r="W260" s="33">
        <f t="shared" si="89"/>
        <v>0</v>
      </c>
      <c r="X260" s="93">
        <f>SUM('31:13'!X260)</f>
        <v>0</v>
      </c>
      <c r="Y260" s="93">
        <f>SUM('31:13'!Y260)</f>
        <v>0</v>
      </c>
      <c r="Z260" s="93">
        <f>SUM('31:13'!Z260)</f>
        <v>0</v>
      </c>
      <c r="AA260" s="93">
        <f>SUM('31:13'!AA260)</f>
        <v>0</v>
      </c>
      <c r="AB260" s="73"/>
      <c r="AC260" s="54"/>
      <c r="AD260" s="346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>
      <c r="A261" s="299">
        <v>30400014</v>
      </c>
      <c r="B261" s="215" t="s">
        <v>513</v>
      </c>
      <c r="C261" s="16" t="s">
        <v>53</v>
      </c>
      <c r="D261" s="17">
        <v>5.03</v>
      </c>
      <c r="E261" s="17"/>
      <c r="F261" s="6"/>
      <c r="G261" s="93">
        <f>SUM('31:13'!G261)</f>
        <v>0</v>
      </c>
      <c r="H261" s="339">
        <f t="shared" si="93"/>
        <v>0</v>
      </c>
      <c r="I261" s="93">
        <f>SUM('31:13'!I261)</f>
        <v>0</v>
      </c>
      <c r="J261" s="31" t="str">
        <f t="array" ref="J261">IF(ISERROR(G261/I261),"",G261/I261)</f>
        <v/>
      </c>
      <c r="K261" s="35">
        <f t="array" ref="K261">IF(ISERROR(G261/L261),"",G261/L261)</f>
        <v>0</v>
      </c>
      <c r="L261" s="87">
        <v>9.3000000000000007</v>
      </c>
      <c r="M261" s="36">
        <f t="shared" si="90"/>
        <v>0</v>
      </c>
      <c r="N261" s="31">
        <f t="shared" si="91"/>
        <v>0</v>
      </c>
      <c r="O261" s="93">
        <f>SUM('31:13'!O261)</f>
        <v>0</v>
      </c>
      <c r="P261" s="93">
        <f>SUM('31:13'!P261)</f>
        <v>0</v>
      </c>
      <c r="Q261" s="93">
        <f>SUM('31:13'!Q261)</f>
        <v>0</v>
      </c>
      <c r="R261" s="93">
        <f>SUM('31:13'!R261)</f>
        <v>0</v>
      </c>
      <c r="S261" s="93">
        <f>SUM('31:13'!S261)</f>
        <v>0</v>
      </c>
      <c r="T261" s="93">
        <f>SUM('31:13'!T261)</f>
        <v>0</v>
      </c>
      <c r="U261" s="93">
        <f>SUM('31:13'!U261)</f>
        <v>0</v>
      </c>
      <c r="V261" s="206">
        <f t="shared" si="92"/>
        <v>0</v>
      </c>
      <c r="W261" s="33" t="str">
        <f t="shared" si="89"/>
        <v/>
      </c>
      <c r="X261" s="93">
        <f>SUM('31:13'!X261)</f>
        <v>0</v>
      </c>
      <c r="Y261" s="93">
        <f>SUM('31:13'!Y261)</f>
        <v>0</v>
      </c>
      <c r="Z261" s="93">
        <f>SUM('31:13'!Z261)</f>
        <v>0</v>
      </c>
      <c r="AA261" s="93">
        <f>SUM('31:13'!AA261)</f>
        <v>0</v>
      </c>
      <c r="AB261" s="73"/>
      <c r="AC261" s="54"/>
      <c r="AD261" s="346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>
      <c r="A262" s="299">
        <v>30400013</v>
      </c>
      <c r="B262" s="215" t="s">
        <v>473</v>
      </c>
      <c r="C262" s="16" t="s">
        <v>72</v>
      </c>
      <c r="D262" s="17">
        <v>5.03</v>
      </c>
      <c r="E262" s="17"/>
      <c r="F262" s="6"/>
      <c r="G262" s="93">
        <f>SUM('31:13'!G262)</f>
        <v>218</v>
      </c>
      <c r="H262" s="339">
        <f t="shared" si="93"/>
        <v>1096.54</v>
      </c>
      <c r="I262" s="93">
        <f>SUM('31:13'!I262)</f>
        <v>31.5</v>
      </c>
      <c r="J262" s="31">
        <f t="array" ref="J262">IF(ISERROR(G262/I262),"",G262/I262)</f>
        <v>6.9206349206349209</v>
      </c>
      <c r="K262" s="35">
        <f t="array" ref="K262">IF(ISERROR(G262/L262),"",G262/L262)</f>
        <v>23.44086021505376</v>
      </c>
      <c r="L262" s="87">
        <v>9.3000000000000007</v>
      </c>
      <c r="M262" s="36">
        <f t="shared" si="90"/>
        <v>8.0591397849462396</v>
      </c>
      <c r="N262" s="31">
        <f t="shared" si="91"/>
        <v>0</v>
      </c>
      <c r="O262" s="93">
        <f>SUM('31:13'!O262)</f>
        <v>0</v>
      </c>
      <c r="P262" s="93">
        <f>SUM('31:13'!P262)</f>
        <v>0</v>
      </c>
      <c r="Q262" s="93">
        <f>SUM('31:13'!Q262)</f>
        <v>0</v>
      </c>
      <c r="R262" s="93">
        <f>SUM('31:13'!R262)</f>
        <v>0</v>
      </c>
      <c r="S262" s="93">
        <f>SUM('31:13'!S262)</f>
        <v>0</v>
      </c>
      <c r="T262" s="93">
        <f>SUM('31:13'!T262)</f>
        <v>0</v>
      </c>
      <c r="U262" s="93">
        <f>SUM('31:13'!U262)</f>
        <v>0</v>
      </c>
      <c r="V262" s="206">
        <f t="shared" si="92"/>
        <v>0</v>
      </c>
      <c r="W262" s="33">
        <f t="shared" si="89"/>
        <v>0</v>
      </c>
      <c r="X262" s="93">
        <f>SUM('31:13'!X262)</f>
        <v>0</v>
      </c>
      <c r="Y262" s="93">
        <f>SUM('31:13'!Y262)</f>
        <v>0</v>
      </c>
      <c r="Z262" s="93">
        <f>SUM('31:13'!Z262)</f>
        <v>0</v>
      </c>
      <c r="AA262" s="93">
        <f>SUM('31:13'!AA262)</f>
        <v>0</v>
      </c>
      <c r="AB262" s="73"/>
      <c r="AC262" s="54"/>
      <c r="AD262" s="346"/>
      <c r="AE262" s="54"/>
      <c r="AF262" s="54"/>
      <c r="AG262" s="54"/>
      <c r="AH262" s="54"/>
      <c r="AI262" s="57"/>
      <c r="AJ262" s="57"/>
      <c r="AK262" s="57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</row>
    <row r="263" spans="1:53">
      <c r="A263" s="299">
        <v>30400016</v>
      </c>
      <c r="B263" s="215" t="s">
        <v>513</v>
      </c>
      <c r="C263" s="16" t="s">
        <v>60</v>
      </c>
      <c r="D263" s="17">
        <v>5.03</v>
      </c>
      <c r="E263" s="17"/>
      <c r="F263" s="6"/>
      <c r="G263" s="93">
        <f>SUM('31:13'!G263)</f>
        <v>186</v>
      </c>
      <c r="H263" s="339">
        <f t="shared" si="93"/>
        <v>935.58</v>
      </c>
      <c r="I263" s="93">
        <f>SUM('31:13'!I263)</f>
        <v>32</v>
      </c>
      <c r="J263" s="31">
        <f t="array" ref="J263">IF(ISERROR(G263/I263),"",G263/I263)</f>
        <v>5.8125</v>
      </c>
      <c r="K263" s="35">
        <f t="array" ref="K263">IF(ISERROR(G263/L263),"",G263/L263)</f>
        <v>20</v>
      </c>
      <c r="L263" s="87">
        <v>9.3000000000000007</v>
      </c>
      <c r="M263" s="36">
        <f t="shared" si="90"/>
        <v>12</v>
      </c>
      <c r="N263" s="31">
        <f t="shared" si="91"/>
        <v>0</v>
      </c>
      <c r="O263" s="93">
        <f>SUM('31:13'!O263)</f>
        <v>0</v>
      </c>
      <c r="P263" s="93">
        <f>SUM('31:13'!P263)</f>
        <v>0</v>
      </c>
      <c r="Q263" s="93">
        <f>SUM('31:13'!Q263)</f>
        <v>0</v>
      </c>
      <c r="R263" s="93">
        <f>SUM('31:13'!R263)</f>
        <v>0</v>
      </c>
      <c r="S263" s="93">
        <f>SUM('31:13'!S263)</f>
        <v>0</v>
      </c>
      <c r="T263" s="93">
        <f>SUM('31:13'!T263)</f>
        <v>0</v>
      </c>
      <c r="U263" s="93">
        <f>SUM('31:13'!U263)</f>
        <v>0</v>
      </c>
      <c r="V263" s="206">
        <f t="shared" si="92"/>
        <v>0</v>
      </c>
      <c r="W263" s="33">
        <f t="shared" si="89"/>
        <v>0</v>
      </c>
      <c r="X263" s="93">
        <f>SUM('31:13'!X263)</f>
        <v>0</v>
      </c>
      <c r="Y263" s="93">
        <f>SUM('31:13'!Y263)</f>
        <v>0</v>
      </c>
      <c r="Z263" s="93">
        <f>SUM('31:13'!Z263)</f>
        <v>0</v>
      </c>
      <c r="AA263" s="93">
        <f>SUM('31:13'!AA263)</f>
        <v>0</v>
      </c>
      <c r="AB263" s="73"/>
      <c r="AC263" s="54"/>
      <c r="AD263" s="346"/>
      <c r="AE263" s="54"/>
      <c r="AF263" s="54"/>
      <c r="AG263" s="54"/>
      <c r="AH263" s="54"/>
      <c r="AI263" s="57"/>
      <c r="AJ263" s="57"/>
      <c r="AK263" s="57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</row>
    <row r="264" spans="1:53">
      <c r="A264" s="299">
        <v>30400017</v>
      </c>
      <c r="B264" s="215" t="s">
        <v>513</v>
      </c>
      <c r="C264" s="16" t="s">
        <v>66</v>
      </c>
      <c r="D264" s="17">
        <v>5.03</v>
      </c>
      <c r="E264" s="17"/>
      <c r="F264" s="6"/>
      <c r="G264" s="93">
        <f>SUM('31:13'!G264)</f>
        <v>210</v>
      </c>
      <c r="H264" s="339">
        <f t="shared" si="93"/>
        <v>1056.3</v>
      </c>
      <c r="I264" s="93">
        <f>SUM('31:13'!I264)</f>
        <v>33</v>
      </c>
      <c r="J264" s="31">
        <f t="array" ref="J264">IF(ISERROR(G264/I264),"",G264/I264)</f>
        <v>6.3636363636363633</v>
      </c>
      <c r="K264" s="35">
        <f t="array" ref="K264">IF(ISERROR(G264/L264),"",G264/L264)</f>
        <v>22.58064516129032</v>
      </c>
      <c r="L264" s="87">
        <v>9.3000000000000007</v>
      </c>
      <c r="M264" s="36">
        <f t="shared" si="90"/>
        <v>10.41935483870968</v>
      </c>
      <c r="N264" s="31">
        <f t="shared" si="91"/>
        <v>0</v>
      </c>
      <c r="O264" s="93">
        <f>SUM('31:13'!O264)</f>
        <v>0</v>
      </c>
      <c r="P264" s="93">
        <f>SUM('31:13'!P264)</f>
        <v>0</v>
      </c>
      <c r="Q264" s="93">
        <f>SUM('31:13'!Q264)</f>
        <v>0</v>
      </c>
      <c r="R264" s="93">
        <f>SUM('31:13'!R264)</f>
        <v>0</v>
      </c>
      <c r="S264" s="93">
        <f>SUM('31:13'!S264)</f>
        <v>0</v>
      </c>
      <c r="T264" s="93">
        <f>SUM('31:13'!T264)</f>
        <v>0</v>
      </c>
      <c r="U264" s="93">
        <f>SUM('31:13'!U264)</f>
        <v>0</v>
      </c>
      <c r="V264" s="206">
        <f t="shared" si="92"/>
        <v>0</v>
      </c>
      <c r="W264" s="33">
        <f t="shared" si="89"/>
        <v>0</v>
      </c>
      <c r="X264" s="93">
        <f>SUM('31:13'!X264)</f>
        <v>0</v>
      </c>
      <c r="Y264" s="93">
        <f>SUM('31:13'!Y264)</f>
        <v>0</v>
      </c>
      <c r="Z264" s="93">
        <f>SUM('31:13'!Z264)</f>
        <v>0</v>
      </c>
      <c r="AA264" s="93">
        <f>SUM('31:13'!AA264)</f>
        <v>0</v>
      </c>
      <c r="AB264" s="73"/>
      <c r="AC264" s="54"/>
      <c r="AD264" s="346"/>
      <c r="AE264" s="54"/>
      <c r="AF264" s="54"/>
      <c r="AG264" s="54"/>
      <c r="AH264" s="54"/>
      <c r="AI264" s="57"/>
      <c r="AJ264" s="57"/>
      <c r="AK264" s="57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</row>
    <row r="265" spans="1:53">
      <c r="A265" s="299">
        <v>30400015</v>
      </c>
      <c r="B265" s="65" t="s">
        <v>512</v>
      </c>
      <c r="C265" s="16" t="s">
        <v>177</v>
      </c>
      <c r="D265" s="17">
        <v>5.03</v>
      </c>
      <c r="E265" s="17"/>
      <c r="F265" s="6"/>
      <c r="G265" s="93">
        <f>SUM('31:13'!G265)</f>
        <v>96</v>
      </c>
      <c r="H265" s="339">
        <f t="shared" si="93"/>
        <v>482.88</v>
      </c>
      <c r="I265" s="93">
        <f>SUM('31:13'!I265)</f>
        <v>11</v>
      </c>
      <c r="J265" s="31"/>
      <c r="K265" s="35">
        <f t="array" ref="K265">IF(ISERROR(G265/L265),"",G265/L265)</f>
        <v>10.32258064516129</v>
      </c>
      <c r="L265" s="87">
        <v>9.3000000000000007</v>
      </c>
      <c r="M265" s="36">
        <f t="shared" si="90"/>
        <v>0.67741935483870996</v>
      </c>
      <c r="N265" s="31">
        <f t="shared" si="91"/>
        <v>0</v>
      </c>
      <c r="O265" s="93">
        <f>SUM('31:13'!O265)</f>
        <v>0</v>
      </c>
      <c r="P265" s="93">
        <f>SUM('31:13'!P265)</f>
        <v>0</v>
      </c>
      <c r="Q265" s="93">
        <f>SUM('31:13'!Q265)</f>
        <v>0</v>
      </c>
      <c r="R265" s="93">
        <f>SUM('31:13'!R265)</f>
        <v>0</v>
      </c>
      <c r="S265" s="93">
        <f>SUM('31:13'!S265)</f>
        <v>0</v>
      </c>
      <c r="T265" s="93">
        <f>SUM('31:13'!T265)</f>
        <v>0</v>
      </c>
      <c r="U265" s="93">
        <f>SUM('31:13'!U265)</f>
        <v>0</v>
      </c>
      <c r="V265" s="207"/>
      <c r="W265" s="33"/>
      <c r="X265" s="93">
        <f>SUM('31:13'!X265)</f>
        <v>0</v>
      </c>
      <c r="Y265" s="93">
        <f>SUM('31:13'!Y265)</f>
        <v>0</v>
      </c>
      <c r="Z265" s="93">
        <f>SUM('31:13'!Z265)</f>
        <v>0</v>
      </c>
      <c r="AA265" s="93">
        <f>SUM('31:13'!AA265)</f>
        <v>0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>
      <c r="A266" s="304">
        <v>30600004</v>
      </c>
      <c r="B266" s="65" t="s">
        <v>162</v>
      </c>
      <c r="C266" s="16" t="s">
        <v>53</v>
      </c>
      <c r="D266" s="17">
        <v>5.03</v>
      </c>
      <c r="E266" s="17"/>
      <c r="F266" s="6"/>
      <c r="G266" s="93">
        <f>SUM('31:13'!G266)</f>
        <v>0</v>
      </c>
      <c r="H266" s="339">
        <f t="shared" si="93"/>
        <v>0</v>
      </c>
      <c r="I266" s="93">
        <f>SUM('31:13'!I266)</f>
        <v>0</v>
      </c>
      <c r="J266" s="31" t="str">
        <f t="array" ref="J266">IF(ISERROR(G266/I266),"",G266/I266)</f>
        <v/>
      </c>
      <c r="K266" s="35">
        <f t="array" ref="K266">IF(ISERROR(G266/L266),"",G266/L266)</f>
        <v>0</v>
      </c>
      <c r="L266" s="87">
        <v>8</v>
      </c>
      <c r="M266" s="36">
        <f>IF(ISERROR(I266-K266),"",I266-K266)</f>
        <v>0</v>
      </c>
      <c r="N266" s="31">
        <f>SUM(O266:U266)</f>
        <v>0</v>
      </c>
      <c r="O266" s="93">
        <f>SUM('31:13'!O266)</f>
        <v>0</v>
      </c>
      <c r="P266" s="93">
        <f>SUM('31:13'!P266)</f>
        <v>0</v>
      </c>
      <c r="Q266" s="93">
        <f>SUM('31:13'!Q266)</f>
        <v>0</v>
      </c>
      <c r="R266" s="93">
        <f>SUM('31:13'!R266)</f>
        <v>0</v>
      </c>
      <c r="S266" s="93">
        <f>SUM('31:13'!S266)</f>
        <v>0</v>
      </c>
      <c r="T266" s="93">
        <f>SUM('31:13'!T266)</f>
        <v>0</v>
      </c>
      <c r="U266" s="93">
        <f>SUM('31:13'!U266)</f>
        <v>0</v>
      </c>
      <c r="V266" s="207">
        <f>SUM(X266:AA266)</f>
        <v>0</v>
      </c>
      <c r="W266" s="33" t="str">
        <f>IF(ISERROR(V266/G266),"",V266/G266)</f>
        <v/>
      </c>
      <c r="X266" s="93">
        <f>SUM('31:13'!X266)</f>
        <v>0</v>
      </c>
      <c r="Y266" s="93">
        <f>SUM('31:13'!Y266)</f>
        <v>0</v>
      </c>
      <c r="Z266" s="93">
        <f>SUM('31:13'!Z266)</f>
        <v>0</v>
      </c>
      <c r="AA266" s="93">
        <f>SUM('31:13'!AA266)</f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>
      <c r="A267" s="304">
        <v>30600001</v>
      </c>
      <c r="B267" s="65" t="s">
        <v>162</v>
      </c>
      <c r="C267" s="16" t="s">
        <v>55</v>
      </c>
      <c r="D267" s="17">
        <v>5.03</v>
      </c>
      <c r="E267" s="17"/>
      <c r="F267" s="6"/>
      <c r="G267" s="93">
        <f>SUM('31:13'!G267)</f>
        <v>0</v>
      </c>
      <c r="H267" s="339">
        <f t="shared" si="93"/>
        <v>0</v>
      </c>
      <c r="I267" s="93">
        <f>SUM('31:13'!I267)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87">
        <v>8</v>
      </c>
      <c r="M267" s="36">
        <f>IF(ISERROR(I267-K267),"",I267-K267)</f>
        <v>0</v>
      </c>
      <c r="N267" s="31">
        <f>SUM(O267:U267)</f>
        <v>0</v>
      </c>
      <c r="O267" s="93">
        <f>SUM('31:13'!O267)</f>
        <v>0</v>
      </c>
      <c r="P267" s="93">
        <f>SUM('31:13'!P267)</f>
        <v>0</v>
      </c>
      <c r="Q267" s="93">
        <f>SUM('31:13'!Q267)</f>
        <v>0</v>
      </c>
      <c r="R267" s="93">
        <f>SUM('31:13'!R267)</f>
        <v>0</v>
      </c>
      <c r="S267" s="93">
        <f>SUM('31:13'!S267)</f>
        <v>0</v>
      </c>
      <c r="T267" s="93">
        <f>SUM('31:13'!T267)</f>
        <v>0</v>
      </c>
      <c r="U267" s="93">
        <f>SUM('31:13'!U267)</f>
        <v>0</v>
      </c>
      <c r="V267" s="207">
        <f>SUM(X267:AA267)</f>
        <v>0</v>
      </c>
      <c r="W267" s="33" t="str">
        <f>IF(ISERROR(V267/G267),"",V267/G267)</f>
        <v/>
      </c>
      <c r="X267" s="93">
        <f>SUM('31:13'!X267)</f>
        <v>0</v>
      </c>
      <c r="Y267" s="93">
        <f>SUM('31:13'!Y267)</f>
        <v>0</v>
      </c>
      <c r="Z267" s="93">
        <f>SUM('31:13'!Z267)</f>
        <v>0</v>
      </c>
      <c r="AA267" s="93">
        <f>SUM('31:13'!AA267)</f>
        <v>0</v>
      </c>
      <c r="AD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</row>
    <row r="268" spans="1:53">
      <c r="A268" s="304">
        <v>30600002</v>
      </c>
      <c r="B268" s="65" t="s">
        <v>162</v>
      </c>
      <c r="C268" s="16" t="s">
        <v>60</v>
      </c>
      <c r="D268" s="17">
        <v>5.03</v>
      </c>
      <c r="E268" s="17"/>
      <c r="F268" s="6"/>
      <c r="G268" s="93">
        <f>SUM('31:13'!G268)</f>
        <v>0</v>
      </c>
      <c r="H268" s="339">
        <f t="shared" si="93"/>
        <v>0</v>
      </c>
      <c r="I268" s="93">
        <f>SUM('31:13'!I268)</f>
        <v>0</v>
      </c>
      <c r="J268" s="31" t="str">
        <f t="array" ref="J268">IF(ISERROR(G268/I268),"",G268/I268)</f>
        <v/>
      </c>
      <c r="K268" s="35">
        <f t="array" ref="K268">IF(ISERROR(G268/L268),"",G268/L268)</f>
        <v>0</v>
      </c>
      <c r="L268" s="87">
        <v>8</v>
      </c>
      <c r="M268" s="36">
        <f>IF(ISERROR(I268-K268),"",I268-K268)</f>
        <v>0</v>
      </c>
      <c r="N268" s="31">
        <f>SUM(O268:U268)</f>
        <v>0</v>
      </c>
      <c r="O268" s="93">
        <f>SUM('31:13'!O268)</f>
        <v>0</v>
      </c>
      <c r="P268" s="93">
        <f>SUM('31:13'!P268)</f>
        <v>0</v>
      </c>
      <c r="Q268" s="93">
        <f>SUM('31:13'!Q268)</f>
        <v>0</v>
      </c>
      <c r="R268" s="93">
        <f>SUM('31:13'!R268)</f>
        <v>0</v>
      </c>
      <c r="S268" s="93">
        <f>SUM('31:13'!S268)</f>
        <v>0</v>
      </c>
      <c r="T268" s="93">
        <f>SUM('31:13'!T268)</f>
        <v>0</v>
      </c>
      <c r="U268" s="93">
        <f>SUM('31:13'!U268)</f>
        <v>0</v>
      </c>
      <c r="V268" s="207">
        <f>SUM(X268:AA268)</f>
        <v>0</v>
      </c>
      <c r="W268" s="33" t="str">
        <f>IF(ISERROR(V268/G268),"",V268/G268)</f>
        <v/>
      </c>
      <c r="X268" s="93">
        <f>SUM('31:13'!X268)</f>
        <v>0</v>
      </c>
      <c r="Y268" s="93">
        <f>SUM('31:13'!Y268)</f>
        <v>0</v>
      </c>
      <c r="Z268" s="93">
        <f>SUM('31:13'!Z268)</f>
        <v>0</v>
      </c>
      <c r="AA268" s="93">
        <f>SUM('31:13'!AA268)</f>
        <v>0</v>
      </c>
      <c r="AD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</row>
    <row r="269" spans="1:53">
      <c r="A269" s="304">
        <v>30600003</v>
      </c>
      <c r="B269" s="65" t="s">
        <v>162</v>
      </c>
      <c r="C269" s="195" t="s">
        <v>89</v>
      </c>
      <c r="D269" s="17">
        <v>5.03</v>
      </c>
      <c r="E269" s="17"/>
      <c r="F269" s="6"/>
      <c r="G269" s="93">
        <f>SUM('31:13'!G269)</f>
        <v>0</v>
      </c>
      <c r="H269" s="339">
        <f t="shared" si="93"/>
        <v>0</v>
      </c>
      <c r="I269" s="93">
        <f>SUM('31:13'!I269)</f>
        <v>0</v>
      </c>
      <c r="J269" s="31" t="str">
        <f t="array" ref="J269">IF(ISERROR(G269/I269),"",G269/I269)</f>
        <v/>
      </c>
      <c r="K269" s="35">
        <f t="array" ref="K269">IF(ISERROR(G269/L269),"",G269/L269)</f>
        <v>0</v>
      </c>
      <c r="L269" s="87">
        <v>8</v>
      </c>
      <c r="M269" s="36">
        <f>IF(ISERROR(I269-K269),"",I269-K269)</f>
        <v>0</v>
      </c>
      <c r="N269" s="31">
        <f>SUM(O269:U269)</f>
        <v>0</v>
      </c>
      <c r="O269" s="93">
        <f>SUM('31:13'!O269)</f>
        <v>0</v>
      </c>
      <c r="P269" s="93">
        <f>SUM('31:13'!P269)</f>
        <v>0</v>
      </c>
      <c r="Q269" s="93">
        <f>SUM('31:13'!Q269)</f>
        <v>0</v>
      </c>
      <c r="R269" s="93">
        <f>SUM('31:13'!R269)</f>
        <v>0</v>
      </c>
      <c r="S269" s="93">
        <f>SUM('31:13'!S269)</f>
        <v>0</v>
      </c>
      <c r="T269" s="93">
        <f>SUM('31:13'!T269)</f>
        <v>0</v>
      </c>
      <c r="U269" s="93">
        <f>SUM('31:13'!U269)</f>
        <v>0</v>
      </c>
      <c r="V269" s="207">
        <f>SUM(X269:AA269)</f>
        <v>0</v>
      </c>
      <c r="W269" s="33" t="str">
        <f>IF(ISERROR(V269/G269),"",V269/G269)</f>
        <v/>
      </c>
      <c r="X269" s="93">
        <f>SUM('31:13'!X269)</f>
        <v>0</v>
      </c>
      <c r="Y269" s="93">
        <f>SUM('31:13'!Y269)</f>
        <v>0</v>
      </c>
      <c r="Z269" s="93">
        <f>SUM('31:13'!Z269)</f>
        <v>0</v>
      </c>
      <c r="AA269" s="93">
        <f>SUM('31:13'!AA269)</f>
        <v>0</v>
      </c>
      <c r="AD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</row>
    <row r="270" spans="1:53">
      <c r="A270" s="304">
        <v>30400030</v>
      </c>
      <c r="B270" s="65" t="s">
        <v>88</v>
      </c>
      <c r="C270" s="16" t="s">
        <v>53</v>
      </c>
      <c r="D270" s="17">
        <v>5.03</v>
      </c>
      <c r="E270" s="17"/>
      <c r="F270" s="6"/>
      <c r="G270" s="93">
        <f>SUM('31:13'!G270)</f>
        <v>0</v>
      </c>
      <c r="H270" s="339">
        <f t="shared" si="93"/>
        <v>0</v>
      </c>
      <c r="I270" s="93">
        <f>SUM('31:13'!I270)</f>
        <v>0</v>
      </c>
      <c r="J270" s="31" t="str">
        <f t="array" ref="J270">IF(ISERROR(G270/I270),"",G270/I270)</f>
        <v/>
      </c>
      <c r="K270" s="35">
        <f t="array" ref="K270">IF(ISERROR(G270/L270),"",G270/L270)</f>
        <v>0</v>
      </c>
      <c r="L270" s="87">
        <v>10</v>
      </c>
      <c r="M270" s="36">
        <f t="shared" ref="M270:M285" si="94">IF(ISERROR(I270-K270),"",I270-K270)</f>
        <v>0</v>
      </c>
      <c r="N270" s="31">
        <f t="shared" ref="N270:N285" si="95">SUM(O270:U270)</f>
        <v>0</v>
      </c>
      <c r="O270" s="93">
        <f>SUM('31:13'!O270)</f>
        <v>0</v>
      </c>
      <c r="P270" s="93">
        <f>SUM('31:13'!P270)</f>
        <v>0</v>
      </c>
      <c r="Q270" s="93">
        <f>SUM('31:13'!Q270)</f>
        <v>0</v>
      </c>
      <c r="R270" s="93">
        <f>SUM('31:13'!R270)</f>
        <v>0</v>
      </c>
      <c r="S270" s="93">
        <f>SUM('31:13'!S270)</f>
        <v>0</v>
      </c>
      <c r="T270" s="93">
        <f>SUM('31:13'!T270)</f>
        <v>0</v>
      </c>
      <c r="U270" s="93">
        <f>SUM('31:13'!U270)</f>
        <v>0</v>
      </c>
      <c r="V270" s="206">
        <f t="shared" ref="V270:V277" si="96">SUM(X270:AA270)</f>
        <v>0</v>
      </c>
      <c r="W270" s="33" t="str">
        <f t="shared" ref="W270:W277" si="97">IF(ISERROR(V270/G270),"",V270/G270)</f>
        <v/>
      </c>
      <c r="X270" s="93">
        <f>SUM('31:13'!X270)</f>
        <v>0</v>
      </c>
      <c r="Y270" s="93">
        <f>SUM('31:13'!Y270)</f>
        <v>0</v>
      </c>
      <c r="Z270" s="93">
        <f>SUM('31:13'!Z270)</f>
        <v>0</v>
      </c>
      <c r="AA270" s="93">
        <f>SUM('31:13'!AA270)</f>
        <v>0</v>
      </c>
      <c r="AB270" s="73"/>
      <c r="AC270" s="54"/>
      <c r="AD270" s="346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>
      <c r="A271" s="304"/>
      <c r="B271" s="65" t="s">
        <v>88</v>
      </c>
      <c r="C271" s="16" t="s">
        <v>72</v>
      </c>
      <c r="D271" s="17">
        <v>5.03</v>
      </c>
      <c r="E271" s="17"/>
      <c r="F271" s="6"/>
      <c r="G271" s="93">
        <f>SUM('31:13'!G271)</f>
        <v>0</v>
      </c>
      <c r="H271" s="339">
        <f t="shared" si="93"/>
        <v>0</v>
      </c>
      <c r="I271" s="93">
        <f>SUM('31:13'!I271)</f>
        <v>0</v>
      </c>
      <c r="J271" s="31" t="str">
        <f t="array" ref="J271">IF(ISERROR(G271/I271),"",G271/I271)</f>
        <v/>
      </c>
      <c r="K271" s="35" t="str">
        <f t="array" ref="K271">IF(ISERROR(G271/L271),"",G271/L271)</f>
        <v/>
      </c>
      <c r="L271" s="87"/>
      <c r="M271" s="36" t="str">
        <f t="shared" si="94"/>
        <v/>
      </c>
      <c r="N271" s="31">
        <f t="shared" si="95"/>
        <v>0</v>
      </c>
      <c r="O271" s="93">
        <f>SUM('31:13'!O271)</f>
        <v>0</v>
      </c>
      <c r="P271" s="93">
        <f>SUM('31:13'!P271)</f>
        <v>0</v>
      </c>
      <c r="Q271" s="93">
        <f>SUM('31:13'!Q271)</f>
        <v>0</v>
      </c>
      <c r="R271" s="93">
        <f>SUM('31:13'!R271)</f>
        <v>0</v>
      </c>
      <c r="S271" s="93">
        <f>SUM('31:13'!S271)</f>
        <v>0</v>
      </c>
      <c r="T271" s="93">
        <f>SUM('31:13'!T271)</f>
        <v>0</v>
      </c>
      <c r="U271" s="93">
        <f>SUM('31:13'!U271)</f>
        <v>0</v>
      </c>
      <c r="V271" s="206">
        <f t="shared" si="96"/>
        <v>0</v>
      </c>
      <c r="W271" s="33" t="str">
        <f t="shared" si="97"/>
        <v/>
      </c>
      <c r="X271" s="93">
        <f>SUM('31:13'!X271)</f>
        <v>0</v>
      </c>
      <c r="Y271" s="93">
        <f>SUM('31:13'!Y271)</f>
        <v>0</v>
      </c>
      <c r="Z271" s="93">
        <f>SUM('31:13'!Z271)</f>
        <v>0</v>
      </c>
      <c r="AA271" s="93">
        <f>SUM('31:13'!AA271)</f>
        <v>0</v>
      </c>
      <c r="AB271" s="73"/>
      <c r="AC271" s="54"/>
      <c r="AD271" s="346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>
      <c r="A272" s="304"/>
      <c r="B272" s="65" t="s">
        <v>88</v>
      </c>
      <c r="C272" s="16" t="s">
        <v>60</v>
      </c>
      <c r="D272" s="17">
        <v>5.03</v>
      </c>
      <c r="E272" s="17"/>
      <c r="F272" s="6"/>
      <c r="G272" s="93">
        <f>SUM('31:13'!G272)</f>
        <v>0</v>
      </c>
      <c r="H272" s="339">
        <f t="shared" si="93"/>
        <v>0</v>
      </c>
      <c r="I272" s="93">
        <f>SUM('31:13'!I272)</f>
        <v>0</v>
      </c>
      <c r="J272" s="31" t="str">
        <f t="array" ref="J272">IF(ISERROR(G272/I272),"",G272/I272)</f>
        <v/>
      </c>
      <c r="K272" s="35" t="str">
        <f t="array" ref="K272">IF(ISERROR(G272/L272),"",G272/L272)</f>
        <v/>
      </c>
      <c r="L272" s="87"/>
      <c r="M272" s="36" t="str">
        <f t="shared" si="94"/>
        <v/>
      </c>
      <c r="N272" s="31">
        <f t="shared" si="95"/>
        <v>0</v>
      </c>
      <c r="O272" s="93">
        <f>SUM('31:13'!O272)</f>
        <v>0</v>
      </c>
      <c r="P272" s="93">
        <f>SUM('31:13'!P272)</f>
        <v>0</v>
      </c>
      <c r="Q272" s="93">
        <f>SUM('31:13'!Q272)</f>
        <v>0</v>
      </c>
      <c r="R272" s="93">
        <f>SUM('31:13'!R272)</f>
        <v>0</v>
      </c>
      <c r="S272" s="93">
        <f>SUM('31:13'!S272)</f>
        <v>0</v>
      </c>
      <c r="T272" s="93">
        <f>SUM('31:13'!T272)</f>
        <v>0</v>
      </c>
      <c r="U272" s="93">
        <f>SUM('31:13'!U272)</f>
        <v>0</v>
      </c>
      <c r="V272" s="206">
        <f t="shared" si="96"/>
        <v>0</v>
      </c>
      <c r="W272" s="33" t="str">
        <f t="shared" si="97"/>
        <v/>
      </c>
      <c r="X272" s="93">
        <f>SUM('31:13'!X272)</f>
        <v>0</v>
      </c>
      <c r="Y272" s="93">
        <f>SUM('31:13'!Y272)</f>
        <v>0</v>
      </c>
      <c r="Z272" s="93">
        <f>SUM('31:13'!Z272)</f>
        <v>0</v>
      </c>
      <c r="AA272" s="93">
        <f>SUM('31:13'!AA272)</f>
        <v>0</v>
      </c>
      <c r="AB272" s="73"/>
      <c r="AC272" s="54"/>
      <c r="AD272" s="346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>
      <c r="A273" s="304">
        <v>30401031</v>
      </c>
      <c r="B273" s="65" t="s">
        <v>88</v>
      </c>
      <c r="C273" s="16" t="s">
        <v>66</v>
      </c>
      <c r="D273" s="17">
        <v>5.03</v>
      </c>
      <c r="E273" s="17"/>
      <c r="F273" s="6"/>
      <c r="G273" s="93">
        <f>SUM('31:13'!G273)</f>
        <v>0</v>
      </c>
      <c r="H273" s="339">
        <f t="shared" si="93"/>
        <v>0</v>
      </c>
      <c r="I273" s="93">
        <f>SUM('31:13'!I273)</f>
        <v>0</v>
      </c>
      <c r="J273" s="31" t="str">
        <f t="array" ref="J273">IF(ISERROR(G273/I273),"",G273/I273)</f>
        <v/>
      </c>
      <c r="K273" s="35" t="str">
        <f t="array" ref="K273">IF(ISERROR(G273/L273),"",G273/L273)</f>
        <v/>
      </c>
      <c r="L273" s="87"/>
      <c r="M273" s="36" t="str">
        <f t="shared" si="94"/>
        <v/>
      </c>
      <c r="N273" s="31">
        <f t="shared" si="95"/>
        <v>0</v>
      </c>
      <c r="O273" s="93">
        <f>SUM('31:13'!O273)</f>
        <v>0</v>
      </c>
      <c r="P273" s="93">
        <f>SUM('31:13'!P273)</f>
        <v>0</v>
      </c>
      <c r="Q273" s="93">
        <f>SUM('31:13'!Q273)</f>
        <v>0</v>
      </c>
      <c r="R273" s="93">
        <f>SUM('31:13'!R273)</f>
        <v>0</v>
      </c>
      <c r="S273" s="93">
        <f>SUM('31:13'!S273)</f>
        <v>0</v>
      </c>
      <c r="T273" s="93">
        <f>SUM('31:13'!T273)</f>
        <v>0</v>
      </c>
      <c r="U273" s="93">
        <f>SUM('31:13'!U273)</f>
        <v>0</v>
      </c>
      <c r="V273" s="206">
        <f t="shared" si="96"/>
        <v>0</v>
      </c>
      <c r="W273" s="33" t="str">
        <f t="shared" si="97"/>
        <v/>
      </c>
      <c r="X273" s="93">
        <f>SUM('31:13'!X273)</f>
        <v>0</v>
      </c>
      <c r="Y273" s="93">
        <f>SUM('31:13'!Y273)</f>
        <v>0</v>
      </c>
      <c r="Z273" s="93">
        <f>SUM('31:13'!Z273)</f>
        <v>0</v>
      </c>
      <c r="AA273" s="93">
        <f>SUM('31:13'!AA273)</f>
        <v>0</v>
      </c>
      <c r="AB273" s="73"/>
      <c r="AC273" s="54"/>
      <c r="AD273" s="346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>
      <c r="A274" s="304">
        <v>30600005</v>
      </c>
      <c r="B274" s="61" t="s">
        <v>90</v>
      </c>
      <c r="C274" s="16" t="s">
        <v>55</v>
      </c>
      <c r="D274" s="17">
        <v>9.36</v>
      </c>
      <c r="E274" s="17"/>
      <c r="F274" s="6"/>
      <c r="G274" s="93">
        <f>SUM('31:13'!G274)</f>
        <v>0</v>
      </c>
      <c r="H274" s="339">
        <f t="shared" si="93"/>
        <v>0</v>
      </c>
      <c r="I274" s="93">
        <f>SUM('31:13'!I274)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87">
        <v>6</v>
      </c>
      <c r="M274" s="36">
        <f t="shared" si="94"/>
        <v>0</v>
      </c>
      <c r="N274" s="31">
        <f t="shared" si="95"/>
        <v>0</v>
      </c>
      <c r="O274" s="93">
        <f>SUM('31:13'!O274)</f>
        <v>0</v>
      </c>
      <c r="P274" s="93">
        <f>SUM('31:13'!P274)</f>
        <v>0</v>
      </c>
      <c r="Q274" s="93">
        <f>SUM('31:13'!Q274)</f>
        <v>0</v>
      </c>
      <c r="R274" s="93">
        <f>SUM('31:13'!R274)</f>
        <v>0</v>
      </c>
      <c r="S274" s="93">
        <f>SUM('31:13'!S274)</f>
        <v>0</v>
      </c>
      <c r="T274" s="93">
        <f>SUM('31:13'!T274)</f>
        <v>0</v>
      </c>
      <c r="U274" s="93">
        <f>SUM('31:13'!U274)</f>
        <v>0</v>
      </c>
      <c r="V274" s="206">
        <f t="shared" si="96"/>
        <v>0</v>
      </c>
      <c r="W274" s="33" t="str">
        <f t="shared" si="97"/>
        <v/>
      </c>
      <c r="X274" s="93">
        <f>SUM('31:13'!X274)</f>
        <v>0</v>
      </c>
      <c r="Y274" s="93">
        <f>SUM('31:13'!Y274)</f>
        <v>0</v>
      </c>
      <c r="Z274" s="93">
        <f>SUM('31:13'!Z274)</f>
        <v>0</v>
      </c>
      <c r="AA274" s="93">
        <f>SUM('31:13'!AA274)</f>
        <v>0</v>
      </c>
      <c r="AB274" s="73"/>
      <c r="AC274" s="54"/>
      <c r="AD274" s="346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>
      <c r="A275" s="304">
        <v>30600008</v>
      </c>
      <c r="B275" s="61" t="s">
        <v>90</v>
      </c>
      <c r="C275" s="16" t="s">
        <v>53</v>
      </c>
      <c r="D275" s="17">
        <v>9.36</v>
      </c>
      <c r="E275" s="17"/>
      <c r="F275" s="6"/>
      <c r="G275" s="93">
        <f>SUM('31:13'!G275)</f>
        <v>0</v>
      </c>
      <c r="H275" s="339">
        <f t="shared" si="93"/>
        <v>0</v>
      </c>
      <c r="I275" s="93">
        <f>SUM('31:13'!I275)</f>
        <v>0</v>
      </c>
      <c r="J275" s="31" t="str">
        <f t="array" ref="J275">IF(ISERROR(G275/I275),"",G275/I275)</f>
        <v/>
      </c>
      <c r="K275" s="35">
        <f t="array" ref="K275">IF(ISERROR(G275/L275),"",G275/L275)</f>
        <v>0</v>
      </c>
      <c r="L275" s="87">
        <v>6</v>
      </c>
      <c r="M275" s="36">
        <f t="shared" si="94"/>
        <v>0</v>
      </c>
      <c r="N275" s="31">
        <f t="shared" si="95"/>
        <v>0</v>
      </c>
      <c r="O275" s="93">
        <f>SUM('31:13'!O275)</f>
        <v>0</v>
      </c>
      <c r="P275" s="93">
        <f>SUM('31:13'!P275)</f>
        <v>0</v>
      </c>
      <c r="Q275" s="93">
        <f>SUM('31:13'!Q275)</f>
        <v>0</v>
      </c>
      <c r="R275" s="93">
        <f>SUM('31:13'!R275)</f>
        <v>0</v>
      </c>
      <c r="S275" s="93">
        <f>SUM('31:13'!S275)</f>
        <v>0</v>
      </c>
      <c r="T275" s="93">
        <f>SUM('31:13'!T275)</f>
        <v>0</v>
      </c>
      <c r="U275" s="93">
        <f>SUM('31:13'!U275)</f>
        <v>0</v>
      </c>
      <c r="V275" s="206">
        <f t="shared" si="96"/>
        <v>0</v>
      </c>
      <c r="W275" s="33" t="str">
        <f t="shared" si="97"/>
        <v/>
      </c>
      <c r="X275" s="93">
        <f>SUM('31:13'!X275)</f>
        <v>0</v>
      </c>
      <c r="Y275" s="93">
        <f>SUM('31:13'!Y275)</f>
        <v>0</v>
      </c>
      <c r="Z275" s="93">
        <f>SUM('31:13'!Z275)</f>
        <v>0</v>
      </c>
      <c r="AA275" s="93">
        <f>SUM('31:13'!AA275)</f>
        <v>0</v>
      </c>
      <c r="AB275" s="73"/>
      <c r="AC275" s="54"/>
      <c r="AD275" s="346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>
      <c r="A276" s="304">
        <v>30600007</v>
      </c>
      <c r="B276" s="61" t="s">
        <v>90</v>
      </c>
      <c r="C276" s="16" t="s">
        <v>89</v>
      </c>
      <c r="D276" s="17">
        <v>9.36</v>
      </c>
      <c r="E276" s="17"/>
      <c r="F276" s="6"/>
      <c r="G276" s="93">
        <f>SUM('31:13'!G276)</f>
        <v>0</v>
      </c>
      <c r="H276" s="339">
        <f t="shared" si="93"/>
        <v>0</v>
      </c>
      <c r="I276" s="93">
        <f>SUM('31:13'!I276)</f>
        <v>0</v>
      </c>
      <c r="J276" s="31" t="str">
        <f t="array" ref="J276">IF(ISERROR(G276/I276),"",G276/I276)</f>
        <v/>
      </c>
      <c r="K276" s="35">
        <f t="array" ref="K276">IF(ISERROR(G276/L276),"",G276/L276)</f>
        <v>0</v>
      </c>
      <c r="L276" s="87">
        <v>6</v>
      </c>
      <c r="M276" s="36">
        <f t="shared" si="94"/>
        <v>0</v>
      </c>
      <c r="N276" s="31">
        <f t="shared" si="95"/>
        <v>0</v>
      </c>
      <c r="O276" s="93">
        <f>SUM('31:13'!O276)</f>
        <v>0</v>
      </c>
      <c r="P276" s="93">
        <f>SUM('31:13'!P276)</f>
        <v>0</v>
      </c>
      <c r="Q276" s="93">
        <f>SUM('31:13'!Q276)</f>
        <v>0</v>
      </c>
      <c r="R276" s="93">
        <f>SUM('31:13'!R276)</f>
        <v>0</v>
      </c>
      <c r="S276" s="93">
        <f>SUM('31:13'!S276)</f>
        <v>0</v>
      </c>
      <c r="T276" s="93">
        <f>SUM('31:13'!T276)</f>
        <v>0</v>
      </c>
      <c r="U276" s="93">
        <f>SUM('31:13'!U276)</f>
        <v>0</v>
      </c>
      <c r="V276" s="206">
        <f t="shared" si="96"/>
        <v>0</v>
      </c>
      <c r="W276" s="33" t="str">
        <f t="shared" si="97"/>
        <v/>
      </c>
      <c r="X276" s="93">
        <f>SUM('31:13'!X276)</f>
        <v>0</v>
      </c>
      <c r="Y276" s="93">
        <f>SUM('31:13'!Y276)</f>
        <v>0</v>
      </c>
      <c r="Z276" s="93">
        <f>SUM('31:13'!Z276)</f>
        <v>0</v>
      </c>
      <c r="AA276" s="93">
        <f>SUM('31:13'!AA276)</f>
        <v>0</v>
      </c>
      <c r="AB276" s="73"/>
      <c r="AC276" s="54"/>
      <c r="AD276" s="346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>
      <c r="A277" s="304">
        <v>30600006</v>
      </c>
      <c r="B277" s="61" t="s">
        <v>90</v>
      </c>
      <c r="C277" s="16" t="s">
        <v>60</v>
      </c>
      <c r="D277" s="17">
        <v>9.36</v>
      </c>
      <c r="E277" s="17"/>
      <c r="F277" s="6"/>
      <c r="G277" s="93">
        <f>SUM('31:13'!G277)</f>
        <v>0</v>
      </c>
      <c r="H277" s="339">
        <f t="shared" si="93"/>
        <v>0</v>
      </c>
      <c r="I277" s="93">
        <f>SUM('31:13'!I277)</f>
        <v>0</v>
      </c>
      <c r="J277" s="31" t="str">
        <f t="array" ref="J277">IF(ISERROR(G277/I277),"",G277/I277)</f>
        <v/>
      </c>
      <c r="K277" s="35">
        <f t="array" ref="K277">IF(ISERROR(G277/L277),"",G277/L277)</f>
        <v>0</v>
      </c>
      <c r="L277" s="87">
        <v>6</v>
      </c>
      <c r="M277" s="36">
        <f t="shared" si="94"/>
        <v>0</v>
      </c>
      <c r="N277" s="31">
        <f t="shared" si="95"/>
        <v>0</v>
      </c>
      <c r="O277" s="93">
        <f>SUM('31:13'!O277)</f>
        <v>0</v>
      </c>
      <c r="P277" s="93">
        <f>SUM('31:13'!P277)</f>
        <v>0</v>
      </c>
      <c r="Q277" s="93">
        <f>SUM('31:13'!Q277)</f>
        <v>0</v>
      </c>
      <c r="R277" s="93">
        <f>SUM('31:13'!R277)</f>
        <v>0</v>
      </c>
      <c r="S277" s="93">
        <f>SUM('31:13'!S277)</f>
        <v>0</v>
      </c>
      <c r="T277" s="93">
        <f>SUM('31:13'!T277)</f>
        <v>0</v>
      </c>
      <c r="U277" s="93">
        <f>SUM('31:13'!U277)</f>
        <v>0</v>
      </c>
      <c r="V277" s="206">
        <f t="shared" si="96"/>
        <v>0</v>
      </c>
      <c r="W277" s="33" t="str">
        <f t="shared" si="97"/>
        <v/>
      </c>
      <c r="X277" s="93">
        <f>SUM('31:13'!X277)</f>
        <v>0</v>
      </c>
      <c r="Y277" s="93">
        <f>SUM('31:13'!Y277)</f>
        <v>0</v>
      </c>
      <c r="Z277" s="93">
        <f>SUM('31:13'!Z277)</f>
        <v>0</v>
      </c>
      <c r="AA277" s="93">
        <f>SUM('31:13'!AA277)</f>
        <v>0</v>
      </c>
      <c r="AB277" s="73"/>
      <c r="AC277" s="54"/>
      <c r="AD277" s="346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>
      <c r="A278" s="299">
        <v>30400026</v>
      </c>
      <c r="B278" s="190" t="s">
        <v>394</v>
      </c>
      <c r="C278" s="187" t="s">
        <v>396</v>
      </c>
      <c r="D278" s="17">
        <v>5</v>
      </c>
      <c r="E278" s="17"/>
      <c r="F278" s="6"/>
      <c r="G278" s="93">
        <f>SUM('31:13'!G278)</f>
        <v>0</v>
      </c>
      <c r="H278" s="339">
        <f t="shared" si="93"/>
        <v>0</v>
      </c>
      <c r="I278" s="93">
        <f>SUM('31:13'!I278)</f>
        <v>0</v>
      </c>
      <c r="J278" s="31"/>
      <c r="K278" s="35">
        <f t="array" ref="K278">IF(ISERROR(G278/L278),"",G278/L278)</f>
        <v>0</v>
      </c>
      <c r="L278" s="87">
        <v>5</v>
      </c>
      <c r="M278" s="36">
        <f t="shared" si="94"/>
        <v>0</v>
      </c>
      <c r="N278" s="31">
        <f t="shared" si="95"/>
        <v>0</v>
      </c>
      <c r="O278" s="93">
        <f>SUM('31:13'!O278)</f>
        <v>0</v>
      </c>
      <c r="P278" s="93">
        <f>SUM('31:13'!P278)</f>
        <v>0</v>
      </c>
      <c r="Q278" s="93">
        <f>SUM('31:13'!Q278)</f>
        <v>0</v>
      </c>
      <c r="R278" s="93">
        <f>SUM('31:13'!R278)</f>
        <v>0</v>
      </c>
      <c r="S278" s="93">
        <f>SUM('31:13'!S278)</f>
        <v>0</v>
      </c>
      <c r="T278" s="93">
        <f>SUM('31:13'!T278)</f>
        <v>0</v>
      </c>
      <c r="U278" s="93">
        <f>SUM('31:13'!U278)</f>
        <v>0</v>
      </c>
      <c r="V278" s="206"/>
      <c r="W278" s="33"/>
      <c r="X278" s="93">
        <f>SUM('31:13'!X278)</f>
        <v>0</v>
      </c>
      <c r="Y278" s="93">
        <f>SUM('31:13'!Y278)</f>
        <v>0</v>
      </c>
      <c r="Z278" s="93">
        <f>SUM('31:13'!Z278)</f>
        <v>0</v>
      </c>
      <c r="AA278" s="93">
        <f>SUM('31:13'!AA278)</f>
        <v>0</v>
      </c>
      <c r="AB278" s="73"/>
      <c r="AC278" s="54"/>
      <c r="AD278" s="346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>
      <c r="A279" s="299">
        <v>30400028</v>
      </c>
      <c r="B279" s="190" t="s">
        <v>393</v>
      </c>
      <c r="C279" s="187" t="s">
        <v>403</v>
      </c>
      <c r="D279" s="17">
        <v>5</v>
      </c>
      <c r="E279" s="17"/>
      <c r="F279" s="6"/>
      <c r="G279" s="93">
        <f>SUM('31:13'!G279)</f>
        <v>548</v>
      </c>
      <c r="H279" s="339">
        <f t="shared" si="93"/>
        <v>2740</v>
      </c>
      <c r="I279" s="93">
        <f>SUM('31:13'!I279)</f>
        <v>76</v>
      </c>
      <c r="J279" s="31"/>
      <c r="K279" s="35">
        <f t="array" ref="K279">IF(ISERROR(G279/L279),"",G279/L279)</f>
        <v>109.6</v>
      </c>
      <c r="L279" s="87">
        <v>5</v>
      </c>
      <c r="M279" s="36">
        <f t="shared" si="94"/>
        <v>-33.599999999999994</v>
      </c>
      <c r="N279" s="31">
        <f t="shared" si="95"/>
        <v>0</v>
      </c>
      <c r="O279" s="93">
        <f>SUM('31:13'!O279)</f>
        <v>0</v>
      </c>
      <c r="P279" s="93">
        <f>SUM('31:13'!P279)</f>
        <v>0</v>
      </c>
      <c r="Q279" s="93">
        <f>SUM('31:13'!Q279)</f>
        <v>0</v>
      </c>
      <c r="R279" s="93">
        <f>SUM('31:13'!R279)</f>
        <v>0</v>
      </c>
      <c r="S279" s="93">
        <f>SUM('31:13'!S279)</f>
        <v>0</v>
      </c>
      <c r="T279" s="93">
        <f>SUM('31:13'!T279)</f>
        <v>0</v>
      </c>
      <c r="U279" s="93">
        <f>SUM('31:13'!U279)</f>
        <v>0</v>
      </c>
      <c r="V279" s="206"/>
      <c r="W279" s="33"/>
      <c r="X279" s="93">
        <f>SUM('31:13'!X279)</f>
        <v>0</v>
      </c>
      <c r="Y279" s="93">
        <f>SUM('31:13'!Y279)</f>
        <v>0</v>
      </c>
      <c r="Z279" s="93">
        <f>SUM('31:13'!Z279)</f>
        <v>0</v>
      </c>
      <c r="AA279" s="93">
        <f>SUM('31:13'!AA279)</f>
        <v>0</v>
      </c>
      <c r="AB279" s="73"/>
      <c r="AC279" s="54"/>
      <c r="AD279" s="346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>
      <c r="A280" s="299">
        <v>30400027</v>
      </c>
      <c r="B280" s="190" t="s">
        <v>404</v>
      </c>
      <c r="C280" s="187" t="s">
        <v>406</v>
      </c>
      <c r="D280" s="17">
        <v>5</v>
      </c>
      <c r="E280" s="17"/>
      <c r="F280" s="6"/>
      <c r="G280" s="93">
        <f>SUM('31:13'!G280)</f>
        <v>373</v>
      </c>
      <c r="H280" s="339">
        <f t="shared" si="93"/>
        <v>1865</v>
      </c>
      <c r="I280" s="93">
        <f>SUM('31:13'!I280)</f>
        <v>189</v>
      </c>
      <c r="J280" s="31"/>
      <c r="K280" s="35">
        <f t="array" ref="K280">IF(ISERROR(G280/L280),"",G280/L280)</f>
        <v>74.599999999999994</v>
      </c>
      <c r="L280" s="87">
        <v>5</v>
      </c>
      <c r="M280" s="36">
        <f t="shared" si="94"/>
        <v>114.4</v>
      </c>
      <c r="N280" s="31">
        <f t="shared" si="95"/>
        <v>0</v>
      </c>
      <c r="O280" s="93">
        <f>SUM('31:13'!O280)</f>
        <v>0</v>
      </c>
      <c r="P280" s="93">
        <f>SUM('31:13'!P280)</f>
        <v>0</v>
      </c>
      <c r="Q280" s="93">
        <f>SUM('31:13'!Q280)</f>
        <v>0</v>
      </c>
      <c r="R280" s="93">
        <f>SUM('31:13'!R280)</f>
        <v>0</v>
      </c>
      <c r="S280" s="93">
        <f>SUM('31:13'!S280)</f>
        <v>0</v>
      </c>
      <c r="T280" s="93">
        <f>SUM('31:13'!T280)</f>
        <v>0</v>
      </c>
      <c r="U280" s="93">
        <f>SUM('31:13'!U280)</f>
        <v>0</v>
      </c>
      <c r="V280" s="206"/>
      <c r="W280" s="33"/>
      <c r="X280" s="93">
        <f>SUM('31:13'!X280)</f>
        <v>0</v>
      </c>
      <c r="Y280" s="93">
        <f>SUM('31:13'!Y280)</f>
        <v>0</v>
      </c>
      <c r="Z280" s="93">
        <f>SUM('31:13'!Z280)</f>
        <v>0</v>
      </c>
      <c r="AA280" s="93">
        <f>SUM('31:13'!AA280)</f>
        <v>0</v>
      </c>
      <c r="AB280" s="73"/>
      <c r="AC280" s="54"/>
      <c r="AD280" s="346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>
      <c r="A281" s="299"/>
      <c r="B281" s="61" t="s">
        <v>352</v>
      </c>
      <c r="C281" s="187" t="s">
        <v>372</v>
      </c>
      <c r="D281" s="17">
        <v>5</v>
      </c>
      <c r="E281" s="17"/>
      <c r="F281" s="6"/>
      <c r="G281" s="93">
        <f>SUM('31:13'!G281)</f>
        <v>0</v>
      </c>
      <c r="H281" s="339">
        <f t="shared" si="93"/>
        <v>0</v>
      </c>
      <c r="I281" s="93">
        <f>SUM('31:13'!I281)</f>
        <v>0</v>
      </c>
      <c r="J281" s="31"/>
      <c r="K281" s="35">
        <f t="array" ref="K281">IF(ISERROR(G281/L281),"",G281/L281)</f>
        <v>0</v>
      </c>
      <c r="L281" s="87">
        <v>5</v>
      </c>
      <c r="M281" s="36">
        <f t="shared" si="94"/>
        <v>0</v>
      </c>
      <c r="N281" s="31">
        <f t="shared" si="95"/>
        <v>0</v>
      </c>
      <c r="O281" s="93">
        <f>SUM('31:13'!O281)</f>
        <v>0</v>
      </c>
      <c r="P281" s="93">
        <f>SUM('31:13'!P281)</f>
        <v>0</v>
      </c>
      <c r="Q281" s="93">
        <f>SUM('31:13'!Q281)</f>
        <v>0</v>
      </c>
      <c r="R281" s="93">
        <f>SUM('31:13'!R281)</f>
        <v>0</v>
      </c>
      <c r="S281" s="93">
        <f>SUM('31:13'!S281)</f>
        <v>0</v>
      </c>
      <c r="T281" s="93">
        <f>SUM('31:13'!T281)</f>
        <v>0</v>
      </c>
      <c r="U281" s="93">
        <f>SUM('31:13'!U281)</f>
        <v>0</v>
      </c>
      <c r="V281" s="206"/>
      <c r="W281" s="33"/>
      <c r="X281" s="93">
        <f>SUM('31:13'!X281)</f>
        <v>0</v>
      </c>
      <c r="Y281" s="93">
        <f>SUM('31:13'!Y281)</f>
        <v>0</v>
      </c>
      <c r="Z281" s="93">
        <f>SUM('31:13'!Z281)</f>
        <v>0</v>
      </c>
      <c r="AA281" s="93">
        <f>SUM('31:13'!AA281)</f>
        <v>0</v>
      </c>
      <c r="AB281" s="73"/>
      <c r="AC281" s="54"/>
      <c r="AD281" s="346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>
      <c r="A282" s="299">
        <v>30600009</v>
      </c>
      <c r="B282" s="61" t="s">
        <v>353</v>
      </c>
      <c r="C282" s="16" t="s">
        <v>354</v>
      </c>
      <c r="D282" s="17">
        <v>5</v>
      </c>
      <c r="E282" s="17"/>
      <c r="F282" s="6"/>
      <c r="G282" s="93">
        <f>SUM('31:13'!G282)</f>
        <v>90</v>
      </c>
      <c r="H282" s="339">
        <f t="shared" si="93"/>
        <v>450</v>
      </c>
      <c r="I282" s="93">
        <f>SUM('31:13'!I282)</f>
        <v>24</v>
      </c>
      <c r="J282" s="31"/>
      <c r="K282" s="35">
        <f t="array" ref="K282">IF(ISERROR(G282/L282),"",G282/L282)</f>
        <v>18</v>
      </c>
      <c r="L282" s="87">
        <v>5</v>
      </c>
      <c r="M282" s="36">
        <f t="shared" si="94"/>
        <v>6</v>
      </c>
      <c r="N282" s="31">
        <f t="shared" si="95"/>
        <v>0</v>
      </c>
      <c r="O282" s="93">
        <f>SUM('31:13'!O282)</f>
        <v>0</v>
      </c>
      <c r="P282" s="93">
        <f>SUM('31:13'!P282)</f>
        <v>0</v>
      </c>
      <c r="Q282" s="93">
        <f>SUM('31:13'!Q282)</f>
        <v>0</v>
      </c>
      <c r="R282" s="93">
        <f>SUM('31:13'!R282)</f>
        <v>0</v>
      </c>
      <c r="S282" s="93">
        <f>SUM('31:13'!S282)</f>
        <v>0</v>
      </c>
      <c r="T282" s="93">
        <f>SUM('31:13'!T282)</f>
        <v>0</v>
      </c>
      <c r="U282" s="93">
        <f>SUM('31:13'!U282)</f>
        <v>0</v>
      </c>
      <c r="V282" s="206"/>
      <c r="W282" s="33"/>
      <c r="X282" s="93">
        <f>SUM('31:13'!X282)</f>
        <v>0</v>
      </c>
      <c r="Y282" s="93">
        <f>SUM('31:13'!Y282)</f>
        <v>0</v>
      </c>
      <c r="Z282" s="93">
        <f>SUM('31:13'!Z282)</f>
        <v>0</v>
      </c>
      <c r="AA282" s="93">
        <f>SUM('31:13'!AA282)</f>
        <v>0</v>
      </c>
      <c r="AB282" s="73"/>
      <c r="AC282" s="54"/>
      <c r="AD282" s="346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>
      <c r="A283" s="299">
        <v>30600010</v>
      </c>
      <c r="B283" s="61" t="s">
        <v>353</v>
      </c>
      <c r="C283" s="16" t="s">
        <v>355</v>
      </c>
      <c r="D283" s="17">
        <v>5</v>
      </c>
      <c r="E283" s="17"/>
      <c r="F283" s="6"/>
      <c r="G283" s="93">
        <f>SUM('31:13'!G283)</f>
        <v>222</v>
      </c>
      <c r="H283" s="339">
        <f t="shared" si="93"/>
        <v>1110</v>
      </c>
      <c r="I283" s="93">
        <f>SUM('31:13'!I283)</f>
        <v>36</v>
      </c>
      <c r="J283" s="31"/>
      <c r="K283" s="35">
        <f t="array" ref="K283">IF(ISERROR(G283/L283),"",G283/L283)</f>
        <v>44.4</v>
      </c>
      <c r="L283" s="87">
        <v>5</v>
      </c>
      <c r="M283" s="36">
        <f t="shared" si="94"/>
        <v>-8.3999999999999986</v>
      </c>
      <c r="N283" s="31">
        <f t="shared" si="95"/>
        <v>0</v>
      </c>
      <c r="O283" s="93">
        <f>SUM('31:13'!O283)</f>
        <v>0</v>
      </c>
      <c r="P283" s="93">
        <f>SUM('31:13'!P283)</f>
        <v>0</v>
      </c>
      <c r="Q283" s="93">
        <f>SUM('31:13'!Q283)</f>
        <v>0</v>
      </c>
      <c r="R283" s="93">
        <f>SUM('31:13'!R283)</f>
        <v>0</v>
      </c>
      <c r="S283" s="93">
        <f>SUM('31:13'!S283)</f>
        <v>0</v>
      </c>
      <c r="T283" s="93">
        <f>SUM('31:13'!T283)</f>
        <v>0</v>
      </c>
      <c r="U283" s="93">
        <f>SUM('31:13'!U283)</f>
        <v>0</v>
      </c>
      <c r="V283" s="206"/>
      <c r="W283" s="33"/>
      <c r="X283" s="93">
        <f>SUM('31:13'!X283)</f>
        <v>0</v>
      </c>
      <c r="Y283" s="93">
        <f>SUM('31:13'!Y283)</f>
        <v>0</v>
      </c>
      <c r="Z283" s="93">
        <f>SUM('31:13'!Z283)</f>
        <v>0</v>
      </c>
      <c r="AA283" s="93">
        <f>SUM('31:13'!AA283)</f>
        <v>0</v>
      </c>
      <c r="AB283" s="73"/>
      <c r="AC283" s="54"/>
      <c r="AD283" s="346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>
      <c r="A284" s="299">
        <v>30400001</v>
      </c>
      <c r="B284" s="65" t="s">
        <v>514</v>
      </c>
      <c r="C284" s="16" t="s">
        <v>61</v>
      </c>
      <c r="D284" s="17">
        <v>5.0599999999999996</v>
      </c>
      <c r="E284" s="17"/>
      <c r="F284" s="6"/>
      <c r="G284" s="93">
        <f>SUM('31:13'!G284)</f>
        <v>602</v>
      </c>
      <c r="H284" s="339">
        <f t="shared" si="93"/>
        <v>3046.12</v>
      </c>
      <c r="I284" s="93">
        <f>SUM('31:13'!I284)</f>
        <v>65.5</v>
      </c>
      <c r="J284" s="31">
        <f t="array" ref="J284">IF(ISERROR(G284/I284),"",G284/I284)</f>
        <v>9.1908396946564892</v>
      </c>
      <c r="K284" s="35">
        <f t="array" ref="K284">IF(ISERROR(G284/L284),"",G284/L284)</f>
        <v>38.838709677419352</v>
      </c>
      <c r="L284" s="87">
        <v>15.5</v>
      </c>
      <c r="M284" s="36">
        <f t="shared" si="94"/>
        <v>26.661290322580648</v>
      </c>
      <c r="N284" s="31">
        <f t="shared" si="95"/>
        <v>0</v>
      </c>
      <c r="O284" s="93">
        <f>SUM('31:13'!O284)</f>
        <v>0</v>
      </c>
      <c r="P284" s="93">
        <f>SUM('31:13'!P284)</f>
        <v>0</v>
      </c>
      <c r="Q284" s="93">
        <f>SUM('31:13'!Q284)</f>
        <v>0</v>
      </c>
      <c r="R284" s="93">
        <f>SUM('31:13'!R284)</f>
        <v>0</v>
      </c>
      <c r="S284" s="93">
        <f>SUM('31:13'!S284)</f>
        <v>0</v>
      </c>
      <c r="T284" s="93">
        <f>SUM('31:13'!T284)</f>
        <v>0</v>
      </c>
      <c r="U284" s="93">
        <f>SUM('31:13'!U284)</f>
        <v>0</v>
      </c>
      <c r="V284" s="206">
        <f t="shared" ref="V284:V285" si="98">SUM(X284:AA284)</f>
        <v>0</v>
      </c>
      <c r="W284" s="33">
        <f t="shared" ref="W284:W285" si="99">IF(ISERROR(V284/G284),"",V284/G284)</f>
        <v>0</v>
      </c>
      <c r="X284" s="93">
        <f>SUM('31:13'!X284)</f>
        <v>0</v>
      </c>
      <c r="Y284" s="93">
        <f>SUM('31:13'!Y284)</f>
        <v>0</v>
      </c>
      <c r="Z284" s="93">
        <f>SUM('31:13'!Z284)</f>
        <v>0</v>
      </c>
      <c r="AA284" s="93">
        <f>SUM('31:13'!AA284)</f>
        <v>0</v>
      </c>
      <c r="AB284" s="73"/>
      <c r="AC284" s="54"/>
      <c r="AD284" s="346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>
      <c r="A285" s="299">
        <v>30400002</v>
      </c>
      <c r="B285" s="65" t="s">
        <v>514</v>
      </c>
      <c r="C285" s="16" t="s">
        <v>72</v>
      </c>
      <c r="D285" s="17">
        <v>5.0599999999999996</v>
      </c>
      <c r="E285" s="17"/>
      <c r="F285" s="6"/>
      <c r="G285" s="93">
        <f>SUM('31:13'!G285)</f>
        <v>0</v>
      </c>
      <c r="H285" s="339">
        <f t="shared" si="93"/>
        <v>0</v>
      </c>
      <c r="I285" s="93">
        <f>SUM('31:13'!I285)</f>
        <v>0</v>
      </c>
      <c r="J285" s="31" t="str">
        <f t="array" ref="J285">IF(ISERROR(G285/I285),"",G285/I285)</f>
        <v/>
      </c>
      <c r="K285" s="35">
        <f t="array" ref="K285">IF(ISERROR(G285/L285),"",G285/L285)</f>
        <v>0</v>
      </c>
      <c r="L285" s="87">
        <v>15.5</v>
      </c>
      <c r="M285" s="36">
        <f t="shared" si="94"/>
        <v>0</v>
      </c>
      <c r="N285" s="31">
        <f t="shared" si="95"/>
        <v>0</v>
      </c>
      <c r="O285" s="93">
        <f>SUM('31:13'!O285)</f>
        <v>0</v>
      </c>
      <c r="P285" s="93">
        <f>SUM('31:13'!P285)</f>
        <v>0</v>
      </c>
      <c r="Q285" s="93">
        <f>SUM('31:13'!Q285)</f>
        <v>0</v>
      </c>
      <c r="R285" s="93">
        <f>SUM('31:13'!R285)</f>
        <v>0</v>
      </c>
      <c r="S285" s="93">
        <f>SUM('31:13'!S285)</f>
        <v>0</v>
      </c>
      <c r="T285" s="93">
        <f>SUM('31:13'!T285)</f>
        <v>0</v>
      </c>
      <c r="U285" s="93">
        <f>SUM('31:13'!U285)</f>
        <v>0</v>
      </c>
      <c r="V285" s="206">
        <f t="shared" si="98"/>
        <v>0</v>
      </c>
      <c r="W285" s="33" t="str">
        <f t="shared" si="99"/>
        <v/>
      </c>
      <c r="X285" s="93">
        <f>SUM('31:13'!X285)</f>
        <v>0</v>
      </c>
      <c r="Y285" s="93">
        <f>SUM('31:13'!Y285)</f>
        <v>0</v>
      </c>
      <c r="Z285" s="93">
        <f>SUM('31:13'!Z285)</f>
        <v>0</v>
      </c>
      <c r="AA285" s="93">
        <f>SUM('31:13'!AA285)</f>
        <v>0</v>
      </c>
      <c r="AB285" s="73"/>
      <c r="AC285" s="54"/>
      <c r="AD285" s="346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>
      <c r="A286" s="299">
        <v>30400004</v>
      </c>
      <c r="B286" s="215" t="s">
        <v>419</v>
      </c>
      <c r="C286" s="187" t="s">
        <v>420</v>
      </c>
      <c r="D286" s="17"/>
      <c r="E286" s="17"/>
      <c r="F286" s="6"/>
      <c r="G286" s="93">
        <f>SUM('31:13'!G286)</f>
        <v>327</v>
      </c>
      <c r="H286" s="339">
        <f t="shared" si="93"/>
        <v>0</v>
      </c>
      <c r="I286" s="93">
        <f>SUM('31:13'!I286)</f>
        <v>127.5</v>
      </c>
      <c r="J286" s="31"/>
      <c r="K286" s="35"/>
      <c r="L286" s="87">
        <v>24</v>
      </c>
      <c r="M286" s="36"/>
      <c r="N286" s="31"/>
      <c r="O286" s="93"/>
      <c r="P286" s="93"/>
      <c r="Q286" s="93"/>
      <c r="R286" s="93"/>
      <c r="S286" s="93"/>
      <c r="T286" s="93"/>
      <c r="U286" s="93"/>
      <c r="V286" s="206"/>
      <c r="W286" s="33"/>
      <c r="X286" s="93"/>
      <c r="Y286" s="93"/>
      <c r="Z286" s="93"/>
      <c r="AA286" s="93"/>
      <c r="AB286" s="73"/>
      <c r="AC286" s="54"/>
      <c r="AD286" s="346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>
      <c r="A287" s="299">
        <v>30400003</v>
      </c>
      <c r="B287" s="215" t="s">
        <v>419</v>
      </c>
      <c r="C287" s="187" t="s">
        <v>421</v>
      </c>
      <c r="D287" s="17"/>
      <c r="E287" s="17"/>
      <c r="F287" s="6"/>
      <c r="G287" s="93">
        <f>SUM('31:13'!G287)</f>
        <v>522</v>
      </c>
      <c r="H287" s="339">
        <f t="shared" si="93"/>
        <v>0</v>
      </c>
      <c r="I287" s="93">
        <f>SUM('31:13'!I287)</f>
        <v>100</v>
      </c>
      <c r="J287" s="31"/>
      <c r="K287" s="35"/>
      <c r="L287" s="87">
        <v>24</v>
      </c>
      <c r="M287" s="36"/>
      <c r="N287" s="31"/>
      <c r="O287" s="93"/>
      <c r="P287" s="93"/>
      <c r="Q287" s="93"/>
      <c r="R287" s="93"/>
      <c r="S287" s="93"/>
      <c r="T287" s="93"/>
      <c r="U287" s="93"/>
      <c r="V287" s="206"/>
      <c r="W287" s="33"/>
      <c r="X287" s="93"/>
      <c r="Y287" s="93"/>
      <c r="Z287" s="93"/>
      <c r="AA287" s="93"/>
      <c r="AB287" s="73"/>
      <c r="AC287" s="54"/>
      <c r="AD287" s="346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>
      <c r="A288" s="299">
        <v>30400005</v>
      </c>
      <c r="B288" s="215" t="s">
        <v>419</v>
      </c>
      <c r="C288" s="187" t="s">
        <v>422</v>
      </c>
      <c r="D288" s="17"/>
      <c r="E288" s="17"/>
      <c r="F288" s="6"/>
      <c r="G288" s="93">
        <f>SUM('31:13'!G288)</f>
        <v>260</v>
      </c>
      <c r="H288" s="339">
        <f t="shared" si="93"/>
        <v>0</v>
      </c>
      <c r="I288" s="93">
        <f>SUM('31:13'!I288)</f>
        <v>48</v>
      </c>
      <c r="J288" s="31"/>
      <c r="K288" s="35"/>
      <c r="L288" s="87">
        <v>24</v>
      </c>
      <c r="M288" s="36"/>
      <c r="N288" s="31"/>
      <c r="O288" s="93"/>
      <c r="P288" s="93"/>
      <c r="Q288" s="93"/>
      <c r="R288" s="93"/>
      <c r="S288" s="93"/>
      <c r="T288" s="93"/>
      <c r="U288" s="93"/>
      <c r="V288" s="206"/>
      <c r="W288" s="33"/>
      <c r="X288" s="93"/>
      <c r="Y288" s="93"/>
      <c r="Z288" s="93"/>
      <c r="AA288" s="93"/>
      <c r="AB288" s="73"/>
      <c r="AC288" s="54"/>
      <c r="AD288" s="346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>
      <c r="A289" s="299">
        <v>30400007</v>
      </c>
      <c r="B289" s="65" t="s">
        <v>91</v>
      </c>
      <c r="C289" s="16" t="s">
        <v>74</v>
      </c>
      <c r="D289" s="17">
        <v>5.07</v>
      </c>
      <c r="E289" s="17"/>
      <c r="F289" s="6"/>
      <c r="G289" s="93">
        <f>SUM('31:13'!G289)</f>
        <v>460</v>
      </c>
      <c r="H289" s="339">
        <f t="shared" si="93"/>
        <v>2332.2000000000003</v>
      </c>
      <c r="I289" s="93">
        <f>SUM('31:13'!I289)</f>
        <v>98</v>
      </c>
      <c r="J289" s="31">
        <f t="array" ref="J289">IF(ISERROR(G289/I289),"",G289/I289)</f>
        <v>4.6938775510204085</v>
      </c>
      <c r="K289" s="35">
        <f t="array" ref="K289">IF(ISERROR(G289/L289),"",G289/L289)</f>
        <v>51.111111111111114</v>
      </c>
      <c r="L289" s="87">
        <v>9</v>
      </c>
      <c r="M289" s="36">
        <f t="shared" ref="M289:M291" si="100">IF(ISERROR(I289-K289),"",I289-K289)</f>
        <v>46.888888888888886</v>
      </c>
      <c r="N289" s="31">
        <f t="shared" ref="N289:N291" si="101">SUM(O289:U289)</f>
        <v>0</v>
      </c>
      <c r="O289" s="93">
        <f>SUM('31:13'!O289)</f>
        <v>0</v>
      </c>
      <c r="P289" s="93">
        <f>SUM('31:13'!P289)</f>
        <v>0</v>
      </c>
      <c r="Q289" s="93">
        <f>SUM('31:13'!Q289)</f>
        <v>0</v>
      </c>
      <c r="R289" s="93">
        <f>SUM('31:13'!R289)</f>
        <v>0</v>
      </c>
      <c r="S289" s="93">
        <f>SUM('31:13'!S289)</f>
        <v>0</v>
      </c>
      <c r="T289" s="93">
        <f>SUM('31:13'!T289)</f>
        <v>0</v>
      </c>
      <c r="U289" s="93">
        <f>SUM('31:13'!U289)</f>
        <v>0</v>
      </c>
      <c r="V289" s="206">
        <f t="shared" ref="V289:V291" si="102">SUM(X289:AA289)</f>
        <v>0</v>
      </c>
      <c r="W289" s="33">
        <f t="shared" ref="W289:W313" si="103">IF(ISERROR(V289/G289),"",V289/G289)</f>
        <v>0</v>
      </c>
      <c r="X289" s="93">
        <f>SUM('31:13'!X289)</f>
        <v>0</v>
      </c>
      <c r="Y289" s="93">
        <f>SUM('31:13'!Y289)</f>
        <v>0</v>
      </c>
      <c r="Z289" s="93">
        <f>SUM('31:13'!Z289)</f>
        <v>0</v>
      </c>
      <c r="AA289" s="93">
        <f>SUM('31:13'!AA289)</f>
        <v>0</v>
      </c>
      <c r="AB289" s="73"/>
      <c r="AC289" s="54"/>
      <c r="AD289" s="346"/>
      <c r="AE289" s="54"/>
      <c r="AF289" s="54"/>
      <c r="AG289" s="54"/>
      <c r="AH289" s="54"/>
      <c r="AI289" s="57"/>
      <c r="AJ289" s="57"/>
      <c r="AK289" s="57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</row>
    <row r="290" spans="1:53">
      <c r="A290" s="299">
        <v>30400006</v>
      </c>
      <c r="B290" s="65" t="s">
        <v>91</v>
      </c>
      <c r="C290" s="16" t="s">
        <v>53</v>
      </c>
      <c r="D290" s="17">
        <v>5.07</v>
      </c>
      <c r="E290" s="17"/>
      <c r="F290" s="6"/>
      <c r="G290" s="93">
        <f>SUM('31:13'!G290)</f>
        <v>0</v>
      </c>
      <c r="H290" s="339">
        <f t="shared" si="93"/>
        <v>0</v>
      </c>
      <c r="I290" s="93">
        <f>SUM('31:13'!I290)</f>
        <v>0</v>
      </c>
      <c r="J290" s="31" t="str">
        <f t="array" ref="J290">IF(ISERROR(G290/I290),"",G290/I290)</f>
        <v/>
      </c>
      <c r="K290" s="35">
        <f t="array" ref="K290">IF(ISERROR(G290/L290),"",G290/L290)</f>
        <v>0</v>
      </c>
      <c r="L290" s="87">
        <v>9</v>
      </c>
      <c r="M290" s="36">
        <f t="shared" si="100"/>
        <v>0</v>
      </c>
      <c r="N290" s="31">
        <f t="shared" si="101"/>
        <v>0</v>
      </c>
      <c r="O290" s="93">
        <f>SUM('31:13'!O290)</f>
        <v>0</v>
      </c>
      <c r="P290" s="93">
        <f>SUM('31:13'!P290)</f>
        <v>0</v>
      </c>
      <c r="Q290" s="93">
        <f>SUM('31:13'!Q290)</f>
        <v>0</v>
      </c>
      <c r="R290" s="93">
        <f>SUM('31:13'!R290)</f>
        <v>0</v>
      </c>
      <c r="S290" s="93">
        <f>SUM('31:13'!S290)</f>
        <v>0</v>
      </c>
      <c r="T290" s="93">
        <f>SUM('31:13'!T290)</f>
        <v>0</v>
      </c>
      <c r="U290" s="93">
        <f>SUM('31:13'!U290)</f>
        <v>0</v>
      </c>
      <c r="V290" s="206">
        <f t="shared" si="102"/>
        <v>0</v>
      </c>
      <c r="W290" s="33" t="str">
        <f t="shared" si="103"/>
        <v/>
      </c>
      <c r="X290" s="93">
        <f>SUM('31:13'!X290)</f>
        <v>0</v>
      </c>
      <c r="Y290" s="93">
        <f>SUM('31:13'!Y290)</f>
        <v>0</v>
      </c>
      <c r="Z290" s="93">
        <f>SUM('31:13'!Z290)</f>
        <v>0</v>
      </c>
      <c r="AA290" s="93">
        <f>SUM('31:13'!AA290)</f>
        <v>0</v>
      </c>
      <c r="AB290" s="73"/>
      <c r="AC290" s="54"/>
      <c r="AD290" s="346"/>
      <c r="AE290" s="54"/>
      <c r="AF290" s="54"/>
      <c r="AG290" s="54"/>
      <c r="AH290" s="54"/>
      <c r="AI290" s="57"/>
      <c r="AJ290" s="57"/>
      <c r="AK290" s="57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</row>
    <row r="291" spans="1:53">
      <c r="A291" s="299">
        <v>30400006</v>
      </c>
      <c r="B291" s="65" t="s">
        <v>91</v>
      </c>
      <c r="C291" s="16" t="s">
        <v>60</v>
      </c>
      <c r="D291" s="17">
        <v>5.0599999999999996</v>
      </c>
      <c r="E291" s="17"/>
      <c r="F291" s="53"/>
      <c r="G291" s="93">
        <f>SUM('31:13'!G291)</f>
        <v>835</v>
      </c>
      <c r="H291" s="339">
        <f t="shared" si="93"/>
        <v>4225.0999999999995</v>
      </c>
      <c r="I291" s="93">
        <f>SUM('31:13'!I291)</f>
        <v>125.5</v>
      </c>
      <c r="J291" s="31">
        <f t="array" ref="J291">IF(ISERROR(G291/I291),"",G291/I291)</f>
        <v>6.6533864541832672</v>
      </c>
      <c r="K291" s="339">
        <f t="array" ref="K291">IF(ISERROR(G291/L291),"",G291/L291)</f>
        <v>92.777777777777771</v>
      </c>
      <c r="L291" s="87">
        <v>9</v>
      </c>
      <c r="M291" s="36">
        <f t="shared" si="100"/>
        <v>32.722222222222229</v>
      </c>
      <c r="N291" s="31">
        <f t="shared" si="101"/>
        <v>0</v>
      </c>
      <c r="O291" s="93">
        <f>SUM('31:13'!O291)</f>
        <v>0</v>
      </c>
      <c r="P291" s="93">
        <f>SUM('31:13'!P291)</f>
        <v>0</v>
      </c>
      <c r="Q291" s="93">
        <f>SUM('31:13'!Q291)</f>
        <v>0</v>
      </c>
      <c r="R291" s="93">
        <f>SUM('31:13'!R291)</f>
        <v>0</v>
      </c>
      <c r="S291" s="93">
        <f>SUM('31:13'!S291)</f>
        <v>0</v>
      </c>
      <c r="T291" s="93">
        <f>SUM('31:13'!T291)</f>
        <v>0</v>
      </c>
      <c r="U291" s="93">
        <f>SUM('31:13'!U291)</f>
        <v>0</v>
      </c>
      <c r="V291" s="206">
        <f t="shared" si="102"/>
        <v>0</v>
      </c>
      <c r="W291" s="33">
        <f t="shared" si="103"/>
        <v>0</v>
      </c>
      <c r="X291" s="93">
        <f>SUM('31:13'!X291)</f>
        <v>0</v>
      </c>
      <c r="Y291" s="93">
        <f>SUM('31:13'!Y291)</f>
        <v>0</v>
      </c>
      <c r="Z291" s="93">
        <f>SUM('31:13'!Z291)</f>
        <v>0</v>
      </c>
      <c r="AA291" s="93">
        <f>SUM('31:13'!AA291)</f>
        <v>0</v>
      </c>
      <c r="AB291" s="73"/>
      <c r="AC291" s="54"/>
      <c r="AD291" s="346"/>
      <c r="AE291" s="54"/>
      <c r="AF291" s="54"/>
      <c r="AG291" s="54"/>
      <c r="AH291" s="54"/>
      <c r="AI291" s="57"/>
      <c r="AJ291" s="57"/>
      <c r="AK291" s="57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</row>
    <row r="292" spans="1:53">
      <c r="A292" s="691" t="s">
        <v>92</v>
      </c>
      <c r="B292" s="692"/>
      <c r="C292" s="342" t="s">
        <v>71</v>
      </c>
      <c r="D292" s="20"/>
      <c r="E292" s="20"/>
      <c r="F292" s="32"/>
      <c r="G292" s="30">
        <f>SUM(G258:G291)</f>
        <v>4977</v>
      </c>
      <c r="H292" s="30">
        <f>SUM(H258:H291)</f>
        <v>19480.559999999998</v>
      </c>
      <c r="I292" s="30">
        <f>SUM(I258:I291)</f>
        <v>1000</v>
      </c>
      <c r="J292" s="31">
        <f t="array" ref="J292">IF(ISERROR(G292/I292),"",G292/I292)</f>
        <v>4.9770000000000003</v>
      </c>
      <c r="K292" s="30">
        <f>SUM(K258:K291)</f>
        <v>508.8535027696318</v>
      </c>
      <c r="L292" s="98"/>
      <c r="M292" s="89">
        <f t="shared" ref="M292:V292" si="104">SUM(M258:M291)</f>
        <v>215.64649723036823</v>
      </c>
      <c r="N292" s="30">
        <f t="shared" si="104"/>
        <v>0</v>
      </c>
      <c r="O292" s="91">
        <f t="shared" si="104"/>
        <v>0</v>
      </c>
      <c r="P292" s="91">
        <f t="shared" si="104"/>
        <v>0</v>
      </c>
      <c r="Q292" s="91">
        <f t="shared" si="104"/>
        <v>0</v>
      </c>
      <c r="R292" s="91">
        <f t="shared" si="104"/>
        <v>0</v>
      </c>
      <c r="S292" s="92">
        <f t="shared" si="104"/>
        <v>0</v>
      </c>
      <c r="T292" s="91">
        <f t="shared" si="104"/>
        <v>0</v>
      </c>
      <c r="U292" s="91">
        <f t="shared" si="104"/>
        <v>0</v>
      </c>
      <c r="V292" s="206">
        <f t="shared" si="104"/>
        <v>0</v>
      </c>
      <c r="W292" s="33">
        <f t="shared" si="103"/>
        <v>0</v>
      </c>
      <c r="X292" s="92">
        <f>SUM(X258:X291)</f>
        <v>0</v>
      </c>
      <c r="Y292" s="92">
        <f>SUM(Y258:Y291)</f>
        <v>0</v>
      </c>
      <c r="Z292" s="92">
        <f>SUM(Z258:Z291)</f>
        <v>0</v>
      </c>
      <c r="AA292" s="92">
        <f>SUM(AA258:AA291)</f>
        <v>0</v>
      </c>
      <c r="AB292" s="75"/>
      <c r="AC292" s="70"/>
      <c r="AD292" s="346"/>
      <c r="AE292" s="74"/>
      <c r="AF292" s="74"/>
      <c r="AG292" s="74"/>
      <c r="AH292" s="74"/>
      <c r="AI292" s="57"/>
      <c r="AJ292" s="57"/>
      <c r="AK292" s="57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</row>
    <row r="293" spans="1:53">
      <c r="A293" s="299">
        <v>30100038</v>
      </c>
      <c r="B293" s="62" t="s">
        <v>93</v>
      </c>
      <c r="C293" s="16" t="s">
        <v>94</v>
      </c>
      <c r="D293" s="17">
        <v>5.03</v>
      </c>
      <c r="E293" s="17"/>
      <c r="F293" s="6"/>
      <c r="G293" s="93">
        <f>SUM('31:13'!G293)</f>
        <v>638</v>
      </c>
      <c r="H293" s="339">
        <f>D293*G293</f>
        <v>3209.1400000000003</v>
      </c>
      <c r="I293" s="93">
        <f>SUM('31:13'!I293)</f>
        <v>29.08</v>
      </c>
      <c r="J293" s="31">
        <f t="array" ref="J293">IF(ISERROR(G293/I293),"",G293/I293)</f>
        <v>21.939477303988998</v>
      </c>
      <c r="K293" s="35">
        <f t="array" ref="K293">IF(ISERROR(G293/L293),"",G293/L293)</f>
        <v>25.52</v>
      </c>
      <c r="L293" s="87">
        <v>25</v>
      </c>
      <c r="M293" s="36">
        <f t="shared" ref="M293:M307" si="105">IF(ISERROR(I293-K293),"",I293-K293)</f>
        <v>3.5599999999999987</v>
      </c>
      <c r="N293" s="31">
        <f t="shared" ref="N293:N307" si="106">SUM(O293:U293)</f>
        <v>0</v>
      </c>
      <c r="O293" s="93">
        <f>SUM('31:13'!O293)</f>
        <v>0</v>
      </c>
      <c r="P293" s="93">
        <f>SUM('31:13'!P293)</f>
        <v>0</v>
      </c>
      <c r="Q293" s="93">
        <f>SUM('31:13'!Q293)</f>
        <v>0</v>
      </c>
      <c r="R293" s="93">
        <f>SUM('31:13'!R293)</f>
        <v>0</v>
      </c>
      <c r="S293" s="93">
        <f>SUM('31:13'!S293)</f>
        <v>0</v>
      </c>
      <c r="T293" s="93">
        <f>SUM('31:13'!T293)</f>
        <v>0</v>
      </c>
      <c r="U293" s="93">
        <f>SUM('31:13'!U293)</f>
        <v>0</v>
      </c>
      <c r="V293" s="206">
        <f t="shared" ref="V293:V307" si="107">SUM(X293:AA293)</f>
        <v>0</v>
      </c>
      <c r="W293" s="33">
        <f t="shared" si="103"/>
        <v>0</v>
      </c>
      <c r="X293" s="93">
        <f>SUM('31:13'!X293)</f>
        <v>0</v>
      </c>
      <c r="Y293" s="93">
        <f>SUM('31:13'!Y293)</f>
        <v>0</v>
      </c>
      <c r="Z293" s="93">
        <f>SUM('31:13'!Z293)</f>
        <v>0</v>
      </c>
      <c r="AA293" s="93">
        <f>SUM('31:13'!AA293)</f>
        <v>0</v>
      </c>
      <c r="AB293" s="73"/>
      <c r="AC293" s="54"/>
      <c r="AD293" s="346"/>
      <c r="AE293" s="54"/>
      <c r="AF293" s="54"/>
      <c r="AG293" s="54"/>
      <c r="AH293" s="54"/>
      <c r="AI293" s="57"/>
      <c r="AJ293" s="57"/>
      <c r="AK293" s="57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</row>
    <row r="294" spans="1:53">
      <c r="A294" s="299">
        <v>30100037</v>
      </c>
      <c r="B294" s="62" t="s">
        <v>93</v>
      </c>
      <c r="C294" s="16" t="s">
        <v>74</v>
      </c>
      <c r="D294" s="17">
        <v>5.03</v>
      </c>
      <c r="E294" s="17"/>
      <c r="F294" s="6"/>
      <c r="G294" s="93">
        <f>SUM('31:13'!G294)</f>
        <v>1198</v>
      </c>
      <c r="H294" s="339">
        <f t="shared" ref="H294:H307" si="108">D294*G294</f>
        <v>6025.9400000000005</v>
      </c>
      <c r="I294" s="93">
        <f>SUM('31:13'!I294)</f>
        <v>68</v>
      </c>
      <c r="J294" s="31">
        <f t="array" ref="J294">IF(ISERROR(G294/I294),"",G294/I294)</f>
        <v>17.617647058823529</v>
      </c>
      <c r="K294" s="35">
        <f t="array" ref="K294">IF(ISERROR(G294/L294),"",G294/L294)</f>
        <v>47.92</v>
      </c>
      <c r="L294" s="87">
        <v>25</v>
      </c>
      <c r="M294" s="36">
        <f t="shared" si="105"/>
        <v>20.079999999999998</v>
      </c>
      <c r="N294" s="31">
        <f t="shared" si="106"/>
        <v>0</v>
      </c>
      <c r="O294" s="93">
        <f>SUM('31:13'!O294)</f>
        <v>0</v>
      </c>
      <c r="P294" s="93">
        <f>SUM('31:13'!P294)</f>
        <v>0</v>
      </c>
      <c r="Q294" s="93">
        <f>SUM('31:13'!Q294)</f>
        <v>0</v>
      </c>
      <c r="R294" s="93">
        <f>SUM('31:13'!R294)</f>
        <v>0</v>
      </c>
      <c r="S294" s="93">
        <f>SUM('31:13'!S294)</f>
        <v>0</v>
      </c>
      <c r="T294" s="93">
        <f>SUM('31:13'!T294)</f>
        <v>0</v>
      </c>
      <c r="U294" s="93">
        <f>SUM('31:13'!U294)</f>
        <v>0</v>
      </c>
      <c r="V294" s="206">
        <f t="shared" si="107"/>
        <v>0</v>
      </c>
      <c r="W294" s="33">
        <f t="shared" si="103"/>
        <v>0</v>
      </c>
      <c r="X294" s="93">
        <f>SUM('31:13'!X294)</f>
        <v>0</v>
      </c>
      <c r="Y294" s="93">
        <f>SUM('31:13'!Y294)</f>
        <v>0</v>
      </c>
      <c r="Z294" s="93">
        <f>SUM('31:13'!Z294)</f>
        <v>0</v>
      </c>
      <c r="AA294" s="93">
        <f>SUM('31:13'!AA294)</f>
        <v>0</v>
      </c>
      <c r="AB294" s="73"/>
      <c r="AC294" s="54"/>
      <c r="AD294" s="346"/>
      <c r="AE294" s="54"/>
      <c r="AF294" s="54"/>
      <c r="AG294" s="54"/>
      <c r="AH294" s="54"/>
      <c r="AI294" s="57"/>
      <c r="AJ294" s="57"/>
      <c r="AK294" s="57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</row>
    <row r="295" spans="1:53">
      <c r="A295" s="299">
        <v>30100051</v>
      </c>
      <c r="B295" s="62" t="s">
        <v>58</v>
      </c>
      <c r="C295" s="16" t="s">
        <v>65</v>
      </c>
      <c r="D295" s="17">
        <v>5.04</v>
      </c>
      <c r="E295" s="17"/>
      <c r="F295" s="6"/>
      <c r="G295" s="93">
        <f>SUM('31:13'!G295)</f>
        <v>898</v>
      </c>
      <c r="H295" s="339">
        <f t="shared" si="108"/>
        <v>4525.92</v>
      </c>
      <c r="I295" s="93">
        <f>SUM('31:13'!I295)</f>
        <v>69.5</v>
      </c>
      <c r="J295" s="31">
        <f t="array" ref="J295">IF(ISERROR(G295/I295),"",G295/I295)</f>
        <v>12.920863309352518</v>
      </c>
      <c r="K295" s="35">
        <f t="array" ref="K295">IF(ISERROR(G295/L295),"",G295/L295)</f>
        <v>44.9</v>
      </c>
      <c r="L295" s="87">
        <v>20</v>
      </c>
      <c r="M295" s="36">
        <f t="shared" si="105"/>
        <v>24.6</v>
      </c>
      <c r="N295" s="31">
        <f t="shared" si="106"/>
        <v>0</v>
      </c>
      <c r="O295" s="93">
        <f>SUM('31:13'!O295)</f>
        <v>0</v>
      </c>
      <c r="P295" s="93">
        <f>SUM('31:13'!P295)</f>
        <v>0</v>
      </c>
      <c r="Q295" s="93">
        <f>SUM('31:13'!Q295)</f>
        <v>0</v>
      </c>
      <c r="R295" s="93">
        <f>SUM('31:13'!R295)</f>
        <v>0</v>
      </c>
      <c r="S295" s="93">
        <f>SUM('31:13'!S295)</f>
        <v>0</v>
      </c>
      <c r="T295" s="93">
        <f>SUM('31:13'!T295)</f>
        <v>0</v>
      </c>
      <c r="U295" s="93">
        <f>SUM('31:13'!U295)</f>
        <v>0</v>
      </c>
      <c r="V295" s="206">
        <f t="shared" si="107"/>
        <v>0</v>
      </c>
      <c r="W295" s="33">
        <f t="shared" si="103"/>
        <v>0</v>
      </c>
      <c r="X295" s="93">
        <f>SUM('31:13'!X295)</f>
        <v>0</v>
      </c>
      <c r="Y295" s="93">
        <f>SUM('31:13'!Y295)</f>
        <v>0</v>
      </c>
      <c r="Z295" s="93">
        <f>SUM('31:13'!Z295)</f>
        <v>0</v>
      </c>
      <c r="AA295" s="93">
        <f>SUM('31:13'!AA295)</f>
        <v>0</v>
      </c>
      <c r="AB295" s="73"/>
      <c r="AC295" s="54"/>
      <c r="AD295" s="346"/>
      <c r="AE295" s="54"/>
      <c r="AF295" s="54"/>
      <c r="AG295" s="54"/>
      <c r="AH295" s="54"/>
      <c r="AI295" s="57"/>
      <c r="AJ295" s="57"/>
      <c r="AK295" s="57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</row>
    <row r="296" spans="1:53">
      <c r="A296" s="299"/>
      <c r="B296" s="63" t="s">
        <v>95</v>
      </c>
      <c r="C296" s="16" t="s">
        <v>82</v>
      </c>
      <c r="D296" s="17">
        <v>5.03</v>
      </c>
      <c r="E296" s="17"/>
      <c r="F296" s="6"/>
      <c r="G296" s="93">
        <f>SUM('31:13'!G296)</f>
        <v>0</v>
      </c>
      <c r="H296" s="339">
        <f t="shared" si="108"/>
        <v>0</v>
      </c>
      <c r="I296" s="93">
        <f>SUM('31:13'!I296)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87">
        <v>4</v>
      </c>
      <c r="M296" s="36">
        <f t="shared" si="105"/>
        <v>0</v>
      </c>
      <c r="N296" s="31">
        <f t="shared" si="106"/>
        <v>0</v>
      </c>
      <c r="O296" s="93">
        <f>SUM('31:13'!O296)</f>
        <v>0</v>
      </c>
      <c r="P296" s="93">
        <f>SUM('31:13'!P296)</f>
        <v>0</v>
      </c>
      <c r="Q296" s="93">
        <f>SUM('31:13'!Q296)</f>
        <v>0</v>
      </c>
      <c r="R296" s="93">
        <f>SUM('31:13'!R296)</f>
        <v>0</v>
      </c>
      <c r="S296" s="93">
        <f>SUM('31:13'!S296)</f>
        <v>0</v>
      </c>
      <c r="T296" s="93">
        <f>SUM('31:13'!T296)</f>
        <v>0</v>
      </c>
      <c r="U296" s="93">
        <f>SUM('31:13'!U296)</f>
        <v>0</v>
      </c>
      <c r="V296" s="206">
        <f t="shared" si="107"/>
        <v>0</v>
      </c>
      <c r="W296" s="33" t="str">
        <f t="shared" si="103"/>
        <v/>
      </c>
      <c r="X296" s="93">
        <f>SUM('31:13'!X296)</f>
        <v>0</v>
      </c>
      <c r="Y296" s="93">
        <f>SUM('31:13'!Y296)</f>
        <v>0</v>
      </c>
      <c r="Z296" s="93">
        <f>SUM('31:13'!Z296)</f>
        <v>0</v>
      </c>
      <c r="AA296" s="93">
        <f>SUM('31:13'!AA296)</f>
        <v>0</v>
      </c>
      <c r="AB296" s="73"/>
      <c r="AC296" s="54"/>
      <c r="AD296" s="346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>
      <c r="A297" s="299">
        <v>30100054</v>
      </c>
      <c r="B297" s="63" t="s">
        <v>95</v>
      </c>
      <c r="C297" s="340" t="s">
        <v>72</v>
      </c>
      <c r="D297" s="17">
        <v>5.03</v>
      </c>
      <c r="E297" s="17"/>
      <c r="F297" s="6"/>
      <c r="G297" s="93">
        <f>SUM('31:13'!G297)</f>
        <v>85</v>
      </c>
      <c r="H297" s="339">
        <f t="shared" si="108"/>
        <v>427.55</v>
      </c>
      <c r="I297" s="93">
        <f>SUM('31:13'!I297)</f>
        <v>6</v>
      </c>
      <c r="J297" s="31">
        <f t="array" ref="J297">IF(ISERROR(G297/I297),"",G297/I297)</f>
        <v>14.166666666666666</v>
      </c>
      <c r="K297" s="35">
        <f t="array" ref="K297">IF(ISERROR(G297/L297),"",G297/L297)</f>
        <v>21.25</v>
      </c>
      <c r="L297" s="87">
        <v>4</v>
      </c>
      <c r="M297" s="36">
        <f t="shared" si="105"/>
        <v>-15.25</v>
      </c>
      <c r="N297" s="31">
        <f t="shared" si="106"/>
        <v>0</v>
      </c>
      <c r="O297" s="93">
        <f>SUM('31:13'!O297)</f>
        <v>0</v>
      </c>
      <c r="P297" s="93">
        <f>SUM('31:13'!P297)</f>
        <v>0</v>
      </c>
      <c r="Q297" s="93">
        <f>SUM('31:13'!Q297)</f>
        <v>0</v>
      </c>
      <c r="R297" s="93">
        <f>SUM('31:13'!R297)</f>
        <v>0</v>
      </c>
      <c r="S297" s="93">
        <f>SUM('31:13'!S297)</f>
        <v>0</v>
      </c>
      <c r="T297" s="93">
        <f>SUM('31:13'!T297)</f>
        <v>0</v>
      </c>
      <c r="U297" s="93">
        <f>SUM('31:13'!U297)</f>
        <v>0</v>
      </c>
      <c r="V297" s="206">
        <f t="shared" si="107"/>
        <v>0</v>
      </c>
      <c r="W297" s="33">
        <f t="shared" si="103"/>
        <v>0</v>
      </c>
      <c r="X297" s="93">
        <f>SUM('31:13'!X297)</f>
        <v>0</v>
      </c>
      <c r="Y297" s="93">
        <f>SUM('31:13'!Y297)</f>
        <v>0</v>
      </c>
      <c r="Z297" s="93">
        <f>SUM('31:13'!Z297)</f>
        <v>0</v>
      </c>
      <c r="AA297" s="93">
        <f>SUM('31:13'!AA297)</f>
        <v>0</v>
      </c>
      <c r="AB297" s="73"/>
      <c r="AC297" s="54"/>
      <c r="AD297" s="346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>
      <c r="A298" s="299">
        <v>30100053</v>
      </c>
      <c r="B298" s="63" t="s">
        <v>95</v>
      </c>
      <c r="C298" s="16" t="s">
        <v>73</v>
      </c>
      <c r="D298" s="17">
        <v>5.03</v>
      </c>
      <c r="E298" s="17"/>
      <c r="F298" s="6"/>
      <c r="G298" s="93">
        <f>SUM('31:13'!G298)</f>
        <v>450</v>
      </c>
      <c r="H298" s="339">
        <f t="shared" si="108"/>
        <v>2263.5</v>
      </c>
      <c r="I298" s="93">
        <f>SUM('31:13'!I298)</f>
        <v>44</v>
      </c>
      <c r="J298" s="31">
        <f t="array" ref="J298">IF(ISERROR(G298/I298),"",G298/I298)</f>
        <v>10.227272727272727</v>
      </c>
      <c r="K298" s="35">
        <f t="array" ref="K298">IF(ISERROR(G298/L298),"",G298/L298)</f>
        <v>112.5</v>
      </c>
      <c r="L298" s="87">
        <v>4</v>
      </c>
      <c r="M298" s="36">
        <f t="shared" si="105"/>
        <v>-68.5</v>
      </c>
      <c r="N298" s="31">
        <f t="shared" si="106"/>
        <v>0</v>
      </c>
      <c r="O298" s="93">
        <f>SUM('31:13'!O298)</f>
        <v>0</v>
      </c>
      <c r="P298" s="93">
        <f>SUM('31:13'!P298)</f>
        <v>0</v>
      </c>
      <c r="Q298" s="93">
        <f>SUM('31:13'!Q298)</f>
        <v>0</v>
      </c>
      <c r="R298" s="93">
        <f>SUM('31:13'!R298)</f>
        <v>0</v>
      </c>
      <c r="S298" s="93">
        <f>SUM('31:13'!S298)</f>
        <v>0</v>
      </c>
      <c r="T298" s="93">
        <f>SUM('31:13'!T298)</f>
        <v>0</v>
      </c>
      <c r="U298" s="93">
        <f>SUM('31:13'!U298)</f>
        <v>0</v>
      </c>
      <c r="V298" s="206">
        <f t="shared" si="107"/>
        <v>0</v>
      </c>
      <c r="W298" s="33">
        <f t="shared" si="103"/>
        <v>0</v>
      </c>
      <c r="X298" s="93">
        <f>SUM('31:13'!X298)</f>
        <v>0</v>
      </c>
      <c r="Y298" s="93">
        <f>SUM('31:13'!Y298)</f>
        <v>0</v>
      </c>
      <c r="Z298" s="93">
        <f>SUM('31:13'!Z298)</f>
        <v>0</v>
      </c>
      <c r="AA298" s="93">
        <f>SUM('31:13'!AA298)</f>
        <v>0</v>
      </c>
      <c r="AB298" s="73"/>
      <c r="AC298" s="54"/>
      <c r="AD298" s="346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>
      <c r="A299" s="299"/>
      <c r="B299" s="63" t="s">
        <v>95</v>
      </c>
      <c r="C299" s="16" t="s">
        <v>60</v>
      </c>
      <c r="D299" s="17">
        <v>5.03</v>
      </c>
      <c r="E299" s="17"/>
      <c r="F299" s="6"/>
      <c r="G299" s="93">
        <f>SUM('31:13'!G299)</f>
        <v>0</v>
      </c>
      <c r="H299" s="339">
        <f t="shared" si="108"/>
        <v>0</v>
      </c>
      <c r="I299" s="93">
        <f>SUM('31:13'!I299)</f>
        <v>0</v>
      </c>
      <c r="J299" s="31" t="str">
        <f t="array" ref="J299">IF(ISERROR(G299/I299),"",G299/I299)</f>
        <v/>
      </c>
      <c r="K299" s="35">
        <f t="array" ref="K299">IF(ISERROR(G299/L299),"",G299/L299)</f>
        <v>0</v>
      </c>
      <c r="L299" s="87">
        <v>4</v>
      </c>
      <c r="M299" s="36">
        <f t="shared" si="105"/>
        <v>0</v>
      </c>
      <c r="N299" s="31">
        <f t="shared" si="106"/>
        <v>0</v>
      </c>
      <c r="O299" s="93">
        <f>SUM('31:13'!O299)</f>
        <v>0</v>
      </c>
      <c r="P299" s="93">
        <f>SUM('31:13'!P299)</f>
        <v>0</v>
      </c>
      <c r="Q299" s="93">
        <f>SUM('31:13'!Q299)</f>
        <v>0</v>
      </c>
      <c r="R299" s="93">
        <f>SUM('31:13'!R299)</f>
        <v>0</v>
      </c>
      <c r="S299" s="93">
        <f>SUM('31:13'!S299)</f>
        <v>0</v>
      </c>
      <c r="T299" s="93">
        <f>SUM('31:13'!T299)</f>
        <v>0</v>
      </c>
      <c r="U299" s="93">
        <f>SUM('31:13'!U299)</f>
        <v>0</v>
      </c>
      <c r="V299" s="206">
        <f t="shared" si="107"/>
        <v>0</v>
      </c>
      <c r="W299" s="33" t="str">
        <f t="shared" si="103"/>
        <v/>
      </c>
      <c r="X299" s="93">
        <f>SUM('31:13'!X299)</f>
        <v>0</v>
      </c>
      <c r="Y299" s="93">
        <f>SUM('31:13'!Y299)</f>
        <v>0</v>
      </c>
      <c r="Z299" s="93">
        <f>SUM('31:13'!Z299)</f>
        <v>0</v>
      </c>
      <c r="AA299" s="93">
        <f>SUM('31:13'!AA299)</f>
        <v>0</v>
      </c>
      <c r="AB299" s="73"/>
      <c r="AC299" s="54"/>
      <c r="AD299" s="346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>
      <c r="A300" s="299"/>
      <c r="B300" s="63" t="s">
        <v>95</v>
      </c>
      <c r="C300" s="340" t="s">
        <v>96</v>
      </c>
      <c r="D300" s="17">
        <v>5.03</v>
      </c>
      <c r="E300" s="17"/>
      <c r="F300" s="6"/>
      <c r="G300" s="93">
        <f>SUM('31:13'!G300)</f>
        <v>0</v>
      </c>
      <c r="H300" s="339">
        <f t="shared" si="108"/>
        <v>0</v>
      </c>
      <c r="I300" s="93">
        <f>SUM('31:13'!I300)</f>
        <v>0</v>
      </c>
      <c r="J300" s="31" t="str">
        <f t="array" ref="J300">IF(ISERROR(G300/I300),"",G300/I300)</f>
        <v/>
      </c>
      <c r="K300" s="35">
        <f t="array" ref="K300">IF(ISERROR(G300/L300),"",G300/L300)</f>
        <v>0</v>
      </c>
      <c r="L300" s="87">
        <v>4</v>
      </c>
      <c r="M300" s="36">
        <f t="shared" si="105"/>
        <v>0</v>
      </c>
      <c r="N300" s="31">
        <f t="shared" si="106"/>
        <v>0</v>
      </c>
      <c r="O300" s="93">
        <f>SUM('31:13'!O300)</f>
        <v>0</v>
      </c>
      <c r="P300" s="93">
        <f>SUM('31:13'!P300)</f>
        <v>0</v>
      </c>
      <c r="Q300" s="93">
        <f>SUM('31:13'!Q300)</f>
        <v>0</v>
      </c>
      <c r="R300" s="93">
        <f>SUM('31:13'!R300)</f>
        <v>0</v>
      </c>
      <c r="S300" s="93">
        <f>SUM('31:13'!S300)</f>
        <v>0</v>
      </c>
      <c r="T300" s="93">
        <f>SUM('31:13'!T300)</f>
        <v>0</v>
      </c>
      <c r="U300" s="93">
        <f>SUM('31:13'!U300)</f>
        <v>0</v>
      </c>
      <c r="V300" s="206">
        <f t="shared" si="107"/>
        <v>0</v>
      </c>
      <c r="W300" s="33" t="str">
        <f t="shared" si="103"/>
        <v/>
      </c>
      <c r="X300" s="93">
        <f>SUM('31:13'!X300)</f>
        <v>0</v>
      </c>
      <c r="Y300" s="93">
        <f>SUM('31:13'!Y300)</f>
        <v>0</v>
      </c>
      <c r="Z300" s="93">
        <f>SUM('31:13'!Z300)</f>
        <v>0</v>
      </c>
      <c r="AA300" s="93">
        <f>SUM('31:13'!AA300)</f>
        <v>0</v>
      </c>
      <c r="AB300" s="73"/>
      <c r="AC300" s="54"/>
      <c r="AD300" s="346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>
      <c r="A301" s="299">
        <v>30101067</v>
      </c>
      <c r="B301" s="63" t="s">
        <v>97</v>
      </c>
      <c r="C301" s="340" t="s">
        <v>82</v>
      </c>
      <c r="D301" s="17">
        <v>5.03</v>
      </c>
      <c r="E301" s="17"/>
      <c r="F301" s="6"/>
      <c r="G301" s="93">
        <f>SUM('31:13'!G301)</f>
        <v>0</v>
      </c>
      <c r="H301" s="339">
        <f t="shared" si="108"/>
        <v>0</v>
      </c>
      <c r="I301" s="93">
        <f>SUM('31:13'!I301)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87"/>
      <c r="M301" s="36" t="str">
        <f t="shared" si="105"/>
        <v/>
      </c>
      <c r="N301" s="31">
        <f t="shared" si="106"/>
        <v>0</v>
      </c>
      <c r="O301" s="93">
        <f>SUM('31:13'!O301)</f>
        <v>0</v>
      </c>
      <c r="P301" s="93">
        <f>SUM('31:13'!P301)</f>
        <v>0</v>
      </c>
      <c r="Q301" s="93">
        <f>SUM('31:13'!Q301)</f>
        <v>0</v>
      </c>
      <c r="R301" s="93">
        <f>SUM('31:13'!R301)</f>
        <v>0</v>
      </c>
      <c r="S301" s="93">
        <f>SUM('31:13'!S301)</f>
        <v>0</v>
      </c>
      <c r="T301" s="93">
        <f>SUM('31:13'!T301)</f>
        <v>0</v>
      </c>
      <c r="U301" s="93">
        <f>SUM('31:13'!U301)</f>
        <v>0</v>
      </c>
      <c r="V301" s="206">
        <f t="shared" si="107"/>
        <v>0</v>
      </c>
      <c r="W301" s="33" t="str">
        <f t="shared" si="103"/>
        <v/>
      </c>
      <c r="X301" s="93">
        <f>SUM('31:13'!X301)</f>
        <v>0</v>
      </c>
      <c r="Y301" s="93">
        <f>SUM('31:13'!Y301)</f>
        <v>0</v>
      </c>
      <c r="Z301" s="93">
        <f>SUM('31:13'!Z301)</f>
        <v>0</v>
      </c>
      <c r="AA301" s="93">
        <f>SUM('31:13'!AA301)</f>
        <v>0</v>
      </c>
      <c r="AB301" s="73"/>
      <c r="AC301" s="54"/>
      <c r="AD301" s="346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>
      <c r="A302" s="299">
        <v>30101068</v>
      </c>
      <c r="B302" s="63" t="s">
        <v>97</v>
      </c>
      <c r="C302" s="340" t="s">
        <v>72</v>
      </c>
      <c r="D302" s="17">
        <v>5.03</v>
      </c>
      <c r="E302" s="17"/>
      <c r="F302" s="6"/>
      <c r="G302" s="93">
        <f>SUM('31:13'!G302)</f>
        <v>0</v>
      </c>
      <c r="H302" s="339">
        <f t="shared" si="108"/>
        <v>0</v>
      </c>
      <c r="I302" s="93">
        <f>SUM('31:13'!I302)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87"/>
      <c r="M302" s="36" t="str">
        <f t="shared" si="105"/>
        <v/>
      </c>
      <c r="N302" s="31">
        <f t="shared" si="106"/>
        <v>0</v>
      </c>
      <c r="O302" s="93">
        <f>SUM('31:13'!O302)</f>
        <v>0</v>
      </c>
      <c r="P302" s="93">
        <f>SUM('31:13'!P302)</f>
        <v>0</v>
      </c>
      <c r="Q302" s="93">
        <f>SUM('31:13'!Q302)</f>
        <v>0</v>
      </c>
      <c r="R302" s="93">
        <f>SUM('31:13'!R302)</f>
        <v>0</v>
      </c>
      <c r="S302" s="93">
        <f>SUM('31:13'!S302)</f>
        <v>0</v>
      </c>
      <c r="T302" s="93">
        <f>SUM('31:13'!T302)</f>
        <v>0</v>
      </c>
      <c r="U302" s="93">
        <f>SUM('31:13'!U302)</f>
        <v>0</v>
      </c>
      <c r="V302" s="206">
        <f t="shared" si="107"/>
        <v>0</v>
      </c>
      <c r="W302" s="33" t="str">
        <f t="shared" si="103"/>
        <v/>
      </c>
      <c r="X302" s="93">
        <f>SUM('31:13'!X302)</f>
        <v>0</v>
      </c>
      <c r="Y302" s="93">
        <f>SUM('31:13'!Y302)</f>
        <v>0</v>
      </c>
      <c r="Z302" s="93">
        <f>SUM('31:13'!Z302)</f>
        <v>0</v>
      </c>
      <c r="AA302" s="93">
        <f>SUM('31:13'!AA302)</f>
        <v>0</v>
      </c>
      <c r="AB302" s="73"/>
      <c r="AC302" s="54"/>
      <c r="AD302" s="346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>
      <c r="A303" s="299">
        <v>30101069</v>
      </c>
      <c r="B303" s="63" t="s">
        <v>97</v>
      </c>
      <c r="C303" s="340" t="s">
        <v>60</v>
      </c>
      <c r="D303" s="17">
        <v>5.03</v>
      </c>
      <c r="E303" s="17"/>
      <c r="F303" s="6"/>
      <c r="G303" s="93">
        <f>SUM('31:13'!G303)</f>
        <v>0</v>
      </c>
      <c r="H303" s="339">
        <f t="shared" si="108"/>
        <v>0</v>
      </c>
      <c r="I303" s="93">
        <f>SUM('31:13'!I303)</f>
        <v>0</v>
      </c>
      <c r="J303" s="31" t="str">
        <f t="array" ref="J303">IF(ISERROR(G303/I303),"",G303/I303)</f>
        <v/>
      </c>
      <c r="K303" s="35" t="str">
        <f t="array" ref="K303">IF(ISERROR(G303/L303),"",G303/L303)</f>
        <v/>
      </c>
      <c r="L303" s="87"/>
      <c r="M303" s="36" t="str">
        <f t="shared" si="105"/>
        <v/>
      </c>
      <c r="N303" s="31">
        <f t="shared" si="106"/>
        <v>0</v>
      </c>
      <c r="O303" s="93">
        <f>SUM('31:13'!O303)</f>
        <v>0</v>
      </c>
      <c r="P303" s="93">
        <f>SUM('31:13'!P303)</f>
        <v>0</v>
      </c>
      <c r="Q303" s="93">
        <f>SUM('31:13'!Q303)</f>
        <v>0</v>
      </c>
      <c r="R303" s="93">
        <f>SUM('31:13'!R303)</f>
        <v>0</v>
      </c>
      <c r="S303" s="93">
        <f>SUM('31:13'!S303)</f>
        <v>0</v>
      </c>
      <c r="T303" s="93">
        <f>SUM('31:13'!T303)</f>
        <v>0</v>
      </c>
      <c r="U303" s="93">
        <f>SUM('31:13'!U303)</f>
        <v>0</v>
      </c>
      <c r="V303" s="206">
        <f t="shared" si="107"/>
        <v>0</v>
      </c>
      <c r="W303" s="33" t="str">
        <f t="shared" si="103"/>
        <v/>
      </c>
      <c r="X303" s="93">
        <f>SUM('31:13'!X303)</f>
        <v>0</v>
      </c>
      <c r="Y303" s="93">
        <f>SUM('31:13'!Y303)</f>
        <v>0</v>
      </c>
      <c r="Z303" s="93">
        <f>SUM('31:13'!Z303)</f>
        <v>0</v>
      </c>
      <c r="AA303" s="93">
        <f>SUM('31:13'!AA303)</f>
        <v>0</v>
      </c>
      <c r="AB303" s="73"/>
      <c r="AC303" s="54"/>
      <c r="AD303" s="346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>
      <c r="A304" s="299">
        <v>30101070</v>
      </c>
      <c r="B304" s="63" t="s">
        <v>97</v>
      </c>
      <c r="C304" s="340" t="s">
        <v>96</v>
      </c>
      <c r="D304" s="17">
        <v>5.03</v>
      </c>
      <c r="E304" s="17"/>
      <c r="F304" s="6"/>
      <c r="G304" s="93">
        <f>SUM('31:13'!G304)</f>
        <v>0</v>
      </c>
      <c r="H304" s="339">
        <f t="shared" si="108"/>
        <v>0</v>
      </c>
      <c r="I304" s="93">
        <f>SUM('31:13'!I304)</f>
        <v>0</v>
      </c>
      <c r="J304" s="31" t="str">
        <f t="array" ref="J304">IF(ISERROR(G304/I304),"",G304/I304)</f>
        <v/>
      </c>
      <c r="K304" s="35" t="str">
        <f t="array" ref="K304">IF(ISERROR(G304/L304),"",G304/L304)</f>
        <v/>
      </c>
      <c r="L304" s="87"/>
      <c r="M304" s="36" t="str">
        <f t="shared" si="105"/>
        <v/>
      </c>
      <c r="N304" s="31">
        <f t="shared" si="106"/>
        <v>0</v>
      </c>
      <c r="O304" s="93">
        <f>SUM('31:13'!O304)</f>
        <v>0</v>
      </c>
      <c r="P304" s="93">
        <f>SUM('31:13'!P304)</f>
        <v>0</v>
      </c>
      <c r="Q304" s="93">
        <f>SUM('31:13'!Q304)</f>
        <v>0</v>
      </c>
      <c r="R304" s="93">
        <f>SUM('31:13'!R304)</f>
        <v>0</v>
      </c>
      <c r="S304" s="93">
        <f>SUM('31:13'!S304)</f>
        <v>0</v>
      </c>
      <c r="T304" s="93">
        <f>SUM('31:13'!T304)</f>
        <v>0</v>
      </c>
      <c r="U304" s="93">
        <f>SUM('31:13'!U304)</f>
        <v>0</v>
      </c>
      <c r="V304" s="206">
        <f t="shared" si="107"/>
        <v>0</v>
      </c>
      <c r="W304" s="33" t="str">
        <f t="shared" si="103"/>
        <v/>
      </c>
      <c r="X304" s="93">
        <f>SUM('31:13'!X304)</f>
        <v>0</v>
      </c>
      <c r="Y304" s="93">
        <f>SUM('31:13'!Y304)</f>
        <v>0</v>
      </c>
      <c r="Z304" s="93">
        <f>SUM('31:13'!Z304)</f>
        <v>0</v>
      </c>
      <c r="AA304" s="93">
        <f>SUM('31:13'!AA304)</f>
        <v>0</v>
      </c>
      <c r="AB304" s="73"/>
      <c r="AC304" s="54"/>
      <c r="AD304" s="346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>
      <c r="A305" s="299">
        <v>30101071</v>
      </c>
      <c r="B305" s="63" t="s">
        <v>97</v>
      </c>
      <c r="C305" s="340" t="s">
        <v>73</v>
      </c>
      <c r="D305" s="17">
        <v>5.03</v>
      </c>
      <c r="E305" s="17"/>
      <c r="F305" s="6"/>
      <c r="G305" s="93">
        <f>SUM('31:13'!G305)</f>
        <v>0</v>
      </c>
      <c r="H305" s="339">
        <f t="shared" si="108"/>
        <v>0</v>
      </c>
      <c r="I305" s="93">
        <f>SUM('31:13'!I305)</f>
        <v>0</v>
      </c>
      <c r="J305" s="31" t="str">
        <f t="array" ref="J305">IF(ISERROR(G305/I305),"",G305/I305)</f>
        <v/>
      </c>
      <c r="K305" s="35" t="str">
        <f t="array" ref="K305">IF(ISERROR(G305/L305),"",G305/L305)</f>
        <v/>
      </c>
      <c r="L305" s="87"/>
      <c r="M305" s="36" t="str">
        <f t="shared" si="105"/>
        <v/>
      </c>
      <c r="N305" s="31">
        <f t="shared" si="106"/>
        <v>0</v>
      </c>
      <c r="O305" s="93">
        <f>SUM('31:13'!O305)</f>
        <v>0</v>
      </c>
      <c r="P305" s="93">
        <f>SUM('31:13'!P305)</f>
        <v>0</v>
      </c>
      <c r="Q305" s="93">
        <f>SUM('31:13'!Q305)</f>
        <v>0</v>
      </c>
      <c r="R305" s="93">
        <f>SUM('31:13'!R305)</f>
        <v>0</v>
      </c>
      <c r="S305" s="93">
        <f>SUM('31:13'!S305)</f>
        <v>0</v>
      </c>
      <c r="T305" s="93">
        <f>SUM('31:13'!T305)</f>
        <v>0</v>
      </c>
      <c r="U305" s="93">
        <f>SUM('31:13'!U305)</f>
        <v>0</v>
      </c>
      <c r="V305" s="206">
        <f t="shared" si="107"/>
        <v>0</v>
      </c>
      <c r="W305" s="33" t="str">
        <f t="shared" si="103"/>
        <v/>
      </c>
      <c r="X305" s="93">
        <f>SUM('31:13'!X305)</f>
        <v>0</v>
      </c>
      <c r="Y305" s="93">
        <f>SUM('31:13'!Y305)</f>
        <v>0</v>
      </c>
      <c r="Z305" s="93">
        <f>SUM('31:13'!Z305)</f>
        <v>0</v>
      </c>
      <c r="AA305" s="93">
        <f>SUM('31:13'!AA305)</f>
        <v>0</v>
      </c>
      <c r="AB305" s="73"/>
      <c r="AC305" s="54"/>
      <c r="AD305" s="346"/>
      <c r="AE305" s="54"/>
      <c r="AF305" s="54"/>
      <c r="AG305" s="54"/>
      <c r="AH305" s="5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>
      <c r="A306" s="300">
        <v>30100001</v>
      </c>
      <c r="B306" s="62" t="s">
        <v>98</v>
      </c>
      <c r="C306" s="16" t="s">
        <v>74</v>
      </c>
      <c r="D306" s="17">
        <v>5.0599999999999996</v>
      </c>
      <c r="E306" s="17"/>
      <c r="F306" s="6"/>
      <c r="G306" s="93">
        <f>SUM('31:13'!G306)</f>
        <v>2286</v>
      </c>
      <c r="H306" s="339">
        <f t="shared" si="108"/>
        <v>11567.16</v>
      </c>
      <c r="I306" s="93">
        <f>SUM('31:13'!I306)</f>
        <v>115.5</v>
      </c>
      <c r="J306" s="31">
        <f t="array" ref="J306">IF(ISERROR(G306/I306),"",G306/I306)</f>
        <v>19.792207792207794</v>
      </c>
      <c r="K306" s="35">
        <f t="array" ref="K306">IF(ISERROR(G306/L306),"",G306/L306)</f>
        <v>91.44</v>
      </c>
      <c r="L306" s="87">
        <v>25</v>
      </c>
      <c r="M306" s="36">
        <f t="shared" si="105"/>
        <v>24.060000000000002</v>
      </c>
      <c r="N306" s="31">
        <f t="shared" si="106"/>
        <v>0</v>
      </c>
      <c r="O306" s="93">
        <f>SUM('31:13'!O306)</f>
        <v>0</v>
      </c>
      <c r="P306" s="93">
        <f>SUM('31:13'!P306)</f>
        <v>0</v>
      </c>
      <c r="Q306" s="93">
        <f>SUM('31:13'!Q306)</f>
        <v>0</v>
      </c>
      <c r="R306" s="93">
        <f>SUM('31:13'!R306)</f>
        <v>0</v>
      </c>
      <c r="S306" s="93">
        <f>SUM('31:13'!S306)</f>
        <v>0</v>
      </c>
      <c r="T306" s="93">
        <f>SUM('31:13'!T306)</f>
        <v>0</v>
      </c>
      <c r="U306" s="93">
        <f>SUM('31:13'!U306)</f>
        <v>0</v>
      </c>
      <c r="V306" s="206">
        <f t="shared" si="107"/>
        <v>0</v>
      </c>
      <c r="W306" s="33">
        <f t="shared" si="103"/>
        <v>0</v>
      </c>
      <c r="X306" s="93">
        <f>SUM('31:13'!X306)</f>
        <v>0</v>
      </c>
      <c r="Y306" s="93">
        <f>SUM('31:13'!Y306)</f>
        <v>0</v>
      </c>
      <c r="Z306" s="93">
        <f>SUM('31:13'!Z306)</f>
        <v>0</v>
      </c>
      <c r="AA306" s="93">
        <f>SUM('31:13'!AA306)</f>
        <v>0</v>
      </c>
      <c r="AB306" s="73"/>
      <c r="AC306" s="54"/>
      <c r="AD306" s="346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>
      <c r="A307" s="300">
        <v>30100002</v>
      </c>
      <c r="B307" s="62" t="s">
        <v>98</v>
      </c>
      <c r="C307" s="16" t="s">
        <v>94</v>
      </c>
      <c r="D307" s="17">
        <v>5.0599999999999996</v>
      </c>
      <c r="E307" s="17"/>
      <c r="F307" s="6"/>
      <c r="G307" s="93">
        <f>SUM('31:13'!G307)</f>
        <v>2754</v>
      </c>
      <c r="H307" s="339">
        <f t="shared" si="108"/>
        <v>13935.24</v>
      </c>
      <c r="I307" s="93">
        <f>SUM('31:13'!I307)</f>
        <v>147</v>
      </c>
      <c r="J307" s="31">
        <f t="array" ref="J307">IF(ISERROR(G307/I307),"",G307/I307)</f>
        <v>18.73469387755102</v>
      </c>
      <c r="K307" s="35">
        <f t="array" ref="K307">IF(ISERROR(G307/L307),"",G307/L307)</f>
        <v>110.16</v>
      </c>
      <c r="L307" s="87">
        <v>25</v>
      </c>
      <c r="M307" s="36">
        <f t="shared" si="105"/>
        <v>36.840000000000003</v>
      </c>
      <c r="N307" s="31">
        <f t="shared" si="106"/>
        <v>0</v>
      </c>
      <c r="O307" s="93">
        <f>SUM('31:13'!O307)</f>
        <v>0</v>
      </c>
      <c r="P307" s="93">
        <f>SUM('31:13'!P307)</f>
        <v>0</v>
      </c>
      <c r="Q307" s="93">
        <f>SUM('31:13'!Q307)</f>
        <v>0</v>
      </c>
      <c r="R307" s="93">
        <f>SUM('31:13'!R307)</f>
        <v>0</v>
      </c>
      <c r="S307" s="93">
        <f>SUM('31:13'!S307)</f>
        <v>0</v>
      </c>
      <c r="T307" s="93">
        <f>SUM('31:13'!T307)</f>
        <v>0</v>
      </c>
      <c r="U307" s="93">
        <f>SUM('31:13'!U307)</f>
        <v>0</v>
      </c>
      <c r="V307" s="206">
        <f t="shared" si="107"/>
        <v>0</v>
      </c>
      <c r="W307" s="33">
        <f t="shared" si="103"/>
        <v>0</v>
      </c>
      <c r="X307" s="93">
        <f>SUM('31:13'!X307)</f>
        <v>0</v>
      </c>
      <c r="Y307" s="93">
        <f>SUM('31:13'!Y307)</f>
        <v>0</v>
      </c>
      <c r="Z307" s="93">
        <f>SUM('31:13'!Z307)</f>
        <v>0</v>
      </c>
      <c r="AA307" s="93">
        <f>SUM('31:13'!AA307)</f>
        <v>0</v>
      </c>
      <c r="AB307" s="73"/>
      <c r="AC307" s="54"/>
      <c r="AD307" s="346"/>
      <c r="AE307" s="54"/>
      <c r="AF307" s="54"/>
      <c r="AG307" s="54"/>
      <c r="AH307" s="5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>
      <c r="A308" s="691" t="s">
        <v>99</v>
      </c>
      <c r="B308" s="692"/>
      <c r="C308" s="342" t="s">
        <v>71</v>
      </c>
      <c r="D308" s="20"/>
      <c r="E308" s="20"/>
      <c r="F308" s="32"/>
      <c r="G308" s="99">
        <f>SUM(G293:G307)</f>
        <v>8309</v>
      </c>
      <c r="H308" s="30">
        <f>SUM(H293:H307)</f>
        <v>41954.450000000004</v>
      </c>
      <c r="I308" s="30">
        <f>SUM(I293:I307)</f>
        <v>479.08</v>
      </c>
      <c r="J308" s="31">
        <f t="array" ref="J308">IF(ISERROR(G308/I308),"",G308/I308)</f>
        <v>17.343658679135011</v>
      </c>
      <c r="K308" s="30">
        <f>SUM(K293:K307)</f>
        <v>453.68999999999994</v>
      </c>
      <c r="L308" s="30"/>
      <c r="M308" s="89">
        <f t="shared" ref="M308:V308" si="109">SUM(M293:M307)</f>
        <v>25.39</v>
      </c>
      <c r="N308" s="30">
        <f t="shared" si="109"/>
        <v>0</v>
      </c>
      <c r="O308" s="30">
        <f t="shared" si="109"/>
        <v>0</v>
      </c>
      <c r="P308" s="30">
        <f t="shared" si="109"/>
        <v>0</v>
      </c>
      <c r="Q308" s="30">
        <f t="shared" si="109"/>
        <v>0</v>
      </c>
      <c r="R308" s="30">
        <f t="shared" si="109"/>
        <v>0</v>
      </c>
      <c r="S308" s="30">
        <f t="shared" si="109"/>
        <v>0</v>
      </c>
      <c r="T308" s="30">
        <f t="shared" si="109"/>
        <v>0</v>
      </c>
      <c r="U308" s="30">
        <f t="shared" si="109"/>
        <v>0</v>
      </c>
      <c r="V308" s="208">
        <f t="shared" si="109"/>
        <v>0</v>
      </c>
      <c r="W308" s="33">
        <f t="shared" si="103"/>
        <v>0</v>
      </c>
      <c r="X308" s="94">
        <f>SUM(X293:X307)</f>
        <v>0</v>
      </c>
      <c r="Y308" s="94">
        <f>SUM(Y293:Y307)</f>
        <v>0</v>
      </c>
      <c r="Z308" s="94">
        <f>SUM(Z293:Z307)</f>
        <v>0</v>
      </c>
      <c r="AA308" s="94">
        <f>SUM(AA293:AA307)</f>
        <v>0</v>
      </c>
      <c r="AB308" s="75"/>
      <c r="AC308" s="70"/>
      <c r="AD308" s="346"/>
      <c r="AE308" s="74"/>
      <c r="AF308" s="74"/>
      <c r="AG308" s="74"/>
      <c r="AH308" s="7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>
      <c r="A309" s="300">
        <v>30400025</v>
      </c>
      <c r="B309" s="62" t="s">
        <v>100</v>
      </c>
      <c r="C309" s="16" t="s">
        <v>53</v>
      </c>
      <c r="D309" s="17">
        <v>5.04</v>
      </c>
      <c r="E309" s="17"/>
      <c r="F309" s="6"/>
      <c r="G309" s="93">
        <f>SUM('31:13'!G309)</f>
        <v>0</v>
      </c>
      <c r="H309" s="339">
        <f t="shared" ref="H309:H318" si="110">D309*G309</f>
        <v>0</v>
      </c>
      <c r="I309" s="93">
        <f>SUM('31:13'!I309)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87">
        <v>22</v>
      </c>
      <c r="M309" s="36">
        <f t="shared" ref="M309:M313" si="111">IF(ISERROR(I309-K309),"",I309-K309)</f>
        <v>0</v>
      </c>
      <c r="N309" s="31">
        <f t="shared" ref="N309:N313" si="112">SUM(O309:U309)</f>
        <v>0</v>
      </c>
      <c r="O309" s="93">
        <f>SUM('31:13'!O309)</f>
        <v>0</v>
      </c>
      <c r="P309" s="93">
        <f>SUM('31:13'!P309)</f>
        <v>0</v>
      </c>
      <c r="Q309" s="93">
        <f>SUM('31:13'!Q309)</f>
        <v>0</v>
      </c>
      <c r="R309" s="93">
        <f>SUM('31:13'!R309)</f>
        <v>0</v>
      </c>
      <c r="S309" s="93">
        <f>SUM('31:13'!S309)</f>
        <v>0</v>
      </c>
      <c r="T309" s="93">
        <f>SUM('31:13'!T309)</f>
        <v>0</v>
      </c>
      <c r="U309" s="93">
        <f>SUM('31:13'!U309)</f>
        <v>0</v>
      </c>
      <c r="V309" s="206">
        <f t="shared" ref="V309:V313" si="113">SUM(X309:AA309)</f>
        <v>0</v>
      </c>
      <c r="W309" s="33" t="str">
        <f t="shared" si="103"/>
        <v/>
      </c>
      <c r="X309" s="93">
        <f>SUM('31:13'!X309)</f>
        <v>0</v>
      </c>
      <c r="Y309" s="93">
        <f>SUM('31:13'!Y309)</f>
        <v>0</v>
      </c>
      <c r="Z309" s="93">
        <f>SUM('31:13'!Z309)</f>
        <v>0</v>
      </c>
      <c r="AA309" s="93">
        <f>SUM('31:13'!AA309)</f>
        <v>0</v>
      </c>
      <c r="AB309" s="73"/>
      <c r="AC309" s="54"/>
      <c r="AD309" s="346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>
      <c r="A310" s="300">
        <v>30400023</v>
      </c>
      <c r="B310" s="62" t="s">
        <v>100</v>
      </c>
      <c r="C310" s="16" t="s">
        <v>60</v>
      </c>
      <c r="D310" s="17">
        <v>5.04</v>
      </c>
      <c r="E310" s="17"/>
      <c r="F310" s="6"/>
      <c r="G310" s="93">
        <f>SUM('31:13'!G310)</f>
        <v>0</v>
      </c>
      <c r="H310" s="339">
        <f t="shared" si="110"/>
        <v>0</v>
      </c>
      <c r="I310" s="93">
        <f>SUM('31:13'!I310)</f>
        <v>0</v>
      </c>
      <c r="J310" s="31" t="str">
        <f t="array" ref="J310">IF(ISERROR(G310/I310),"",G310/I310)</f>
        <v/>
      </c>
      <c r="K310" s="35">
        <f t="array" ref="K310">IF(ISERROR(G310/L310),"",G310/L310)</f>
        <v>0</v>
      </c>
      <c r="L310" s="87">
        <v>22</v>
      </c>
      <c r="M310" s="36">
        <f t="shared" si="111"/>
        <v>0</v>
      </c>
      <c r="N310" s="31">
        <f t="shared" si="112"/>
        <v>0</v>
      </c>
      <c r="O310" s="93">
        <f>SUM('31:13'!O310)</f>
        <v>0</v>
      </c>
      <c r="P310" s="93">
        <f>SUM('31:13'!P310)</f>
        <v>0</v>
      </c>
      <c r="Q310" s="93">
        <f>SUM('31:13'!Q310)</f>
        <v>0</v>
      </c>
      <c r="R310" s="93">
        <f>SUM('31:13'!R310)</f>
        <v>0</v>
      </c>
      <c r="S310" s="93">
        <f>SUM('31:13'!S310)</f>
        <v>0</v>
      </c>
      <c r="T310" s="93">
        <f>SUM('31:13'!T310)</f>
        <v>0</v>
      </c>
      <c r="U310" s="93">
        <f>SUM('31:13'!U310)</f>
        <v>0</v>
      </c>
      <c r="V310" s="206">
        <f t="shared" si="113"/>
        <v>0</v>
      </c>
      <c r="W310" s="33" t="str">
        <f t="shared" si="103"/>
        <v/>
      </c>
      <c r="X310" s="93">
        <f>SUM('31:13'!X310)</f>
        <v>0</v>
      </c>
      <c r="Y310" s="93">
        <f>SUM('31:13'!Y310)</f>
        <v>0</v>
      </c>
      <c r="Z310" s="93">
        <f>SUM('31:13'!Z310)</f>
        <v>0</v>
      </c>
      <c r="AA310" s="93">
        <f>SUM('31:13'!AA310)</f>
        <v>0</v>
      </c>
      <c r="AB310" s="73"/>
      <c r="AC310" s="54"/>
      <c r="AD310" s="346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>
      <c r="A311" s="300">
        <v>30400024</v>
      </c>
      <c r="B311" s="62" t="s">
        <v>100</v>
      </c>
      <c r="C311" s="16" t="s">
        <v>74</v>
      </c>
      <c r="D311" s="17">
        <v>5.04</v>
      </c>
      <c r="E311" s="17"/>
      <c r="F311" s="6"/>
      <c r="G311" s="93">
        <f>SUM('31:13'!G311)</f>
        <v>0</v>
      </c>
      <c r="H311" s="339">
        <f t="shared" si="110"/>
        <v>0</v>
      </c>
      <c r="I311" s="93">
        <f>SUM('31:13'!I311)</f>
        <v>0</v>
      </c>
      <c r="J311" s="31" t="str">
        <f t="array" ref="J311">IF(ISERROR(G311/I311),"",G311/I311)</f>
        <v/>
      </c>
      <c r="K311" s="35">
        <f t="array" ref="K311">IF(ISERROR(G311/L311),"",G311/L311)</f>
        <v>0</v>
      </c>
      <c r="L311" s="87">
        <v>22</v>
      </c>
      <c r="M311" s="36">
        <f t="shared" si="111"/>
        <v>0</v>
      </c>
      <c r="N311" s="31">
        <f t="shared" si="112"/>
        <v>0</v>
      </c>
      <c r="O311" s="93">
        <f>SUM('31:13'!O311)</f>
        <v>0</v>
      </c>
      <c r="P311" s="93">
        <f>SUM('31:13'!P311)</f>
        <v>0</v>
      </c>
      <c r="Q311" s="93">
        <f>SUM('31:13'!Q311)</f>
        <v>0</v>
      </c>
      <c r="R311" s="93">
        <f>SUM('31:13'!R311)</f>
        <v>0</v>
      </c>
      <c r="S311" s="93">
        <f>SUM('31:13'!S311)</f>
        <v>0</v>
      </c>
      <c r="T311" s="93">
        <f>SUM('31:13'!T311)</f>
        <v>0</v>
      </c>
      <c r="U311" s="93">
        <f>SUM('31:13'!U311)</f>
        <v>0</v>
      </c>
      <c r="V311" s="206">
        <f t="shared" si="113"/>
        <v>0</v>
      </c>
      <c r="W311" s="33" t="str">
        <f t="shared" si="103"/>
        <v/>
      </c>
      <c r="X311" s="93">
        <f>SUM('31:13'!X311)</f>
        <v>0</v>
      </c>
      <c r="Y311" s="93">
        <f>SUM('31:13'!Y311)</f>
        <v>0</v>
      </c>
      <c r="Z311" s="93">
        <f>SUM('31:13'!Z311)</f>
        <v>0</v>
      </c>
      <c r="AA311" s="93">
        <f>SUM('31:13'!AA311)</f>
        <v>0</v>
      </c>
      <c r="AB311" s="73"/>
      <c r="AC311" s="54"/>
      <c r="AD311" s="346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>
      <c r="A312" s="300"/>
      <c r="B312" s="62" t="s">
        <v>100</v>
      </c>
      <c r="C312" s="16" t="s">
        <v>66</v>
      </c>
      <c r="D312" s="17">
        <v>5.04</v>
      </c>
      <c r="E312" s="17"/>
      <c r="F312" s="6"/>
      <c r="G312" s="93">
        <f>SUM('31:13'!G312)</f>
        <v>0</v>
      </c>
      <c r="H312" s="339">
        <f t="shared" si="110"/>
        <v>0</v>
      </c>
      <c r="I312" s="93">
        <f>SUM('31:13'!I312)</f>
        <v>0</v>
      </c>
      <c r="J312" s="31" t="str">
        <f t="array" ref="J312">IF(ISERROR(G312/I312),"",G312/I312)</f>
        <v/>
      </c>
      <c r="K312" s="35">
        <f t="array" ref="K312">IF(ISERROR(G312/L312),"",G312/L312)</f>
        <v>0</v>
      </c>
      <c r="L312" s="87">
        <v>22</v>
      </c>
      <c r="M312" s="36">
        <f t="shared" si="111"/>
        <v>0</v>
      </c>
      <c r="N312" s="31">
        <f t="shared" si="112"/>
        <v>0</v>
      </c>
      <c r="O312" s="93">
        <f>SUM('31:13'!O312)</f>
        <v>0</v>
      </c>
      <c r="P312" s="93">
        <f>SUM('31:13'!P312)</f>
        <v>0</v>
      </c>
      <c r="Q312" s="93">
        <f>SUM('31:13'!Q312)</f>
        <v>0</v>
      </c>
      <c r="R312" s="93">
        <f>SUM('31:13'!R312)</f>
        <v>0</v>
      </c>
      <c r="S312" s="93">
        <f>SUM('31:13'!S312)</f>
        <v>0</v>
      </c>
      <c r="T312" s="93">
        <f>SUM('31:13'!T312)</f>
        <v>0</v>
      </c>
      <c r="U312" s="93">
        <f>SUM('31:13'!U312)</f>
        <v>0</v>
      </c>
      <c r="V312" s="206">
        <f t="shared" si="113"/>
        <v>0</v>
      </c>
      <c r="W312" s="33" t="str">
        <f t="shared" si="103"/>
        <v/>
      </c>
      <c r="X312" s="93">
        <f>SUM('31:13'!X312)</f>
        <v>0</v>
      </c>
      <c r="Y312" s="93">
        <f>SUM('31:13'!Y312)</f>
        <v>0</v>
      </c>
      <c r="Z312" s="93">
        <f>SUM('31:13'!Z312)</f>
        <v>0</v>
      </c>
      <c r="AA312" s="93">
        <f>SUM('31:13'!AA312)</f>
        <v>0</v>
      </c>
      <c r="AB312" s="73"/>
      <c r="AC312" s="54"/>
      <c r="AD312" s="346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>
      <c r="A313" s="300"/>
      <c r="B313" s="62" t="s">
        <v>100</v>
      </c>
      <c r="C313" s="16" t="s">
        <v>101</v>
      </c>
      <c r="D313" s="17">
        <v>5.04</v>
      </c>
      <c r="E313" s="17"/>
      <c r="F313" s="6"/>
      <c r="G313" s="93">
        <f>SUM('31:13'!G313)</f>
        <v>0</v>
      </c>
      <c r="H313" s="339">
        <f t="shared" si="110"/>
        <v>0</v>
      </c>
      <c r="I313" s="93">
        <f>SUM('31:13'!I313)</f>
        <v>0</v>
      </c>
      <c r="J313" s="31" t="str">
        <f t="array" ref="J313">IF(ISERROR(G313/I313),"",G313/I313)</f>
        <v/>
      </c>
      <c r="K313" s="35">
        <f t="array" ref="K313">IF(ISERROR(G313/L313),"",G313/L313)</f>
        <v>0</v>
      </c>
      <c r="L313" s="87">
        <v>22</v>
      </c>
      <c r="M313" s="36">
        <f t="shared" si="111"/>
        <v>0</v>
      </c>
      <c r="N313" s="31">
        <f t="shared" si="112"/>
        <v>0</v>
      </c>
      <c r="O313" s="93">
        <f>SUM('31:13'!O313)</f>
        <v>0</v>
      </c>
      <c r="P313" s="93">
        <f>SUM('31:13'!P313)</f>
        <v>0</v>
      </c>
      <c r="Q313" s="93">
        <f>SUM('31:13'!Q313)</f>
        <v>0</v>
      </c>
      <c r="R313" s="93">
        <f>SUM('31:13'!R313)</f>
        <v>0</v>
      </c>
      <c r="S313" s="93">
        <f>SUM('31:13'!S313)</f>
        <v>0</v>
      </c>
      <c r="T313" s="93">
        <f>SUM('31:13'!T313)</f>
        <v>0</v>
      </c>
      <c r="U313" s="93">
        <f>SUM('31:13'!U313)</f>
        <v>0</v>
      </c>
      <c r="V313" s="206">
        <f t="shared" si="113"/>
        <v>0</v>
      </c>
      <c r="W313" s="33" t="str">
        <f t="shared" si="103"/>
        <v/>
      </c>
      <c r="X313" s="93">
        <f>SUM('31:13'!X313)</f>
        <v>0</v>
      </c>
      <c r="Y313" s="93">
        <f>SUM('31:13'!Y313)</f>
        <v>0</v>
      </c>
      <c r="Z313" s="93">
        <f>SUM('31:13'!Z313)</f>
        <v>0</v>
      </c>
      <c r="AA313" s="93">
        <f>SUM('31:13'!AA313)</f>
        <v>0</v>
      </c>
      <c r="AB313" s="73"/>
      <c r="AC313" s="54"/>
      <c r="AD313" s="346"/>
      <c r="AE313" s="54"/>
      <c r="AF313" s="54"/>
      <c r="AG313" s="54"/>
      <c r="AH313" s="5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>
      <c r="A314" s="300">
        <v>30400019</v>
      </c>
      <c r="B314" s="192" t="s">
        <v>440</v>
      </c>
      <c r="C314" s="187" t="s">
        <v>442</v>
      </c>
      <c r="D314" s="17">
        <v>5.03</v>
      </c>
      <c r="E314" s="17"/>
      <c r="F314" s="6"/>
      <c r="G314" s="93">
        <f>SUM('31:13'!G314)</f>
        <v>1292</v>
      </c>
      <c r="H314" s="374">
        <f t="shared" si="110"/>
        <v>6498.76</v>
      </c>
      <c r="I314" s="93">
        <f>SUM('31:13'!I314)</f>
        <v>96.15</v>
      </c>
      <c r="J314" s="31">
        <f t="array" ref="J314">IF(ISERROR(G314/I314),"",G314/I314)</f>
        <v>13.43733749349974</v>
      </c>
      <c r="K314" s="35"/>
      <c r="L314" s="87">
        <v>13.5</v>
      </c>
      <c r="M314" s="36"/>
      <c r="N314" s="31"/>
      <c r="O314" s="93"/>
      <c r="P314" s="93"/>
      <c r="Q314" s="93"/>
      <c r="R314" s="93"/>
      <c r="S314" s="93"/>
      <c r="T314" s="93"/>
      <c r="U314" s="93"/>
      <c r="V314" s="206"/>
      <c r="W314" s="33"/>
      <c r="X314" s="93"/>
      <c r="Y314" s="93"/>
      <c r="Z314" s="93"/>
      <c r="AA314" s="93"/>
      <c r="AB314" s="73"/>
      <c r="AC314" s="54"/>
      <c r="AD314" s="346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>
      <c r="A315" s="300">
        <v>30400020</v>
      </c>
      <c r="B315" s="192" t="s">
        <v>439</v>
      </c>
      <c r="C315" s="187" t="s">
        <v>516</v>
      </c>
      <c r="D315" s="17">
        <v>5.03</v>
      </c>
      <c r="E315" s="17"/>
      <c r="F315" s="6"/>
      <c r="G315" s="93">
        <f>SUM('31:13'!G315)</f>
        <v>1281</v>
      </c>
      <c r="H315" s="374">
        <f t="shared" si="110"/>
        <v>6443.43</v>
      </c>
      <c r="I315" s="93">
        <f>SUM('31:13'!I315)</f>
        <v>97</v>
      </c>
      <c r="J315" s="31">
        <f t="array" ref="J315">IF(ISERROR(G315/I315),"",G315/I315)</f>
        <v>13.206185567010309</v>
      </c>
      <c r="K315" s="35"/>
      <c r="L315" s="87">
        <v>13.5</v>
      </c>
      <c r="M315" s="36"/>
      <c r="N315" s="31"/>
      <c r="O315" s="93"/>
      <c r="P315" s="93"/>
      <c r="Q315" s="93"/>
      <c r="R315" s="93"/>
      <c r="S315" s="93"/>
      <c r="T315" s="93"/>
      <c r="U315" s="93"/>
      <c r="V315" s="206"/>
      <c r="W315" s="33"/>
      <c r="X315" s="93"/>
      <c r="Y315" s="93"/>
      <c r="Z315" s="93"/>
      <c r="AA315" s="93"/>
      <c r="AB315" s="73"/>
      <c r="AC315" s="54"/>
      <c r="AD315" s="375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>
      <c r="A316" s="300">
        <v>30400021</v>
      </c>
      <c r="B316" s="192" t="s">
        <v>439</v>
      </c>
      <c r="C316" s="187" t="s">
        <v>517</v>
      </c>
      <c r="D316" s="17">
        <v>5.03</v>
      </c>
      <c r="E316" s="17"/>
      <c r="F316" s="6"/>
      <c r="G316" s="93">
        <f>SUM('31:13'!G316)</f>
        <v>1281</v>
      </c>
      <c r="H316" s="378">
        <f t="shared" si="110"/>
        <v>6443.43</v>
      </c>
      <c r="I316" s="93">
        <f>SUM('31:13'!I316)</f>
        <v>104</v>
      </c>
      <c r="J316" s="31"/>
      <c r="K316" s="35"/>
      <c r="L316" s="87">
        <v>13.5</v>
      </c>
      <c r="M316" s="36"/>
      <c r="N316" s="31"/>
      <c r="O316" s="93"/>
      <c r="P316" s="93"/>
      <c r="Q316" s="93"/>
      <c r="R316" s="93"/>
      <c r="S316" s="93"/>
      <c r="T316" s="93"/>
      <c r="U316" s="93"/>
      <c r="V316" s="206"/>
      <c r="W316" s="33"/>
      <c r="X316" s="93"/>
      <c r="Y316" s="93"/>
      <c r="Z316" s="93"/>
      <c r="AA316" s="93"/>
      <c r="AB316" s="73"/>
      <c r="AC316" s="54"/>
      <c r="AD316" s="379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>
      <c r="A317" s="300">
        <v>30400018</v>
      </c>
      <c r="B317" s="192" t="s">
        <v>439</v>
      </c>
      <c r="C317" s="16" t="s">
        <v>55</v>
      </c>
      <c r="D317" s="17">
        <v>5.03</v>
      </c>
      <c r="E317" s="17"/>
      <c r="F317" s="6"/>
      <c r="G317" s="93">
        <f>SUM('31:13'!G317)</f>
        <v>663</v>
      </c>
      <c r="H317" s="450">
        <f t="shared" si="110"/>
        <v>3334.8900000000003</v>
      </c>
      <c r="I317" s="93">
        <f>SUM('31:13'!I317)</f>
        <v>48.5</v>
      </c>
      <c r="J317" s="31"/>
      <c r="K317" s="35"/>
      <c r="L317" s="87"/>
      <c r="M317" s="36"/>
      <c r="N317" s="31"/>
      <c r="O317" s="93"/>
      <c r="P317" s="93"/>
      <c r="Q317" s="93"/>
      <c r="R317" s="93"/>
      <c r="S317" s="93"/>
      <c r="T317" s="93"/>
      <c r="U317" s="93"/>
      <c r="V317" s="206"/>
      <c r="W317" s="33"/>
      <c r="X317" s="93"/>
      <c r="Y317" s="93"/>
      <c r="Z317" s="93"/>
      <c r="AA317" s="93"/>
      <c r="AB317" s="73"/>
      <c r="AC317" s="54"/>
      <c r="AD317" s="451"/>
      <c r="AE317" s="54"/>
      <c r="AF317" s="54"/>
      <c r="AG317" s="54"/>
      <c r="AH317" s="5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>
      <c r="A318" s="300">
        <v>30400022</v>
      </c>
      <c r="B318" s="62" t="s">
        <v>100</v>
      </c>
      <c r="C318" s="16" t="s">
        <v>55</v>
      </c>
      <c r="D318" s="17">
        <v>5.04</v>
      </c>
      <c r="E318" s="17"/>
      <c r="F318" s="6"/>
      <c r="G318" s="93">
        <f>SUM('31:13'!G318)</f>
        <v>0</v>
      </c>
      <c r="H318" s="339">
        <f t="shared" si="110"/>
        <v>0</v>
      </c>
      <c r="I318" s="93">
        <f>SUM('31:13'!I318)</f>
        <v>0</v>
      </c>
      <c r="J318" s="31" t="str">
        <f t="array" ref="J318">IF(ISERROR(G318/I318),"",G318/I318)</f>
        <v/>
      </c>
      <c r="K318" s="35">
        <f t="array" ref="K318">IF(ISERROR(G318/L318),"",G318/L318)</f>
        <v>0</v>
      </c>
      <c r="L318" s="87">
        <v>22</v>
      </c>
      <c r="M318" s="36">
        <f t="shared" ref="M318" si="114">IF(ISERROR(I318-K318),"",I318-K318)</f>
        <v>0</v>
      </c>
      <c r="N318" s="31">
        <f t="shared" ref="N318" si="115">SUM(O318:U318)</f>
        <v>0</v>
      </c>
      <c r="O318" s="93">
        <f>SUM('31:13'!O318)</f>
        <v>0</v>
      </c>
      <c r="P318" s="93">
        <f>SUM('31:13'!P318)</f>
        <v>0</v>
      </c>
      <c r="Q318" s="93">
        <f>SUM('31:13'!Q318)</f>
        <v>0</v>
      </c>
      <c r="R318" s="93">
        <f>SUM('31:13'!R318)</f>
        <v>0</v>
      </c>
      <c r="S318" s="93">
        <f>SUM('31:13'!S318)</f>
        <v>0</v>
      </c>
      <c r="T318" s="93">
        <f>SUM('31:13'!T318)</f>
        <v>0</v>
      </c>
      <c r="U318" s="93">
        <f>SUM('31:13'!U318)</f>
        <v>0</v>
      </c>
      <c r="V318" s="206">
        <f t="shared" ref="V318" si="116">SUM(X318:AA318)</f>
        <v>0</v>
      </c>
      <c r="W318" s="33" t="str">
        <f t="shared" ref="W318:W323" si="117">IF(ISERROR(V318/G318),"",V318/G318)</f>
        <v/>
      </c>
      <c r="X318" s="93">
        <f>SUM('31:13'!X318)</f>
        <v>0</v>
      </c>
      <c r="Y318" s="93">
        <f>SUM('31:13'!Y318)</f>
        <v>0</v>
      </c>
      <c r="Z318" s="93">
        <f>SUM('31:13'!Z318)</f>
        <v>0</v>
      </c>
      <c r="AA318" s="93">
        <f>SUM('31:13'!AA318)</f>
        <v>0</v>
      </c>
      <c r="AB318" s="73"/>
      <c r="AC318" s="54"/>
      <c r="AD318" s="346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>
      <c r="A319" s="691" t="s">
        <v>102</v>
      </c>
      <c r="B319" s="692"/>
      <c r="C319" s="342" t="s">
        <v>71</v>
      </c>
      <c r="D319" s="20"/>
      <c r="E319" s="20"/>
      <c r="F319" s="32"/>
      <c r="G319" s="103">
        <f>SUM(G309:G318)</f>
        <v>4517</v>
      </c>
      <c r="H319" s="30">
        <f>SUM(H309:H318)</f>
        <v>22720.510000000002</v>
      </c>
      <c r="I319" s="30">
        <f>SUM(I309:I318)</f>
        <v>345.65</v>
      </c>
      <c r="J319" s="31">
        <f t="array" ref="J319">IF(ISERROR(G319/I319),"",G319/I319)</f>
        <v>13.068132503978013</v>
      </c>
      <c r="K319" s="30">
        <f>SUM(K309:K318)</f>
        <v>0</v>
      </c>
      <c r="L319" s="98"/>
      <c r="M319" s="89">
        <f>SUM(M309:M318)</f>
        <v>0</v>
      </c>
      <c r="N319" s="30">
        <f>SUM(N309:N318)</f>
        <v>0</v>
      </c>
      <c r="O319" s="91">
        <f>SUM(O309:O318)</f>
        <v>0</v>
      </c>
      <c r="P319" s="91">
        <f>SUM(P309:P318)</f>
        <v>0</v>
      </c>
      <c r="Q319" s="91">
        <f>SUM(Q309:Q318)</f>
        <v>0</v>
      </c>
      <c r="R319" s="91"/>
      <c r="S319" s="92">
        <f>SUM(S309:S318)</f>
        <v>0</v>
      </c>
      <c r="T319" s="91">
        <f>SUM(T309:T318)</f>
        <v>0</v>
      </c>
      <c r="U319" s="91">
        <f>SUM(U309:U318)</f>
        <v>0</v>
      </c>
      <c r="V319" s="206">
        <f>SUM(V309:V318)</f>
        <v>0</v>
      </c>
      <c r="W319" s="33">
        <f t="shared" si="117"/>
        <v>0</v>
      </c>
      <c r="X319" s="92">
        <f>SUM(X309:X318)</f>
        <v>0</v>
      </c>
      <c r="Y319" s="92">
        <f>SUM(Y309:Y318)</f>
        <v>0</v>
      </c>
      <c r="Z319" s="92">
        <f>SUM(Z309:Z318)</f>
        <v>0</v>
      </c>
      <c r="AA319" s="92">
        <f>SUM(AA309:AA318)</f>
        <v>0</v>
      </c>
      <c r="AB319" s="75"/>
      <c r="AC319" s="70"/>
      <c r="AD319" s="346"/>
      <c r="AE319" s="74"/>
      <c r="AF319" s="74"/>
      <c r="AG319" s="74"/>
      <c r="AH319" s="7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>
      <c r="A320" s="299">
        <v>30700013</v>
      </c>
      <c r="B320" s="64" t="s">
        <v>103</v>
      </c>
      <c r="C320" s="335"/>
      <c r="D320" s="17">
        <v>3.65</v>
      </c>
      <c r="E320" s="17"/>
      <c r="F320" s="53"/>
      <c r="G320" s="93">
        <f>SUM('31:13'!G320)</f>
        <v>0</v>
      </c>
      <c r="H320" s="339">
        <f>D320*G320</f>
        <v>0</v>
      </c>
      <c r="I320" s="93">
        <f>SUM('31:13'!I320)</f>
        <v>0</v>
      </c>
      <c r="J320" s="31" t="str">
        <f t="array" ref="J320">IF(ISERROR(G320/I320),"",G320/I320)</f>
        <v/>
      </c>
      <c r="K320" s="339">
        <f t="array" ref="K320">IF(ISERROR(G320/L320),"",G320/L320)</f>
        <v>0</v>
      </c>
      <c r="L320" s="87">
        <v>5</v>
      </c>
      <c r="M320" s="36">
        <f t="shared" ref="M320:M323" si="118">IF(ISERROR(I320-K320),"",I320-K320)</f>
        <v>0</v>
      </c>
      <c r="N320" s="31">
        <f t="shared" ref="N320:N323" si="119">SUM(O320:U320)</f>
        <v>0</v>
      </c>
      <c r="O320" s="93">
        <f>SUM('31:13'!O320)</f>
        <v>0</v>
      </c>
      <c r="P320" s="93">
        <f>SUM('31:13'!P320)</f>
        <v>0</v>
      </c>
      <c r="Q320" s="93">
        <f>SUM('31:13'!Q320)</f>
        <v>0</v>
      </c>
      <c r="R320" s="93">
        <f>SUM('31:13'!R320)</f>
        <v>0</v>
      </c>
      <c r="S320" s="93">
        <f>SUM('31:13'!S320)</f>
        <v>0</v>
      </c>
      <c r="T320" s="93">
        <f>SUM('31:13'!T320)</f>
        <v>0</v>
      </c>
      <c r="U320" s="93">
        <f>SUM('31:13'!U320)</f>
        <v>0</v>
      </c>
      <c r="V320" s="206">
        <f t="shared" ref="V320:V323" si="120">SUM(X320:AA320)</f>
        <v>0</v>
      </c>
      <c r="W320" s="33" t="str">
        <f t="shared" si="117"/>
        <v/>
      </c>
      <c r="X320" s="93">
        <f>SUM('31:13'!X320)</f>
        <v>0</v>
      </c>
      <c r="Y320" s="93">
        <f>SUM('31:13'!Y320)</f>
        <v>0</v>
      </c>
      <c r="Z320" s="93">
        <f>SUM('31:13'!Z320)</f>
        <v>0</v>
      </c>
      <c r="AA320" s="93">
        <f>SUM('31:13'!AA320)</f>
        <v>0</v>
      </c>
      <c r="AB320" s="73"/>
      <c r="AC320" s="54"/>
      <c r="AD320" s="346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>
      <c r="A321" s="299">
        <v>30700014</v>
      </c>
      <c r="B321" s="64" t="s">
        <v>0</v>
      </c>
      <c r="C321" s="335"/>
      <c r="D321" s="17">
        <v>6.58</v>
      </c>
      <c r="E321" s="17"/>
      <c r="F321" s="6"/>
      <c r="G321" s="93">
        <f>SUM('31:13'!G321)</f>
        <v>352</v>
      </c>
      <c r="H321" s="339">
        <f t="shared" ref="H321:H333" si="121">D321*G321</f>
        <v>2316.16</v>
      </c>
      <c r="I321" s="93">
        <f>SUM('31:13'!I321)</f>
        <v>72</v>
      </c>
      <c r="J321" s="31">
        <f t="array" ref="J321">IF(ISERROR(G321/I321),"",G321/I321)</f>
        <v>4.8888888888888893</v>
      </c>
      <c r="K321" s="35">
        <f t="array" ref="K321">IF(ISERROR(G321/L321),"",G321/L321)</f>
        <v>70.400000000000006</v>
      </c>
      <c r="L321" s="87">
        <v>5</v>
      </c>
      <c r="M321" s="36">
        <f t="shared" si="118"/>
        <v>1.5999999999999943</v>
      </c>
      <c r="N321" s="31">
        <f t="shared" si="119"/>
        <v>0</v>
      </c>
      <c r="O321" s="93">
        <f>SUM('31:13'!O321)</f>
        <v>0</v>
      </c>
      <c r="P321" s="93">
        <f>SUM('31:13'!P321)</f>
        <v>0</v>
      </c>
      <c r="Q321" s="93">
        <f>SUM('31:13'!Q321)</f>
        <v>0</v>
      </c>
      <c r="R321" s="93">
        <f>SUM('31:13'!R321)</f>
        <v>0</v>
      </c>
      <c r="S321" s="93">
        <f>SUM('31:13'!S321)</f>
        <v>0</v>
      </c>
      <c r="T321" s="93">
        <f>SUM('31:13'!T321)</f>
        <v>0</v>
      </c>
      <c r="U321" s="93">
        <f>SUM('31:13'!U321)</f>
        <v>0</v>
      </c>
      <c r="V321" s="206">
        <f t="shared" si="120"/>
        <v>0</v>
      </c>
      <c r="W321" s="33">
        <f t="shared" si="117"/>
        <v>0</v>
      </c>
      <c r="X321" s="93">
        <f>SUM('31:13'!X321)</f>
        <v>0</v>
      </c>
      <c r="Y321" s="93">
        <f>SUM('31:13'!Y321)</f>
        <v>0</v>
      </c>
      <c r="Z321" s="93">
        <f>SUM('31:13'!Z321)</f>
        <v>0</v>
      </c>
      <c r="AA321" s="93">
        <f>SUM('31:13'!AA321)</f>
        <v>0</v>
      </c>
      <c r="AB321" s="73"/>
      <c r="AC321" s="54"/>
      <c r="AD321" s="346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>
      <c r="A322" s="299">
        <v>30700016</v>
      </c>
      <c r="B322" s="64" t="s">
        <v>1</v>
      </c>
      <c r="C322" s="335"/>
      <c r="D322" s="17">
        <v>7.8</v>
      </c>
      <c r="E322" s="17"/>
      <c r="F322" s="6"/>
      <c r="G322" s="93">
        <f>SUM('31:13'!G322)</f>
        <v>716</v>
      </c>
      <c r="H322" s="339">
        <f t="shared" si="121"/>
        <v>5584.8</v>
      </c>
      <c r="I322" s="93">
        <f>SUM('31:13'!I322)</f>
        <v>162</v>
      </c>
      <c r="J322" s="31">
        <f t="array" ref="J322">IF(ISERROR(G322/I322),"",G322/I322)</f>
        <v>4.4197530864197532</v>
      </c>
      <c r="K322" s="35">
        <f t="array" ref="K322">IF(ISERROR(G322/L322),"",G322/L322)</f>
        <v>155.6521739130435</v>
      </c>
      <c r="L322" s="87">
        <v>4.5999999999999996</v>
      </c>
      <c r="M322" s="36">
        <f t="shared" si="118"/>
        <v>6.347826086956502</v>
      </c>
      <c r="N322" s="31">
        <f t="shared" si="119"/>
        <v>0</v>
      </c>
      <c r="O322" s="93">
        <f>SUM('31:13'!O322)</f>
        <v>0</v>
      </c>
      <c r="P322" s="93">
        <f>SUM('31:13'!P322)</f>
        <v>0</v>
      </c>
      <c r="Q322" s="93">
        <f>SUM('31:13'!Q322)</f>
        <v>0</v>
      </c>
      <c r="R322" s="93">
        <f>SUM('31:13'!R322)</f>
        <v>0</v>
      </c>
      <c r="S322" s="93">
        <f>SUM('31:13'!S322)</f>
        <v>0</v>
      </c>
      <c r="T322" s="93">
        <f>SUM('31:13'!T322)</f>
        <v>0</v>
      </c>
      <c r="U322" s="93">
        <f>SUM('31:13'!U322)</f>
        <v>0</v>
      </c>
      <c r="V322" s="206">
        <f t="shared" si="120"/>
        <v>0</v>
      </c>
      <c r="W322" s="33">
        <f t="shared" si="117"/>
        <v>0</v>
      </c>
      <c r="X322" s="93">
        <f>SUM('31:13'!X322)</f>
        <v>0</v>
      </c>
      <c r="Y322" s="93">
        <f>SUM('31:13'!Y322)</f>
        <v>0</v>
      </c>
      <c r="Z322" s="93">
        <f>SUM('31:13'!Z322)</f>
        <v>0</v>
      </c>
      <c r="AA322" s="93">
        <f>SUM('31:13'!AA322)</f>
        <v>0</v>
      </c>
      <c r="AB322" s="73"/>
      <c r="AC322" s="54"/>
      <c r="AD322" s="346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>
      <c r="A323" s="299">
        <v>30700017</v>
      </c>
      <c r="B323" s="64" t="s">
        <v>2</v>
      </c>
      <c r="C323" s="335"/>
      <c r="D323" s="17">
        <v>4.4000000000000004</v>
      </c>
      <c r="E323" s="17"/>
      <c r="F323" s="6"/>
      <c r="G323" s="93">
        <f>SUM('31:13'!G323)</f>
        <v>333</v>
      </c>
      <c r="H323" s="339">
        <f t="shared" si="121"/>
        <v>1465.2</v>
      </c>
      <c r="I323" s="93">
        <f>SUM('31:13'!I323)</f>
        <v>57</v>
      </c>
      <c r="J323" s="31">
        <f t="array" ref="J323">IF(ISERROR(G323/I323),"",G323/I323)</f>
        <v>5.8421052631578947</v>
      </c>
      <c r="K323" s="35">
        <f t="array" ref="K323">IF(ISERROR(G323/L323),"",G323/L323)</f>
        <v>57.413793103448278</v>
      </c>
      <c r="L323" s="87">
        <v>5.8</v>
      </c>
      <c r="M323" s="36">
        <f t="shared" si="118"/>
        <v>-0.41379310344827758</v>
      </c>
      <c r="N323" s="31">
        <f t="shared" si="119"/>
        <v>0</v>
      </c>
      <c r="O323" s="93">
        <f>SUM('31:13'!O323)</f>
        <v>0</v>
      </c>
      <c r="P323" s="93">
        <f>SUM('31:13'!P323)</f>
        <v>0</v>
      </c>
      <c r="Q323" s="93">
        <f>SUM('31:13'!Q323)</f>
        <v>0</v>
      </c>
      <c r="R323" s="93">
        <f>SUM('31:13'!R323)</f>
        <v>0</v>
      </c>
      <c r="S323" s="93">
        <f>SUM('31:13'!S323)</f>
        <v>0</v>
      </c>
      <c r="T323" s="93">
        <f>SUM('31:13'!T323)</f>
        <v>0</v>
      </c>
      <c r="U323" s="93">
        <f>SUM('31:13'!U323)</f>
        <v>0</v>
      </c>
      <c r="V323" s="206">
        <f t="shared" si="120"/>
        <v>0</v>
      </c>
      <c r="W323" s="33">
        <f t="shared" si="117"/>
        <v>0</v>
      </c>
      <c r="X323" s="93">
        <f>SUM('31:13'!X323)</f>
        <v>0</v>
      </c>
      <c r="Y323" s="93">
        <f>SUM('31:13'!Y323)</f>
        <v>0</v>
      </c>
      <c r="Z323" s="93">
        <f>SUM('31:13'!Z323)</f>
        <v>0</v>
      </c>
      <c r="AA323" s="93">
        <f>SUM('31:13'!AA323)</f>
        <v>0</v>
      </c>
      <c r="AB323" s="73"/>
      <c r="AC323" s="54"/>
      <c r="AD323" s="346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>
      <c r="A324" s="299">
        <v>30700001</v>
      </c>
      <c r="B324" s="191" t="s">
        <v>359</v>
      </c>
      <c r="C324" s="335"/>
      <c r="D324" s="17"/>
      <c r="E324" s="17"/>
      <c r="F324" s="6"/>
      <c r="G324" s="93">
        <f>SUM('31:13'!G324)</f>
        <v>0</v>
      </c>
      <c r="H324" s="339">
        <f t="shared" si="121"/>
        <v>0</v>
      </c>
      <c r="I324" s="93">
        <f>SUM('31:13'!I324)</f>
        <v>0</v>
      </c>
      <c r="J324" s="31"/>
      <c r="K324" s="35"/>
      <c r="L324" s="87">
        <v>6</v>
      </c>
      <c r="M324" s="36"/>
      <c r="N324" s="31"/>
      <c r="O324" s="93">
        <f>SUM('31:13'!O324)</f>
        <v>0</v>
      </c>
      <c r="P324" s="93">
        <f>SUM('31:13'!P324)</f>
        <v>0</v>
      </c>
      <c r="Q324" s="93">
        <f>SUM('31:13'!Q324)</f>
        <v>0</v>
      </c>
      <c r="R324" s="93">
        <f>SUM('31:13'!R324)</f>
        <v>0</v>
      </c>
      <c r="S324" s="93">
        <f>SUM('31:13'!S324)</f>
        <v>0</v>
      </c>
      <c r="T324" s="93">
        <f>SUM('31:13'!T324)</f>
        <v>0</v>
      </c>
      <c r="U324" s="93">
        <f>SUM('31:13'!U324)</f>
        <v>0</v>
      </c>
      <c r="V324" s="206"/>
      <c r="W324" s="33"/>
      <c r="X324" s="93">
        <f>SUM('31:13'!X324)</f>
        <v>0</v>
      </c>
      <c r="Y324" s="93">
        <f>SUM('31:13'!Y324)</f>
        <v>0</v>
      </c>
      <c r="Z324" s="93">
        <f>SUM('31:13'!Z324)</f>
        <v>0</v>
      </c>
      <c r="AA324" s="93">
        <f>SUM('31:13'!AA324)</f>
        <v>0</v>
      </c>
      <c r="AB324" s="73"/>
      <c r="AC324" s="54"/>
      <c r="AD324" s="346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>
      <c r="A325" s="305"/>
      <c r="B325" s="66" t="s">
        <v>104</v>
      </c>
      <c r="C325" s="335" t="s">
        <v>53</v>
      </c>
      <c r="D325" s="17">
        <v>6.04</v>
      </c>
      <c r="E325" s="17"/>
      <c r="F325" s="6"/>
      <c r="G325" s="93">
        <f>SUM('31:13'!G325)</f>
        <v>0</v>
      </c>
      <c r="H325" s="339">
        <f t="shared" si="121"/>
        <v>0</v>
      </c>
      <c r="I325" s="93">
        <f>SUM('31:13'!I325)</f>
        <v>0</v>
      </c>
      <c r="J325" s="31" t="str">
        <f t="array" ref="J325">IF(ISERROR(G325/I325),"",G325/I325)</f>
        <v/>
      </c>
      <c r="K325" s="35">
        <f t="array" ref="K325">IF(ISERROR(G325/L325),"",G325/L325)</f>
        <v>0</v>
      </c>
      <c r="L325" s="87">
        <v>6</v>
      </c>
      <c r="M325" s="36">
        <f t="shared" ref="M325:M326" si="122">IF(ISERROR(I325-K325),"",I325-K325)</f>
        <v>0</v>
      </c>
      <c r="N325" s="31">
        <f t="shared" ref="N325:N326" si="123">SUM(O325:U325)</f>
        <v>0</v>
      </c>
      <c r="O325" s="93">
        <f>SUM('31:13'!O325)</f>
        <v>0</v>
      </c>
      <c r="P325" s="93">
        <f>SUM('31:13'!P325)</f>
        <v>0</v>
      </c>
      <c r="Q325" s="93">
        <f>SUM('31:13'!Q325)</f>
        <v>0</v>
      </c>
      <c r="R325" s="93">
        <f>SUM('31:13'!R325)</f>
        <v>0</v>
      </c>
      <c r="S325" s="93">
        <f>SUM('31:13'!S325)</f>
        <v>0</v>
      </c>
      <c r="T325" s="93">
        <f>SUM('31:13'!T325)</f>
        <v>0</v>
      </c>
      <c r="U325" s="93">
        <f>SUM('31:13'!U325)</f>
        <v>0</v>
      </c>
      <c r="V325" s="206">
        <f t="shared" ref="V325:V326" si="124">SUM(X325:AA325)</f>
        <v>0</v>
      </c>
      <c r="W325" s="33" t="str">
        <f t="shared" ref="W325:W326" si="125">IF(ISERROR(V325/G325),"",V325/G325)</f>
        <v/>
      </c>
      <c r="X325" s="93">
        <f>SUM('31:13'!X325)</f>
        <v>0</v>
      </c>
      <c r="Y325" s="93">
        <f>SUM('31:13'!Y325)</f>
        <v>0</v>
      </c>
      <c r="Z325" s="93">
        <f>SUM('31:13'!Z325)</f>
        <v>0</v>
      </c>
      <c r="AA325" s="93">
        <f>SUM('31:13'!AA325)</f>
        <v>0</v>
      </c>
      <c r="AB325" s="73"/>
      <c r="AC325" s="54"/>
      <c r="AD325" s="346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>
      <c r="A326" s="305">
        <v>30700019</v>
      </c>
      <c r="B326" s="66" t="s">
        <v>104</v>
      </c>
      <c r="C326" s="335" t="s">
        <v>60</v>
      </c>
      <c r="D326" s="17">
        <v>6.04</v>
      </c>
      <c r="E326" s="17"/>
      <c r="F326" s="6"/>
      <c r="G326" s="93">
        <f>SUM('31:13'!G326)</f>
        <v>0</v>
      </c>
      <c r="H326" s="339">
        <f t="shared" si="121"/>
        <v>0</v>
      </c>
      <c r="I326" s="93">
        <f>SUM('31:13'!I326)</f>
        <v>0</v>
      </c>
      <c r="J326" s="31" t="str">
        <f t="array" ref="J326">IF(ISERROR(G326/I326),"",G326/I326)</f>
        <v/>
      </c>
      <c r="K326" s="35">
        <f t="array" ref="K326">IF(ISERROR(G326/L326),"",G326/L326)</f>
        <v>0</v>
      </c>
      <c r="L326" s="87">
        <v>6</v>
      </c>
      <c r="M326" s="36">
        <f t="shared" si="122"/>
        <v>0</v>
      </c>
      <c r="N326" s="31">
        <f t="shared" si="123"/>
        <v>0</v>
      </c>
      <c r="O326" s="93">
        <f>SUM('31:13'!O326)</f>
        <v>0</v>
      </c>
      <c r="P326" s="93">
        <f>SUM('31:13'!P326)</f>
        <v>0</v>
      </c>
      <c r="Q326" s="93">
        <f>SUM('31:13'!Q326)</f>
        <v>0</v>
      </c>
      <c r="R326" s="93">
        <f>SUM('31:13'!R326)</f>
        <v>0</v>
      </c>
      <c r="S326" s="93">
        <f>SUM('31:13'!S326)</f>
        <v>0</v>
      </c>
      <c r="T326" s="93">
        <f>SUM('31:13'!T326)</f>
        <v>0</v>
      </c>
      <c r="U326" s="93">
        <f>SUM('31:13'!U326)</f>
        <v>0</v>
      </c>
      <c r="V326" s="206">
        <f t="shared" si="124"/>
        <v>0</v>
      </c>
      <c r="W326" s="33" t="str">
        <f t="shared" si="125"/>
        <v/>
      </c>
      <c r="X326" s="93">
        <f>SUM('31:13'!X326)</f>
        <v>0</v>
      </c>
      <c r="Y326" s="93">
        <f>SUM('31:13'!Y326)</f>
        <v>0</v>
      </c>
      <c r="Z326" s="93">
        <f>SUM('31:13'!Z326)</f>
        <v>0</v>
      </c>
      <c r="AA326" s="93">
        <f>SUM('31:13'!AA326)</f>
        <v>0</v>
      </c>
      <c r="AB326" s="73"/>
      <c r="AC326" s="54"/>
      <c r="AD326" s="346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>
      <c r="A327" s="305">
        <v>30601015</v>
      </c>
      <c r="B327" s="281" t="s">
        <v>443</v>
      </c>
      <c r="C327" s="335" t="s">
        <v>53</v>
      </c>
      <c r="D327" s="17">
        <v>6</v>
      </c>
      <c r="E327" s="17"/>
      <c r="F327" s="6"/>
      <c r="G327" s="93">
        <f>SUM('31:13'!G327)</f>
        <v>214</v>
      </c>
      <c r="H327" s="339">
        <f t="shared" si="121"/>
        <v>1284</v>
      </c>
      <c r="I327" s="93">
        <f>SUM('31:13'!I327)</f>
        <v>112</v>
      </c>
      <c r="J327" s="31"/>
      <c r="K327" s="35"/>
      <c r="L327" s="87"/>
      <c r="M327" s="36"/>
      <c r="N327" s="31"/>
      <c r="O327" s="93"/>
      <c r="P327" s="93"/>
      <c r="Q327" s="93"/>
      <c r="R327" s="93"/>
      <c r="S327" s="93"/>
      <c r="T327" s="93"/>
      <c r="U327" s="93"/>
      <c r="V327" s="206"/>
      <c r="W327" s="33"/>
      <c r="X327" s="93"/>
      <c r="Y327" s="93"/>
      <c r="Z327" s="93"/>
      <c r="AA327" s="93"/>
      <c r="AB327" s="73"/>
      <c r="AC327" s="54"/>
      <c r="AD327" s="346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>
      <c r="A328" s="305">
        <v>30101016</v>
      </c>
      <c r="B328" s="281" t="s">
        <v>443</v>
      </c>
      <c r="C328" s="335" t="s">
        <v>421</v>
      </c>
      <c r="D328" s="17">
        <v>6</v>
      </c>
      <c r="E328" s="17"/>
      <c r="F328" s="6"/>
      <c r="G328" s="93">
        <f>SUM('31:13'!G328)</f>
        <v>65</v>
      </c>
      <c r="H328" s="339">
        <f t="shared" si="121"/>
        <v>390</v>
      </c>
      <c r="I328" s="93">
        <f>SUM('31:13'!I328)</f>
        <v>24</v>
      </c>
      <c r="J328" s="31"/>
      <c r="K328" s="35">
        <f t="array" ref="K328">IF(ISERROR(G328/L328),"",G328/L328)</f>
        <v>10.833333333333334</v>
      </c>
      <c r="L328" s="87">
        <v>6</v>
      </c>
      <c r="M328" s="36"/>
      <c r="N328" s="31"/>
      <c r="O328" s="93">
        <f>SUM('31:13'!O328)</f>
        <v>0</v>
      </c>
      <c r="P328" s="93">
        <f>SUM('31:13'!P328)</f>
        <v>0</v>
      </c>
      <c r="Q328" s="93">
        <f>SUM('31:13'!Q328)</f>
        <v>0</v>
      </c>
      <c r="R328" s="93">
        <f>SUM('31:13'!R328)</f>
        <v>0</v>
      </c>
      <c r="S328" s="93">
        <f>SUM('31:13'!S328)</f>
        <v>0</v>
      </c>
      <c r="T328" s="93">
        <f>SUM('31:13'!T328)</f>
        <v>0</v>
      </c>
      <c r="U328" s="93">
        <f>SUM('31:13'!U328)</f>
        <v>0</v>
      </c>
      <c r="V328" s="206"/>
      <c r="W328" s="33"/>
      <c r="X328" s="93">
        <f>SUM('31:13'!X328)</f>
        <v>0</v>
      </c>
      <c r="Y328" s="93">
        <f>SUM('31:13'!Y328)</f>
        <v>0</v>
      </c>
      <c r="Z328" s="93">
        <f>SUM('31:13'!Z328)</f>
        <v>0</v>
      </c>
      <c r="AA328" s="93">
        <f>SUM('31:13'!AA328)</f>
        <v>0</v>
      </c>
      <c r="AB328" s="73"/>
      <c r="AC328" s="54"/>
      <c r="AD328" s="346"/>
      <c r="AE328" s="54"/>
      <c r="AF328" s="54"/>
      <c r="AG328" s="54"/>
      <c r="AH328" s="54"/>
      <c r="AI328" s="57"/>
      <c r="AJ328" s="57"/>
      <c r="AK328" s="57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</row>
    <row r="329" spans="1:53">
      <c r="A329" s="299">
        <v>30700018</v>
      </c>
      <c r="B329" s="61" t="s">
        <v>159</v>
      </c>
      <c r="C329" s="16"/>
      <c r="D329" s="17">
        <v>7.3</v>
      </c>
      <c r="E329" s="17"/>
      <c r="F329" s="6"/>
      <c r="G329" s="93"/>
      <c r="H329" s="339">
        <f t="shared" si="121"/>
        <v>0</v>
      </c>
      <c r="I329" s="93"/>
      <c r="J329" s="31"/>
      <c r="K329" s="35"/>
      <c r="L329" s="87"/>
      <c r="M329" s="36"/>
      <c r="N329" s="31"/>
      <c r="O329" s="93"/>
      <c r="P329" s="93"/>
      <c r="Q329" s="93"/>
      <c r="R329" s="93"/>
      <c r="S329" s="93"/>
      <c r="T329" s="93"/>
      <c r="U329" s="93"/>
      <c r="V329" s="206"/>
      <c r="W329" s="33"/>
      <c r="X329" s="93"/>
      <c r="Y329" s="93"/>
      <c r="Z329" s="93"/>
      <c r="AA329" s="93"/>
      <c r="AB329" s="73"/>
      <c r="AC329" s="54"/>
      <c r="AD329" s="346"/>
      <c r="AE329" s="54"/>
      <c r="AF329" s="54"/>
      <c r="AG329" s="54"/>
      <c r="AH329" s="54"/>
      <c r="AI329" s="57"/>
      <c r="AJ329" s="57"/>
      <c r="AK329" s="57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</row>
    <row r="330" spans="1:53">
      <c r="A330" s="299">
        <v>30700010</v>
      </c>
      <c r="B330" s="61" t="s">
        <v>105</v>
      </c>
      <c r="C330" s="16"/>
      <c r="D330" s="17">
        <f>78*120/1000</f>
        <v>9.36</v>
      </c>
      <c r="E330" s="17"/>
      <c r="F330" s="6"/>
      <c r="G330" s="93">
        <f>SUM('31:13'!G330)</f>
        <v>0</v>
      </c>
      <c r="H330" s="339">
        <f t="shared" si="121"/>
        <v>0</v>
      </c>
      <c r="I330" s="93">
        <f>SUM('31:13'!I330)</f>
        <v>0</v>
      </c>
      <c r="J330" s="31" t="str">
        <f t="array" ref="J330">IF(ISERROR(G330/I330),"",G330/I330)</f>
        <v/>
      </c>
      <c r="K330" s="35">
        <f t="array" ref="K330">IF(ISERROR(G330/L330),"",G330/L330)</f>
        <v>0</v>
      </c>
      <c r="L330" s="87">
        <v>7.5</v>
      </c>
      <c r="M330" s="36">
        <f t="shared" ref="M330" si="126">IF(ISERROR(I330-K330),"",I330-K330)</f>
        <v>0</v>
      </c>
      <c r="N330" s="31">
        <f t="shared" ref="N330" si="127">SUM(O330:U330)</f>
        <v>0</v>
      </c>
      <c r="O330" s="93">
        <f>SUM('31:13'!O330)</f>
        <v>0</v>
      </c>
      <c r="P330" s="93">
        <f>SUM('31:13'!P330)</f>
        <v>0</v>
      </c>
      <c r="Q330" s="93">
        <f>SUM('31:13'!Q330)</f>
        <v>0</v>
      </c>
      <c r="R330" s="93">
        <f>SUM('31:13'!R330)</f>
        <v>0</v>
      </c>
      <c r="S330" s="93">
        <f>SUM('31:13'!S330)</f>
        <v>0</v>
      </c>
      <c r="T330" s="93">
        <f>SUM('31:13'!T330)</f>
        <v>0</v>
      </c>
      <c r="U330" s="93">
        <f>SUM('31:13'!U330)</f>
        <v>0</v>
      </c>
      <c r="V330" s="206">
        <f t="shared" ref="V330" si="128">SUM(X330:AA330)</f>
        <v>0</v>
      </c>
      <c r="W330" s="33" t="str">
        <f t="shared" ref="W330" si="129">IF(ISERROR(V330/G330),"",V330/G330)</f>
        <v/>
      </c>
      <c r="X330" s="93">
        <f>SUM('31:13'!X330)</f>
        <v>0</v>
      </c>
      <c r="Y330" s="93">
        <f>SUM('31:13'!Y330)</f>
        <v>0</v>
      </c>
      <c r="Z330" s="93">
        <f>SUM('31:13'!Z330)</f>
        <v>0</v>
      </c>
      <c r="AA330" s="93">
        <f>SUM('31:13'!AA330)</f>
        <v>0</v>
      </c>
      <c r="AB330" s="73"/>
      <c r="AC330" s="54"/>
      <c r="AD330" s="346"/>
      <c r="AE330" s="54"/>
      <c r="AF330" s="54"/>
      <c r="AG330" s="54"/>
      <c r="AH330" s="54"/>
      <c r="AI330" s="57"/>
      <c r="AJ330" s="57"/>
      <c r="AK330" s="57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</row>
    <row r="331" spans="1:53">
      <c r="A331" s="299">
        <v>30700015</v>
      </c>
      <c r="B331" s="336" t="s">
        <v>159</v>
      </c>
      <c r="C331" s="16"/>
      <c r="D331" s="17">
        <v>4.5</v>
      </c>
      <c r="E331" s="17"/>
      <c r="F331" s="6"/>
      <c r="G331" s="93">
        <f>SUM('31:13'!G331)</f>
        <v>0</v>
      </c>
      <c r="H331" s="339">
        <f t="shared" si="121"/>
        <v>0</v>
      </c>
      <c r="I331" s="93">
        <f>SUM('31:13'!I331)</f>
        <v>0</v>
      </c>
      <c r="J331" s="31"/>
      <c r="K331" s="35" t="str">
        <f t="array" ref="K331">IF(ISERROR(G331/L331),"",G331/L331)</f>
        <v/>
      </c>
      <c r="L331" s="87"/>
      <c r="M331" s="36"/>
      <c r="N331" s="31"/>
      <c r="O331" s="93">
        <f>SUM('31:13'!O331)</f>
        <v>0</v>
      </c>
      <c r="P331" s="93">
        <f>SUM('31:13'!P331)</f>
        <v>0</v>
      </c>
      <c r="Q331" s="93">
        <f>SUM('31:13'!Q331)</f>
        <v>0</v>
      </c>
      <c r="R331" s="93">
        <f>SUM('31:13'!R331)</f>
        <v>0</v>
      </c>
      <c r="S331" s="93">
        <f>SUM('31:13'!S331)</f>
        <v>0</v>
      </c>
      <c r="T331" s="93">
        <f>SUM('31:13'!T331)</f>
        <v>0</v>
      </c>
      <c r="U331" s="93">
        <f>SUM('31:13'!U331)</f>
        <v>0</v>
      </c>
      <c r="V331" s="206"/>
      <c r="W331" s="33"/>
      <c r="X331" s="93">
        <f>SUM('31:13'!X331)</f>
        <v>0</v>
      </c>
      <c r="Y331" s="93">
        <f>SUM('31:13'!Y331)</f>
        <v>0</v>
      </c>
      <c r="Z331" s="93">
        <f>SUM('31:13'!Z331)</f>
        <v>0</v>
      </c>
      <c r="AA331" s="93">
        <f>SUM('31:13'!AA331)</f>
        <v>0</v>
      </c>
      <c r="AB331" s="73"/>
      <c r="AC331" s="54"/>
      <c r="AD331" s="346"/>
      <c r="AE331" s="54"/>
      <c r="AF331" s="54"/>
      <c r="AG331" s="54"/>
      <c r="AH331" s="54"/>
      <c r="AI331" s="57"/>
      <c r="AJ331" s="57"/>
      <c r="AK331" s="57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</row>
    <row r="332" spans="1:53">
      <c r="A332" s="299">
        <v>30700012</v>
      </c>
      <c r="B332" s="336" t="s">
        <v>160</v>
      </c>
      <c r="C332" s="16"/>
      <c r="D332" s="17">
        <v>4.5</v>
      </c>
      <c r="E332" s="17"/>
      <c r="F332" s="6"/>
      <c r="G332" s="93">
        <f>SUM('31:13'!G332)</f>
        <v>0</v>
      </c>
      <c r="H332" s="339">
        <f t="shared" si="121"/>
        <v>0</v>
      </c>
      <c r="I332" s="93">
        <f>SUM('31:13'!I332)</f>
        <v>0</v>
      </c>
      <c r="J332" s="31"/>
      <c r="K332" s="35">
        <f t="array" ref="K332">IF(ISERROR(G332/L332),"",G332/L332)</f>
        <v>0</v>
      </c>
      <c r="L332" s="87">
        <v>6.5</v>
      </c>
      <c r="M332" s="36">
        <f>IF(ISERROR(I332-K332),"",I332-K332)</f>
        <v>0</v>
      </c>
      <c r="N332" s="31"/>
      <c r="O332" s="93">
        <f>SUM('31:13'!O332)</f>
        <v>0</v>
      </c>
      <c r="P332" s="93">
        <f>SUM('31:13'!P332)</f>
        <v>0</v>
      </c>
      <c r="Q332" s="93">
        <f>SUM('31:13'!Q332)</f>
        <v>0</v>
      </c>
      <c r="R332" s="93">
        <f>SUM('31:13'!R332)</f>
        <v>0</v>
      </c>
      <c r="S332" s="93">
        <f>SUM('31:13'!S332)</f>
        <v>0</v>
      </c>
      <c r="T332" s="93">
        <f>SUM('31:13'!T332)</f>
        <v>0</v>
      </c>
      <c r="U332" s="93">
        <f>SUM('31:13'!U332)</f>
        <v>0</v>
      </c>
      <c r="V332" s="206"/>
      <c r="W332" s="33"/>
      <c r="X332" s="93">
        <f>SUM('31:13'!X332)</f>
        <v>0</v>
      </c>
      <c r="Y332" s="93">
        <f>SUM('31:13'!Y332)</f>
        <v>0</v>
      </c>
      <c r="Z332" s="93">
        <f>SUM('31:13'!Z332)</f>
        <v>0</v>
      </c>
      <c r="AA332" s="93">
        <f>SUM('31:13'!AA332)</f>
        <v>0</v>
      </c>
      <c r="AB332" s="73"/>
      <c r="AC332" s="54"/>
      <c r="AD332" s="346"/>
      <c r="AE332" s="54"/>
      <c r="AF332" s="54"/>
      <c r="AG332" s="54"/>
      <c r="AH332" s="54"/>
      <c r="AI332" s="57"/>
      <c r="AJ332" s="57"/>
      <c r="AK332" s="57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</row>
    <row r="333" spans="1:53">
      <c r="A333" s="299"/>
      <c r="B333" s="199" t="s">
        <v>438</v>
      </c>
      <c r="C333" s="16"/>
      <c r="D333" s="17">
        <v>4.5</v>
      </c>
      <c r="E333" s="17"/>
      <c r="F333" s="6"/>
      <c r="G333" s="93">
        <f>SUM('31:13'!G333)</f>
        <v>0</v>
      </c>
      <c r="H333" s="339">
        <f t="shared" si="121"/>
        <v>0</v>
      </c>
      <c r="I333" s="93">
        <f>SUM('31:13'!I333)</f>
        <v>0</v>
      </c>
      <c r="J333" s="31"/>
      <c r="K333" s="35">
        <f t="array" ref="K333">IF(ISERROR(G333/L333),"",G333/L333)</f>
        <v>0</v>
      </c>
      <c r="L333" s="87">
        <v>7.5</v>
      </c>
      <c r="M333" s="36">
        <f>IF(ISERROR(I333-K333),"",I333-K333)</f>
        <v>0</v>
      </c>
      <c r="N333" s="31"/>
      <c r="O333" s="93">
        <f>SUM('31:13'!O333)</f>
        <v>0</v>
      </c>
      <c r="P333" s="93">
        <f>SUM('31:13'!P333)</f>
        <v>0</v>
      </c>
      <c r="Q333" s="93">
        <f>SUM('31:13'!Q333)</f>
        <v>0</v>
      </c>
      <c r="R333" s="93">
        <f>SUM('31:13'!R333)</f>
        <v>0</v>
      </c>
      <c r="S333" s="93">
        <f>SUM('31:13'!S333)</f>
        <v>0</v>
      </c>
      <c r="T333" s="93">
        <f>SUM('31:13'!T333)</f>
        <v>0</v>
      </c>
      <c r="U333" s="93">
        <f>SUM('31:13'!U333)</f>
        <v>0</v>
      </c>
      <c r="V333" s="206"/>
      <c r="W333" s="33"/>
      <c r="X333" s="93">
        <f>SUM('31:13'!X333)</f>
        <v>0</v>
      </c>
      <c r="Y333" s="93">
        <f>SUM('31:13'!Y333)</f>
        <v>0</v>
      </c>
      <c r="Z333" s="93">
        <f>SUM('31:13'!Z333)</f>
        <v>0</v>
      </c>
      <c r="AA333" s="93">
        <f>SUM('31:13'!AA333)</f>
        <v>0</v>
      </c>
      <c r="AB333" s="73"/>
      <c r="AC333" s="54"/>
      <c r="AD333" s="346"/>
      <c r="AE333" s="54"/>
      <c r="AF333" s="54"/>
      <c r="AG333" s="54"/>
      <c r="AH333" s="54"/>
      <c r="AI333" s="57"/>
      <c r="AJ333" s="57"/>
      <c r="AK333" s="57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</row>
    <row r="334" spans="1:53">
      <c r="A334" s="691" t="s">
        <v>106</v>
      </c>
      <c r="B334" s="692"/>
      <c r="C334" s="342" t="s">
        <v>71</v>
      </c>
      <c r="D334" s="20"/>
      <c r="E334" s="20"/>
      <c r="F334" s="32"/>
      <c r="G334" s="94">
        <f>SUM(G320:G333)</f>
        <v>1680</v>
      </c>
      <c r="H334" s="30">
        <f>SUM(H320:H333)</f>
        <v>11040.16</v>
      </c>
      <c r="I334" s="30">
        <f>SUM(I320:I333)</f>
        <v>427</v>
      </c>
      <c r="J334" s="31">
        <f t="array" ref="J334">IF(ISERROR(G334/I334),"",G334/I334)</f>
        <v>3.9344262295081966</v>
      </c>
      <c r="K334" s="30">
        <f>SUM(K320:K330)</f>
        <v>294.2993003498251</v>
      </c>
      <c r="L334" s="98"/>
      <c r="M334" s="89">
        <f t="shared" ref="M334:V334" si="130">SUM(M320:M330)</f>
        <v>7.5340329835082187</v>
      </c>
      <c r="N334" s="20">
        <f t="shared" si="130"/>
        <v>0</v>
      </c>
      <c r="O334" s="91">
        <f t="shared" si="130"/>
        <v>0</v>
      </c>
      <c r="P334" s="91">
        <f t="shared" si="130"/>
        <v>0</v>
      </c>
      <c r="Q334" s="91">
        <f t="shared" si="130"/>
        <v>0</v>
      </c>
      <c r="R334" s="91">
        <f t="shared" si="130"/>
        <v>0</v>
      </c>
      <c r="S334" s="92">
        <f t="shared" si="130"/>
        <v>0</v>
      </c>
      <c r="T334" s="91">
        <f t="shared" si="130"/>
        <v>0</v>
      </c>
      <c r="U334" s="91">
        <f t="shared" si="130"/>
        <v>0</v>
      </c>
      <c r="V334" s="206">
        <f t="shared" si="130"/>
        <v>0</v>
      </c>
      <c r="W334" s="33">
        <f t="shared" ref="W334" si="131">IF(ISERROR(V334/G334),"",V334/G334)</f>
        <v>0</v>
      </c>
      <c r="X334" s="92">
        <f>SUM(X320:X330)</f>
        <v>0</v>
      </c>
      <c r="Y334" s="92">
        <f>SUM(Y320:Y330)</f>
        <v>0</v>
      </c>
      <c r="Z334" s="92">
        <f>SUM(Z320:Z330)</f>
        <v>0</v>
      </c>
      <c r="AA334" s="92">
        <f>SUM(AA320:AA330)</f>
        <v>0</v>
      </c>
      <c r="AB334" s="70"/>
      <c r="AC334" s="70"/>
      <c r="AD334" s="58"/>
      <c r="AE334" s="70"/>
      <c r="AF334" s="70"/>
      <c r="AG334" s="70"/>
      <c r="AH334" s="70"/>
      <c r="AI334" s="58"/>
      <c r="AJ334" s="58"/>
      <c r="AK334" s="58"/>
      <c r="AL334" s="58"/>
      <c r="AM334" s="58"/>
      <c r="AN334" s="58"/>
      <c r="AO334" s="58"/>
      <c r="AP334" s="58"/>
      <c r="AQ334" s="58"/>
      <c r="AR334" s="58"/>
      <c r="AS334" s="58"/>
      <c r="AT334" s="58"/>
      <c r="AU334" s="58"/>
      <c r="AV334" s="58"/>
      <c r="AW334" s="58"/>
      <c r="AX334" s="58"/>
      <c r="AY334" s="58"/>
      <c r="AZ334" s="58"/>
      <c r="BA334" s="58"/>
    </row>
    <row r="335" spans="1:53">
      <c r="A335" s="693" t="s">
        <v>108</v>
      </c>
      <c r="B335" s="694"/>
      <c r="C335" s="694"/>
      <c r="D335" s="694"/>
      <c r="E335" s="694"/>
      <c r="F335" s="695"/>
      <c r="G335" s="193">
        <f>SUM(G199,G257,G292,G308,G319,G334)</f>
        <v>75895</v>
      </c>
      <c r="H335" s="193">
        <f>SUM(H199,H257,H292,H308,H319,H334)</f>
        <v>379843.27</v>
      </c>
      <c r="I335" s="193">
        <f>SUM(I199,I257,I292,I308,I319,I334)</f>
        <v>4698.03</v>
      </c>
      <c r="J335" s="52">
        <f t="array" ref="J335">IF(ISERROR(G335/I335),"",G335/I335)</f>
        <v>16.154643542080404</v>
      </c>
      <c r="K335" s="193">
        <f>SUM(K199,K257,K292,K308,K319,K334)</f>
        <v>3374.4384326280765</v>
      </c>
      <c r="L335" s="52">
        <f>IF(ISERROR(G335/K335),"",G335/K335)</f>
        <v>22.491149717285413</v>
      </c>
      <c r="M335" s="193">
        <f t="shared" ref="M335:AA335" si="132">SUM(M199,M257,M292,M308,M319,M334)</f>
        <v>480.7749007052567</v>
      </c>
      <c r="N335" s="193">
        <f t="shared" si="132"/>
        <v>0</v>
      </c>
      <c r="O335" s="193">
        <f t="shared" si="132"/>
        <v>0</v>
      </c>
      <c r="P335" s="193">
        <f t="shared" si="132"/>
        <v>0</v>
      </c>
      <c r="Q335" s="193">
        <f t="shared" si="132"/>
        <v>0</v>
      </c>
      <c r="R335" s="193">
        <f t="shared" si="132"/>
        <v>0</v>
      </c>
      <c r="S335" s="193">
        <f t="shared" si="132"/>
        <v>0</v>
      </c>
      <c r="T335" s="193">
        <f t="shared" si="132"/>
        <v>0</v>
      </c>
      <c r="U335" s="193">
        <f t="shared" si="132"/>
        <v>0</v>
      </c>
      <c r="V335" s="193">
        <f t="shared" si="132"/>
        <v>0</v>
      </c>
      <c r="W335" s="193">
        <f t="shared" si="132"/>
        <v>0</v>
      </c>
      <c r="X335" s="193">
        <f t="shared" si="132"/>
        <v>0</v>
      </c>
      <c r="Y335" s="193">
        <f t="shared" si="132"/>
        <v>0</v>
      </c>
      <c r="Z335" s="193">
        <f t="shared" si="132"/>
        <v>0</v>
      </c>
      <c r="AA335" s="193">
        <f t="shared" si="132"/>
        <v>0</v>
      </c>
      <c r="AB335" s="76"/>
      <c r="AC335" s="71"/>
      <c r="AD335" s="346"/>
      <c r="AE335" s="77"/>
      <c r="AF335" s="77"/>
      <c r="AG335" s="77"/>
      <c r="AH335" s="77"/>
      <c r="AI335" s="57"/>
      <c r="AJ335" s="57"/>
      <c r="AK335" s="57"/>
      <c r="AL335" s="696"/>
      <c r="AM335" s="696"/>
      <c r="AN335" s="696"/>
      <c r="AO335" s="696"/>
      <c r="AP335" s="696"/>
      <c r="AQ335" s="696"/>
      <c r="AR335" s="696"/>
      <c r="AS335" s="696"/>
      <c r="AT335" s="696"/>
      <c r="AU335" s="696"/>
      <c r="AV335" s="696"/>
      <c r="AW335" s="696"/>
      <c r="AX335" s="696"/>
      <c r="AY335" s="696"/>
      <c r="AZ335" s="696"/>
      <c r="BA335" s="696"/>
    </row>
    <row r="336" spans="1:53" ht="15.75" customHeight="1">
      <c r="A336" s="583" t="s">
        <v>503</v>
      </c>
      <c r="B336" s="337" t="s">
        <v>110</v>
      </c>
      <c r="C336" s="674" t="s">
        <v>111</v>
      </c>
      <c r="D336" s="674"/>
      <c r="E336" s="684" t="s">
        <v>112</v>
      </c>
      <c r="F336" s="684"/>
      <c r="G336" s="654" t="s">
        <v>113</v>
      </c>
      <c r="H336" s="654"/>
      <c r="I336" s="684" t="s">
        <v>114</v>
      </c>
      <c r="J336" s="684"/>
      <c r="K336" s="684" t="s">
        <v>36</v>
      </c>
      <c r="L336" s="684"/>
      <c r="M336" s="684" t="s">
        <v>115</v>
      </c>
      <c r="N336" s="684"/>
      <c r="O336" s="684" t="s">
        <v>116</v>
      </c>
      <c r="P336" s="654" t="s">
        <v>117</v>
      </c>
      <c r="Q336" s="654"/>
      <c r="R336" s="654" t="s">
        <v>36</v>
      </c>
      <c r="S336" s="654"/>
      <c r="T336" s="654" t="s">
        <v>118</v>
      </c>
      <c r="U336" s="654"/>
      <c r="V336" s="654" t="s">
        <v>119</v>
      </c>
      <c r="W336" s="654"/>
      <c r="X336" s="654" t="s">
        <v>36</v>
      </c>
      <c r="Y336" s="654"/>
      <c r="Z336" s="654" t="s">
        <v>118</v>
      </c>
      <c r="AA336" s="654"/>
      <c r="AB336" s="12"/>
      <c r="AC336" s="12"/>
      <c r="AD336" s="12"/>
      <c r="AE336" s="3"/>
      <c r="AF336" s="3"/>
      <c r="AG336" s="3"/>
      <c r="AH336" s="344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21"/>
      <c r="AV336" s="21"/>
      <c r="AW336" s="21"/>
      <c r="AX336" s="21"/>
      <c r="AY336" s="21"/>
      <c r="AZ336" s="21"/>
      <c r="BA336" s="21"/>
    </row>
    <row r="337" spans="1:53" ht="15.75" customHeight="1">
      <c r="A337" s="584"/>
      <c r="B337" s="337" t="s">
        <v>120</v>
      </c>
      <c r="C337" s="689">
        <f>SUM('31:13'!C337)</f>
        <v>14</v>
      </c>
      <c r="D337" s="690"/>
      <c r="E337" s="688">
        <f>D337*11</f>
        <v>0</v>
      </c>
      <c r="F337" s="688"/>
      <c r="G337" s="689">
        <f>SUM('31:13'!G337)</f>
        <v>14</v>
      </c>
      <c r="H337" s="690"/>
      <c r="I337" s="684">
        <f>G337*11</f>
        <v>154</v>
      </c>
      <c r="J337" s="684"/>
      <c r="K337" s="684">
        <f>E337-I337</f>
        <v>-154</v>
      </c>
      <c r="L337" s="684"/>
      <c r="M337" s="686" t="str">
        <f>IF(ISERROR(K337/E337),"",K337/E337)</f>
        <v/>
      </c>
      <c r="N337" s="686"/>
      <c r="O337" s="684"/>
      <c r="P337" s="654" t="s">
        <v>70</v>
      </c>
      <c r="Q337" s="654"/>
      <c r="R337" s="677">
        <f>SUM(O199:U199)</f>
        <v>0</v>
      </c>
      <c r="S337" s="677"/>
      <c r="T337" s="685" t="str">
        <f t="array" ref="T337">IF(ISERROR(R337/R344),"",R337/R344)</f>
        <v/>
      </c>
      <c r="U337" s="685"/>
      <c r="V337" s="654" t="s">
        <v>41</v>
      </c>
      <c r="W337" s="654"/>
      <c r="X337" s="665">
        <f>SUM(P198,P256,P291,P307,P318,P333)</f>
        <v>0</v>
      </c>
      <c r="Y337" s="664"/>
      <c r="Z337" s="685" t="str">
        <f t="array" ref="Z337">IF(ISERROR(X337/X344),"",X337/X344)</f>
        <v/>
      </c>
      <c r="AA337" s="685"/>
      <c r="AB337" s="12"/>
      <c r="AC337" s="22"/>
      <c r="AD337" s="22"/>
      <c r="AE337" s="3"/>
      <c r="AF337" s="3"/>
      <c r="AG337" s="3"/>
      <c r="AH337" s="346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21"/>
      <c r="AV337" s="21"/>
      <c r="AW337" s="21"/>
      <c r="AX337" s="21"/>
      <c r="AY337" s="21"/>
      <c r="AZ337" s="21"/>
      <c r="BA337" s="21"/>
    </row>
    <row r="338" spans="1:53">
      <c r="A338" s="584"/>
      <c r="B338" s="337" t="s">
        <v>121</v>
      </c>
      <c r="C338" s="689">
        <f>SUM('31:13'!C338)</f>
        <v>0</v>
      </c>
      <c r="D338" s="690"/>
      <c r="E338" s="688">
        <f>D338*11</f>
        <v>0</v>
      </c>
      <c r="F338" s="688"/>
      <c r="G338" s="689">
        <f>SUM('31:13'!G338)</f>
        <v>0</v>
      </c>
      <c r="H338" s="690"/>
      <c r="I338" s="684">
        <f>G338*11</f>
        <v>0</v>
      </c>
      <c r="J338" s="684"/>
      <c r="K338" s="684">
        <f>E338-I338</f>
        <v>0</v>
      </c>
      <c r="L338" s="684"/>
      <c r="M338" s="686" t="str">
        <f>IF(ISERROR(K338/E338),"",K338/E338)</f>
        <v/>
      </c>
      <c r="N338" s="686"/>
      <c r="O338" s="684"/>
      <c r="P338" s="654" t="s">
        <v>86</v>
      </c>
      <c r="Q338" s="654"/>
      <c r="R338" s="677">
        <f>SUM(O257:U257)</f>
        <v>0</v>
      </c>
      <c r="S338" s="677"/>
      <c r="T338" s="685" t="str">
        <f>IF(ISERROR(R338/R344),"",R338/R344)</f>
        <v/>
      </c>
      <c r="U338" s="685"/>
      <c r="V338" s="654" t="s">
        <v>42</v>
      </c>
      <c r="W338" s="654"/>
      <c r="X338" s="665">
        <f>SUM(P199,P257,P292,P308,P319,P334)</f>
        <v>0</v>
      </c>
      <c r="Y338" s="664"/>
      <c r="Z338" s="685" t="str">
        <f>IF(ISERROR(X338/X344),"",X338/X344)</f>
        <v/>
      </c>
      <c r="AA338" s="685"/>
      <c r="AB338" s="12"/>
      <c r="AC338" s="22"/>
      <c r="AD338" s="22"/>
      <c r="AE338" s="3"/>
      <c r="AF338" s="3"/>
      <c r="AG338" s="3"/>
      <c r="AH338" s="346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21"/>
      <c r="AV338" s="21"/>
      <c r="AW338" s="21"/>
      <c r="AX338" s="21"/>
      <c r="AY338" s="21"/>
      <c r="AZ338" s="21"/>
      <c r="BA338" s="21"/>
    </row>
    <row r="339" spans="1:53">
      <c r="A339" s="584"/>
      <c r="B339" s="337" t="s">
        <v>122</v>
      </c>
      <c r="C339" s="689">
        <f>SUM('31:13'!C339)</f>
        <v>0</v>
      </c>
      <c r="D339" s="690"/>
      <c r="E339" s="688">
        <f>D339*11</f>
        <v>0</v>
      </c>
      <c r="F339" s="688"/>
      <c r="G339" s="689">
        <f>SUM('31:13'!G339)</f>
        <v>14</v>
      </c>
      <c r="H339" s="690"/>
      <c r="I339" s="684">
        <f>G339*8</f>
        <v>112</v>
      </c>
      <c r="J339" s="684"/>
      <c r="K339" s="684">
        <f>E339-I339</f>
        <v>-112</v>
      </c>
      <c r="L339" s="684"/>
      <c r="M339" s="686" t="str">
        <f>IF(ISERROR(K339/E339),"",K339/E339)</f>
        <v/>
      </c>
      <c r="N339" s="686"/>
      <c r="O339" s="684"/>
      <c r="P339" s="654" t="s">
        <v>92</v>
      </c>
      <c r="Q339" s="654"/>
      <c r="R339" s="677">
        <f>SUM(O292:U292)</f>
        <v>0</v>
      </c>
      <c r="S339" s="677"/>
      <c r="T339" s="685" t="str">
        <f>IF(ISERROR(R339/R344),"",R339/R344)</f>
        <v/>
      </c>
      <c r="U339" s="685"/>
      <c r="V339" s="654" t="s">
        <v>43</v>
      </c>
      <c r="W339" s="654"/>
      <c r="X339" s="665">
        <f>SUM(P200,P258,P293,P309,P320,P335)</f>
        <v>0</v>
      </c>
      <c r="Y339" s="664"/>
      <c r="Z339" s="685" t="str">
        <f>IF(ISERROR(X339/X344),"",X339/X344)</f>
        <v/>
      </c>
      <c r="AA339" s="685"/>
      <c r="AB339" s="12"/>
      <c r="AC339" s="22"/>
      <c r="AD339" s="22"/>
      <c r="AE339" s="3"/>
      <c r="AF339" s="3"/>
      <c r="AG339" s="346"/>
      <c r="AH339" s="346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21"/>
      <c r="AV339" s="21"/>
      <c r="AW339" s="21"/>
      <c r="AX339" s="21"/>
      <c r="AY339" s="21"/>
      <c r="AZ339" s="21"/>
      <c r="BA339" s="21"/>
    </row>
    <row r="340" spans="1:53">
      <c r="A340" s="584"/>
      <c r="B340" s="337" t="s">
        <v>47</v>
      </c>
      <c r="C340" s="689">
        <f>SUM('31:13'!C340)</f>
        <v>14</v>
      </c>
      <c r="D340" s="690"/>
      <c r="E340" s="688">
        <f>D340*11</f>
        <v>0</v>
      </c>
      <c r="F340" s="688"/>
      <c r="G340" s="689">
        <f>SUM('31:13'!G340)</f>
        <v>14</v>
      </c>
      <c r="H340" s="690"/>
      <c r="I340" s="684">
        <f>G340*11</f>
        <v>154</v>
      </c>
      <c r="J340" s="684"/>
      <c r="K340" s="684">
        <f>E340-I340</f>
        <v>-154</v>
      </c>
      <c r="L340" s="684"/>
      <c r="M340" s="686" t="str">
        <f>IF(ISERROR(K340/E340),"",K340/E340)</f>
        <v/>
      </c>
      <c r="N340" s="686"/>
      <c r="O340" s="684"/>
      <c r="P340" s="654" t="s">
        <v>99</v>
      </c>
      <c r="Q340" s="654"/>
      <c r="R340" s="677">
        <f>SUM(O308:U308)</f>
        <v>0</v>
      </c>
      <c r="S340" s="677"/>
      <c r="T340" s="685" t="str">
        <f>IF(ISERROR(R340/R344),"",R340/R344)</f>
        <v/>
      </c>
      <c r="U340" s="685"/>
      <c r="V340" s="654" t="s">
        <v>44</v>
      </c>
      <c r="W340" s="654"/>
      <c r="X340" s="665">
        <f>SUM(P202,P259,P294,P310,P321,P336)</f>
        <v>0</v>
      </c>
      <c r="Y340" s="664"/>
      <c r="Z340" s="685" t="str">
        <f>IF(ISERROR(X340/X344),"",X340/X344)</f>
        <v/>
      </c>
      <c r="AA340" s="685"/>
      <c r="AB340" s="12"/>
      <c r="AC340" s="22"/>
      <c r="AD340" s="22"/>
      <c r="AE340" s="3"/>
      <c r="AF340" s="3"/>
      <c r="AG340" s="346"/>
      <c r="AH340" s="346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21"/>
      <c r="AV340" s="21"/>
      <c r="AW340" s="21"/>
      <c r="AX340" s="21"/>
      <c r="AY340" s="21"/>
      <c r="AZ340" s="21"/>
      <c r="BA340" s="21"/>
    </row>
    <row r="341" spans="1:53">
      <c r="A341" s="585"/>
      <c r="B341" s="337" t="s">
        <v>123</v>
      </c>
      <c r="C341" s="687">
        <f>SUM(C337:D340)</f>
        <v>28</v>
      </c>
      <c r="D341" s="684"/>
      <c r="E341" s="688">
        <f>SUM(F337:F340)</f>
        <v>0</v>
      </c>
      <c r="F341" s="684"/>
      <c r="G341" s="687">
        <f>SUM(G337:H340)</f>
        <v>42</v>
      </c>
      <c r="H341" s="684"/>
      <c r="I341" s="684">
        <f>SUM(I337:J340)</f>
        <v>420</v>
      </c>
      <c r="J341" s="684"/>
      <c r="K341" s="684">
        <f>SUM(K337:L340)</f>
        <v>-420</v>
      </c>
      <c r="L341" s="684"/>
      <c r="M341" s="686" t="str">
        <f>IF(ISERROR(K341/E341),"",K341/E341)</f>
        <v/>
      </c>
      <c r="N341" s="686"/>
      <c r="O341" s="684"/>
      <c r="P341" s="654" t="s">
        <v>102</v>
      </c>
      <c r="Q341" s="654"/>
      <c r="R341" s="677">
        <f>SUM(O319:U319)</f>
        <v>0</v>
      </c>
      <c r="S341" s="677"/>
      <c r="T341" s="685" t="str">
        <f>IF(ISERROR(R341/R344),"",R341/R344)</f>
        <v/>
      </c>
      <c r="U341" s="685"/>
      <c r="V341" s="654" t="s">
        <v>45</v>
      </c>
      <c r="W341" s="654"/>
      <c r="X341" s="665">
        <f>SUM(P203,P260,P295,P311,P322,P337)</f>
        <v>0</v>
      </c>
      <c r="Y341" s="664"/>
      <c r="Z341" s="685" t="str">
        <f>IF(ISERROR(X341/X344),"",X341/X344)</f>
        <v/>
      </c>
      <c r="AA341" s="685"/>
      <c r="AB341" s="12"/>
      <c r="AC341" s="22"/>
      <c r="AD341" s="22"/>
      <c r="AE341" s="3"/>
      <c r="AF341" s="3"/>
      <c r="AG341" s="346"/>
      <c r="AH341" s="346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343"/>
      <c r="AV341" s="343"/>
      <c r="AW341" s="343"/>
      <c r="AX341" s="343"/>
      <c r="AY341" s="343"/>
      <c r="AZ341" s="343"/>
      <c r="BA341" s="343"/>
    </row>
    <row r="342" spans="1:53" ht="17.25">
      <c r="A342" s="309" t="s">
        <v>504</v>
      </c>
      <c r="B342" s="337">
        <f>G335</f>
        <v>75895</v>
      </c>
      <c r="C342" s="677" t="s">
        <v>155</v>
      </c>
      <c r="D342" s="677"/>
      <c r="E342" s="654">
        <f>H335</f>
        <v>379843.27</v>
      </c>
      <c r="F342" s="654"/>
      <c r="G342" s="654" t="s">
        <v>34</v>
      </c>
      <c r="H342" s="654"/>
      <c r="I342" s="683">
        <f>L335</f>
        <v>22.491149717285413</v>
      </c>
      <c r="J342" s="683"/>
      <c r="K342" s="684" t="s">
        <v>32</v>
      </c>
      <c r="L342" s="684"/>
      <c r="M342" s="683">
        <f>J335</f>
        <v>16.154643542080404</v>
      </c>
      <c r="N342" s="683"/>
      <c r="O342" s="684"/>
      <c r="P342" s="654" t="s">
        <v>106</v>
      </c>
      <c r="Q342" s="654"/>
      <c r="R342" s="677">
        <f>SUM(O334:U334)</f>
        <v>0</v>
      </c>
      <c r="S342" s="677"/>
      <c r="T342" s="685" t="str">
        <f>IF(ISERROR(R342/R344),"",R342/R344)</f>
        <v/>
      </c>
      <c r="U342" s="685"/>
      <c r="V342" s="654" t="s">
        <v>46</v>
      </c>
      <c r="W342" s="654"/>
      <c r="X342" s="665">
        <f>SUM(P204,P261,P296,P312,P323,P338)</f>
        <v>0</v>
      </c>
      <c r="Y342" s="664"/>
      <c r="Z342" s="685" t="str">
        <f>IF(ISERROR(X342/X344),"",X342/X344)</f>
        <v/>
      </c>
      <c r="AA342" s="685"/>
      <c r="AB342" s="12"/>
      <c r="AC342" s="22"/>
      <c r="AD342" s="22"/>
      <c r="AE342" s="3"/>
      <c r="AF342" s="3"/>
      <c r="AG342" s="346"/>
      <c r="AH342" s="346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343"/>
      <c r="AV342" s="343"/>
      <c r="AW342" s="343"/>
      <c r="AX342" s="343"/>
      <c r="AY342" s="343"/>
      <c r="AZ342" s="343"/>
      <c r="BA342" s="343"/>
    </row>
    <row r="343" spans="1:53" ht="15.75" customHeight="1">
      <c r="A343" s="310" t="s">
        <v>505</v>
      </c>
      <c r="B343" s="337">
        <f>I335+C341</f>
        <v>4726.03</v>
      </c>
      <c r="C343" s="654" t="s">
        <v>114</v>
      </c>
      <c r="D343" s="654"/>
      <c r="E343" s="674">
        <f>K335+I341</f>
        <v>3794.4384326280765</v>
      </c>
      <c r="F343" s="674"/>
      <c r="G343" s="654" t="s">
        <v>150</v>
      </c>
      <c r="H343" s="654"/>
      <c r="I343" s="683">
        <f>B343-E343</f>
        <v>931.59156737192325</v>
      </c>
      <c r="J343" s="683"/>
      <c r="K343" s="684" t="s">
        <v>151</v>
      </c>
      <c r="L343" s="684"/>
      <c r="M343" s="686">
        <f>IF(ISERROR(I343/B343),"",I343/B343)</f>
        <v>0.19711926656663697</v>
      </c>
      <c r="N343" s="686"/>
      <c r="O343" s="684"/>
      <c r="P343" s="654" t="s">
        <v>107</v>
      </c>
      <c r="Q343" s="654"/>
      <c r="R343" s="677"/>
      <c r="S343" s="677"/>
      <c r="T343" s="685" t="str">
        <f>IF(ISERROR(R343/R344),"",R343/R344)</f>
        <v/>
      </c>
      <c r="U343" s="685"/>
      <c r="V343" s="654" t="s">
        <v>47</v>
      </c>
      <c r="W343" s="654"/>
      <c r="X343" s="665">
        <f>SUM(P205,P262,P297,P313,P324,P339)</f>
        <v>0</v>
      </c>
      <c r="Y343" s="664"/>
      <c r="Z343" s="685" t="str">
        <f>IF(ISERROR(X343/X344),"",X343/X344)</f>
        <v/>
      </c>
      <c r="AA343" s="685"/>
      <c r="AB343" s="12"/>
      <c r="AC343" s="22"/>
      <c r="AD343" s="22"/>
      <c r="AE343" s="3"/>
      <c r="AF343" s="3"/>
      <c r="AG343" s="346"/>
      <c r="AH343" s="346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343"/>
      <c r="AV343" s="343"/>
      <c r="AW343" s="343"/>
      <c r="AX343" s="343"/>
      <c r="AY343" s="343"/>
      <c r="AZ343" s="343"/>
      <c r="BA343" s="343"/>
    </row>
    <row r="344" spans="1:53" ht="15.75" customHeight="1">
      <c r="A344" s="310" t="s">
        <v>507</v>
      </c>
      <c r="B344" s="337">
        <f>N335</f>
        <v>0</v>
      </c>
      <c r="C344" s="654" t="s">
        <v>149</v>
      </c>
      <c r="D344" s="654"/>
      <c r="E344" s="685">
        <f>IF(ISERROR(B344/B343),"",B344/B343)</f>
        <v>0</v>
      </c>
      <c r="F344" s="685"/>
      <c r="G344" s="654" t="s">
        <v>158</v>
      </c>
      <c r="H344" s="654"/>
      <c r="I344" s="684">
        <f>V335</f>
        <v>0</v>
      </c>
      <c r="J344" s="684"/>
      <c r="K344" s="684" t="s">
        <v>156</v>
      </c>
      <c r="L344" s="684"/>
      <c r="M344" s="686">
        <f t="array" ref="M344">IF(ISERROR(I344/B342),"",I344/B342)</f>
        <v>0</v>
      </c>
      <c r="N344" s="686"/>
      <c r="O344" s="684"/>
      <c r="P344" s="654" t="s">
        <v>123</v>
      </c>
      <c r="Q344" s="654"/>
      <c r="R344" s="677">
        <f>SUM(R337:S343)</f>
        <v>0</v>
      </c>
      <c r="S344" s="677"/>
      <c r="T344" s="685">
        <f>SUM(T337:U343)</f>
        <v>0</v>
      </c>
      <c r="U344" s="685"/>
      <c r="V344" s="654" t="s">
        <v>123</v>
      </c>
      <c r="W344" s="654"/>
      <c r="X344" s="677">
        <f>SUM(X337:Y343)</f>
        <v>0</v>
      </c>
      <c r="Y344" s="677"/>
      <c r="Z344" s="685">
        <f>SUM(Z337:AA343)</f>
        <v>0</v>
      </c>
      <c r="AA344" s="685"/>
      <c r="AB344" s="12"/>
      <c r="AC344" s="22"/>
      <c r="AD344" s="22"/>
      <c r="AE344" s="3"/>
      <c r="AF344" s="3"/>
      <c r="AG344" s="346"/>
      <c r="AH344" s="346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343"/>
      <c r="AV344" s="343"/>
      <c r="AW344" s="343"/>
      <c r="AX344" s="343"/>
      <c r="AY344" s="343"/>
      <c r="AZ344" s="343"/>
      <c r="BA344" s="343"/>
    </row>
    <row r="345" spans="1:53" ht="15.75" customHeight="1">
      <c r="A345" s="716" t="s">
        <v>129</v>
      </c>
      <c r="B345" s="716"/>
      <c r="C345" s="716"/>
      <c r="D345" s="716"/>
      <c r="E345" s="716"/>
      <c r="F345" s="716"/>
      <c r="G345" s="716"/>
      <c r="H345" s="716"/>
      <c r="I345" s="716"/>
      <c r="J345" s="716"/>
      <c r="K345" s="716"/>
      <c r="L345" s="716"/>
      <c r="M345" s="716"/>
      <c r="N345" s="716"/>
      <c r="O345" s="716"/>
      <c r="P345" s="716"/>
      <c r="Q345" s="716"/>
      <c r="R345" s="716"/>
      <c r="S345" s="716"/>
      <c r="T345" s="716"/>
      <c r="U345" s="716"/>
      <c r="V345" s="716"/>
      <c r="W345" s="716"/>
      <c r="X345" s="716"/>
      <c r="Y345" s="716"/>
      <c r="Z345" s="716"/>
      <c r="AA345" s="716"/>
      <c r="AB345" s="716"/>
      <c r="AC345" s="716"/>
      <c r="AD345" s="716"/>
      <c r="AE345" s="716"/>
      <c r="AF345" s="716"/>
      <c r="AG345" s="716"/>
      <c r="AH345" s="716"/>
      <c r="AI345" s="716"/>
      <c r="AJ345" s="716"/>
      <c r="AK345" s="716"/>
      <c r="AL345" s="716"/>
      <c r="AM345" s="716"/>
      <c r="AN345" s="716"/>
      <c r="AO345" s="716"/>
      <c r="AP345" s="716"/>
      <c r="AQ345" s="716"/>
      <c r="AR345" s="716"/>
      <c r="AS345" s="716"/>
      <c r="AT345" s="716"/>
      <c r="AU345" s="716"/>
      <c r="AV345" s="716"/>
      <c r="AW345" s="716"/>
      <c r="AX345" s="716"/>
      <c r="AY345" s="716"/>
      <c r="AZ345" s="716"/>
      <c r="BA345" s="716"/>
    </row>
    <row r="346" spans="1:53">
      <c r="A346" s="604" t="s">
        <v>502</v>
      </c>
      <c r="B346" s="705" t="s">
        <v>25</v>
      </c>
      <c r="C346" s="705" t="s">
        <v>26</v>
      </c>
      <c r="D346" s="705" t="s">
        <v>27</v>
      </c>
      <c r="E346" s="717" t="s">
        <v>28</v>
      </c>
      <c r="F346" s="720" t="s">
        <v>29</v>
      </c>
      <c r="G346" s="684" t="s">
        <v>30</v>
      </c>
      <c r="H346" s="684"/>
      <c r="I346" s="705" t="s">
        <v>31</v>
      </c>
      <c r="J346" s="708" t="s">
        <v>32</v>
      </c>
      <c r="K346" s="711" t="s">
        <v>33</v>
      </c>
      <c r="L346" s="705" t="s">
        <v>34</v>
      </c>
      <c r="M346" s="714" t="s">
        <v>35</v>
      </c>
      <c r="N346" s="702" t="s">
        <v>36</v>
      </c>
      <c r="O346" s="684" t="s">
        <v>37</v>
      </c>
      <c r="P346" s="684"/>
      <c r="Q346" s="684"/>
      <c r="R346" s="684"/>
      <c r="S346" s="684"/>
      <c r="T346" s="684"/>
      <c r="U346" s="684"/>
      <c r="V346" s="703" t="s">
        <v>38</v>
      </c>
      <c r="W346" s="702" t="s">
        <v>39</v>
      </c>
      <c r="X346" s="684" t="s">
        <v>40</v>
      </c>
      <c r="Y346" s="684"/>
      <c r="Z346" s="684"/>
      <c r="AA346" s="684"/>
      <c r="AB346" s="21"/>
      <c r="AC346" s="21"/>
      <c r="AD346" s="21"/>
      <c r="AE346" s="21"/>
      <c r="AF346" s="21"/>
      <c r="AG346" s="21"/>
      <c r="AH346" s="21"/>
      <c r="AI346" s="704"/>
      <c r="AJ346" s="700"/>
      <c r="AK346" s="700"/>
      <c r="AL346" s="700"/>
      <c r="AM346" s="700"/>
      <c r="AN346" s="700"/>
      <c r="AO346" s="700"/>
      <c r="AP346" s="700"/>
      <c r="AQ346" s="700"/>
      <c r="AR346" s="700"/>
      <c r="AS346" s="700"/>
      <c r="AT346" s="700"/>
      <c r="AU346" s="700"/>
      <c r="AV346" s="700"/>
      <c r="AW346" s="700"/>
      <c r="AX346" s="700"/>
      <c r="AY346" s="700"/>
      <c r="AZ346" s="700"/>
      <c r="BA346" s="700"/>
    </row>
    <row r="347" spans="1:53">
      <c r="A347" s="605"/>
      <c r="B347" s="706"/>
      <c r="C347" s="706"/>
      <c r="D347" s="706"/>
      <c r="E347" s="718"/>
      <c r="F347" s="721"/>
      <c r="G347" s="684"/>
      <c r="H347" s="684"/>
      <c r="I347" s="706"/>
      <c r="J347" s="709"/>
      <c r="K347" s="712"/>
      <c r="L347" s="706"/>
      <c r="M347" s="715"/>
      <c r="N347" s="702"/>
      <c r="O347" s="684" t="s">
        <v>41</v>
      </c>
      <c r="P347" s="684" t="s">
        <v>42</v>
      </c>
      <c r="Q347" s="684" t="s">
        <v>43</v>
      </c>
      <c r="R347" s="701" t="s">
        <v>44</v>
      </c>
      <c r="S347" s="654" t="s">
        <v>45</v>
      </c>
      <c r="T347" s="684" t="s">
        <v>46</v>
      </c>
      <c r="U347" s="684" t="s">
        <v>47</v>
      </c>
      <c r="V347" s="703"/>
      <c r="W347" s="702"/>
      <c r="X347" s="684" t="s">
        <v>13</v>
      </c>
      <c r="Y347" s="684" t="s">
        <v>48</v>
      </c>
      <c r="Z347" s="684" t="s">
        <v>49</v>
      </c>
      <c r="AA347" s="684" t="s">
        <v>47</v>
      </c>
      <c r="AB347" s="21"/>
      <c r="AC347" s="21"/>
      <c r="AD347" s="21"/>
      <c r="AE347" s="21"/>
      <c r="AF347" s="21"/>
      <c r="AG347" s="21"/>
      <c r="AH347" s="21"/>
      <c r="AI347" s="704"/>
      <c r="AJ347" s="700"/>
      <c r="AK347" s="700"/>
      <c r="AL347" s="700"/>
      <c r="AM347" s="700"/>
      <c r="AN347" s="700"/>
      <c r="AO347" s="700"/>
      <c r="AP347" s="700"/>
      <c r="AQ347" s="700"/>
      <c r="AR347" s="700"/>
      <c r="AS347" s="723"/>
      <c r="AT347" s="723"/>
      <c r="AU347" s="723"/>
      <c r="AV347" s="723"/>
      <c r="AW347" s="723"/>
      <c r="AX347" s="723"/>
      <c r="AY347" s="723"/>
      <c r="AZ347" s="723"/>
      <c r="BA347" s="723"/>
    </row>
    <row r="348" spans="1:53" ht="15.75" customHeight="1">
      <c r="A348" s="606"/>
      <c r="B348" s="707"/>
      <c r="C348" s="707"/>
      <c r="D348" s="707"/>
      <c r="E348" s="719"/>
      <c r="F348" s="722"/>
      <c r="G348" s="335" t="s">
        <v>50</v>
      </c>
      <c r="H348" s="335" t="s">
        <v>51</v>
      </c>
      <c r="I348" s="707"/>
      <c r="J348" s="710"/>
      <c r="K348" s="713"/>
      <c r="L348" s="707"/>
      <c r="M348" s="715"/>
      <c r="N348" s="702"/>
      <c r="O348" s="684"/>
      <c r="P348" s="684"/>
      <c r="Q348" s="684"/>
      <c r="R348" s="701"/>
      <c r="S348" s="654"/>
      <c r="T348" s="684"/>
      <c r="U348" s="684"/>
      <c r="V348" s="703"/>
      <c r="W348" s="702"/>
      <c r="X348" s="684"/>
      <c r="Y348" s="684"/>
      <c r="Z348" s="684"/>
      <c r="AA348" s="684"/>
      <c r="AB348" s="21"/>
      <c r="AC348" s="21"/>
      <c r="AD348" s="21"/>
      <c r="AE348" s="21"/>
      <c r="AF348" s="21"/>
      <c r="AG348" s="21"/>
      <c r="AH348" s="21"/>
      <c r="AI348" s="704"/>
      <c r="AJ348" s="700"/>
      <c r="AK348" s="700"/>
      <c r="AL348" s="343"/>
      <c r="AM348" s="343"/>
      <c r="AN348" s="343"/>
      <c r="AO348" s="343"/>
      <c r="AP348" s="343"/>
      <c r="AQ348" s="343"/>
      <c r="AR348" s="343"/>
      <c r="AS348" s="21"/>
      <c r="AT348" s="21"/>
      <c r="AU348" s="21"/>
      <c r="AV348" s="344"/>
      <c r="AW348" s="343"/>
      <c r="AX348" s="343"/>
      <c r="AY348" s="343"/>
      <c r="AZ348" s="343"/>
      <c r="BA348" s="343"/>
    </row>
    <row r="349" spans="1:53">
      <c r="A349" s="315">
        <v>30100030</v>
      </c>
      <c r="B349" s="82" t="s">
        <v>52</v>
      </c>
      <c r="C349" s="81" t="s">
        <v>53</v>
      </c>
      <c r="D349" s="80">
        <v>5.03</v>
      </c>
      <c r="E349" s="80"/>
      <c r="F349" s="83"/>
      <c r="G349" s="93">
        <f>SUM('31:13'!G349)</f>
        <v>0</v>
      </c>
      <c r="H349" s="95">
        <f t="shared" ref="H349:H369" si="133">D349*G349</f>
        <v>0</v>
      </c>
      <c r="I349" s="93">
        <f>SUM('31:13'!I349)</f>
        <v>0</v>
      </c>
      <c r="J349" s="31" t="str">
        <f t="array" ref="J349">IF(ISERROR(G349/I349),"",G349/I349)</f>
        <v/>
      </c>
      <c r="K349" s="96">
        <f t="array" ref="K349">IF(ISERROR(G349/L349),"",G349/L349)</f>
        <v>0</v>
      </c>
      <c r="L349" s="84">
        <v>16</v>
      </c>
      <c r="M349" s="97">
        <f t="shared" ref="M349:M358" si="134">IF(ISERROR(I349-K349),"",I349-K349)</f>
        <v>0</v>
      </c>
      <c r="N349" s="84">
        <f>SUM(O349:U349)</f>
        <v>0</v>
      </c>
      <c r="O349" s="93">
        <f>SUM('31:13'!O349)</f>
        <v>0</v>
      </c>
      <c r="P349" s="93">
        <f>SUM('31:13'!P349)</f>
        <v>0</v>
      </c>
      <c r="Q349" s="93">
        <f>SUM('31:13'!Q349)</f>
        <v>0</v>
      </c>
      <c r="R349" s="93">
        <f>SUM('31:13'!R349)</f>
        <v>0</v>
      </c>
      <c r="S349" s="93">
        <f>SUM('31:13'!S349)</f>
        <v>0</v>
      </c>
      <c r="T349" s="93">
        <f>SUM('31:13'!T349)</f>
        <v>0</v>
      </c>
      <c r="U349" s="93">
        <f>SUM('31:13'!U349)</f>
        <v>0</v>
      </c>
      <c r="V349" s="206">
        <f t="shared" ref="V349:V358" si="135">SUM(X349:AA349)</f>
        <v>0</v>
      </c>
      <c r="W349" s="33" t="str">
        <f t="shared" ref="W349:W358" si="136">IF(ISERROR(V349/G349),"",V349/G349)</f>
        <v/>
      </c>
      <c r="X349" s="93">
        <f>SUM('31:13'!X349)</f>
        <v>0</v>
      </c>
      <c r="Y349" s="93">
        <f>SUM('31:13'!Y349)</f>
        <v>0</v>
      </c>
      <c r="Z349" s="93">
        <f>SUM('31:13'!Z349)</f>
        <v>0</v>
      </c>
      <c r="AA349" s="93">
        <f>SUM('31:13'!AA349)</f>
        <v>0</v>
      </c>
      <c r="AB349" s="73"/>
      <c r="AC349" s="54"/>
      <c r="AD349" s="346"/>
      <c r="AE349" s="54"/>
      <c r="AF349" s="54"/>
      <c r="AG349" s="54"/>
      <c r="AH349" s="54"/>
      <c r="AI349" s="57"/>
      <c r="AJ349" s="57"/>
      <c r="AK349" s="57"/>
      <c r="AL349" s="345"/>
      <c r="AM349" s="54"/>
      <c r="AN349" s="345"/>
      <c r="AO349" s="345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</row>
    <row r="350" spans="1:53">
      <c r="A350" s="300"/>
      <c r="B350" s="62" t="s">
        <v>54</v>
      </c>
      <c r="C350" s="16" t="s">
        <v>53</v>
      </c>
      <c r="D350" s="17">
        <v>5.03</v>
      </c>
      <c r="E350" s="17"/>
      <c r="F350" s="6"/>
      <c r="G350" s="93">
        <f>SUM('31:13'!G350)</f>
        <v>0</v>
      </c>
      <c r="H350" s="95">
        <f t="shared" si="133"/>
        <v>0</v>
      </c>
      <c r="I350" s="93">
        <f>SUM('31:13'!I350)</f>
        <v>0</v>
      </c>
      <c r="J350" s="31" t="str">
        <f t="array" ref="J350">IF(ISERROR(G350/I350),"",G350/I350)</f>
        <v/>
      </c>
      <c r="K350" s="35">
        <f>IF(ISERROR(G350/L350),"",G350/L350)</f>
        <v>0</v>
      </c>
      <c r="L350" s="87">
        <v>19</v>
      </c>
      <c r="M350" s="36">
        <f t="shared" si="134"/>
        <v>0</v>
      </c>
      <c r="N350" s="31">
        <f t="shared" ref="N350:N358" si="137">SUM(O350:U350)</f>
        <v>0</v>
      </c>
      <c r="O350" s="93">
        <f>SUM('31:13'!O350)</f>
        <v>0</v>
      </c>
      <c r="P350" s="93">
        <f>SUM('31:13'!P350)</f>
        <v>0</v>
      </c>
      <c r="Q350" s="93">
        <f>SUM('31:13'!Q350)</f>
        <v>0</v>
      </c>
      <c r="R350" s="93">
        <f>SUM('31:13'!R350)</f>
        <v>0</v>
      </c>
      <c r="S350" s="93">
        <f>SUM('31:13'!S350)</f>
        <v>0</v>
      </c>
      <c r="T350" s="93">
        <f>SUM('31:13'!T350)</f>
        <v>0</v>
      </c>
      <c r="U350" s="93">
        <f>SUM('31:13'!U350)</f>
        <v>0</v>
      </c>
      <c r="V350" s="206">
        <f t="shared" si="135"/>
        <v>0</v>
      </c>
      <c r="W350" s="33" t="str">
        <f t="shared" si="136"/>
        <v/>
      </c>
      <c r="X350" s="93">
        <f>SUM('31:13'!X350)</f>
        <v>0</v>
      </c>
      <c r="Y350" s="93">
        <f>SUM('31:13'!Y350)</f>
        <v>0</v>
      </c>
      <c r="Z350" s="93">
        <f>SUM('31:13'!Z350)</f>
        <v>0</v>
      </c>
      <c r="AA350" s="93">
        <f>SUM('31:13'!AA350)</f>
        <v>0</v>
      </c>
      <c r="AB350" s="73"/>
      <c r="AC350" s="54"/>
      <c r="AD350" s="346"/>
      <c r="AE350" s="54"/>
      <c r="AF350" s="54"/>
      <c r="AG350" s="54"/>
      <c r="AH350" s="54"/>
      <c r="AI350" s="57"/>
      <c r="AJ350" s="57"/>
      <c r="AK350" s="57"/>
      <c r="AL350" s="54"/>
      <c r="AM350" s="54"/>
      <c r="AN350" s="345"/>
      <c r="AO350" s="54"/>
      <c r="AP350" s="345"/>
      <c r="AQ350" s="54"/>
      <c r="AR350" s="54"/>
      <c r="AS350" s="345"/>
      <c r="AT350" s="345"/>
      <c r="AU350" s="345"/>
      <c r="AV350" s="345"/>
      <c r="AW350" s="55"/>
      <c r="AX350" s="54"/>
      <c r="AY350" s="54"/>
      <c r="AZ350" s="54"/>
      <c r="BA350" s="54"/>
    </row>
    <row r="351" spans="1:53">
      <c r="A351" s="301"/>
      <c r="B351" s="62" t="s">
        <v>54</v>
      </c>
      <c r="C351" s="16" t="s">
        <v>55</v>
      </c>
      <c r="D351" s="17">
        <v>5.03</v>
      </c>
      <c r="E351" s="17"/>
      <c r="F351" s="6"/>
      <c r="G351" s="93">
        <f>SUM('31:13'!G351)</f>
        <v>0</v>
      </c>
      <c r="H351" s="95">
        <f t="shared" si="133"/>
        <v>0</v>
      </c>
      <c r="I351" s="93">
        <f>SUM('31:13'!I351)</f>
        <v>0</v>
      </c>
      <c r="J351" s="31" t="str">
        <f t="array" ref="J351">IF(ISERROR(G351/I351),"",G351/I351)</f>
        <v/>
      </c>
      <c r="K351" s="35">
        <f>IF(ISERROR(G351/L351),"",G351/L351)</f>
        <v>0</v>
      </c>
      <c r="L351" s="87">
        <v>19</v>
      </c>
      <c r="M351" s="36">
        <f t="shared" si="134"/>
        <v>0</v>
      </c>
      <c r="N351" s="31">
        <f t="shared" si="137"/>
        <v>0</v>
      </c>
      <c r="O351" s="93">
        <f>SUM('31:13'!O351)</f>
        <v>0</v>
      </c>
      <c r="P351" s="93">
        <f>SUM('31:13'!P351)</f>
        <v>0</v>
      </c>
      <c r="Q351" s="93">
        <f>SUM('31:13'!Q351)</f>
        <v>0</v>
      </c>
      <c r="R351" s="93">
        <f>SUM('31:13'!R351)</f>
        <v>0</v>
      </c>
      <c r="S351" s="93">
        <f>SUM('31:13'!S351)</f>
        <v>0</v>
      </c>
      <c r="T351" s="93">
        <f>SUM('31:13'!T351)</f>
        <v>0</v>
      </c>
      <c r="U351" s="93">
        <f>SUM('31:13'!U351)</f>
        <v>0</v>
      </c>
      <c r="V351" s="206">
        <f t="shared" si="135"/>
        <v>0</v>
      </c>
      <c r="W351" s="33" t="str">
        <f t="shared" si="136"/>
        <v/>
      </c>
      <c r="X351" s="93">
        <f>SUM('31:13'!X351)</f>
        <v>0</v>
      </c>
      <c r="Y351" s="93">
        <f>SUM('31:13'!Y351)</f>
        <v>0</v>
      </c>
      <c r="Z351" s="93">
        <f>SUM('31:13'!Z351)</f>
        <v>0</v>
      </c>
      <c r="AA351" s="93">
        <f>SUM('31:13'!AA351)</f>
        <v>0</v>
      </c>
      <c r="AB351" s="73"/>
      <c r="AC351" s="54"/>
      <c r="AD351" s="346"/>
      <c r="AE351" s="54"/>
      <c r="AF351" s="54"/>
      <c r="AG351" s="54"/>
      <c r="AH351" s="54"/>
      <c r="AI351" s="57"/>
      <c r="AJ351" s="57"/>
      <c r="AK351" s="57"/>
      <c r="AL351" s="54"/>
      <c r="AM351" s="54"/>
      <c r="AN351" s="54"/>
      <c r="AO351" s="345"/>
      <c r="AP351" s="54"/>
      <c r="AQ351" s="54"/>
      <c r="AR351" s="54"/>
      <c r="AS351" s="56"/>
      <c r="AT351" s="56"/>
      <c r="AU351" s="56"/>
      <c r="AV351" s="54"/>
      <c r="AW351" s="54"/>
      <c r="AX351" s="54"/>
      <c r="AY351" s="54"/>
      <c r="AZ351" s="54"/>
      <c r="BA351" s="54"/>
    </row>
    <row r="352" spans="1:53">
      <c r="A352" s="315">
        <v>30100048</v>
      </c>
      <c r="B352" s="62" t="s">
        <v>56</v>
      </c>
      <c r="C352" s="16" t="s">
        <v>53</v>
      </c>
      <c r="D352" s="17">
        <v>5.03</v>
      </c>
      <c r="E352" s="17"/>
      <c r="F352" s="6"/>
      <c r="G352" s="93">
        <f>SUM('31:13'!G352)</f>
        <v>0</v>
      </c>
      <c r="H352" s="95">
        <f t="shared" si="133"/>
        <v>0</v>
      </c>
      <c r="I352" s="93">
        <f>SUM('31:13'!I352)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87">
        <v>19</v>
      </c>
      <c r="M352" s="36">
        <f t="shared" si="134"/>
        <v>0</v>
      </c>
      <c r="N352" s="31">
        <f t="shared" si="137"/>
        <v>0</v>
      </c>
      <c r="O352" s="93">
        <f>SUM('31:13'!O352)</f>
        <v>0</v>
      </c>
      <c r="P352" s="93">
        <f>SUM('31:13'!P352)</f>
        <v>0</v>
      </c>
      <c r="Q352" s="93">
        <f>SUM('31:13'!Q352)</f>
        <v>0</v>
      </c>
      <c r="R352" s="93">
        <f>SUM('31:13'!R352)</f>
        <v>0</v>
      </c>
      <c r="S352" s="93">
        <f>SUM('31:13'!S352)</f>
        <v>0</v>
      </c>
      <c r="T352" s="93">
        <f>SUM('31:13'!T352)</f>
        <v>0</v>
      </c>
      <c r="U352" s="93">
        <f>SUM('31:13'!U352)</f>
        <v>0</v>
      </c>
      <c r="V352" s="206">
        <f t="shared" si="135"/>
        <v>0</v>
      </c>
      <c r="W352" s="33" t="str">
        <f t="shared" si="136"/>
        <v/>
      </c>
      <c r="X352" s="93">
        <f>SUM('31:13'!X352)</f>
        <v>0</v>
      </c>
      <c r="Y352" s="93">
        <f>SUM('31:13'!Y352)</f>
        <v>0</v>
      </c>
      <c r="Z352" s="93">
        <f>SUM('31:13'!Z352)</f>
        <v>0</v>
      </c>
      <c r="AA352" s="93">
        <f>SUM('31:13'!AA352)</f>
        <v>0</v>
      </c>
      <c r="AB352" s="73"/>
      <c r="AC352" s="54"/>
      <c r="AD352" s="346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5"/>
      <c r="AW352" s="55"/>
      <c r="AX352" s="55"/>
      <c r="AY352" s="54"/>
      <c r="AZ352" s="54"/>
      <c r="BA352" s="54"/>
    </row>
    <row r="353" spans="1:53">
      <c r="A353" s="315">
        <v>30100047</v>
      </c>
      <c r="B353" s="62" t="s">
        <v>56</v>
      </c>
      <c r="C353" s="16" t="s">
        <v>57</v>
      </c>
      <c r="D353" s="17">
        <v>5.03</v>
      </c>
      <c r="E353" s="17"/>
      <c r="F353" s="6"/>
      <c r="G353" s="93">
        <f>SUM('31:13'!G353)</f>
        <v>0</v>
      </c>
      <c r="H353" s="95">
        <f t="shared" si="133"/>
        <v>0</v>
      </c>
      <c r="I353" s="93">
        <f>SUM('31:13'!I353)</f>
        <v>0</v>
      </c>
      <c r="J353" s="31" t="str">
        <f t="array" ref="J353">IF(ISERROR(G353/I353),"",G353/I353)</f>
        <v/>
      </c>
      <c r="K353" s="35">
        <f t="array" ref="K353">IF(ISERROR(G353/L353),"",G353/L353)</f>
        <v>0</v>
      </c>
      <c r="L353" s="87">
        <v>20</v>
      </c>
      <c r="M353" s="36">
        <f t="shared" si="134"/>
        <v>0</v>
      </c>
      <c r="N353" s="31">
        <f t="shared" si="137"/>
        <v>0</v>
      </c>
      <c r="O353" s="93">
        <f>SUM('31:13'!O353)</f>
        <v>0</v>
      </c>
      <c r="P353" s="93">
        <f>SUM('31:13'!P353)</f>
        <v>0</v>
      </c>
      <c r="Q353" s="93">
        <f>SUM('31:13'!Q353)</f>
        <v>0</v>
      </c>
      <c r="R353" s="93">
        <f>SUM('31:13'!R353)</f>
        <v>0</v>
      </c>
      <c r="S353" s="93">
        <f>SUM('31:13'!S353)</f>
        <v>0</v>
      </c>
      <c r="T353" s="93">
        <f>SUM('31:13'!T353)</f>
        <v>0</v>
      </c>
      <c r="U353" s="93">
        <f>SUM('31:13'!U353)</f>
        <v>0</v>
      </c>
      <c r="V353" s="206">
        <f t="shared" si="135"/>
        <v>0</v>
      </c>
      <c r="W353" s="33" t="str">
        <f t="shared" si="136"/>
        <v/>
      </c>
      <c r="X353" s="93">
        <f>SUM('31:13'!X353)</f>
        <v>0</v>
      </c>
      <c r="Y353" s="93">
        <f>SUM('31:13'!Y353)</f>
        <v>0</v>
      </c>
      <c r="Z353" s="93">
        <f>SUM('31:13'!Z353)</f>
        <v>0</v>
      </c>
      <c r="AA353" s="93">
        <f>SUM('31:13'!AA353)</f>
        <v>0</v>
      </c>
      <c r="AB353" s="73"/>
      <c r="AC353" s="54"/>
      <c r="AD353" s="346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>
      <c r="A354" s="315">
        <v>30100052</v>
      </c>
      <c r="B354" s="62" t="s">
        <v>58</v>
      </c>
      <c r="C354" s="16" t="s">
        <v>53</v>
      </c>
      <c r="D354" s="17">
        <v>5.04</v>
      </c>
      <c r="E354" s="17"/>
      <c r="F354" s="6"/>
      <c r="G354" s="93">
        <f>SUM('31:13'!G354)</f>
        <v>0</v>
      </c>
      <c r="H354" s="95">
        <f t="shared" si="133"/>
        <v>0</v>
      </c>
      <c r="I354" s="93">
        <f>SUM('31:13'!I354)</f>
        <v>0</v>
      </c>
      <c r="J354" s="31" t="str">
        <f t="array" ref="J354">IF(ISERROR(G354/I354),"",G354/I354)</f>
        <v/>
      </c>
      <c r="K354" s="35">
        <f t="array" ref="K354">IF(ISERROR(G354/L354),"",G354/L354)</f>
        <v>0</v>
      </c>
      <c r="L354" s="87">
        <v>19</v>
      </c>
      <c r="M354" s="36">
        <f t="shared" si="134"/>
        <v>0</v>
      </c>
      <c r="N354" s="31">
        <f t="shared" si="137"/>
        <v>0</v>
      </c>
      <c r="O354" s="93">
        <f>SUM('31:13'!O354)</f>
        <v>0</v>
      </c>
      <c r="P354" s="93">
        <f>SUM('31:13'!P354)</f>
        <v>0</v>
      </c>
      <c r="Q354" s="93">
        <f>SUM('31:13'!Q354)</f>
        <v>0</v>
      </c>
      <c r="R354" s="93">
        <f>SUM('31:13'!R354)</f>
        <v>0</v>
      </c>
      <c r="S354" s="93">
        <f>SUM('31:13'!S354)</f>
        <v>0</v>
      </c>
      <c r="T354" s="93">
        <f>SUM('31:13'!T354)</f>
        <v>0</v>
      </c>
      <c r="U354" s="93">
        <f>SUM('31:13'!U354)</f>
        <v>0</v>
      </c>
      <c r="V354" s="206">
        <f t="shared" si="135"/>
        <v>0</v>
      </c>
      <c r="W354" s="33" t="str">
        <f t="shared" si="136"/>
        <v/>
      </c>
      <c r="X354" s="93">
        <f>SUM('31:13'!X354)</f>
        <v>0</v>
      </c>
      <c r="Y354" s="93">
        <f>SUM('31:13'!Y354)</f>
        <v>0</v>
      </c>
      <c r="Z354" s="93">
        <f>SUM('31:13'!Z354)</f>
        <v>0</v>
      </c>
      <c r="AA354" s="93">
        <f>SUM('31:13'!AA354)</f>
        <v>0</v>
      </c>
      <c r="AB354" s="73"/>
      <c r="AC354" s="54"/>
      <c r="AD354" s="346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>
      <c r="A355" s="332">
        <v>30100059</v>
      </c>
      <c r="B355" s="62" t="s">
        <v>59</v>
      </c>
      <c r="C355" s="16" t="s">
        <v>60</v>
      </c>
      <c r="D355" s="17">
        <v>5.03</v>
      </c>
      <c r="E355" s="17"/>
      <c r="F355" s="6"/>
      <c r="G355" s="93">
        <f>SUM('31:13'!G355)</f>
        <v>0</v>
      </c>
      <c r="H355" s="95">
        <f t="shared" si="133"/>
        <v>0</v>
      </c>
      <c r="I355" s="93">
        <f>SUM('31:13'!I355)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87">
        <v>3</v>
      </c>
      <c r="M355" s="36">
        <f t="shared" si="134"/>
        <v>0</v>
      </c>
      <c r="N355" s="31">
        <f t="shared" si="137"/>
        <v>0</v>
      </c>
      <c r="O355" s="93">
        <f>SUM('31:13'!O355)</f>
        <v>0</v>
      </c>
      <c r="P355" s="93">
        <f>SUM('31:13'!P355)</f>
        <v>0</v>
      </c>
      <c r="Q355" s="93">
        <f>SUM('31:13'!Q355)</f>
        <v>0</v>
      </c>
      <c r="R355" s="93">
        <f>SUM('31:13'!R355)</f>
        <v>0</v>
      </c>
      <c r="S355" s="93">
        <f>SUM('31:13'!S355)</f>
        <v>0</v>
      </c>
      <c r="T355" s="93">
        <f>SUM('31:13'!T355)</f>
        <v>0</v>
      </c>
      <c r="U355" s="93">
        <f>SUM('31:13'!U355)</f>
        <v>0</v>
      </c>
      <c r="V355" s="206">
        <f t="shared" si="135"/>
        <v>0</v>
      </c>
      <c r="W355" s="33" t="str">
        <f t="shared" si="136"/>
        <v/>
      </c>
      <c r="X355" s="93">
        <f>SUM('31:13'!X355)</f>
        <v>0</v>
      </c>
      <c r="Y355" s="93">
        <f>SUM('31:13'!Y355)</f>
        <v>0</v>
      </c>
      <c r="Z355" s="93">
        <f>SUM('31:13'!Z355)</f>
        <v>0</v>
      </c>
      <c r="AA355" s="93">
        <f>SUM('31:13'!AA355)</f>
        <v>0</v>
      </c>
      <c r="AB355" s="73"/>
      <c r="AC355" s="54"/>
      <c r="AD355" s="346"/>
      <c r="AE355" s="54"/>
      <c r="AF355" s="54"/>
      <c r="AG355" s="54"/>
      <c r="AH355" s="54"/>
      <c r="AI355" s="57"/>
      <c r="AJ355" s="57"/>
      <c r="AK355" s="57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>
      <c r="A356" s="302">
        <v>30100060</v>
      </c>
      <c r="B356" s="62" t="s">
        <v>59</v>
      </c>
      <c r="C356" s="16" t="s">
        <v>61</v>
      </c>
      <c r="D356" s="17">
        <v>5.03</v>
      </c>
      <c r="E356" s="17"/>
      <c r="F356" s="6"/>
      <c r="G356" s="93">
        <f>SUM('31:13'!G356)</f>
        <v>0</v>
      </c>
      <c r="H356" s="95">
        <f t="shared" si="133"/>
        <v>0</v>
      </c>
      <c r="I356" s="93">
        <f>SUM('31:13'!I356)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87">
        <v>3</v>
      </c>
      <c r="M356" s="36">
        <f t="shared" si="134"/>
        <v>0</v>
      </c>
      <c r="N356" s="31">
        <f t="shared" si="137"/>
        <v>0</v>
      </c>
      <c r="O356" s="93">
        <f>SUM('31:13'!O356)</f>
        <v>0</v>
      </c>
      <c r="P356" s="93">
        <f>SUM('31:13'!P356)</f>
        <v>0</v>
      </c>
      <c r="Q356" s="93">
        <f>SUM('31:13'!Q356)</f>
        <v>0</v>
      </c>
      <c r="R356" s="93">
        <f>SUM('31:13'!R356)</f>
        <v>0</v>
      </c>
      <c r="S356" s="93">
        <f>SUM('31:13'!S356)</f>
        <v>0</v>
      </c>
      <c r="T356" s="93">
        <f>SUM('31:13'!T356)</f>
        <v>0</v>
      </c>
      <c r="U356" s="93">
        <f>SUM('31:13'!U356)</f>
        <v>0</v>
      </c>
      <c r="V356" s="206">
        <f t="shared" si="135"/>
        <v>0</v>
      </c>
      <c r="W356" s="33" t="str">
        <f t="shared" si="136"/>
        <v/>
      </c>
      <c r="X356" s="93">
        <f>SUM('31:13'!X356)</f>
        <v>0</v>
      </c>
      <c r="Y356" s="93">
        <f>SUM('31:13'!Y356)</f>
        <v>0</v>
      </c>
      <c r="Z356" s="93">
        <f>SUM('31:13'!Z356)</f>
        <v>0</v>
      </c>
      <c r="AA356" s="93">
        <f>SUM('31:13'!AA356)</f>
        <v>0</v>
      </c>
      <c r="AB356" s="73"/>
      <c r="AC356" s="54"/>
      <c r="AD356" s="346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>
      <c r="A357" s="300">
        <v>30200006</v>
      </c>
      <c r="B357" s="62" t="s">
        <v>62</v>
      </c>
      <c r="C357" s="16" t="s">
        <v>63</v>
      </c>
      <c r="D357" s="17">
        <v>5.04</v>
      </c>
      <c r="E357" s="17"/>
      <c r="F357" s="79"/>
      <c r="G357" s="93">
        <f>SUM('31:13'!G357)</f>
        <v>0</v>
      </c>
      <c r="H357" s="95">
        <f t="shared" si="133"/>
        <v>0</v>
      </c>
      <c r="I357" s="93">
        <f>SUM('31:13'!I357)</f>
        <v>0</v>
      </c>
      <c r="J357" s="31" t="str">
        <f t="array" ref="J357">IF(ISERROR(G357/I357),"",G357/I357)</f>
        <v/>
      </c>
      <c r="K357" s="35">
        <f t="array" ref="K357">IF(ISERROR(G357/L357),"",G357/L357)</f>
        <v>0</v>
      </c>
      <c r="L357" s="87">
        <v>17</v>
      </c>
      <c r="M357" s="36">
        <f t="shared" si="134"/>
        <v>0</v>
      </c>
      <c r="N357" s="31">
        <f t="shared" si="137"/>
        <v>0</v>
      </c>
      <c r="O357" s="93">
        <f>SUM('31:13'!O357)</f>
        <v>0</v>
      </c>
      <c r="P357" s="93">
        <f>SUM('31:13'!P357)</f>
        <v>0</v>
      </c>
      <c r="Q357" s="93">
        <f>SUM('31:13'!Q357)</f>
        <v>0</v>
      </c>
      <c r="R357" s="93">
        <f>SUM('31:13'!R357)</f>
        <v>0</v>
      </c>
      <c r="S357" s="93">
        <f>SUM('31:13'!S357)</f>
        <v>0</v>
      </c>
      <c r="T357" s="93">
        <f>SUM('31:13'!T357)</f>
        <v>0</v>
      </c>
      <c r="U357" s="93">
        <f>SUM('31:13'!U357)</f>
        <v>0</v>
      </c>
      <c r="V357" s="206">
        <f t="shared" si="135"/>
        <v>0</v>
      </c>
      <c r="W357" s="33" t="str">
        <f t="shared" si="136"/>
        <v/>
      </c>
      <c r="X357" s="93">
        <f>SUM('31:13'!X357)</f>
        <v>0</v>
      </c>
      <c r="Y357" s="93">
        <f>SUM('31:13'!Y357)</f>
        <v>0</v>
      </c>
      <c r="Z357" s="93">
        <f>SUM('31:13'!Z357)</f>
        <v>0</v>
      </c>
      <c r="AA357" s="93">
        <f>SUM('31:13'!AA357)</f>
        <v>0</v>
      </c>
      <c r="AB357" s="73"/>
      <c r="AC357" s="54"/>
      <c r="AD357" s="346"/>
      <c r="AE357" s="54"/>
      <c r="AF357" s="54"/>
      <c r="AG357" s="54"/>
      <c r="AH357" s="54"/>
      <c r="AI357" s="57"/>
      <c r="AJ357" s="57"/>
      <c r="AK357" s="57"/>
      <c r="AL357" s="345"/>
      <c r="AM357" s="54"/>
      <c r="AN357" s="54"/>
      <c r="AO357" s="54"/>
      <c r="AP357" s="345"/>
      <c r="AQ357" s="345"/>
      <c r="AR357" s="345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>
      <c r="A358" s="300">
        <v>30200005</v>
      </c>
      <c r="B358" s="62" t="s">
        <v>62</v>
      </c>
      <c r="C358" s="16" t="s">
        <v>64</v>
      </c>
      <c r="D358" s="17">
        <v>5.04</v>
      </c>
      <c r="E358" s="17"/>
      <c r="F358" s="79"/>
      <c r="G358" s="93">
        <f>SUM('31:13'!G358)</f>
        <v>0</v>
      </c>
      <c r="H358" s="95">
        <f t="shared" si="133"/>
        <v>0</v>
      </c>
      <c r="I358" s="93">
        <f>SUM('31:13'!I358)</f>
        <v>0</v>
      </c>
      <c r="J358" s="31" t="str">
        <f t="array" ref="J358">IF(ISERROR(G358/I358),"",G358/I358)</f>
        <v/>
      </c>
      <c r="K358" s="35">
        <f t="array" ref="K358">IF(ISERROR(G358/L358),"",G358/L358)</f>
        <v>0</v>
      </c>
      <c r="L358" s="87">
        <v>17</v>
      </c>
      <c r="M358" s="36">
        <f t="shared" si="134"/>
        <v>0</v>
      </c>
      <c r="N358" s="31">
        <f t="shared" si="137"/>
        <v>0</v>
      </c>
      <c r="O358" s="93">
        <f>SUM('31:13'!O358)</f>
        <v>0</v>
      </c>
      <c r="P358" s="93">
        <f>SUM('31:13'!P358)</f>
        <v>0</v>
      </c>
      <c r="Q358" s="93">
        <f>SUM('31:13'!Q358)</f>
        <v>0</v>
      </c>
      <c r="R358" s="93">
        <f>SUM('31:13'!R358)</f>
        <v>0</v>
      </c>
      <c r="S358" s="93">
        <f>SUM('31:13'!S358)</f>
        <v>0</v>
      </c>
      <c r="T358" s="93">
        <f>SUM('31:13'!T358)</f>
        <v>0</v>
      </c>
      <c r="U358" s="93">
        <f>SUM('31:13'!U358)</f>
        <v>0</v>
      </c>
      <c r="V358" s="206">
        <f t="shared" si="135"/>
        <v>0</v>
      </c>
      <c r="W358" s="33" t="str">
        <f t="shared" si="136"/>
        <v/>
      </c>
      <c r="X358" s="93">
        <f>SUM('31:13'!X358)</f>
        <v>0</v>
      </c>
      <c r="Y358" s="93">
        <f>SUM('31:13'!Y358)</f>
        <v>0</v>
      </c>
      <c r="Z358" s="93">
        <f>SUM('31:13'!Z358)</f>
        <v>0</v>
      </c>
      <c r="AA358" s="93">
        <f>SUM('31:13'!AA358)</f>
        <v>0</v>
      </c>
      <c r="AB358" s="73"/>
      <c r="AC358" s="54"/>
      <c r="AD358" s="346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>
      <c r="A359" s="302">
        <v>30100063</v>
      </c>
      <c r="B359" s="62" t="s">
        <v>171</v>
      </c>
      <c r="C359" s="16" t="s">
        <v>172</v>
      </c>
      <c r="D359" s="17"/>
      <c r="E359" s="17"/>
      <c r="F359" s="79"/>
      <c r="G359" s="93">
        <f>SUM('31:13'!G359)</f>
        <v>0</v>
      </c>
      <c r="H359" s="95">
        <f t="shared" si="133"/>
        <v>0</v>
      </c>
      <c r="I359" s="93"/>
      <c r="J359" s="31"/>
      <c r="K359" s="35"/>
      <c r="L359" s="87"/>
      <c r="M359" s="36"/>
      <c r="N359" s="31"/>
      <c r="O359" s="93"/>
      <c r="P359" s="93"/>
      <c r="Q359" s="93"/>
      <c r="R359" s="93"/>
      <c r="S359" s="93"/>
      <c r="T359" s="93"/>
      <c r="U359" s="93"/>
      <c r="V359" s="206"/>
      <c r="W359" s="33"/>
      <c r="X359" s="93"/>
      <c r="Y359" s="93"/>
      <c r="Z359" s="93"/>
      <c r="AA359" s="93"/>
      <c r="AB359" s="73"/>
      <c r="AC359" s="54"/>
      <c r="AD359" s="346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>
      <c r="A360" s="302">
        <v>30100061</v>
      </c>
      <c r="B360" s="62" t="s">
        <v>171</v>
      </c>
      <c r="C360" s="16" t="s">
        <v>173</v>
      </c>
      <c r="D360" s="17"/>
      <c r="E360" s="17"/>
      <c r="F360" s="79"/>
      <c r="G360" s="93">
        <f>SUM('31:13'!G360)</f>
        <v>0</v>
      </c>
      <c r="H360" s="95">
        <f t="shared" si="133"/>
        <v>0</v>
      </c>
      <c r="I360" s="93"/>
      <c r="J360" s="31"/>
      <c r="K360" s="35"/>
      <c r="L360" s="87"/>
      <c r="M360" s="36"/>
      <c r="N360" s="31"/>
      <c r="O360" s="93"/>
      <c r="P360" s="93"/>
      <c r="Q360" s="93"/>
      <c r="R360" s="93"/>
      <c r="S360" s="93"/>
      <c r="T360" s="93"/>
      <c r="U360" s="93"/>
      <c r="V360" s="206"/>
      <c r="W360" s="33"/>
      <c r="X360" s="93"/>
      <c r="Y360" s="93"/>
      <c r="Z360" s="93"/>
      <c r="AA360" s="93"/>
      <c r="AB360" s="73"/>
      <c r="AC360" s="54"/>
      <c r="AD360" s="346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>
      <c r="A361" s="300">
        <v>30200001</v>
      </c>
      <c r="B361" s="62" t="s">
        <v>67</v>
      </c>
      <c r="C361" s="16" t="s">
        <v>63</v>
      </c>
      <c r="D361" s="17">
        <v>5.0599999999999996</v>
      </c>
      <c r="E361" s="17"/>
      <c r="F361" s="6"/>
      <c r="G361" s="93">
        <f>SUM('31:13'!G361)</f>
        <v>0</v>
      </c>
      <c r="H361" s="95">
        <f t="shared" si="133"/>
        <v>0</v>
      </c>
      <c r="I361" s="93">
        <f>SUM('31:13'!I361)</f>
        <v>0</v>
      </c>
      <c r="J361" s="31" t="str">
        <f t="array" ref="J361">IF(ISERROR(G361/I361),"",G361/I361)</f>
        <v/>
      </c>
      <c r="K361" s="35">
        <f t="array" ref="K361">IF(ISERROR(G361/L361),"",G361/L361)</f>
        <v>0</v>
      </c>
      <c r="L361" s="87">
        <v>19</v>
      </c>
      <c r="M361" s="36">
        <f t="shared" ref="M361:M364" si="138">IF(ISERROR(I361-K361),"",I361-K361)</f>
        <v>0</v>
      </c>
      <c r="N361" s="31">
        <f t="shared" ref="N361:N364" si="139">SUM(O361:U361)</f>
        <v>0</v>
      </c>
      <c r="O361" s="93">
        <f>SUM('31:13'!O361)</f>
        <v>0</v>
      </c>
      <c r="P361" s="93">
        <f>SUM('31:13'!P361)</f>
        <v>0</v>
      </c>
      <c r="Q361" s="93">
        <f>SUM('31:13'!Q361)</f>
        <v>0</v>
      </c>
      <c r="R361" s="93">
        <f>SUM('31:13'!R361)</f>
        <v>0</v>
      </c>
      <c r="S361" s="93">
        <f>SUM('31:13'!S361)</f>
        <v>0</v>
      </c>
      <c r="T361" s="93">
        <f>SUM('31:13'!T361)</f>
        <v>0</v>
      </c>
      <c r="U361" s="93">
        <f>SUM('31:13'!U361)</f>
        <v>0</v>
      </c>
      <c r="V361" s="206">
        <f t="shared" ref="V361:V364" si="140">SUM(X361:AA361)</f>
        <v>0</v>
      </c>
      <c r="W361" s="33" t="str">
        <f t="shared" ref="W361:W364" si="141">IF(ISERROR(V361/G361),"",V361/G361)</f>
        <v/>
      </c>
      <c r="X361" s="93">
        <f>SUM('31:13'!X361)</f>
        <v>0</v>
      </c>
      <c r="Y361" s="93">
        <f>SUM('31:13'!Y361)</f>
        <v>0</v>
      </c>
      <c r="Z361" s="93">
        <f>SUM('31:13'!Z361)</f>
        <v>0</v>
      </c>
      <c r="AA361" s="93">
        <f>SUM('31:13'!AA361)</f>
        <v>0</v>
      </c>
      <c r="AB361" s="73"/>
      <c r="AC361" s="54"/>
      <c r="AD361" s="346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>
      <c r="A362" s="300">
        <v>30200002</v>
      </c>
      <c r="B362" s="62" t="s">
        <v>68</v>
      </c>
      <c r="C362" s="16" t="s">
        <v>63</v>
      </c>
      <c r="D362" s="17">
        <v>5.09</v>
      </c>
      <c r="E362" s="17"/>
      <c r="F362" s="6"/>
      <c r="G362" s="93">
        <f>SUM('31:13'!G362)</f>
        <v>0</v>
      </c>
      <c r="H362" s="95">
        <f t="shared" si="133"/>
        <v>0</v>
      </c>
      <c r="I362" s="93">
        <f>SUM('31:13'!I362)</f>
        <v>0</v>
      </c>
      <c r="J362" s="31" t="str">
        <f t="array" ref="J362">IF(ISERROR(G362/I362),"",G362/I362)</f>
        <v/>
      </c>
      <c r="K362" s="35">
        <f t="array" ref="K362">IF(ISERROR(G362/L362),"",G362/L362)</f>
        <v>0</v>
      </c>
      <c r="L362" s="87">
        <v>23</v>
      </c>
      <c r="M362" s="36">
        <f t="shared" si="138"/>
        <v>0</v>
      </c>
      <c r="N362" s="31">
        <f t="shared" si="139"/>
        <v>0</v>
      </c>
      <c r="O362" s="93">
        <f>SUM('31:13'!O362)</f>
        <v>0</v>
      </c>
      <c r="P362" s="93">
        <f>SUM('31:13'!P362)</f>
        <v>0</v>
      </c>
      <c r="Q362" s="93">
        <f>SUM('31:13'!Q362)</f>
        <v>0</v>
      </c>
      <c r="R362" s="93">
        <f>SUM('31:13'!R362)</f>
        <v>0</v>
      </c>
      <c r="S362" s="93">
        <f>SUM('31:13'!S362)</f>
        <v>0</v>
      </c>
      <c r="T362" s="93">
        <f>SUM('31:13'!T362)</f>
        <v>0</v>
      </c>
      <c r="U362" s="93">
        <f>SUM('31:13'!U362)</f>
        <v>0</v>
      </c>
      <c r="V362" s="206">
        <f t="shared" si="140"/>
        <v>0</v>
      </c>
      <c r="W362" s="33" t="str">
        <f t="shared" si="141"/>
        <v/>
      </c>
      <c r="X362" s="93">
        <f>SUM('31:13'!X362)</f>
        <v>0</v>
      </c>
      <c r="Y362" s="93">
        <f>SUM('31:13'!Y362)</f>
        <v>0</v>
      </c>
      <c r="Z362" s="93">
        <f>SUM('31:13'!Z362)</f>
        <v>0</v>
      </c>
      <c r="AA362" s="93">
        <f>SUM('31:13'!AA362)</f>
        <v>0</v>
      </c>
      <c r="AB362" s="73"/>
      <c r="AC362" s="54"/>
      <c r="AD362" s="346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>
      <c r="A363" s="300">
        <v>30200003</v>
      </c>
      <c r="B363" s="62" t="s">
        <v>68</v>
      </c>
      <c r="C363" s="16" t="s">
        <v>64</v>
      </c>
      <c r="D363" s="17">
        <v>5.09</v>
      </c>
      <c r="E363" s="17"/>
      <c r="F363" s="6"/>
      <c r="G363" s="93">
        <f>SUM('31:13'!G363)</f>
        <v>0</v>
      </c>
      <c r="H363" s="95">
        <f t="shared" si="133"/>
        <v>0</v>
      </c>
      <c r="I363" s="93">
        <f>SUM('31:13'!I363)</f>
        <v>0</v>
      </c>
      <c r="J363" s="31" t="str">
        <f t="array" ref="J363">IF(ISERROR(G363/I363),"",G363/I363)</f>
        <v/>
      </c>
      <c r="K363" s="35">
        <f t="array" ref="K363">IF(ISERROR(G363/L363),"",G363/L363)</f>
        <v>0</v>
      </c>
      <c r="L363" s="87">
        <v>23</v>
      </c>
      <c r="M363" s="36">
        <f t="shared" si="138"/>
        <v>0</v>
      </c>
      <c r="N363" s="31">
        <f t="shared" si="139"/>
        <v>0</v>
      </c>
      <c r="O363" s="93">
        <f>SUM('31:13'!O363)</f>
        <v>0</v>
      </c>
      <c r="P363" s="93">
        <f>SUM('31:13'!P363)</f>
        <v>0</v>
      </c>
      <c r="Q363" s="93">
        <f>SUM('31:13'!Q363)</f>
        <v>0</v>
      </c>
      <c r="R363" s="93">
        <f>SUM('31:13'!R363)</f>
        <v>0</v>
      </c>
      <c r="S363" s="93">
        <f>SUM('31:13'!S363)</f>
        <v>0</v>
      </c>
      <c r="T363" s="93">
        <f>SUM('31:13'!T363)</f>
        <v>0</v>
      </c>
      <c r="U363" s="93">
        <f>SUM('31:13'!U363)</f>
        <v>0</v>
      </c>
      <c r="V363" s="206">
        <f t="shared" si="140"/>
        <v>0</v>
      </c>
      <c r="W363" s="33" t="str">
        <f t="shared" si="141"/>
        <v/>
      </c>
      <c r="X363" s="93">
        <f>SUM('31:13'!X363)</f>
        <v>0</v>
      </c>
      <c r="Y363" s="93">
        <f>SUM('31:13'!Y363)</f>
        <v>0</v>
      </c>
      <c r="Z363" s="93">
        <f>SUM('31:13'!Z363)</f>
        <v>0</v>
      </c>
      <c r="AA363" s="93">
        <f>SUM('31:13'!AA363)</f>
        <v>0</v>
      </c>
      <c r="AB363" s="73"/>
      <c r="AC363" s="54"/>
      <c r="AD363" s="346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>
      <c r="A364" s="300">
        <v>30100003</v>
      </c>
      <c r="B364" s="141" t="s">
        <v>198</v>
      </c>
      <c r="C364" s="333" t="s">
        <v>190</v>
      </c>
      <c r="D364" s="108">
        <v>4.8</v>
      </c>
      <c r="E364" s="17"/>
      <c r="F364" s="6"/>
      <c r="G364" s="93">
        <f>SUM('31:13'!G364)</f>
        <v>0</v>
      </c>
      <c r="H364" s="95">
        <f t="shared" si="133"/>
        <v>0</v>
      </c>
      <c r="I364" s="93">
        <f>SUM('31:13'!I364)</f>
        <v>0</v>
      </c>
      <c r="J364" s="31" t="str">
        <f t="array" ref="J364">IF(ISERROR(G364/I364),"",G364/I364)</f>
        <v/>
      </c>
      <c r="K364" s="35">
        <f t="array" ref="K364">IF(ISERROR(G364/L364),"",G364/L364)</f>
        <v>0</v>
      </c>
      <c r="L364" s="87">
        <v>4</v>
      </c>
      <c r="M364" s="36">
        <f t="shared" si="138"/>
        <v>0</v>
      </c>
      <c r="N364" s="31">
        <f t="shared" si="139"/>
        <v>0</v>
      </c>
      <c r="O364" s="93">
        <f>SUM('31:13'!O364)</f>
        <v>0</v>
      </c>
      <c r="P364" s="93">
        <f>SUM('31:13'!P364)</f>
        <v>0</v>
      </c>
      <c r="Q364" s="93">
        <f>SUM('31:13'!Q364)</f>
        <v>0</v>
      </c>
      <c r="R364" s="93">
        <f>SUM('31:13'!R364)</f>
        <v>0</v>
      </c>
      <c r="S364" s="93">
        <f>SUM('31:13'!S364)</f>
        <v>0</v>
      </c>
      <c r="T364" s="93">
        <f>SUM('31:13'!T364)</f>
        <v>0</v>
      </c>
      <c r="U364" s="93">
        <f>SUM('31:13'!U364)</f>
        <v>0</v>
      </c>
      <c r="V364" s="206">
        <f t="shared" si="140"/>
        <v>0</v>
      </c>
      <c r="W364" s="33" t="str">
        <f t="shared" si="141"/>
        <v/>
      </c>
      <c r="X364" s="93">
        <f>SUM('31:13'!X364)</f>
        <v>0</v>
      </c>
      <c r="Y364" s="93">
        <f>SUM('31:13'!Y364)</f>
        <v>0</v>
      </c>
      <c r="Z364" s="93">
        <f>SUM('31:13'!Z364)</f>
        <v>0</v>
      </c>
      <c r="AA364" s="93">
        <f>SUM('31:13'!AA364)</f>
        <v>0</v>
      </c>
      <c r="AB364" s="73"/>
      <c r="AC364" s="54"/>
      <c r="AD364" s="346"/>
      <c r="AE364" s="54"/>
      <c r="AF364" s="54"/>
      <c r="AG364" s="54"/>
      <c r="AH364" s="54"/>
      <c r="AI364" s="57"/>
      <c r="AJ364" s="57"/>
      <c r="AK364" s="57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</row>
    <row r="365" spans="1:53">
      <c r="A365" s="300">
        <v>30100004</v>
      </c>
      <c r="B365" s="141" t="s">
        <v>198</v>
      </c>
      <c r="C365" s="333" t="s">
        <v>187</v>
      </c>
      <c r="D365" s="108">
        <v>4.8</v>
      </c>
      <c r="E365" s="17"/>
      <c r="F365" s="6"/>
      <c r="G365" s="93">
        <f>SUM('31:13'!G365)</f>
        <v>0</v>
      </c>
      <c r="H365" s="95">
        <f t="shared" si="133"/>
        <v>0</v>
      </c>
      <c r="I365" s="93">
        <f>SUM('31:13'!I365)</f>
        <v>0</v>
      </c>
      <c r="J365" s="31"/>
      <c r="K365" s="35">
        <f t="array" ref="K365">IF(ISERROR(G365/L365),"",G365/L365)</f>
        <v>0</v>
      </c>
      <c r="L365" s="87">
        <v>4</v>
      </c>
      <c r="M365" s="36">
        <f>IF(ISERROR(I365-K365),"",I365-K365)</f>
        <v>0</v>
      </c>
      <c r="N365" s="31"/>
      <c r="O365" s="93">
        <f>SUM('31:13'!O365)</f>
        <v>0</v>
      </c>
      <c r="P365" s="93">
        <f>SUM('31:13'!P365)</f>
        <v>0</v>
      </c>
      <c r="Q365" s="93">
        <f>SUM('31:13'!Q365)</f>
        <v>0</v>
      </c>
      <c r="R365" s="93">
        <f>SUM('31:13'!R365)</f>
        <v>0</v>
      </c>
      <c r="S365" s="93">
        <f>SUM('31:13'!S365)</f>
        <v>0</v>
      </c>
      <c r="T365" s="93">
        <f>SUM('31:13'!T365)</f>
        <v>0</v>
      </c>
      <c r="U365" s="93">
        <f>SUM('31:13'!U365)</f>
        <v>0</v>
      </c>
      <c r="V365" s="206"/>
      <c r="W365" s="33"/>
      <c r="X365" s="93">
        <f>SUM('31:13'!X365)</f>
        <v>0</v>
      </c>
      <c r="Y365" s="93">
        <f>SUM('31:13'!Y365)</f>
        <v>0</v>
      </c>
      <c r="Z365" s="93">
        <f>SUM('31:13'!Z365)</f>
        <v>0</v>
      </c>
      <c r="AA365" s="93">
        <f>SUM('31:13'!AA365)</f>
        <v>0</v>
      </c>
      <c r="AB365" s="73"/>
      <c r="AC365" s="54"/>
      <c r="AD365" s="346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>
      <c r="A366" s="300">
        <v>30100006</v>
      </c>
      <c r="B366" s="141" t="s">
        <v>198</v>
      </c>
      <c r="C366" s="333" t="s">
        <v>179</v>
      </c>
      <c r="D366" s="108">
        <v>4.8</v>
      </c>
      <c r="E366" s="17"/>
      <c r="F366" s="6"/>
      <c r="G366" s="93">
        <f>SUM('31:13'!G366)</f>
        <v>0</v>
      </c>
      <c r="H366" s="95">
        <f t="shared" si="133"/>
        <v>0</v>
      </c>
      <c r="I366" s="93">
        <f>SUM('31:13'!I366)</f>
        <v>0</v>
      </c>
      <c r="J366" s="31"/>
      <c r="K366" s="35">
        <f t="array" ref="K366">IF(ISERROR(G366/L366),"",G366/L366)</f>
        <v>0</v>
      </c>
      <c r="L366" s="87">
        <v>4</v>
      </c>
      <c r="M366" s="36">
        <f>IF(ISERROR(I366-K366),"",I366-K366)</f>
        <v>0</v>
      </c>
      <c r="N366" s="31"/>
      <c r="O366" s="93">
        <f>SUM('31:13'!O366)</f>
        <v>0</v>
      </c>
      <c r="P366" s="93">
        <f>SUM('31:13'!P366)</f>
        <v>0</v>
      </c>
      <c r="Q366" s="93">
        <f>SUM('31:13'!Q366)</f>
        <v>0</v>
      </c>
      <c r="R366" s="93">
        <f>SUM('31:13'!R366)</f>
        <v>0</v>
      </c>
      <c r="S366" s="93">
        <f>SUM('31:13'!S366)</f>
        <v>0</v>
      </c>
      <c r="T366" s="93">
        <f>SUM('31:13'!T366)</f>
        <v>0</v>
      </c>
      <c r="U366" s="93">
        <f>SUM('31:13'!U366)</f>
        <v>0</v>
      </c>
      <c r="V366" s="206"/>
      <c r="W366" s="33"/>
      <c r="X366" s="93">
        <f>SUM('31:13'!X366)</f>
        <v>0</v>
      </c>
      <c r="Y366" s="93">
        <f>SUM('31:13'!Y366)</f>
        <v>0</v>
      </c>
      <c r="Z366" s="93">
        <f>SUM('31:13'!Z366)</f>
        <v>0</v>
      </c>
      <c r="AA366" s="93">
        <f>SUM('31:13'!AA366)</f>
        <v>0</v>
      </c>
      <c r="AB366" s="73"/>
      <c r="AC366" s="54"/>
      <c r="AD366" s="346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>
      <c r="A367" s="300">
        <v>30100005</v>
      </c>
      <c r="B367" s="141" t="s">
        <v>198</v>
      </c>
      <c r="C367" s="333" t="s">
        <v>199</v>
      </c>
      <c r="D367" s="108">
        <v>4.8</v>
      </c>
      <c r="E367" s="17"/>
      <c r="F367" s="6"/>
      <c r="G367" s="93">
        <f>SUM('31:13'!G367)</f>
        <v>0</v>
      </c>
      <c r="H367" s="95">
        <f t="shared" si="133"/>
        <v>0</v>
      </c>
      <c r="I367" s="93">
        <f>SUM('31:13'!I367)</f>
        <v>0</v>
      </c>
      <c r="J367" s="31"/>
      <c r="K367" s="35">
        <f t="array" ref="K367">IF(ISERROR(G367/L367),"",G367/L367)</f>
        <v>0</v>
      </c>
      <c r="L367" s="87">
        <v>4</v>
      </c>
      <c r="M367" s="36">
        <f>IF(ISERROR(I367-K367),"",I367-K367)</f>
        <v>0</v>
      </c>
      <c r="N367" s="31"/>
      <c r="O367" s="93">
        <f>SUM('31:13'!O367)</f>
        <v>0</v>
      </c>
      <c r="P367" s="93">
        <f>SUM('31:13'!P367)</f>
        <v>0</v>
      </c>
      <c r="Q367" s="93">
        <f>SUM('31:13'!Q367)</f>
        <v>0</v>
      </c>
      <c r="R367" s="93">
        <f>SUM('31:13'!R367)</f>
        <v>0</v>
      </c>
      <c r="S367" s="93">
        <f>SUM('31:13'!S367)</f>
        <v>0</v>
      </c>
      <c r="T367" s="93">
        <f>SUM('31:13'!T367)</f>
        <v>0</v>
      </c>
      <c r="U367" s="93">
        <f>SUM('31:13'!U367)</f>
        <v>0</v>
      </c>
      <c r="V367" s="206"/>
      <c r="W367" s="33"/>
      <c r="X367" s="93">
        <f>SUM('31:13'!X367)</f>
        <v>0</v>
      </c>
      <c r="Y367" s="93">
        <f>SUM('31:13'!Y367)</f>
        <v>0</v>
      </c>
      <c r="Z367" s="93">
        <f>SUM('31:13'!Z367)</f>
        <v>0</v>
      </c>
      <c r="AA367" s="93">
        <f>SUM('31:13'!AA367)</f>
        <v>0</v>
      </c>
      <c r="AB367" s="73"/>
      <c r="AC367" s="54"/>
      <c r="AD367" s="346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>
      <c r="A368" s="300">
        <v>30100009</v>
      </c>
      <c r="B368" s="141" t="s">
        <v>200</v>
      </c>
      <c r="C368" s="126" t="s">
        <v>190</v>
      </c>
      <c r="D368" s="108">
        <v>4.99</v>
      </c>
      <c r="E368" s="17"/>
      <c r="F368" s="6"/>
      <c r="G368" s="93">
        <f>SUM('31:13'!G368)</f>
        <v>0</v>
      </c>
      <c r="H368" s="95">
        <f t="shared" si="133"/>
        <v>0</v>
      </c>
      <c r="I368" s="93">
        <f>SUM('31:13'!I368)</f>
        <v>0</v>
      </c>
      <c r="J368" s="31"/>
      <c r="K368" s="35">
        <f t="array" ref="K368">IF(ISERROR(G368/L368),"",G368/L368)</f>
        <v>0</v>
      </c>
      <c r="L368" s="87">
        <v>23.5</v>
      </c>
      <c r="M368" s="36">
        <f>IF(ISERROR(I368-K368),"",I368-K368)</f>
        <v>0</v>
      </c>
      <c r="N368" s="31"/>
      <c r="O368" s="93">
        <f>SUM('31:13'!O368)</f>
        <v>0</v>
      </c>
      <c r="P368" s="93">
        <f>SUM('31:13'!P368)</f>
        <v>0</v>
      </c>
      <c r="Q368" s="93">
        <f>SUM('31:13'!Q368)</f>
        <v>0</v>
      </c>
      <c r="R368" s="93">
        <f>SUM('31:13'!R368)</f>
        <v>0</v>
      </c>
      <c r="S368" s="93">
        <f>SUM('31:13'!S368)</f>
        <v>0</v>
      </c>
      <c r="T368" s="93">
        <f>SUM('31:13'!T368)</f>
        <v>0</v>
      </c>
      <c r="U368" s="93">
        <f>SUM('31:13'!U368)</f>
        <v>0</v>
      </c>
      <c r="V368" s="206"/>
      <c r="W368" s="33"/>
      <c r="X368" s="93">
        <f>SUM('31:13'!X368)</f>
        <v>0</v>
      </c>
      <c r="Y368" s="93">
        <f>SUM('31:13'!Y368)</f>
        <v>0</v>
      </c>
      <c r="Z368" s="93">
        <f>SUM('31:13'!Z368)</f>
        <v>0</v>
      </c>
      <c r="AA368" s="93">
        <f>SUM('31:13'!AA368)</f>
        <v>0</v>
      </c>
      <c r="AB368" s="73"/>
      <c r="AC368" s="54"/>
      <c r="AD368" s="346"/>
      <c r="AE368" s="54"/>
      <c r="AF368" s="54"/>
      <c r="AG368" s="54"/>
      <c r="AH368" s="54"/>
      <c r="AI368" s="57"/>
      <c r="AJ368" s="57"/>
      <c r="AK368" s="57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</row>
    <row r="369" spans="1:53">
      <c r="A369" s="299">
        <v>30200004</v>
      </c>
      <c r="B369" s="141" t="s">
        <v>200</v>
      </c>
      <c r="C369" s="126" t="s">
        <v>189</v>
      </c>
      <c r="D369" s="108">
        <v>4.99</v>
      </c>
      <c r="E369" s="17"/>
      <c r="F369" s="13"/>
      <c r="G369" s="93">
        <f>SUM('31:13'!G369)</f>
        <v>0</v>
      </c>
      <c r="H369" s="95">
        <f t="shared" si="133"/>
        <v>0</v>
      </c>
      <c r="I369" s="93">
        <f>SUM('31:13'!I369)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87">
        <v>23.5</v>
      </c>
      <c r="M369" s="36">
        <f t="shared" ref="M369" si="142">IF(ISERROR(I369-K369),"",I369-K369)</f>
        <v>0</v>
      </c>
      <c r="N369" s="31">
        <f t="shared" ref="N369" si="143">SUM(O369:U369)</f>
        <v>0</v>
      </c>
      <c r="O369" s="93">
        <f>SUM('31:13'!O369)</f>
        <v>0</v>
      </c>
      <c r="P369" s="93">
        <f>SUM('31:13'!P369)</f>
        <v>0</v>
      </c>
      <c r="Q369" s="93">
        <f>SUM('31:13'!Q369)</f>
        <v>0</v>
      </c>
      <c r="R369" s="93">
        <f>SUM('31:13'!R369)</f>
        <v>0</v>
      </c>
      <c r="S369" s="93">
        <f>SUM('31:13'!S369)</f>
        <v>0</v>
      </c>
      <c r="T369" s="93">
        <f>SUM('31:13'!T369)</f>
        <v>0</v>
      </c>
      <c r="U369" s="93">
        <f>SUM('31:13'!U369)</f>
        <v>0</v>
      </c>
      <c r="V369" s="206">
        <f t="shared" ref="V369" si="144">SUM(X369:AA369)</f>
        <v>0</v>
      </c>
      <c r="W369" s="33" t="str">
        <f t="shared" ref="W369" si="145">IF(ISERROR(V369/G369),"",V369/G369)</f>
        <v/>
      </c>
      <c r="X369" s="93">
        <f>SUM('31:13'!X369)</f>
        <v>0</v>
      </c>
      <c r="Y369" s="93">
        <f>SUM('31:13'!Y369)</f>
        <v>0</v>
      </c>
      <c r="Z369" s="93">
        <f>SUM('31:13'!Z369)</f>
        <v>0</v>
      </c>
      <c r="AA369" s="93">
        <f>SUM('31:13'!AA369)</f>
        <v>0</v>
      </c>
      <c r="AB369" s="73"/>
      <c r="AC369" s="54"/>
      <c r="AD369" s="346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>
      <c r="A370" s="697" t="s">
        <v>70</v>
      </c>
      <c r="B370" s="698"/>
      <c r="C370" s="31" t="s">
        <v>71</v>
      </c>
      <c r="D370" s="30"/>
      <c r="E370" s="30"/>
      <c r="F370" s="30"/>
      <c r="G370" s="94">
        <f>SUM(G349:G369)</f>
        <v>0</v>
      </c>
      <c r="H370" s="30">
        <f>SUM(H349:H369)</f>
        <v>0</v>
      </c>
      <c r="I370" s="30">
        <f>SUM(I349:I369)</f>
        <v>0</v>
      </c>
      <c r="J370" s="31" t="str">
        <f t="array" ref="J370">IF(ISERROR(G370/I370),"",G370/I370)</f>
        <v/>
      </c>
      <c r="K370" s="30">
        <f>SUM(K349:K369)</f>
        <v>0</v>
      </c>
      <c r="L370" s="98"/>
      <c r="M370" s="89">
        <f t="shared" ref="M370:AA370" si="146">SUM(M349:M369)</f>
        <v>0</v>
      </c>
      <c r="N370" s="30">
        <f t="shared" si="146"/>
        <v>0</v>
      </c>
      <c r="O370" s="34">
        <f t="shared" si="146"/>
        <v>0</v>
      </c>
      <c r="P370" s="34">
        <f t="shared" si="146"/>
        <v>0</v>
      </c>
      <c r="Q370" s="34">
        <f t="shared" si="146"/>
        <v>0</v>
      </c>
      <c r="R370" s="34">
        <f t="shared" si="146"/>
        <v>0</v>
      </c>
      <c r="S370" s="34">
        <f t="shared" si="146"/>
        <v>0</v>
      </c>
      <c r="T370" s="34">
        <f t="shared" si="146"/>
        <v>0</v>
      </c>
      <c r="U370" s="34">
        <f t="shared" si="146"/>
        <v>0</v>
      </c>
      <c r="V370" s="206">
        <f t="shared" si="146"/>
        <v>0</v>
      </c>
      <c r="W370" s="33">
        <f t="shared" si="146"/>
        <v>0</v>
      </c>
      <c r="X370" s="92">
        <f t="shared" si="146"/>
        <v>0</v>
      </c>
      <c r="Y370" s="92">
        <f t="shared" si="146"/>
        <v>0</v>
      </c>
      <c r="Z370" s="92">
        <f t="shared" si="146"/>
        <v>0</v>
      </c>
      <c r="AA370" s="92">
        <f t="shared" si="146"/>
        <v>0</v>
      </c>
      <c r="AB370" s="70"/>
      <c r="AC370" s="70"/>
      <c r="AD370" s="58"/>
      <c r="AE370" s="70"/>
      <c r="AF370" s="70"/>
      <c r="AG370" s="70"/>
      <c r="AH370" s="70"/>
      <c r="AI370" s="58"/>
      <c r="AJ370" s="58"/>
      <c r="AK370" s="58"/>
      <c r="AL370" s="58"/>
      <c r="AM370" s="58"/>
      <c r="AN370" s="58"/>
      <c r="AO370" s="58"/>
      <c r="AP370" s="58"/>
      <c r="AQ370" s="58"/>
      <c r="AR370" s="58"/>
      <c r="AS370" s="58"/>
      <c r="AT370" s="58"/>
      <c r="AU370" s="58"/>
      <c r="AV370" s="58"/>
      <c r="AW370" s="58"/>
      <c r="AX370" s="58"/>
      <c r="AY370" s="58"/>
      <c r="AZ370" s="58"/>
      <c r="BA370" s="58"/>
    </row>
    <row r="371" spans="1:53">
      <c r="A371" s="300">
        <v>30100012</v>
      </c>
      <c r="B371" s="61" t="s">
        <v>76</v>
      </c>
      <c r="C371" s="16" t="s">
        <v>73</v>
      </c>
      <c r="D371" s="17">
        <v>5.03</v>
      </c>
      <c r="E371" s="17"/>
      <c r="F371" s="6"/>
      <c r="G371" s="93">
        <f>SUM('31:13'!G371)</f>
        <v>0</v>
      </c>
      <c r="H371" s="339">
        <f t="shared" ref="H371:H427" si="147">D371*G371</f>
        <v>0</v>
      </c>
      <c r="I371" s="93">
        <f>SUM('31:13'!I371)</f>
        <v>0</v>
      </c>
      <c r="J371" s="31" t="str">
        <f t="array" ref="J371">IF(ISERROR(G371/I371),"",G371/I371)</f>
        <v/>
      </c>
      <c r="K371" s="35">
        <f t="array" ref="K371">IF(ISERROR(G371/L371),"",G371/L371)</f>
        <v>0</v>
      </c>
      <c r="L371" s="87">
        <v>52</v>
      </c>
      <c r="M371" s="36">
        <f t="shared" ref="M371" si="148">IF(ISERROR(I371-K371),"",I371-K371)</f>
        <v>0</v>
      </c>
      <c r="N371" s="31">
        <f t="shared" ref="N371" si="149">SUM(O371:U371)</f>
        <v>0</v>
      </c>
      <c r="O371" s="93">
        <f>SUM('31:13'!O371)</f>
        <v>0</v>
      </c>
      <c r="P371" s="93">
        <f>SUM('31:13'!P371)</f>
        <v>0</v>
      </c>
      <c r="Q371" s="93">
        <f>SUM('31:13'!Q371)</f>
        <v>0</v>
      </c>
      <c r="R371" s="93">
        <f>SUM('31:13'!R371)</f>
        <v>0</v>
      </c>
      <c r="S371" s="93">
        <f>SUM('31:13'!S371)</f>
        <v>0</v>
      </c>
      <c r="T371" s="93">
        <f>SUM('31:13'!T371)</f>
        <v>0</v>
      </c>
      <c r="U371" s="93">
        <f>SUM('31:13'!U371)</f>
        <v>0</v>
      </c>
      <c r="V371" s="206">
        <f t="shared" ref="V371" si="150">SUM(X371:AA371)</f>
        <v>0</v>
      </c>
      <c r="W371" s="33" t="str">
        <f t="shared" ref="W371" si="151">IF(ISERROR(V371/G371),"",V371/G371)</f>
        <v/>
      </c>
      <c r="X371" s="93">
        <f>SUM('31:13'!X371)</f>
        <v>0</v>
      </c>
      <c r="Y371" s="93">
        <f>SUM('31:13'!Y371)</f>
        <v>0</v>
      </c>
      <c r="Z371" s="93">
        <f>SUM('31:13'!Z371)</f>
        <v>0</v>
      </c>
      <c r="AA371" s="93">
        <f>SUM('31:13'!AA371)</f>
        <v>0</v>
      </c>
      <c r="AB371" s="25"/>
      <c r="AC371" s="54"/>
      <c r="AD371" s="346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>
      <c r="A372" s="300">
        <v>30100011</v>
      </c>
      <c r="B372" s="190" t="s">
        <v>425</v>
      </c>
      <c r="C372" s="187" t="s">
        <v>427</v>
      </c>
      <c r="D372" s="17">
        <v>5.03</v>
      </c>
      <c r="E372" s="17"/>
      <c r="F372" s="6"/>
      <c r="G372" s="93">
        <f>SUM('31:13'!G372)</f>
        <v>0</v>
      </c>
      <c r="H372" s="339">
        <f t="shared" si="147"/>
        <v>0</v>
      </c>
      <c r="I372" s="93"/>
      <c r="J372" s="31"/>
      <c r="K372" s="35">
        <f t="array" ref="K372">IF(ISERROR(G372/L372),"",G372/L372)</f>
        <v>0</v>
      </c>
      <c r="L372" s="87">
        <v>52</v>
      </c>
      <c r="M372" s="36"/>
      <c r="N372" s="31"/>
      <c r="O372" s="93"/>
      <c r="P372" s="93"/>
      <c r="Q372" s="93"/>
      <c r="R372" s="93"/>
      <c r="S372" s="93"/>
      <c r="T372" s="93"/>
      <c r="U372" s="93"/>
      <c r="V372" s="206"/>
      <c r="W372" s="33"/>
      <c r="X372" s="93"/>
      <c r="Y372" s="93"/>
      <c r="Z372" s="93"/>
      <c r="AA372" s="93"/>
      <c r="AB372" s="25"/>
      <c r="AC372" s="54"/>
      <c r="AD372" s="346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>
      <c r="A373" s="300">
        <v>30100010</v>
      </c>
      <c r="B373" s="61" t="s">
        <v>76</v>
      </c>
      <c r="C373" s="16" t="s">
        <v>60</v>
      </c>
      <c r="D373" s="17">
        <v>5.03</v>
      </c>
      <c r="E373" s="17"/>
      <c r="F373" s="6"/>
      <c r="G373" s="93">
        <f>SUM('31:13'!G373)</f>
        <v>0</v>
      </c>
      <c r="H373" s="339">
        <f t="shared" si="147"/>
        <v>0</v>
      </c>
      <c r="I373" s="93">
        <f>SUM('31:13'!I373)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87">
        <v>52</v>
      </c>
      <c r="M373" s="36">
        <f t="shared" ref="M373:M408" si="152">IF(ISERROR(I373-K373),"",I373-K373)</f>
        <v>0</v>
      </c>
      <c r="N373" s="31">
        <f t="shared" ref="N373:N375" si="153">SUM(O373:U373)</f>
        <v>0</v>
      </c>
      <c r="O373" s="93">
        <f>SUM('31:13'!O373)</f>
        <v>0</v>
      </c>
      <c r="P373" s="93">
        <f>SUM('31:13'!P373)</f>
        <v>0</v>
      </c>
      <c r="Q373" s="93">
        <f>SUM('31:13'!Q373)</f>
        <v>0</v>
      </c>
      <c r="R373" s="93">
        <f>SUM('31:13'!R373)</f>
        <v>0</v>
      </c>
      <c r="S373" s="93">
        <f>SUM('31:13'!S373)</f>
        <v>0</v>
      </c>
      <c r="T373" s="93">
        <f>SUM('31:13'!T373)</f>
        <v>0</v>
      </c>
      <c r="U373" s="93">
        <f>SUM('31:13'!U373)</f>
        <v>0</v>
      </c>
      <c r="V373" s="206">
        <f t="shared" ref="V373:V375" si="154">SUM(X373:AA373)</f>
        <v>0</v>
      </c>
      <c r="W373" s="33" t="str">
        <f t="shared" ref="W373:W375" si="155">IF(ISERROR(V373/G373),"",V373/G373)</f>
        <v/>
      </c>
      <c r="X373" s="93">
        <f>SUM('31:13'!X373)</f>
        <v>0</v>
      </c>
      <c r="Y373" s="93">
        <f>SUM('31:13'!Y373)</f>
        <v>0</v>
      </c>
      <c r="Z373" s="93">
        <f>SUM('31:13'!Z373)</f>
        <v>0</v>
      </c>
      <c r="AA373" s="93">
        <f>SUM('31:13'!AA373)</f>
        <v>0</v>
      </c>
      <c r="AB373" s="25"/>
      <c r="AC373" s="54"/>
      <c r="AD373" s="346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 ht="17.25" customHeight="1">
      <c r="A374" s="300">
        <v>30100014</v>
      </c>
      <c r="B374" s="61" t="s">
        <v>76</v>
      </c>
      <c r="C374" s="16" t="s">
        <v>72</v>
      </c>
      <c r="D374" s="17">
        <v>5.03</v>
      </c>
      <c r="E374" s="17"/>
      <c r="F374" s="6"/>
      <c r="G374" s="93">
        <f>SUM('31:13'!G374)</f>
        <v>0</v>
      </c>
      <c r="H374" s="339">
        <f t="shared" si="147"/>
        <v>0</v>
      </c>
      <c r="I374" s="93">
        <f>SUM('31:13'!I374)</f>
        <v>0</v>
      </c>
      <c r="J374" s="31" t="str">
        <f t="array" ref="J374">IF(ISERROR(G374/I374),"",G374/I374)</f>
        <v/>
      </c>
      <c r="K374" s="35">
        <f t="array" ref="K374">IF(ISERROR(G374/L374),"",G374/L374)</f>
        <v>0</v>
      </c>
      <c r="L374" s="87">
        <v>52</v>
      </c>
      <c r="M374" s="36">
        <f t="shared" si="152"/>
        <v>0</v>
      </c>
      <c r="N374" s="31">
        <f t="shared" si="153"/>
        <v>0</v>
      </c>
      <c r="O374" s="93">
        <f>SUM('31:13'!O374)</f>
        <v>0</v>
      </c>
      <c r="P374" s="93">
        <f>SUM('31:13'!P374)</f>
        <v>0</v>
      </c>
      <c r="Q374" s="93">
        <f>SUM('31:13'!Q374)</f>
        <v>0</v>
      </c>
      <c r="R374" s="93">
        <f>SUM('31:13'!R374)</f>
        <v>0</v>
      </c>
      <c r="S374" s="93">
        <f>SUM('31:13'!S374)</f>
        <v>0</v>
      </c>
      <c r="T374" s="93">
        <f>SUM('31:13'!T374)</f>
        <v>0</v>
      </c>
      <c r="U374" s="93">
        <f>SUM('31:13'!U374)</f>
        <v>0</v>
      </c>
      <c r="V374" s="206">
        <f t="shared" si="154"/>
        <v>0</v>
      </c>
      <c r="W374" s="33" t="str">
        <f t="shared" si="155"/>
        <v/>
      </c>
      <c r="X374" s="93">
        <f>SUM('31:13'!X374)</f>
        <v>0</v>
      </c>
      <c r="Y374" s="93">
        <f>SUM('31:13'!Y374)</f>
        <v>0</v>
      </c>
      <c r="Z374" s="93">
        <f>SUM('31:13'!Z374)</f>
        <v>0</v>
      </c>
      <c r="AA374" s="93">
        <f>SUM('31:13'!AA374)</f>
        <v>0</v>
      </c>
      <c r="AB374" s="25"/>
      <c r="AC374" s="54"/>
      <c r="AD374" s="346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>
      <c r="A375" s="300">
        <v>30100013</v>
      </c>
      <c r="B375" s="61" t="s">
        <v>76</v>
      </c>
      <c r="C375" s="16" t="s">
        <v>77</v>
      </c>
      <c r="D375" s="17">
        <v>5.03</v>
      </c>
      <c r="E375" s="17"/>
      <c r="F375" s="6"/>
      <c r="G375" s="93">
        <f>SUM('31:13'!G375)</f>
        <v>0</v>
      </c>
      <c r="H375" s="339">
        <f t="shared" si="147"/>
        <v>0</v>
      </c>
      <c r="I375" s="93">
        <f>SUM('31:13'!I375)</f>
        <v>0</v>
      </c>
      <c r="J375" s="31" t="str">
        <f t="array" ref="J375">IF(ISERROR(G375/I375),"",G375/I375)</f>
        <v/>
      </c>
      <c r="K375" s="35">
        <f t="array" ref="K375">IF(ISERROR(G375/L375),"",G375/L375)</f>
        <v>0</v>
      </c>
      <c r="L375" s="87">
        <v>52</v>
      </c>
      <c r="M375" s="36">
        <f t="shared" si="152"/>
        <v>0</v>
      </c>
      <c r="N375" s="31">
        <f t="shared" si="153"/>
        <v>0</v>
      </c>
      <c r="O375" s="93">
        <f>SUM('31:13'!O375)</f>
        <v>0</v>
      </c>
      <c r="P375" s="93">
        <f>SUM('31:13'!P375)</f>
        <v>0</v>
      </c>
      <c r="Q375" s="93">
        <f>SUM('31:13'!Q375)</f>
        <v>0</v>
      </c>
      <c r="R375" s="93">
        <f>SUM('31:13'!R375)</f>
        <v>0</v>
      </c>
      <c r="S375" s="93">
        <f>SUM('31:13'!S375)</f>
        <v>0</v>
      </c>
      <c r="T375" s="93">
        <f>SUM('31:13'!T375)</f>
        <v>0</v>
      </c>
      <c r="U375" s="93">
        <f>SUM('31:13'!U375)</f>
        <v>0</v>
      </c>
      <c r="V375" s="206">
        <f t="shared" si="154"/>
        <v>0</v>
      </c>
      <c r="W375" s="33" t="str">
        <f t="shared" si="155"/>
        <v/>
      </c>
      <c r="X375" s="93">
        <f>SUM('31:13'!X375)</f>
        <v>0</v>
      </c>
      <c r="Y375" s="93">
        <f>SUM('31:13'!Y375)</f>
        <v>0</v>
      </c>
      <c r="Z375" s="93">
        <f>SUM('31:13'!Z375)</f>
        <v>0</v>
      </c>
      <c r="AA375" s="93">
        <f>SUM('31:13'!AA375)</f>
        <v>0</v>
      </c>
      <c r="AB375" s="25"/>
      <c r="AC375" s="54"/>
      <c r="AD375" s="346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>
      <c r="A376" s="300">
        <v>30100016</v>
      </c>
      <c r="B376" s="334" t="s">
        <v>414</v>
      </c>
      <c r="C376" s="187" t="s">
        <v>415</v>
      </c>
      <c r="D376" s="17"/>
      <c r="E376" s="17"/>
      <c r="F376" s="6"/>
      <c r="G376" s="93">
        <f>SUM('31:13'!G376)</f>
        <v>0</v>
      </c>
      <c r="H376" s="339">
        <f t="shared" si="147"/>
        <v>0</v>
      </c>
      <c r="I376" s="93">
        <f>SUM('31:13'!I376)</f>
        <v>0</v>
      </c>
      <c r="J376" s="31"/>
      <c r="K376" s="35">
        <f t="array" ref="K376">IF(ISERROR(G376/L376),"",G376/L376)</f>
        <v>0</v>
      </c>
      <c r="L376" s="87">
        <v>52</v>
      </c>
      <c r="M376" s="36">
        <f t="shared" si="152"/>
        <v>0</v>
      </c>
      <c r="N376" s="31"/>
      <c r="O376" s="93"/>
      <c r="P376" s="93"/>
      <c r="Q376" s="93"/>
      <c r="R376" s="93"/>
      <c r="S376" s="93"/>
      <c r="T376" s="93"/>
      <c r="U376" s="93"/>
      <c r="V376" s="206"/>
      <c r="W376" s="33"/>
      <c r="X376" s="93"/>
      <c r="Y376" s="93"/>
      <c r="Z376" s="93"/>
      <c r="AA376" s="93"/>
      <c r="AB376" s="25"/>
      <c r="AC376" s="54"/>
      <c r="AD376" s="346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>
      <c r="A377" s="300">
        <v>30100017</v>
      </c>
      <c r="B377" s="334" t="s">
        <v>414</v>
      </c>
      <c r="C377" s="187" t="s">
        <v>416</v>
      </c>
      <c r="D377" s="17"/>
      <c r="E377" s="17"/>
      <c r="F377" s="6"/>
      <c r="G377" s="93">
        <f>SUM('31:13'!G377)</f>
        <v>0</v>
      </c>
      <c r="H377" s="339">
        <f t="shared" si="147"/>
        <v>0</v>
      </c>
      <c r="I377" s="93">
        <f>SUM('31:13'!I377)</f>
        <v>0</v>
      </c>
      <c r="J377" s="31"/>
      <c r="K377" s="35">
        <f t="array" ref="K377">IF(ISERROR(G377/L377),"",G377/L377)</f>
        <v>0</v>
      </c>
      <c r="L377" s="87">
        <v>52</v>
      </c>
      <c r="M377" s="36">
        <f t="shared" si="152"/>
        <v>0</v>
      </c>
      <c r="N377" s="31"/>
      <c r="O377" s="93"/>
      <c r="P377" s="93"/>
      <c r="Q377" s="93"/>
      <c r="R377" s="93"/>
      <c r="S377" s="93"/>
      <c r="T377" s="93"/>
      <c r="U377" s="93"/>
      <c r="V377" s="206"/>
      <c r="W377" s="33"/>
      <c r="X377" s="93"/>
      <c r="Y377" s="93"/>
      <c r="Z377" s="93"/>
      <c r="AA377" s="93"/>
      <c r="AB377" s="25"/>
      <c r="AC377" s="54"/>
      <c r="AD377" s="346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>
      <c r="A378" s="300">
        <v>30100015</v>
      </c>
      <c r="B378" s="334" t="s">
        <v>414</v>
      </c>
      <c r="C378" s="187" t="s">
        <v>417</v>
      </c>
      <c r="D378" s="17"/>
      <c r="E378" s="17"/>
      <c r="F378" s="6"/>
      <c r="G378" s="93">
        <f>SUM('31:13'!G378)</f>
        <v>0</v>
      </c>
      <c r="H378" s="339">
        <f t="shared" si="147"/>
        <v>0</v>
      </c>
      <c r="I378" s="93">
        <f>SUM('31:13'!I378)</f>
        <v>0</v>
      </c>
      <c r="J378" s="31"/>
      <c r="K378" s="35">
        <f t="array" ref="K378">IF(ISERROR(G378/L378),"",G378/L378)</f>
        <v>0</v>
      </c>
      <c r="L378" s="87">
        <v>52</v>
      </c>
      <c r="M378" s="36">
        <f t="shared" si="152"/>
        <v>0</v>
      </c>
      <c r="N378" s="31"/>
      <c r="O378" s="93"/>
      <c r="P378" s="93"/>
      <c r="Q378" s="93"/>
      <c r="R378" s="93"/>
      <c r="S378" s="93"/>
      <c r="T378" s="93"/>
      <c r="U378" s="93"/>
      <c r="V378" s="206"/>
      <c r="W378" s="33"/>
      <c r="X378" s="93"/>
      <c r="Y378" s="93"/>
      <c r="Z378" s="93"/>
      <c r="AA378" s="93"/>
      <c r="AB378" s="25"/>
      <c r="AC378" s="54"/>
      <c r="AD378" s="346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>
      <c r="A379" s="300">
        <v>30100027</v>
      </c>
      <c r="B379" s="61" t="s">
        <v>78</v>
      </c>
      <c r="C379" s="16" t="s">
        <v>53</v>
      </c>
      <c r="D379" s="17">
        <v>5.08</v>
      </c>
      <c r="E379" s="17"/>
      <c r="F379" s="6"/>
      <c r="G379" s="93">
        <f>SUM('31:13'!G379)</f>
        <v>0</v>
      </c>
      <c r="H379" s="339">
        <f t="shared" si="147"/>
        <v>0</v>
      </c>
      <c r="I379" s="93">
        <f>SUM('31:13'!I379)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87">
        <v>21</v>
      </c>
      <c r="M379" s="36">
        <f t="shared" si="152"/>
        <v>0</v>
      </c>
      <c r="N379" s="31">
        <f t="shared" ref="N379:N394" si="156">SUM(O379:U379)</f>
        <v>0</v>
      </c>
      <c r="O379" s="93">
        <f>SUM('31:13'!O379)</f>
        <v>0</v>
      </c>
      <c r="P379" s="93">
        <f>SUM('31:13'!P379)</f>
        <v>0</v>
      </c>
      <c r="Q379" s="93">
        <f>SUM('31:13'!Q379)</f>
        <v>0</v>
      </c>
      <c r="R379" s="93">
        <f>SUM('31:13'!R379)</f>
        <v>0</v>
      </c>
      <c r="S379" s="93">
        <f>SUM('31:13'!S379)</f>
        <v>0</v>
      </c>
      <c r="T379" s="93">
        <f>SUM('31:13'!T379)</f>
        <v>0</v>
      </c>
      <c r="U379" s="93">
        <f>SUM('31:13'!U379)</f>
        <v>0</v>
      </c>
      <c r="V379" s="206">
        <f t="shared" ref="V379:V390" si="157">SUM(X379:AA379)</f>
        <v>0</v>
      </c>
      <c r="W379" s="33" t="str">
        <f t="shared" ref="W379:W390" si="158">IF(ISERROR(V379/G379),"",V379/G379)</f>
        <v/>
      </c>
      <c r="X379" s="93">
        <f>SUM('31:13'!X379)</f>
        <v>0</v>
      </c>
      <c r="Y379" s="93">
        <f>SUM('31:13'!Y379)</f>
        <v>0</v>
      </c>
      <c r="Z379" s="93">
        <f>SUM('31:13'!Z379)</f>
        <v>0</v>
      </c>
      <c r="AA379" s="93">
        <f>SUM('31:13'!AA379)</f>
        <v>0</v>
      </c>
      <c r="AB379" s="25"/>
      <c r="AC379" s="54"/>
      <c r="AD379" s="346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>
      <c r="A380" s="300">
        <v>30100023</v>
      </c>
      <c r="B380" s="61" t="s">
        <v>78</v>
      </c>
      <c r="C380" s="16" t="s">
        <v>74</v>
      </c>
      <c r="D380" s="17">
        <v>5.08</v>
      </c>
      <c r="E380" s="17"/>
      <c r="F380" s="6"/>
      <c r="G380" s="93">
        <f>SUM('31:13'!G380)</f>
        <v>0</v>
      </c>
      <c r="H380" s="339">
        <f t="shared" si="147"/>
        <v>0</v>
      </c>
      <c r="I380" s="93">
        <f>SUM('31:13'!I380)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87">
        <v>21</v>
      </c>
      <c r="M380" s="36">
        <f t="shared" si="152"/>
        <v>0</v>
      </c>
      <c r="N380" s="31">
        <f t="shared" si="156"/>
        <v>0</v>
      </c>
      <c r="O380" s="93">
        <f>SUM('31:13'!O380)</f>
        <v>0</v>
      </c>
      <c r="P380" s="93">
        <f>SUM('31:13'!P380)</f>
        <v>0</v>
      </c>
      <c r="Q380" s="93">
        <f>SUM('31:13'!Q380)</f>
        <v>0</v>
      </c>
      <c r="R380" s="93">
        <f>SUM('31:13'!R380)</f>
        <v>0</v>
      </c>
      <c r="S380" s="93">
        <f>SUM('31:13'!S380)</f>
        <v>0</v>
      </c>
      <c r="T380" s="93">
        <f>SUM('31:13'!T380)</f>
        <v>0</v>
      </c>
      <c r="U380" s="93">
        <f>SUM('31:13'!U380)</f>
        <v>0</v>
      </c>
      <c r="V380" s="206">
        <f t="shared" si="157"/>
        <v>0</v>
      </c>
      <c r="W380" s="33" t="str">
        <f t="shared" si="158"/>
        <v/>
      </c>
      <c r="X380" s="93">
        <f>SUM('31:13'!X380)</f>
        <v>0</v>
      </c>
      <c r="Y380" s="93">
        <f>SUM('31:13'!Y380)</f>
        <v>0</v>
      </c>
      <c r="Z380" s="93">
        <f>SUM('31:13'!Z380)</f>
        <v>0</v>
      </c>
      <c r="AA380" s="93">
        <f>SUM('31:13'!AA380)</f>
        <v>0</v>
      </c>
      <c r="AB380" s="25"/>
      <c r="AC380" s="54"/>
      <c r="AD380" s="346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>
      <c r="A381" s="300">
        <v>30100024</v>
      </c>
      <c r="B381" s="61" t="s">
        <v>78</v>
      </c>
      <c r="C381" s="16" t="s">
        <v>75</v>
      </c>
      <c r="D381" s="17">
        <v>5.08</v>
      </c>
      <c r="E381" s="17"/>
      <c r="F381" s="6"/>
      <c r="G381" s="93">
        <f>SUM('31:13'!G381)</f>
        <v>0</v>
      </c>
      <c r="H381" s="339">
        <f t="shared" si="147"/>
        <v>0</v>
      </c>
      <c r="I381" s="93">
        <f>SUM('31:13'!I381)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87">
        <v>21</v>
      </c>
      <c r="M381" s="36">
        <f t="shared" si="152"/>
        <v>0</v>
      </c>
      <c r="N381" s="31">
        <f t="shared" si="156"/>
        <v>0</v>
      </c>
      <c r="O381" s="93">
        <f>SUM('31:13'!O381)</f>
        <v>0</v>
      </c>
      <c r="P381" s="93">
        <f>SUM('31:13'!P381)</f>
        <v>0</v>
      </c>
      <c r="Q381" s="93">
        <f>SUM('31:13'!Q381)</f>
        <v>0</v>
      </c>
      <c r="R381" s="93">
        <f>SUM('31:13'!R381)</f>
        <v>0</v>
      </c>
      <c r="S381" s="93">
        <f>SUM('31:13'!S381)</f>
        <v>0</v>
      </c>
      <c r="T381" s="93">
        <f>SUM('31:13'!T381)</f>
        <v>0</v>
      </c>
      <c r="U381" s="93">
        <f>SUM('31:13'!U381)</f>
        <v>0</v>
      </c>
      <c r="V381" s="206">
        <f t="shared" si="157"/>
        <v>0</v>
      </c>
      <c r="W381" s="33" t="str">
        <f t="shared" si="158"/>
        <v/>
      </c>
      <c r="X381" s="93">
        <f>SUM('31:13'!X381)</f>
        <v>0</v>
      </c>
      <c r="Y381" s="93">
        <f>SUM('31:13'!Y381)</f>
        <v>0</v>
      </c>
      <c r="Z381" s="93">
        <f>SUM('31:13'!Z381)</f>
        <v>0</v>
      </c>
      <c r="AA381" s="93">
        <f>SUM('31:13'!AA381)</f>
        <v>0</v>
      </c>
      <c r="AB381" s="25"/>
      <c r="AC381" s="54"/>
      <c r="AD381" s="346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>
      <c r="A382" s="300">
        <v>30100022</v>
      </c>
      <c r="B382" s="61" t="s">
        <v>78</v>
      </c>
      <c r="C382" s="16" t="s">
        <v>60</v>
      </c>
      <c r="D382" s="17">
        <v>5.08</v>
      </c>
      <c r="E382" s="17"/>
      <c r="F382" s="6"/>
      <c r="G382" s="93">
        <f>SUM('31:13'!G382)</f>
        <v>0</v>
      </c>
      <c r="H382" s="339">
        <f t="shared" si="147"/>
        <v>0</v>
      </c>
      <c r="I382" s="93">
        <f>SUM('31:13'!I382)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87">
        <v>21</v>
      </c>
      <c r="M382" s="36">
        <f t="shared" si="152"/>
        <v>0</v>
      </c>
      <c r="N382" s="31">
        <f t="shared" si="156"/>
        <v>0</v>
      </c>
      <c r="O382" s="93">
        <f>SUM('31:13'!O382)</f>
        <v>0</v>
      </c>
      <c r="P382" s="93">
        <f>SUM('31:13'!P382)</f>
        <v>0</v>
      </c>
      <c r="Q382" s="93">
        <f>SUM('31:13'!Q382)</f>
        <v>0</v>
      </c>
      <c r="R382" s="93">
        <f>SUM('31:13'!R382)</f>
        <v>0</v>
      </c>
      <c r="S382" s="93">
        <f>SUM('31:13'!S382)</f>
        <v>0</v>
      </c>
      <c r="T382" s="93">
        <f>SUM('31:13'!T382)</f>
        <v>0</v>
      </c>
      <c r="U382" s="93">
        <f>SUM('31:13'!U382)</f>
        <v>0</v>
      </c>
      <c r="V382" s="206">
        <f t="shared" si="157"/>
        <v>0</v>
      </c>
      <c r="W382" s="33" t="str">
        <f t="shared" si="158"/>
        <v/>
      </c>
      <c r="X382" s="93">
        <f>SUM('31:13'!X382)</f>
        <v>0</v>
      </c>
      <c r="Y382" s="93">
        <f>SUM('31:13'!Y382)</f>
        <v>0</v>
      </c>
      <c r="Z382" s="93">
        <f>SUM('31:13'!Z382)</f>
        <v>0</v>
      </c>
      <c r="AA382" s="93">
        <f>SUM('31:13'!AA382)</f>
        <v>0</v>
      </c>
      <c r="AB382" s="25"/>
      <c r="AC382" s="54"/>
      <c r="AD382" s="346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>
      <c r="A383" s="300">
        <v>30100029</v>
      </c>
      <c r="B383" s="61" t="s">
        <v>78</v>
      </c>
      <c r="C383" s="16" t="s">
        <v>72</v>
      </c>
      <c r="D383" s="17">
        <v>5.08</v>
      </c>
      <c r="E383" s="17"/>
      <c r="F383" s="6"/>
      <c r="G383" s="93">
        <f>SUM('31:13'!G383)</f>
        <v>0</v>
      </c>
      <c r="H383" s="339">
        <f t="shared" si="147"/>
        <v>0</v>
      </c>
      <c r="I383" s="93">
        <f>SUM('31:13'!I383)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87">
        <v>21</v>
      </c>
      <c r="M383" s="36">
        <f t="shared" si="152"/>
        <v>0</v>
      </c>
      <c r="N383" s="31">
        <f t="shared" si="156"/>
        <v>0</v>
      </c>
      <c r="O383" s="93">
        <f>SUM('31:13'!O383)</f>
        <v>0</v>
      </c>
      <c r="P383" s="93">
        <f>SUM('31:13'!P383)</f>
        <v>0</v>
      </c>
      <c r="Q383" s="93">
        <f>SUM('31:13'!Q383)</f>
        <v>0</v>
      </c>
      <c r="R383" s="93">
        <f>SUM('31:13'!R383)</f>
        <v>0</v>
      </c>
      <c r="S383" s="93">
        <f>SUM('31:13'!S383)</f>
        <v>0</v>
      </c>
      <c r="T383" s="93">
        <f>SUM('31:13'!T383)</f>
        <v>0</v>
      </c>
      <c r="U383" s="93">
        <f>SUM('31:13'!U383)</f>
        <v>0</v>
      </c>
      <c r="V383" s="206">
        <f t="shared" si="157"/>
        <v>0</v>
      </c>
      <c r="W383" s="33" t="str">
        <f t="shared" si="158"/>
        <v/>
      </c>
      <c r="X383" s="93">
        <f>SUM('31:13'!X383)</f>
        <v>0</v>
      </c>
      <c r="Y383" s="93">
        <f>SUM('31:13'!Y383)</f>
        <v>0</v>
      </c>
      <c r="Z383" s="93">
        <f>SUM('31:13'!Z383)</f>
        <v>0</v>
      </c>
      <c r="AA383" s="93">
        <f>SUM('31:13'!AA383)</f>
        <v>0</v>
      </c>
      <c r="AB383" s="25"/>
      <c r="AC383" s="54"/>
      <c r="AD383" s="346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>
      <c r="A384" s="300">
        <v>30100026</v>
      </c>
      <c r="B384" s="61" t="s">
        <v>78</v>
      </c>
      <c r="C384" s="16" t="s">
        <v>73</v>
      </c>
      <c r="D384" s="17">
        <v>5.08</v>
      </c>
      <c r="E384" s="17"/>
      <c r="F384" s="6"/>
      <c r="G384" s="93">
        <f>SUM('31:13'!G384)</f>
        <v>0</v>
      </c>
      <c r="H384" s="339">
        <f t="shared" si="147"/>
        <v>0</v>
      </c>
      <c r="I384" s="93">
        <f>SUM('31:13'!I384)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87">
        <v>21</v>
      </c>
      <c r="M384" s="36">
        <f t="shared" si="152"/>
        <v>0</v>
      </c>
      <c r="N384" s="31">
        <f t="shared" si="156"/>
        <v>0</v>
      </c>
      <c r="O384" s="93">
        <f>SUM('31:13'!O384)</f>
        <v>0</v>
      </c>
      <c r="P384" s="93">
        <f>SUM('31:13'!P384)</f>
        <v>0</v>
      </c>
      <c r="Q384" s="93">
        <f>SUM('31:13'!Q384)</f>
        <v>0</v>
      </c>
      <c r="R384" s="93">
        <f>SUM('31:13'!R384)</f>
        <v>0</v>
      </c>
      <c r="S384" s="93">
        <f>SUM('31:13'!S384)</f>
        <v>0</v>
      </c>
      <c r="T384" s="93">
        <f>SUM('31:13'!T384)</f>
        <v>0</v>
      </c>
      <c r="U384" s="93">
        <f>SUM('31:13'!U384)</f>
        <v>0</v>
      </c>
      <c r="V384" s="206">
        <f t="shared" si="157"/>
        <v>0</v>
      </c>
      <c r="W384" s="33" t="str">
        <f t="shared" si="158"/>
        <v/>
      </c>
      <c r="X384" s="93">
        <f>SUM('31:13'!X384)</f>
        <v>0</v>
      </c>
      <c r="Y384" s="93">
        <f>SUM('31:13'!Y384)</f>
        <v>0</v>
      </c>
      <c r="Z384" s="93">
        <f>SUM('31:13'!Z384)</f>
        <v>0</v>
      </c>
      <c r="AA384" s="93">
        <f>SUM('31:13'!AA384)</f>
        <v>0</v>
      </c>
      <c r="AB384" s="73"/>
      <c r="AC384" s="54"/>
      <c r="AD384" s="346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>
      <c r="A385" s="300">
        <v>30100025</v>
      </c>
      <c r="B385" s="61" t="s">
        <v>78</v>
      </c>
      <c r="C385" s="16" t="s">
        <v>61</v>
      </c>
      <c r="D385" s="17">
        <v>5.08</v>
      </c>
      <c r="E385" s="17"/>
      <c r="F385" s="6"/>
      <c r="G385" s="93">
        <f>SUM('31:13'!G385)</f>
        <v>0</v>
      </c>
      <c r="H385" s="339">
        <f t="shared" si="147"/>
        <v>0</v>
      </c>
      <c r="I385" s="93">
        <f>SUM('31:13'!I385)</f>
        <v>0</v>
      </c>
      <c r="J385" s="31" t="str">
        <f t="array" ref="J385">IF(ISERROR(G385/I385),"",G385/I385)</f>
        <v/>
      </c>
      <c r="K385" s="35">
        <f t="array" ref="K385">IF(ISERROR(G385/L385),"",G385/L385)</f>
        <v>0</v>
      </c>
      <c r="L385" s="87">
        <v>21</v>
      </c>
      <c r="M385" s="36">
        <f t="shared" si="152"/>
        <v>0</v>
      </c>
      <c r="N385" s="31">
        <f t="shared" si="156"/>
        <v>0</v>
      </c>
      <c r="O385" s="93">
        <f>SUM('31:13'!O385)</f>
        <v>0</v>
      </c>
      <c r="P385" s="93">
        <f>SUM('31:13'!P385)</f>
        <v>0</v>
      </c>
      <c r="Q385" s="93">
        <f>SUM('31:13'!Q385)</f>
        <v>0</v>
      </c>
      <c r="R385" s="93">
        <f>SUM('31:13'!R385)</f>
        <v>0</v>
      </c>
      <c r="S385" s="93">
        <f>SUM('31:13'!S385)</f>
        <v>0</v>
      </c>
      <c r="T385" s="93">
        <f>SUM('31:13'!T385)</f>
        <v>0</v>
      </c>
      <c r="U385" s="93">
        <f>SUM('31:13'!U385)</f>
        <v>0</v>
      </c>
      <c r="V385" s="206">
        <f t="shared" si="157"/>
        <v>0</v>
      </c>
      <c r="W385" s="33" t="str">
        <f t="shared" si="158"/>
        <v/>
      </c>
      <c r="X385" s="93">
        <f>SUM('31:13'!X385)</f>
        <v>0</v>
      </c>
      <c r="Y385" s="93">
        <f>SUM('31:13'!Y385)</f>
        <v>0</v>
      </c>
      <c r="Z385" s="93">
        <f>SUM('31:13'!Z385)</f>
        <v>0</v>
      </c>
      <c r="AA385" s="93">
        <f>SUM('31:13'!AA385)</f>
        <v>0</v>
      </c>
      <c r="AB385" s="25"/>
      <c r="AC385" s="54"/>
      <c r="AD385" s="346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>
      <c r="A386" s="300">
        <v>30100028</v>
      </c>
      <c r="B386" s="61" t="s">
        <v>78</v>
      </c>
      <c r="C386" s="16" t="s">
        <v>77</v>
      </c>
      <c r="D386" s="17">
        <v>5.08</v>
      </c>
      <c r="E386" s="17"/>
      <c r="F386" s="6"/>
      <c r="G386" s="93">
        <f>SUM('31:13'!G386)</f>
        <v>0</v>
      </c>
      <c r="H386" s="339">
        <f t="shared" si="147"/>
        <v>0</v>
      </c>
      <c r="I386" s="93">
        <f>SUM('31:13'!I386)</f>
        <v>0</v>
      </c>
      <c r="J386" s="31" t="str">
        <f t="array" ref="J386">IF(ISERROR(G386/I386),"",G386/I386)</f>
        <v/>
      </c>
      <c r="K386" s="35">
        <f t="array" ref="K386">IF(ISERROR(G386/L386),"",G386/L386)</f>
        <v>0</v>
      </c>
      <c r="L386" s="87">
        <v>21</v>
      </c>
      <c r="M386" s="36">
        <f t="shared" si="152"/>
        <v>0</v>
      </c>
      <c r="N386" s="31">
        <f t="shared" si="156"/>
        <v>0</v>
      </c>
      <c r="O386" s="93">
        <f>SUM('31:13'!O386)</f>
        <v>0</v>
      </c>
      <c r="P386" s="93">
        <f>SUM('31:13'!P386)</f>
        <v>0</v>
      </c>
      <c r="Q386" s="93">
        <f>SUM('31:13'!Q386)</f>
        <v>0</v>
      </c>
      <c r="R386" s="93">
        <f>SUM('31:13'!R386)</f>
        <v>0</v>
      </c>
      <c r="S386" s="93">
        <f>SUM('31:13'!S386)</f>
        <v>0</v>
      </c>
      <c r="T386" s="93">
        <f>SUM('31:13'!T386)</f>
        <v>0</v>
      </c>
      <c r="U386" s="93">
        <f>SUM('31:13'!U386)</f>
        <v>0</v>
      </c>
      <c r="V386" s="206">
        <f t="shared" si="157"/>
        <v>0</v>
      </c>
      <c r="W386" s="33" t="str">
        <f t="shared" si="158"/>
        <v/>
      </c>
      <c r="X386" s="93">
        <f>SUM('31:13'!X386)</f>
        <v>0</v>
      </c>
      <c r="Y386" s="93">
        <f>SUM('31:13'!Y386)</f>
        <v>0</v>
      </c>
      <c r="Z386" s="93">
        <f>SUM('31:13'!Z386)</f>
        <v>0</v>
      </c>
      <c r="AA386" s="93">
        <f>SUM('31:13'!AA386)</f>
        <v>0</v>
      </c>
      <c r="AB386" s="73"/>
      <c r="AC386" s="54"/>
      <c r="AD386" s="346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>
      <c r="A387" s="300">
        <v>30100032</v>
      </c>
      <c r="B387" s="61" t="s">
        <v>79</v>
      </c>
      <c r="C387" s="16" t="s">
        <v>65</v>
      </c>
      <c r="D387" s="17">
        <v>5.03</v>
      </c>
      <c r="E387" s="17"/>
      <c r="F387" s="6"/>
      <c r="G387" s="93">
        <f>SUM('31:13'!G387)</f>
        <v>0</v>
      </c>
      <c r="H387" s="339">
        <f t="shared" si="147"/>
        <v>0</v>
      </c>
      <c r="I387" s="93">
        <f>SUM('31:13'!I387)</f>
        <v>0</v>
      </c>
      <c r="J387" s="31" t="str">
        <f t="array" ref="J387">IF(ISERROR(G387/I387),"",G387/I387)</f>
        <v/>
      </c>
      <c r="K387" s="35">
        <f t="array" ref="K387">IF(ISERROR(G387/L387),"",G387/L387)</f>
        <v>0</v>
      </c>
      <c r="L387" s="87">
        <v>56</v>
      </c>
      <c r="M387" s="36">
        <f t="shared" si="152"/>
        <v>0</v>
      </c>
      <c r="N387" s="31">
        <f t="shared" si="156"/>
        <v>0</v>
      </c>
      <c r="O387" s="93">
        <f>SUM('31:13'!O387)</f>
        <v>0</v>
      </c>
      <c r="P387" s="93">
        <f>SUM('31:13'!P387)</f>
        <v>0</v>
      </c>
      <c r="Q387" s="93">
        <f>SUM('31:13'!Q387)</f>
        <v>0</v>
      </c>
      <c r="R387" s="93">
        <f>SUM('31:13'!R387)</f>
        <v>0</v>
      </c>
      <c r="S387" s="93">
        <f>SUM('31:13'!S387)</f>
        <v>0</v>
      </c>
      <c r="T387" s="93">
        <f>SUM('31:13'!T387)</f>
        <v>0</v>
      </c>
      <c r="U387" s="93">
        <f>SUM('31:13'!U387)</f>
        <v>0</v>
      </c>
      <c r="V387" s="206">
        <f t="shared" si="157"/>
        <v>0</v>
      </c>
      <c r="W387" s="33" t="str">
        <f t="shared" si="158"/>
        <v/>
      </c>
      <c r="X387" s="93">
        <f>SUM('31:13'!X387)</f>
        <v>0</v>
      </c>
      <c r="Y387" s="93">
        <f>SUM('31:13'!Y387)</f>
        <v>0</v>
      </c>
      <c r="Z387" s="93">
        <f>SUM('31:13'!Z387)</f>
        <v>0</v>
      </c>
      <c r="AA387" s="93">
        <f>SUM('31:13'!AA387)</f>
        <v>0</v>
      </c>
      <c r="AB387" s="25"/>
      <c r="AC387" s="54"/>
      <c r="AD387" s="346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>
      <c r="A388" s="300">
        <v>30100033</v>
      </c>
      <c r="B388" s="61" t="s">
        <v>79</v>
      </c>
      <c r="C388" s="16" t="s">
        <v>53</v>
      </c>
      <c r="D388" s="17">
        <v>5.03</v>
      </c>
      <c r="E388" s="17"/>
      <c r="F388" s="6"/>
      <c r="G388" s="93">
        <f>SUM('31:13'!G388)</f>
        <v>0</v>
      </c>
      <c r="H388" s="339">
        <f t="shared" si="147"/>
        <v>0</v>
      </c>
      <c r="I388" s="93">
        <f>SUM('31:13'!I388)</f>
        <v>0</v>
      </c>
      <c r="J388" s="31" t="str">
        <f t="array" ref="J388">IF(ISERROR(G388/I388),"",G388/I388)</f>
        <v/>
      </c>
      <c r="K388" s="35">
        <f t="array" ref="K388">IF(ISERROR(G388/L388),"",G388/L388)</f>
        <v>0</v>
      </c>
      <c r="L388" s="87">
        <v>56</v>
      </c>
      <c r="M388" s="36">
        <f t="shared" si="152"/>
        <v>0</v>
      </c>
      <c r="N388" s="31">
        <f t="shared" si="156"/>
        <v>0</v>
      </c>
      <c r="O388" s="93">
        <f>SUM('31:13'!O388)</f>
        <v>0</v>
      </c>
      <c r="P388" s="93">
        <f>SUM('31:13'!P388)</f>
        <v>0</v>
      </c>
      <c r="Q388" s="93">
        <f>SUM('31:13'!Q388)</f>
        <v>0</v>
      </c>
      <c r="R388" s="93">
        <f>SUM('31:13'!R388)</f>
        <v>0</v>
      </c>
      <c r="S388" s="93">
        <f>SUM('31:13'!S388)</f>
        <v>0</v>
      </c>
      <c r="T388" s="93">
        <f>SUM('31:13'!T388)</f>
        <v>0</v>
      </c>
      <c r="U388" s="93">
        <f>SUM('31:13'!U388)</f>
        <v>0</v>
      </c>
      <c r="V388" s="206">
        <f t="shared" si="157"/>
        <v>0</v>
      </c>
      <c r="W388" s="33" t="str">
        <f t="shared" si="158"/>
        <v/>
      </c>
      <c r="X388" s="93">
        <f>SUM('31:13'!X388)</f>
        <v>0</v>
      </c>
      <c r="Y388" s="93">
        <f>SUM('31:13'!Y388)</f>
        <v>0</v>
      </c>
      <c r="Z388" s="93">
        <f>SUM('31:13'!Z388)</f>
        <v>0</v>
      </c>
      <c r="AA388" s="93">
        <f>SUM('31:13'!AA388)</f>
        <v>0</v>
      </c>
      <c r="AB388" s="25"/>
      <c r="AC388" s="54"/>
      <c r="AD388" s="346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>
      <c r="A389" s="300">
        <v>30100062</v>
      </c>
      <c r="B389" s="61" t="s">
        <v>79</v>
      </c>
      <c r="C389" s="16" t="s">
        <v>66</v>
      </c>
      <c r="D389" s="17">
        <v>5.03</v>
      </c>
      <c r="E389" s="17"/>
      <c r="F389" s="6"/>
      <c r="G389" s="93">
        <f>SUM('31:13'!G389)</f>
        <v>0</v>
      </c>
      <c r="H389" s="339">
        <f t="shared" si="147"/>
        <v>0</v>
      </c>
      <c r="I389" s="93">
        <f>SUM('31:13'!I389)</f>
        <v>0</v>
      </c>
      <c r="J389" s="31" t="str">
        <f t="array" ref="J389">IF(ISERROR(G389/I389),"",G389/I389)</f>
        <v/>
      </c>
      <c r="K389" s="35">
        <f t="array" ref="K389">IF(ISERROR(G389/L389),"",G389/L389)</f>
        <v>0</v>
      </c>
      <c r="L389" s="87">
        <v>56</v>
      </c>
      <c r="M389" s="36">
        <f t="shared" si="152"/>
        <v>0</v>
      </c>
      <c r="N389" s="31">
        <f t="shared" si="156"/>
        <v>0</v>
      </c>
      <c r="O389" s="93">
        <f>SUM('31:13'!O389)</f>
        <v>0</v>
      </c>
      <c r="P389" s="93">
        <f>SUM('31:13'!P389)</f>
        <v>0</v>
      </c>
      <c r="Q389" s="93">
        <f>SUM('31:13'!Q389)</f>
        <v>0</v>
      </c>
      <c r="R389" s="93">
        <f>SUM('31:13'!R389)</f>
        <v>0</v>
      </c>
      <c r="S389" s="93">
        <f>SUM('31:13'!S389)</f>
        <v>0</v>
      </c>
      <c r="T389" s="93">
        <f>SUM('31:13'!T389)</f>
        <v>0</v>
      </c>
      <c r="U389" s="93">
        <f>SUM('31:13'!U389)</f>
        <v>0</v>
      </c>
      <c r="V389" s="206">
        <f t="shared" si="157"/>
        <v>0</v>
      </c>
      <c r="W389" s="33" t="str">
        <f t="shared" si="158"/>
        <v/>
      </c>
      <c r="X389" s="93">
        <f>SUM('31:13'!X389)</f>
        <v>0</v>
      </c>
      <c r="Y389" s="93">
        <f>SUM('31:13'!Y389)</f>
        <v>0</v>
      </c>
      <c r="Z389" s="93">
        <f>SUM('31:13'!Z389)</f>
        <v>0</v>
      </c>
      <c r="AA389" s="93">
        <f>SUM('31:13'!AA389)</f>
        <v>0</v>
      </c>
      <c r="AB389" s="25"/>
      <c r="AC389" s="54"/>
      <c r="AD389" s="346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>
      <c r="A390" s="300">
        <v>30100031</v>
      </c>
      <c r="B390" s="61" t="s">
        <v>79</v>
      </c>
      <c r="C390" s="16" t="s">
        <v>74</v>
      </c>
      <c r="D390" s="17">
        <v>5.03</v>
      </c>
      <c r="E390" s="17"/>
      <c r="F390" s="6"/>
      <c r="G390" s="93">
        <f>SUM('31:13'!G390)</f>
        <v>0</v>
      </c>
      <c r="H390" s="339">
        <f t="shared" si="147"/>
        <v>0</v>
      </c>
      <c r="I390" s="93">
        <f>SUM('31:13'!I390)</f>
        <v>0</v>
      </c>
      <c r="J390" s="31" t="str">
        <f t="array" ref="J390">IF(ISERROR(G390/I390),"",G390/I390)</f>
        <v/>
      </c>
      <c r="K390" s="35">
        <f t="array" ref="K390">IF(ISERROR(G390/L390),"",G390/L390)</f>
        <v>0</v>
      </c>
      <c r="L390" s="87">
        <v>56</v>
      </c>
      <c r="M390" s="36">
        <f t="shared" si="152"/>
        <v>0</v>
      </c>
      <c r="N390" s="31">
        <f t="shared" si="156"/>
        <v>0</v>
      </c>
      <c r="O390" s="93">
        <f>SUM('31:13'!O390)</f>
        <v>0</v>
      </c>
      <c r="P390" s="93">
        <f>SUM('31:13'!P390)</f>
        <v>0</v>
      </c>
      <c r="Q390" s="93">
        <f>SUM('31:13'!Q390)</f>
        <v>0</v>
      </c>
      <c r="R390" s="93">
        <f>SUM('31:13'!R390)</f>
        <v>0</v>
      </c>
      <c r="S390" s="93">
        <f>SUM('31:13'!S390)</f>
        <v>0</v>
      </c>
      <c r="T390" s="93">
        <f>SUM('31:13'!T390)</f>
        <v>0</v>
      </c>
      <c r="U390" s="93">
        <f>SUM('31:13'!U390)</f>
        <v>0</v>
      </c>
      <c r="V390" s="206">
        <f t="shared" si="157"/>
        <v>0</v>
      </c>
      <c r="W390" s="33" t="str">
        <f t="shared" si="158"/>
        <v/>
      </c>
      <c r="X390" s="93">
        <f>SUM('31:13'!X390)</f>
        <v>0</v>
      </c>
      <c r="Y390" s="93">
        <f>SUM('31:13'!Y390)</f>
        <v>0</v>
      </c>
      <c r="Z390" s="93">
        <f>SUM('31:13'!Z390)</f>
        <v>0</v>
      </c>
      <c r="AA390" s="93">
        <f>SUM('31:13'!AA390)</f>
        <v>0</v>
      </c>
      <c r="AB390" s="25"/>
      <c r="AC390" s="54"/>
      <c r="AD390" s="346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>
      <c r="A391" s="300">
        <v>30100019</v>
      </c>
      <c r="B391" s="61" t="s">
        <v>385</v>
      </c>
      <c r="C391" s="16" t="s">
        <v>386</v>
      </c>
      <c r="D391" s="17">
        <v>5.03</v>
      </c>
      <c r="E391" s="17"/>
      <c r="F391" s="6"/>
      <c r="G391" s="93">
        <f>SUM('31:13'!G391)</f>
        <v>0</v>
      </c>
      <c r="H391" s="339">
        <f t="shared" si="147"/>
        <v>0</v>
      </c>
      <c r="I391" s="93">
        <f>SUM('31:13'!I391)</f>
        <v>0</v>
      </c>
      <c r="J391" s="31"/>
      <c r="K391" s="35">
        <f t="array" ref="K391">IF(ISERROR(G391/L391),"",G391/L391)</f>
        <v>0</v>
      </c>
      <c r="L391" s="87">
        <v>54</v>
      </c>
      <c r="M391" s="36">
        <f t="shared" si="152"/>
        <v>0</v>
      </c>
      <c r="N391" s="31">
        <f t="shared" si="156"/>
        <v>0</v>
      </c>
      <c r="O391" s="93">
        <f>SUM('31:13'!O391)</f>
        <v>0</v>
      </c>
      <c r="P391" s="93">
        <f>SUM('31:13'!P391)</f>
        <v>0</v>
      </c>
      <c r="Q391" s="93">
        <f>SUM('31:13'!Q391)</f>
        <v>0</v>
      </c>
      <c r="R391" s="93">
        <f>SUM('31:13'!R391)</f>
        <v>0</v>
      </c>
      <c r="S391" s="93">
        <f>SUM('31:13'!S391)</f>
        <v>0</v>
      </c>
      <c r="T391" s="93">
        <f>SUM('31:13'!T391)</f>
        <v>0</v>
      </c>
      <c r="U391" s="93">
        <f>SUM('31:13'!U391)</f>
        <v>0</v>
      </c>
      <c r="V391" s="206"/>
      <c r="W391" s="33"/>
      <c r="X391" s="93">
        <f>SUM('31:13'!X391)</f>
        <v>0</v>
      </c>
      <c r="Y391" s="93">
        <f>SUM('31:13'!Y391)</f>
        <v>0</v>
      </c>
      <c r="Z391" s="93">
        <f>SUM('31:13'!Z391)</f>
        <v>0</v>
      </c>
      <c r="AA391" s="93">
        <f>SUM('31:13'!AA391)</f>
        <v>0</v>
      </c>
      <c r="AB391" s="25"/>
      <c r="AC391" s="54"/>
      <c r="AD391" s="346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>
      <c r="A392" s="300">
        <v>30100020</v>
      </c>
      <c r="B392" s="61" t="s">
        <v>385</v>
      </c>
      <c r="C392" s="16" t="s">
        <v>387</v>
      </c>
      <c r="D392" s="17">
        <v>5.03</v>
      </c>
      <c r="E392" s="17"/>
      <c r="F392" s="6"/>
      <c r="G392" s="93">
        <f>SUM('31:13'!G392)</f>
        <v>0</v>
      </c>
      <c r="H392" s="339">
        <f t="shared" si="147"/>
        <v>0</v>
      </c>
      <c r="I392" s="93">
        <f>SUM('31:13'!I392)</f>
        <v>0</v>
      </c>
      <c r="J392" s="31"/>
      <c r="K392" s="35">
        <f t="array" ref="K392">IF(ISERROR(G392/L392),"",G392/L392)</f>
        <v>0</v>
      </c>
      <c r="L392" s="87">
        <v>54</v>
      </c>
      <c r="M392" s="36">
        <f t="shared" si="152"/>
        <v>0</v>
      </c>
      <c r="N392" s="31">
        <f t="shared" si="156"/>
        <v>0</v>
      </c>
      <c r="O392" s="93">
        <f>SUM('31:13'!O392)</f>
        <v>0</v>
      </c>
      <c r="P392" s="93">
        <f>SUM('31:13'!P392)</f>
        <v>0</v>
      </c>
      <c r="Q392" s="93">
        <f>SUM('31:13'!Q392)</f>
        <v>0</v>
      </c>
      <c r="R392" s="93">
        <f>SUM('31:13'!R392)</f>
        <v>0</v>
      </c>
      <c r="S392" s="93">
        <f>SUM('31:13'!S392)</f>
        <v>0</v>
      </c>
      <c r="T392" s="93">
        <f>SUM('31:13'!T392)</f>
        <v>0</v>
      </c>
      <c r="U392" s="93">
        <f>SUM('31:13'!U392)</f>
        <v>0</v>
      </c>
      <c r="V392" s="206"/>
      <c r="W392" s="33"/>
      <c r="X392" s="93">
        <f>SUM('31:13'!X392)</f>
        <v>0</v>
      </c>
      <c r="Y392" s="93">
        <f>SUM('31:13'!Y392)</f>
        <v>0</v>
      </c>
      <c r="Z392" s="93">
        <f>SUM('31:13'!Z392)</f>
        <v>0</v>
      </c>
      <c r="AA392" s="93">
        <f>SUM('31:13'!AA392)</f>
        <v>0</v>
      </c>
      <c r="AB392" s="25"/>
      <c r="AC392" s="54"/>
      <c r="AD392" s="346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>
      <c r="A393" s="300">
        <v>30100021</v>
      </c>
      <c r="B393" s="190" t="s">
        <v>388</v>
      </c>
      <c r="C393" s="16" t="s">
        <v>390</v>
      </c>
      <c r="D393" s="17">
        <v>5.03</v>
      </c>
      <c r="E393" s="17"/>
      <c r="F393" s="6"/>
      <c r="G393" s="93">
        <f>SUM('31:13'!G393)</f>
        <v>0</v>
      </c>
      <c r="H393" s="339">
        <f t="shared" si="147"/>
        <v>0</v>
      </c>
      <c r="I393" s="93">
        <f>SUM('31:13'!I393)</f>
        <v>0</v>
      </c>
      <c r="J393" s="31"/>
      <c r="K393" s="35">
        <f t="array" ref="K393">IF(ISERROR(G393/L393),"",G393/L393)</f>
        <v>0</v>
      </c>
      <c r="L393" s="87">
        <v>54</v>
      </c>
      <c r="M393" s="36">
        <f t="shared" si="152"/>
        <v>0</v>
      </c>
      <c r="N393" s="31">
        <f t="shared" si="156"/>
        <v>0</v>
      </c>
      <c r="O393" s="93">
        <f>SUM('31:13'!O393)</f>
        <v>0</v>
      </c>
      <c r="P393" s="93">
        <f>SUM('31:13'!P393)</f>
        <v>0</v>
      </c>
      <c r="Q393" s="93">
        <f>SUM('31:13'!Q393)</f>
        <v>0</v>
      </c>
      <c r="R393" s="93">
        <f>SUM('31:13'!R393)</f>
        <v>0</v>
      </c>
      <c r="S393" s="93">
        <f>SUM('31:13'!S393)</f>
        <v>0</v>
      </c>
      <c r="T393" s="93">
        <f>SUM('31:13'!T393)</f>
        <v>0</v>
      </c>
      <c r="U393" s="93">
        <f>SUM('31:13'!U393)</f>
        <v>0</v>
      </c>
      <c r="V393" s="206"/>
      <c r="W393" s="33"/>
      <c r="X393" s="93">
        <f>SUM('31:13'!X393)</f>
        <v>0</v>
      </c>
      <c r="Y393" s="93">
        <f>SUM('31:13'!Y393)</f>
        <v>0</v>
      </c>
      <c r="Z393" s="93">
        <f>SUM('31:13'!Z393)</f>
        <v>0</v>
      </c>
      <c r="AA393" s="93">
        <f>SUM('31:13'!AA393)</f>
        <v>0</v>
      </c>
      <c r="AB393" s="25"/>
      <c r="AC393" s="54"/>
      <c r="AD393" s="346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>
      <c r="A394" s="300">
        <v>30100018</v>
      </c>
      <c r="B394" s="190" t="s">
        <v>388</v>
      </c>
      <c r="C394" s="16" t="s">
        <v>392</v>
      </c>
      <c r="D394" s="17">
        <v>5.03</v>
      </c>
      <c r="E394" s="17"/>
      <c r="F394" s="6"/>
      <c r="G394" s="93">
        <f>SUM('31:13'!G394)</f>
        <v>0</v>
      </c>
      <c r="H394" s="339">
        <f t="shared" si="147"/>
        <v>0</v>
      </c>
      <c r="I394" s="93">
        <f>SUM('31:13'!I394)</f>
        <v>0</v>
      </c>
      <c r="J394" s="31"/>
      <c r="K394" s="35">
        <f t="array" ref="K394">IF(ISERROR(G394/L394),"",G394/L394)</f>
        <v>0</v>
      </c>
      <c r="L394" s="87">
        <v>54</v>
      </c>
      <c r="M394" s="36">
        <f t="shared" si="152"/>
        <v>0</v>
      </c>
      <c r="N394" s="31">
        <f t="shared" si="156"/>
        <v>0</v>
      </c>
      <c r="O394" s="93">
        <f>SUM('31:13'!O394)</f>
        <v>0</v>
      </c>
      <c r="P394" s="93">
        <f>SUM('31:13'!P394)</f>
        <v>0</v>
      </c>
      <c r="Q394" s="93">
        <f>SUM('31:13'!Q394)</f>
        <v>0</v>
      </c>
      <c r="R394" s="93">
        <f>SUM('31:13'!R394)</f>
        <v>0</v>
      </c>
      <c r="S394" s="93">
        <f>SUM('31:13'!S394)</f>
        <v>0</v>
      </c>
      <c r="T394" s="93">
        <f>SUM('31:13'!T394)</f>
        <v>0</v>
      </c>
      <c r="U394" s="93">
        <f>SUM('31:13'!U394)</f>
        <v>0</v>
      </c>
      <c r="V394" s="206"/>
      <c r="W394" s="33"/>
      <c r="X394" s="93">
        <f>SUM('31:13'!X394)</f>
        <v>0</v>
      </c>
      <c r="Y394" s="93">
        <f>SUM('31:13'!Y394)</f>
        <v>0</v>
      </c>
      <c r="Z394" s="93">
        <f>SUM('31:13'!Z394)</f>
        <v>0</v>
      </c>
      <c r="AA394" s="93">
        <f>SUM('31:13'!AA394)</f>
        <v>0</v>
      </c>
      <c r="AB394" s="25"/>
      <c r="AC394" s="54"/>
      <c r="AD394" s="346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>
      <c r="A395" s="303">
        <v>30700007</v>
      </c>
      <c r="B395" s="190" t="s">
        <v>424</v>
      </c>
      <c r="C395" s="187" t="s">
        <v>364</v>
      </c>
      <c r="D395" s="17">
        <v>5.03</v>
      </c>
      <c r="E395" s="17"/>
      <c r="F395" s="6"/>
      <c r="G395" s="93">
        <f>SUM('31:13'!G395)</f>
        <v>0</v>
      </c>
      <c r="H395" s="339">
        <f t="shared" si="147"/>
        <v>0</v>
      </c>
      <c r="I395" s="93">
        <f>SUM('31:13'!I395)</f>
        <v>0</v>
      </c>
      <c r="J395" s="31"/>
      <c r="K395" s="35">
        <f t="array" ref="K395">IF(ISERROR(G395/L395),"",G395/L395)</f>
        <v>0</v>
      </c>
      <c r="L395" s="87">
        <v>4</v>
      </c>
      <c r="M395" s="36">
        <f t="shared" si="152"/>
        <v>0</v>
      </c>
      <c r="N395" s="31"/>
      <c r="O395" s="93">
        <f>SUM('31:13'!O395)</f>
        <v>0</v>
      </c>
      <c r="P395" s="93">
        <f>SUM('31:13'!P395)</f>
        <v>0</v>
      </c>
      <c r="Q395" s="93">
        <f>SUM('31:13'!Q395)</f>
        <v>0</v>
      </c>
      <c r="R395" s="93">
        <f>SUM('31:13'!R395)</f>
        <v>0</v>
      </c>
      <c r="S395" s="93">
        <f>SUM('31:13'!S395)</f>
        <v>0</v>
      </c>
      <c r="T395" s="93">
        <f>SUM('31:13'!T395)</f>
        <v>0</v>
      </c>
      <c r="U395" s="93">
        <f>SUM('31:13'!U395)</f>
        <v>0</v>
      </c>
      <c r="V395" s="206"/>
      <c r="W395" s="33"/>
      <c r="X395" s="93">
        <f>SUM('31:13'!X395)</f>
        <v>0</v>
      </c>
      <c r="Y395" s="93">
        <f>SUM('31:13'!Y395)</f>
        <v>0</v>
      </c>
      <c r="Z395" s="93">
        <f>SUM('31:13'!Z395)</f>
        <v>0</v>
      </c>
      <c r="AA395" s="93">
        <f>SUM('31:13'!AA395)</f>
        <v>0</v>
      </c>
      <c r="AB395" s="25"/>
      <c r="AC395" s="54"/>
      <c r="AD395" s="346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>
      <c r="A396" s="303">
        <v>30700006</v>
      </c>
      <c r="B396" s="190" t="s">
        <v>424</v>
      </c>
      <c r="C396" s="187" t="s">
        <v>365</v>
      </c>
      <c r="D396" s="17">
        <v>5.03</v>
      </c>
      <c r="E396" s="17"/>
      <c r="F396" s="6"/>
      <c r="G396" s="93">
        <f>SUM('31:13'!G396)</f>
        <v>0</v>
      </c>
      <c r="H396" s="339">
        <f t="shared" si="147"/>
        <v>0</v>
      </c>
      <c r="I396" s="93">
        <f>SUM('31:13'!I396)</f>
        <v>0</v>
      </c>
      <c r="J396" s="31"/>
      <c r="K396" s="35">
        <f t="array" ref="K396">IF(ISERROR(G396/L396),"",G396/L396)</f>
        <v>0</v>
      </c>
      <c r="L396" s="87">
        <v>4</v>
      </c>
      <c r="M396" s="36">
        <f t="shared" si="152"/>
        <v>0</v>
      </c>
      <c r="N396" s="31"/>
      <c r="O396" s="93">
        <f>SUM('31:13'!O396)</f>
        <v>0</v>
      </c>
      <c r="P396" s="93">
        <f>SUM('31:13'!P396)</f>
        <v>0</v>
      </c>
      <c r="Q396" s="93">
        <f>SUM('31:13'!Q396)</f>
        <v>0</v>
      </c>
      <c r="R396" s="93">
        <f>SUM('31:13'!R396)</f>
        <v>0</v>
      </c>
      <c r="S396" s="93">
        <f>SUM('31:13'!S396)</f>
        <v>0</v>
      </c>
      <c r="T396" s="93">
        <f>SUM('31:13'!T396)</f>
        <v>0</v>
      </c>
      <c r="U396" s="93">
        <f>SUM('31:13'!U396)</f>
        <v>0</v>
      </c>
      <c r="V396" s="206"/>
      <c r="W396" s="33"/>
      <c r="X396" s="93">
        <f>SUM('31:13'!X396)</f>
        <v>0</v>
      </c>
      <c r="Y396" s="93">
        <f>SUM('31:13'!Y396)</f>
        <v>0</v>
      </c>
      <c r="Z396" s="93">
        <f>SUM('31:13'!Z396)</f>
        <v>0</v>
      </c>
      <c r="AA396" s="93">
        <f>SUM('31:13'!AA396)</f>
        <v>0</v>
      </c>
      <c r="AB396" s="25"/>
      <c r="AC396" s="54"/>
      <c r="AD396" s="346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>
      <c r="A397" s="303">
        <v>30700008</v>
      </c>
      <c r="B397" s="190" t="s">
        <v>424</v>
      </c>
      <c r="C397" s="187" t="s">
        <v>366</v>
      </c>
      <c r="D397" s="17">
        <v>5.03</v>
      </c>
      <c r="E397" s="17"/>
      <c r="F397" s="6"/>
      <c r="G397" s="93">
        <f>SUM('31:13'!G397)</f>
        <v>0</v>
      </c>
      <c r="H397" s="339">
        <f t="shared" si="147"/>
        <v>0</v>
      </c>
      <c r="I397" s="93">
        <f>SUM('31:13'!I397)</f>
        <v>0</v>
      </c>
      <c r="J397" s="31"/>
      <c r="K397" s="35">
        <f t="array" ref="K397">IF(ISERROR(G397/L397),"",G397/L397)</f>
        <v>0</v>
      </c>
      <c r="L397" s="87">
        <v>4</v>
      </c>
      <c r="M397" s="36">
        <f t="shared" si="152"/>
        <v>0</v>
      </c>
      <c r="N397" s="31"/>
      <c r="O397" s="93">
        <f>SUM('31:13'!O397)</f>
        <v>0</v>
      </c>
      <c r="P397" s="93">
        <f>SUM('31:13'!P397)</f>
        <v>0</v>
      </c>
      <c r="Q397" s="93">
        <f>SUM('31:13'!Q397)</f>
        <v>0</v>
      </c>
      <c r="R397" s="93">
        <f>SUM('31:13'!R397)</f>
        <v>0</v>
      </c>
      <c r="S397" s="93">
        <f>SUM('31:13'!S397)</f>
        <v>0</v>
      </c>
      <c r="T397" s="93">
        <f>SUM('31:13'!T397)</f>
        <v>0</v>
      </c>
      <c r="U397" s="93">
        <f>SUM('31:13'!U397)</f>
        <v>0</v>
      </c>
      <c r="V397" s="206"/>
      <c r="W397" s="33"/>
      <c r="X397" s="93">
        <f>SUM('31:13'!X397)</f>
        <v>0</v>
      </c>
      <c r="Y397" s="93">
        <f>SUM('31:13'!Y397)</f>
        <v>0</v>
      </c>
      <c r="Z397" s="93">
        <f>SUM('31:13'!Z397)</f>
        <v>0</v>
      </c>
      <c r="AA397" s="93">
        <f>SUM('31:13'!AA397)</f>
        <v>0</v>
      </c>
      <c r="AB397" s="25"/>
      <c r="AC397" s="54"/>
      <c r="AD397" s="346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>
      <c r="A398" s="303">
        <v>30700009</v>
      </c>
      <c r="B398" s="190" t="s">
        <v>424</v>
      </c>
      <c r="C398" s="187" t="s">
        <v>367</v>
      </c>
      <c r="D398" s="17">
        <v>5.03</v>
      </c>
      <c r="E398" s="17"/>
      <c r="F398" s="6"/>
      <c r="G398" s="93">
        <f>SUM('31:13'!G398)</f>
        <v>0</v>
      </c>
      <c r="H398" s="339">
        <f t="shared" si="147"/>
        <v>0</v>
      </c>
      <c r="I398" s="93">
        <f>SUM('31:13'!I398)</f>
        <v>0</v>
      </c>
      <c r="J398" s="31"/>
      <c r="K398" s="35">
        <f t="array" ref="K398">IF(ISERROR(G398/L398),"",G398/L398)</f>
        <v>0</v>
      </c>
      <c r="L398" s="87">
        <v>4</v>
      </c>
      <c r="M398" s="36">
        <f t="shared" si="152"/>
        <v>0</v>
      </c>
      <c r="N398" s="31"/>
      <c r="O398" s="93">
        <f>SUM('31:13'!O398)</f>
        <v>0</v>
      </c>
      <c r="P398" s="93">
        <f>SUM('31:13'!P398)</f>
        <v>0</v>
      </c>
      <c r="Q398" s="93">
        <f>SUM('31:13'!Q398)</f>
        <v>0</v>
      </c>
      <c r="R398" s="93">
        <f>SUM('31:13'!R398)</f>
        <v>0</v>
      </c>
      <c r="S398" s="93">
        <f>SUM('31:13'!S398)</f>
        <v>0</v>
      </c>
      <c r="T398" s="93">
        <f>SUM('31:13'!T398)</f>
        <v>0</v>
      </c>
      <c r="U398" s="93">
        <f>SUM('31:13'!U398)</f>
        <v>0</v>
      </c>
      <c r="V398" s="206"/>
      <c r="W398" s="33"/>
      <c r="X398" s="93">
        <f>SUM('31:13'!X398)</f>
        <v>0</v>
      </c>
      <c r="Y398" s="93">
        <f>SUM('31:13'!Y398)</f>
        <v>0</v>
      </c>
      <c r="Z398" s="93">
        <f>SUM('31:13'!Z398)</f>
        <v>0</v>
      </c>
      <c r="AA398" s="93">
        <f>SUM('31:13'!AA398)</f>
        <v>0</v>
      </c>
      <c r="AB398" s="25"/>
      <c r="AC398" s="54"/>
      <c r="AD398" s="346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>
      <c r="A399" s="300">
        <v>30100036</v>
      </c>
      <c r="B399" s="62" t="s">
        <v>80</v>
      </c>
      <c r="C399" s="16" t="s">
        <v>61</v>
      </c>
      <c r="D399" s="17">
        <v>5.03</v>
      </c>
      <c r="E399" s="17"/>
      <c r="F399" s="6"/>
      <c r="G399" s="93">
        <f>SUM('31:13'!G399)</f>
        <v>0</v>
      </c>
      <c r="H399" s="339">
        <f t="shared" si="147"/>
        <v>0</v>
      </c>
      <c r="I399" s="93">
        <f>SUM('31:13'!I399)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87">
        <v>40</v>
      </c>
      <c r="M399" s="36">
        <f t="shared" si="152"/>
        <v>0</v>
      </c>
      <c r="N399" s="31">
        <f t="shared" ref="N399:N408" si="159">SUM(O399:U399)</f>
        <v>0</v>
      </c>
      <c r="O399" s="93">
        <f>SUM('31:13'!O399)</f>
        <v>0</v>
      </c>
      <c r="P399" s="93">
        <f>SUM('31:13'!P399)</f>
        <v>0</v>
      </c>
      <c r="Q399" s="93">
        <f>SUM('31:13'!Q399)</f>
        <v>0</v>
      </c>
      <c r="R399" s="93">
        <f>SUM('31:13'!R399)</f>
        <v>0</v>
      </c>
      <c r="S399" s="93">
        <f>SUM('31:13'!S399)</f>
        <v>0</v>
      </c>
      <c r="T399" s="93">
        <f>SUM('31:13'!T399)</f>
        <v>0</v>
      </c>
      <c r="U399" s="93">
        <f>SUM('31:13'!U399)</f>
        <v>0</v>
      </c>
      <c r="V399" s="206">
        <f t="shared" ref="V399:V408" si="160">SUM(X399:AA399)</f>
        <v>0</v>
      </c>
      <c r="W399" s="33" t="str">
        <f t="shared" ref="W399:W408" si="161">IF(ISERROR(V399/G399),"",V399/G399)</f>
        <v/>
      </c>
      <c r="X399" s="93">
        <f>SUM('31:13'!X399)</f>
        <v>0</v>
      </c>
      <c r="Y399" s="93">
        <f>SUM('31:13'!Y399)</f>
        <v>0</v>
      </c>
      <c r="Z399" s="93">
        <f>SUM('31:13'!Z399)</f>
        <v>0</v>
      </c>
      <c r="AA399" s="93">
        <f>SUM('31:13'!AA399)</f>
        <v>0</v>
      </c>
      <c r="AB399" s="73"/>
      <c r="AC399" s="54"/>
      <c r="AD399" s="346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>
      <c r="A400" s="300">
        <v>30100034</v>
      </c>
      <c r="B400" s="62" t="s">
        <v>80</v>
      </c>
      <c r="C400" s="16" t="s">
        <v>60</v>
      </c>
      <c r="D400" s="17">
        <v>5.03</v>
      </c>
      <c r="E400" s="17"/>
      <c r="F400" s="6"/>
      <c r="G400" s="93">
        <f>SUM('31:13'!G400)</f>
        <v>0</v>
      </c>
      <c r="H400" s="339">
        <f t="shared" si="147"/>
        <v>0</v>
      </c>
      <c r="I400" s="93">
        <f>SUM('31:13'!I400)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87">
        <v>40</v>
      </c>
      <c r="M400" s="36">
        <f t="shared" si="152"/>
        <v>0</v>
      </c>
      <c r="N400" s="31">
        <f t="shared" si="159"/>
        <v>0</v>
      </c>
      <c r="O400" s="93">
        <f>SUM('31:13'!O400)</f>
        <v>0</v>
      </c>
      <c r="P400" s="93">
        <f>SUM('31:13'!P400)</f>
        <v>0</v>
      </c>
      <c r="Q400" s="93">
        <f>SUM('31:13'!Q400)</f>
        <v>0</v>
      </c>
      <c r="R400" s="93">
        <f>SUM('31:13'!R400)</f>
        <v>0</v>
      </c>
      <c r="S400" s="93">
        <f>SUM('31:13'!S400)</f>
        <v>0</v>
      </c>
      <c r="T400" s="93">
        <f>SUM('31:13'!T400)</f>
        <v>0</v>
      </c>
      <c r="U400" s="93">
        <f>SUM('31:13'!U400)</f>
        <v>0</v>
      </c>
      <c r="V400" s="206">
        <f t="shared" si="160"/>
        <v>0</v>
      </c>
      <c r="W400" s="33" t="str">
        <f t="shared" si="161"/>
        <v/>
      </c>
      <c r="X400" s="93">
        <f>SUM('31:13'!X400)</f>
        <v>0</v>
      </c>
      <c r="Y400" s="93">
        <f>SUM('31:13'!Y400)</f>
        <v>0</v>
      </c>
      <c r="Z400" s="93">
        <f>SUM('31:13'!Z400)</f>
        <v>0</v>
      </c>
      <c r="AA400" s="93">
        <f>SUM('31:13'!AA400)</f>
        <v>0</v>
      </c>
      <c r="AB400" s="73"/>
      <c r="AC400" s="54"/>
      <c r="AD400" s="346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>
      <c r="A401" s="300">
        <v>30100035</v>
      </c>
      <c r="B401" s="62" t="s">
        <v>80</v>
      </c>
      <c r="C401" s="16" t="s">
        <v>65</v>
      </c>
      <c r="D401" s="17">
        <v>5.03</v>
      </c>
      <c r="E401" s="17"/>
      <c r="F401" s="6"/>
      <c r="G401" s="93">
        <f>SUM('31:13'!G401)</f>
        <v>0</v>
      </c>
      <c r="H401" s="339">
        <f t="shared" si="147"/>
        <v>0</v>
      </c>
      <c r="I401" s="93">
        <f>SUM('31:13'!I401)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87">
        <v>40</v>
      </c>
      <c r="M401" s="36">
        <f t="shared" si="152"/>
        <v>0</v>
      </c>
      <c r="N401" s="31">
        <f t="shared" si="159"/>
        <v>0</v>
      </c>
      <c r="O401" s="93">
        <f>SUM('31:13'!O401)</f>
        <v>0</v>
      </c>
      <c r="P401" s="93">
        <f>SUM('31:13'!P401)</f>
        <v>0</v>
      </c>
      <c r="Q401" s="93">
        <f>SUM('31:13'!Q401)</f>
        <v>0</v>
      </c>
      <c r="R401" s="93">
        <f>SUM('31:13'!R401)</f>
        <v>0</v>
      </c>
      <c r="S401" s="93">
        <f>SUM('31:13'!S401)</f>
        <v>0</v>
      </c>
      <c r="T401" s="93">
        <f>SUM('31:13'!T401)</f>
        <v>0</v>
      </c>
      <c r="U401" s="93">
        <f>SUM('31:13'!U401)</f>
        <v>0</v>
      </c>
      <c r="V401" s="206">
        <f t="shared" si="160"/>
        <v>0</v>
      </c>
      <c r="W401" s="33" t="str">
        <f t="shared" si="161"/>
        <v/>
      </c>
      <c r="X401" s="93">
        <f>SUM('31:13'!X401)</f>
        <v>0</v>
      </c>
      <c r="Y401" s="93">
        <f>SUM('31:13'!Y401)</f>
        <v>0</v>
      </c>
      <c r="Z401" s="93">
        <f>SUM('31:13'!Z401)</f>
        <v>0</v>
      </c>
      <c r="AA401" s="93">
        <f>SUM('31:13'!AA401)</f>
        <v>0</v>
      </c>
      <c r="AB401" s="73"/>
      <c r="AC401" s="54"/>
      <c r="AD401" s="346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>
      <c r="A402" s="300">
        <v>30100040</v>
      </c>
      <c r="B402" s="62" t="s">
        <v>81</v>
      </c>
      <c r="C402" s="16" t="s">
        <v>82</v>
      </c>
      <c r="D402" s="17">
        <v>5.03</v>
      </c>
      <c r="E402" s="17"/>
      <c r="F402" s="6"/>
      <c r="G402" s="93">
        <f>SUM('31:13'!G402)</f>
        <v>0</v>
      </c>
      <c r="H402" s="339">
        <f t="shared" si="147"/>
        <v>0</v>
      </c>
      <c r="I402" s="93">
        <f>SUM('31:13'!I402)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87">
        <v>50</v>
      </c>
      <c r="M402" s="36">
        <f t="shared" si="152"/>
        <v>0</v>
      </c>
      <c r="N402" s="31">
        <f t="shared" si="159"/>
        <v>0</v>
      </c>
      <c r="O402" s="93">
        <f>SUM('31:13'!O402)</f>
        <v>0</v>
      </c>
      <c r="P402" s="93">
        <f>SUM('31:13'!P402)</f>
        <v>0</v>
      </c>
      <c r="Q402" s="93">
        <f>SUM('31:13'!Q402)</f>
        <v>0</v>
      </c>
      <c r="R402" s="93">
        <f>SUM('31:13'!R402)</f>
        <v>0</v>
      </c>
      <c r="S402" s="93">
        <f>SUM('31:13'!S402)</f>
        <v>0</v>
      </c>
      <c r="T402" s="93">
        <f>SUM('31:13'!T402)</f>
        <v>0</v>
      </c>
      <c r="U402" s="93">
        <f>SUM('31:13'!U402)</f>
        <v>0</v>
      </c>
      <c r="V402" s="206">
        <f t="shared" si="160"/>
        <v>0</v>
      </c>
      <c r="W402" s="33" t="str">
        <f t="shared" si="161"/>
        <v/>
      </c>
      <c r="X402" s="93">
        <f>SUM('31:13'!X402)</f>
        <v>0</v>
      </c>
      <c r="Y402" s="93">
        <f>SUM('31:13'!Y402)</f>
        <v>0</v>
      </c>
      <c r="Z402" s="93">
        <f>SUM('31:13'!Z402)</f>
        <v>0</v>
      </c>
      <c r="AA402" s="93">
        <f>SUM('31:13'!AA402)</f>
        <v>0</v>
      </c>
      <c r="AB402" s="73"/>
      <c r="AC402" s="54"/>
      <c r="AD402" s="346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>
      <c r="A403" s="300">
        <v>30100039</v>
      </c>
      <c r="B403" s="62" t="s">
        <v>81</v>
      </c>
      <c r="C403" s="16" t="s">
        <v>60</v>
      </c>
      <c r="D403" s="17">
        <v>5.03</v>
      </c>
      <c r="E403" s="17"/>
      <c r="F403" s="6"/>
      <c r="G403" s="93">
        <f>SUM('31:13'!G403)</f>
        <v>0</v>
      </c>
      <c r="H403" s="339">
        <f t="shared" si="147"/>
        <v>0</v>
      </c>
      <c r="I403" s="93">
        <f>SUM('31:13'!I403)</f>
        <v>0</v>
      </c>
      <c r="J403" s="31" t="str">
        <f t="array" ref="J403">IF(ISERROR(G403/I403),"",G403/I403)</f>
        <v/>
      </c>
      <c r="K403" s="35">
        <f t="array" ref="K403">IF(ISERROR(G403/L403),"",G403/L403)</f>
        <v>0</v>
      </c>
      <c r="L403" s="87">
        <v>50</v>
      </c>
      <c r="M403" s="36">
        <f t="shared" si="152"/>
        <v>0</v>
      </c>
      <c r="N403" s="31">
        <f t="shared" si="159"/>
        <v>0</v>
      </c>
      <c r="O403" s="93">
        <f>SUM('31:13'!O403)</f>
        <v>0</v>
      </c>
      <c r="P403" s="93">
        <f>SUM('31:13'!P403)</f>
        <v>0</v>
      </c>
      <c r="Q403" s="93">
        <f>SUM('31:13'!Q403)</f>
        <v>0</v>
      </c>
      <c r="R403" s="93">
        <f>SUM('31:13'!R403)</f>
        <v>0</v>
      </c>
      <c r="S403" s="93">
        <f>SUM('31:13'!S403)</f>
        <v>0</v>
      </c>
      <c r="T403" s="93">
        <f>SUM('31:13'!T403)</f>
        <v>0</v>
      </c>
      <c r="U403" s="93">
        <f>SUM('31:13'!U403)</f>
        <v>0</v>
      </c>
      <c r="V403" s="206">
        <f t="shared" si="160"/>
        <v>0</v>
      </c>
      <c r="W403" s="33" t="str">
        <f t="shared" si="161"/>
        <v/>
      </c>
      <c r="X403" s="93">
        <f>SUM('31:13'!X403)</f>
        <v>0</v>
      </c>
      <c r="Y403" s="93">
        <f>SUM('31:13'!Y403)</f>
        <v>0</v>
      </c>
      <c r="Z403" s="93">
        <f>SUM('31:13'!Z403)</f>
        <v>0</v>
      </c>
      <c r="AA403" s="93">
        <f>SUM('31:13'!AA403)</f>
        <v>0</v>
      </c>
      <c r="AB403" s="73"/>
      <c r="AC403" s="54"/>
      <c r="AD403" s="346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>
      <c r="A404" s="300">
        <v>30100042</v>
      </c>
      <c r="B404" s="62" t="s">
        <v>81</v>
      </c>
      <c r="C404" s="16" t="s">
        <v>61</v>
      </c>
      <c r="D404" s="17">
        <v>5.03</v>
      </c>
      <c r="E404" s="17"/>
      <c r="F404" s="6"/>
      <c r="G404" s="93">
        <f>SUM('31:13'!G404)</f>
        <v>0</v>
      </c>
      <c r="H404" s="339">
        <f t="shared" si="147"/>
        <v>0</v>
      </c>
      <c r="I404" s="93">
        <f>SUM('31:13'!I404)</f>
        <v>0</v>
      </c>
      <c r="J404" s="31" t="str">
        <f t="array" ref="J404">IF(ISERROR(G404/I404),"",G404/I404)</f>
        <v/>
      </c>
      <c r="K404" s="35">
        <f t="array" ref="K404">IF(ISERROR(G404/L404),"",G404/L404)</f>
        <v>0</v>
      </c>
      <c r="L404" s="87">
        <v>50</v>
      </c>
      <c r="M404" s="36">
        <f t="shared" si="152"/>
        <v>0</v>
      </c>
      <c r="N404" s="31">
        <f t="shared" si="159"/>
        <v>0</v>
      </c>
      <c r="O404" s="93">
        <f>SUM('31:13'!O404)</f>
        <v>0</v>
      </c>
      <c r="P404" s="93">
        <f>SUM('31:13'!P404)</f>
        <v>0</v>
      </c>
      <c r="Q404" s="93">
        <f>SUM('31:13'!Q404)</f>
        <v>0</v>
      </c>
      <c r="R404" s="93">
        <f>SUM('31:13'!R404)</f>
        <v>0</v>
      </c>
      <c r="S404" s="93">
        <f>SUM('31:13'!S404)</f>
        <v>0</v>
      </c>
      <c r="T404" s="93">
        <f>SUM('31:13'!T404)</f>
        <v>0</v>
      </c>
      <c r="U404" s="93">
        <f>SUM('31:13'!U404)</f>
        <v>0</v>
      </c>
      <c r="V404" s="206">
        <f t="shared" si="160"/>
        <v>0</v>
      </c>
      <c r="W404" s="33" t="str">
        <f t="shared" si="161"/>
        <v/>
      </c>
      <c r="X404" s="93">
        <f>SUM('31:13'!X404)</f>
        <v>0</v>
      </c>
      <c r="Y404" s="93">
        <f>SUM('31:13'!Y404)</f>
        <v>0</v>
      </c>
      <c r="Z404" s="93">
        <f>SUM('31:13'!Z404)</f>
        <v>0</v>
      </c>
      <c r="AA404" s="93">
        <f>SUM('31:13'!AA404)</f>
        <v>0</v>
      </c>
      <c r="AB404" s="73"/>
      <c r="AC404" s="54"/>
      <c r="AD404" s="346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>
      <c r="A405" s="300">
        <v>30100041</v>
      </c>
      <c r="B405" s="62" t="s">
        <v>81</v>
      </c>
      <c r="C405" s="16" t="s">
        <v>65</v>
      </c>
      <c r="D405" s="17">
        <v>5.03</v>
      </c>
      <c r="E405" s="17"/>
      <c r="F405" s="6"/>
      <c r="G405" s="93">
        <f>SUM('31:13'!G405)</f>
        <v>0</v>
      </c>
      <c r="H405" s="339">
        <f t="shared" si="147"/>
        <v>0</v>
      </c>
      <c r="I405" s="93">
        <f>SUM('31:13'!I405)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87">
        <v>50</v>
      </c>
      <c r="M405" s="36">
        <f t="shared" si="152"/>
        <v>0</v>
      </c>
      <c r="N405" s="31">
        <f t="shared" si="159"/>
        <v>0</v>
      </c>
      <c r="O405" s="93">
        <f>SUM('31:13'!O405)</f>
        <v>0</v>
      </c>
      <c r="P405" s="93">
        <f>SUM('31:13'!P405)</f>
        <v>0</v>
      </c>
      <c r="Q405" s="93">
        <f>SUM('31:13'!Q405)</f>
        <v>0</v>
      </c>
      <c r="R405" s="93">
        <f>SUM('31:13'!R405)</f>
        <v>0</v>
      </c>
      <c r="S405" s="93">
        <f>SUM('31:13'!S405)</f>
        <v>0</v>
      </c>
      <c r="T405" s="93">
        <f>SUM('31:13'!T405)</f>
        <v>0</v>
      </c>
      <c r="U405" s="93">
        <f>SUM('31:13'!U405)</f>
        <v>0</v>
      </c>
      <c r="V405" s="206">
        <f t="shared" si="160"/>
        <v>0</v>
      </c>
      <c r="W405" s="33" t="str">
        <f t="shared" si="161"/>
        <v/>
      </c>
      <c r="X405" s="93">
        <f>SUM('31:13'!X405)</f>
        <v>0</v>
      </c>
      <c r="Y405" s="93">
        <f>SUM('31:13'!Y405)</f>
        <v>0</v>
      </c>
      <c r="Z405" s="93">
        <f>SUM('31:13'!Z405)</f>
        <v>0</v>
      </c>
      <c r="AA405" s="93">
        <f>SUM('31:13'!AA405)</f>
        <v>0</v>
      </c>
      <c r="AB405" s="73"/>
      <c r="AC405" s="54"/>
      <c r="AD405" s="346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>
      <c r="A406" s="300">
        <v>30100045</v>
      </c>
      <c r="B406" s="62" t="s">
        <v>83</v>
      </c>
      <c r="C406" s="16" t="s">
        <v>73</v>
      </c>
      <c r="D406" s="17">
        <v>5.03</v>
      </c>
      <c r="E406" s="17"/>
      <c r="F406" s="6"/>
      <c r="G406" s="93">
        <f>SUM('31:13'!G406)</f>
        <v>0</v>
      </c>
      <c r="H406" s="339">
        <f t="shared" si="147"/>
        <v>0</v>
      </c>
      <c r="I406" s="93">
        <f>SUM('31:13'!I406)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87">
        <v>50</v>
      </c>
      <c r="M406" s="36">
        <f t="shared" si="152"/>
        <v>0</v>
      </c>
      <c r="N406" s="31">
        <f t="shared" si="159"/>
        <v>0</v>
      </c>
      <c r="O406" s="93">
        <f>SUM('31:13'!O406)</f>
        <v>0</v>
      </c>
      <c r="P406" s="93">
        <f>SUM('31:13'!P406)</f>
        <v>0</v>
      </c>
      <c r="Q406" s="93">
        <f>SUM('31:13'!Q406)</f>
        <v>0</v>
      </c>
      <c r="R406" s="93">
        <f>SUM('31:13'!R406)</f>
        <v>0</v>
      </c>
      <c r="S406" s="93">
        <f>SUM('31:13'!S406)</f>
        <v>0</v>
      </c>
      <c r="T406" s="93">
        <f>SUM('31:13'!T406)</f>
        <v>0</v>
      </c>
      <c r="U406" s="93">
        <f>SUM('31:13'!U406)</f>
        <v>0</v>
      </c>
      <c r="V406" s="206">
        <f t="shared" si="160"/>
        <v>0</v>
      </c>
      <c r="W406" s="33" t="str">
        <f t="shared" si="161"/>
        <v/>
      </c>
      <c r="X406" s="93">
        <f>SUM('31:13'!X406)</f>
        <v>0</v>
      </c>
      <c r="Y406" s="93">
        <f>SUM('31:13'!Y406)</f>
        <v>0</v>
      </c>
      <c r="Z406" s="93">
        <f>SUM('31:13'!Z406)</f>
        <v>0</v>
      </c>
      <c r="AA406" s="93">
        <f>SUM('31:13'!AA406)</f>
        <v>0</v>
      </c>
      <c r="AB406" s="73"/>
      <c r="AC406" s="54"/>
      <c r="AD406" s="346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>
      <c r="A407" s="300">
        <v>30100044</v>
      </c>
      <c r="B407" s="62" t="s">
        <v>83</v>
      </c>
      <c r="C407" s="16" t="s">
        <v>61</v>
      </c>
      <c r="D407" s="17">
        <v>5.03</v>
      </c>
      <c r="E407" s="17"/>
      <c r="F407" s="6"/>
      <c r="G407" s="93">
        <f>SUM('31:13'!G407)</f>
        <v>0</v>
      </c>
      <c r="H407" s="339">
        <f t="shared" si="147"/>
        <v>0</v>
      </c>
      <c r="I407" s="93">
        <f>SUM('31:13'!I407)</f>
        <v>0</v>
      </c>
      <c r="J407" s="31" t="str">
        <f t="array" ref="J407">IF(ISERROR(G407/I407),"",G407/I407)</f>
        <v/>
      </c>
      <c r="K407" s="35">
        <f t="array" ref="K407">IF(ISERROR(G407/L407),"",G407/L407)</f>
        <v>0</v>
      </c>
      <c r="L407" s="87">
        <v>50</v>
      </c>
      <c r="M407" s="36">
        <f t="shared" si="152"/>
        <v>0</v>
      </c>
      <c r="N407" s="31">
        <f t="shared" si="159"/>
        <v>0</v>
      </c>
      <c r="O407" s="93">
        <f>SUM('31:13'!O407)</f>
        <v>0</v>
      </c>
      <c r="P407" s="93">
        <f>SUM('31:13'!P407)</f>
        <v>0</v>
      </c>
      <c r="Q407" s="93">
        <f>SUM('31:13'!Q407)</f>
        <v>0</v>
      </c>
      <c r="R407" s="93">
        <f>SUM('31:13'!R407)</f>
        <v>0</v>
      </c>
      <c r="S407" s="93">
        <f>SUM('31:13'!S407)</f>
        <v>0</v>
      </c>
      <c r="T407" s="93">
        <f>SUM('31:13'!T407)</f>
        <v>0</v>
      </c>
      <c r="U407" s="93">
        <f>SUM('31:13'!U407)</f>
        <v>0</v>
      </c>
      <c r="V407" s="206">
        <f t="shared" si="160"/>
        <v>0</v>
      </c>
      <c r="W407" s="33" t="str">
        <f t="shared" si="161"/>
        <v/>
      </c>
      <c r="X407" s="93">
        <f>SUM('31:13'!X407)</f>
        <v>0</v>
      </c>
      <c r="Y407" s="93">
        <f>SUM('31:13'!Y407)</f>
        <v>0</v>
      </c>
      <c r="Z407" s="93">
        <f>SUM('31:13'!Z407)</f>
        <v>0</v>
      </c>
      <c r="AA407" s="93">
        <f>SUM('31:13'!AA407)</f>
        <v>0</v>
      </c>
      <c r="AB407" s="73"/>
      <c r="AC407" s="54"/>
      <c r="AD407" s="346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>
      <c r="A408" s="300">
        <v>30100046</v>
      </c>
      <c r="B408" s="62" t="s">
        <v>83</v>
      </c>
      <c r="C408" s="16" t="s">
        <v>77</v>
      </c>
      <c r="D408" s="17">
        <v>5.03</v>
      </c>
      <c r="E408" s="17"/>
      <c r="F408" s="6"/>
      <c r="G408" s="93">
        <f>SUM('31:13'!G408)</f>
        <v>0</v>
      </c>
      <c r="H408" s="339">
        <f t="shared" si="147"/>
        <v>0</v>
      </c>
      <c r="I408" s="93">
        <f>SUM('31:13'!I408)</f>
        <v>0</v>
      </c>
      <c r="J408" s="31" t="str">
        <f t="array" ref="J408">IF(ISERROR(G408/I408),"",G408/I408)</f>
        <v/>
      </c>
      <c r="K408" s="35">
        <f t="array" ref="K408">IF(ISERROR(G408/L408),"",G408/L408)</f>
        <v>0</v>
      </c>
      <c r="L408" s="87">
        <v>50</v>
      </c>
      <c r="M408" s="36">
        <f t="shared" si="152"/>
        <v>0</v>
      </c>
      <c r="N408" s="31">
        <f t="shared" si="159"/>
        <v>0</v>
      </c>
      <c r="O408" s="93">
        <f>SUM('31:13'!O408)</f>
        <v>0</v>
      </c>
      <c r="P408" s="93">
        <f>SUM('31:13'!P408)</f>
        <v>0</v>
      </c>
      <c r="Q408" s="93">
        <f>SUM('31:13'!Q408)</f>
        <v>0</v>
      </c>
      <c r="R408" s="93">
        <f>SUM('31:13'!R408)</f>
        <v>0</v>
      </c>
      <c r="S408" s="93">
        <f>SUM('31:13'!S408)</f>
        <v>0</v>
      </c>
      <c r="T408" s="93">
        <f>SUM('31:13'!T408)</f>
        <v>0</v>
      </c>
      <c r="U408" s="93">
        <f>SUM('31:13'!U408)</f>
        <v>0</v>
      </c>
      <c r="V408" s="206">
        <f t="shared" si="160"/>
        <v>0</v>
      </c>
      <c r="W408" s="33" t="str">
        <f t="shared" si="161"/>
        <v/>
      </c>
      <c r="X408" s="93">
        <f>SUM('31:13'!X408)</f>
        <v>0</v>
      </c>
      <c r="Y408" s="93">
        <f>SUM('31:13'!Y408)</f>
        <v>0</v>
      </c>
      <c r="Z408" s="93">
        <f>SUM('31:13'!Z408)</f>
        <v>0</v>
      </c>
      <c r="AA408" s="93">
        <f>SUM('31:13'!AA408)</f>
        <v>0</v>
      </c>
      <c r="AB408" s="73"/>
      <c r="AC408" s="54"/>
      <c r="AD408" s="346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>
      <c r="A409" s="300">
        <v>30100043</v>
      </c>
      <c r="B409" s="192" t="s">
        <v>433</v>
      </c>
      <c r="C409" s="187" t="s">
        <v>427</v>
      </c>
      <c r="D409" s="17">
        <v>50.3</v>
      </c>
      <c r="E409" s="17"/>
      <c r="F409" s="6"/>
      <c r="G409" s="93">
        <f>SUM('31:13'!G409)</f>
        <v>0</v>
      </c>
      <c r="H409" s="339">
        <f t="shared" si="147"/>
        <v>0</v>
      </c>
      <c r="I409" s="93"/>
      <c r="J409" s="31"/>
      <c r="K409" s="35">
        <f t="array" ref="K409">IF(ISERROR(G409/L409),"",G409/L409)</f>
        <v>0</v>
      </c>
      <c r="L409" s="87">
        <v>50</v>
      </c>
      <c r="M409" s="36"/>
      <c r="N409" s="31"/>
      <c r="O409" s="93"/>
      <c r="P409" s="93"/>
      <c r="Q409" s="93"/>
      <c r="R409" s="93"/>
      <c r="S409" s="93"/>
      <c r="T409" s="93"/>
      <c r="U409" s="93"/>
      <c r="V409" s="206"/>
      <c r="W409" s="33"/>
      <c r="X409" s="93"/>
      <c r="Y409" s="93"/>
      <c r="Z409" s="93"/>
      <c r="AA409" s="93"/>
      <c r="AB409" s="73"/>
      <c r="AC409" s="54"/>
      <c r="AD409" s="346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>
      <c r="A410" s="300">
        <v>30100064</v>
      </c>
      <c r="B410" s="192" t="s">
        <v>401</v>
      </c>
      <c r="C410" s="187" t="s">
        <v>399</v>
      </c>
      <c r="D410" s="17">
        <v>5</v>
      </c>
      <c r="E410" s="17"/>
      <c r="F410" s="6"/>
      <c r="G410" s="93">
        <f>SUM('31:13'!G410)</f>
        <v>0</v>
      </c>
      <c r="H410" s="339">
        <f t="shared" si="147"/>
        <v>0</v>
      </c>
      <c r="I410" s="93">
        <f>SUM('31:13'!I410)</f>
        <v>0</v>
      </c>
      <c r="J410" s="31"/>
      <c r="K410" s="35"/>
      <c r="L410" s="87">
        <v>50</v>
      </c>
      <c r="M410" s="36"/>
      <c r="N410" s="31"/>
      <c r="O410" s="93">
        <f>SUM('31:13'!O410)</f>
        <v>0</v>
      </c>
      <c r="P410" s="93">
        <f>SUM('31:13'!P410)</f>
        <v>0</v>
      </c>
      <c r="Q410" s="93">
        <f>SUM('31:13'!Q410)</f>
        <v>0</v>
      </c>
      <c r="R410" s="93">
        <f>SUM('31:13'!R410)</f>
        <v>0</v>
      </c>
      <c r="S410" s="93">
        <f>SUM('31:13'!S410)</f>
        <v>0</v>
      </c>
      <c r="T410" s="93">
        <f>SUM('31:13'!T410)</f>
        <v>0</v>
      </c>
      <c r="U410" s="93">
        <f>SUM('31:13'!U410)</f>
        <v>0</v>
      </c>
      <c r="V410" s="206"/>
      <c r="W410" s="33"/>
      <c r="X410" s="93">
        <f>SUM('31:13'!X410)</f>
        <v>0</v>
      </c>
      <c r="Y410" s="93">
        <f>SUM('31:13'!Y410)</f>
        <v>0</v>
      </c>
      <c r="Z410" s="93">
        <f>SUM('31:13'!Z410)</f>
        <v>0</v>
      </c>
      <c r="AA410" s="93">
        <f>SUM('31:13'!AA410)</f>
        <v>0</v>
      </c>
      <c r="AB410" s="73"/>
      <c r="AC410" s="54"/>
      <c r="AD410" s="346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>
      <c r="A411" s="300">
        <v>30100049</v>
      </c>
      <c r="B411" s="62" t="s">
        <v>84</v>
      </c>
      <c r="C411" s="16" t="s">
        <v>64</v>
      </c>
      <c r="D411" s="17">
        <v>5.03</v>
      </c>
      <c r="E411" s="17"/>
      <c r="F411" s="6"/>
      <c r="G411" s="93">
        <f>SUM('31:13'!G411)</f>
        <v>0</v>
      </c>
      <c r="H411" s="339">
        <f t="shared" si="147"/>
        <v>0</v>
      </c>
      <c r="I411" s="93">
        <f>SUM('31:13'!I411)</f>
        <v>0</v>
      </c>
      <c r="J411" s="31" t="str">
        <f t="array" ref="J411">IF(ISERROR(G411/I411),"",G411/I411)</f>
        <v/>
      </c>
      <c r="K411" s="35">
        <f t="array" ref="K411">IF(ISERROR(G411/L411),"",G411/L411)</f>
        <v>0</v>
      </c>
      <c r="L411" s="87">
        <v>21.5</v>
      </c>
      <c r="M411" s="36">
        <f t="shared" ref="M411:M412" si="162">IF(ISERROR(I411-K411),"",I411-K411)</f>
        <v>0</v>
      </c>
      <c r="N411" s="31">
        <f t="shared" ref="N411:N412" si="163">SUM(O411:U411)</f>
        <v>0</v>
      </c>
      <c r="O411" s="93">
        <f>SUM('31:13'!O411)</f>
        <v>0</v>
      </c>
      <c r="P411" s="93">
        <f>SUM('31:13'!P411)</f>
        <v>0</v>
      </c>
      <c r="Q411" s="93">
        <f>SUM('31:13'!Q411)</f>
        <v>0</v>
      </c>
      <c r="R411" s="93">
        <f>SUM('31:13'!R411)</f>
        <v>0</v>
      </c>
      <c r="S411" s="93">
        <f>SUM('31:13'!S411)</f>
        <v>0</v>
      </c>
      <c r="T411" s="93">
        <f>SUM('31:13'!T411)</f>
        <v>0</v>
      </c>
      <c r="U411" s="93">
        <f>SUM('31:13'!U411)</f>
        <v>0</v>
      </c>
      <c r="V411" s="206">
        <f t="shared" ref="V411:V412" si="164">SUM(X411:AA411)</f>
        <v>0</v>
      </c>
      <c r="W411" s="33" t="str">
        <f t="shared" ref="W411:W412" si="165">IF(ISERROR(V411/G411),"",V411/G411)</f>
        <v/>
      </c>
      <c r="X411" s="93">
        <f>SUM('31:13'!X411)</f>
        <v>0</v>
      </c>
      <c r="Y411" s="93">
        <f>SUM('31:13'!Y411)</f>
        <v>0</v>
      </c>
      <c r="Z411" s="93">
        <f>SUM('31:13'!Z411)</f>
        <v>0</v>
      </c>
      <c r="AA411" s="93">
        <f>SUM('31:13'!AA411)</f>
        <v>0</v>
      </c>
      <c r="AB411" s="73"/>
      <c r="AC411" s="54"/>
      <c r="AD411" s="346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>
      <c r="A412" s="300">
        <v>30100050</v>
      </c>
      <c r="B412" s="62" t="s">
        <v>84</v>
      </c>
      <c r="C412" s="16" t="s">
        <v>65</v>
      </c>
      <c r="D412" s="17">
        <v>5.03</v>
      </c>
      <c r="E412" s="17"/>
      <c r="F412" s="6"/>
      <c r="G412" s="93">
        <f>SUM('31:13'!G412)</f>
        <v>0</v>
      </c>
      <c r="H412" s="339">
        <f t="shared" si="147"/>
        <v>0</v>
      </c>
      <c r="I412" s="93">
        <f>SUM('31:13'!I412)</f>
        <v>0</v>
      </c>
      <c r="J412" s="31" t="str">
        <f t="array" ref="J412">IF(ISERROR(G412/I412),"",G412/I412)</f>
        <v/>
      </c>
      <c r="K412" s="35">
        <f t="array" ref="K412">IF(ISERROR(G412/L412),"",G412/L412)</f>
        <v>0</v>
      </c>
      <c r="L412" s="87">
        <v>21.5</v>
      </c>
      <c r="M412" s="36">
        <f t="shared" si="162"/>
        <v>0</v>
      </c>
      <c r="N412" s="31">
        <f t="shared" si="163"/>
        <v>0</v>
      </c>
      <c r="O412" s="93">
        <f>SUM('31:13'!O412)</f>
        <v>0</v>
      </c>
      <c r="P412" s="93">
        <f>SUM('31:13'!P412)</f>
        <v>0</v>
      </c>
      <c r="Q412" s="93">
        <f>SUM('31:13'!Q412)</f>
        <v>0</v>
      </c>
      <c r="R412" s="93">
        <f>SUM('31:13'!R412)</f>
        <v>0</v>
      </c>
      <c r="S412" s="93">
        <f>SUM('31:13'!S412)</f>
        <v>0</v>
      </c>
      <c r="T412" s="93">
        <f>SUM('31:13'!T412)</f>
        <v>0</v>
      </c>
      <c r="U412" s="93">
        <f>SUM('31:13'!U412)</f>
        <v>0</v>
      </c>
      <c r="V412" s="206">
        <f t="shared" si="164"/>
        <v>0</v>
      </c>
      <c r="W412" s="33" t="str">
        <f t="shared" si="165"/>
        <v/>
      </c>
      <c r="X412" s="93">
        <f>SUM('31:13'!X412)</f>
        <v>0</v>
      </c>
      <c r="Y412" s="93">
        <f>SUM('31:13'!Y412)</f>
        <v>0</v>
      </c>
      <c r="Z412" s="93">
        <f>SUM('31:13'!Z412)</f>
        <v>0</v>
      </c>
      <c r="AA412" s="93">
        <f>SUM('31:13'!AA412)</f>
        <v>0</v>
      </c>
      <c r="AB412" s="73"/>
      <c r="AC412" s="54"/>
      <c r="AD412" s="346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>
      <c r="A413" s="300"/>
      <c r="B413" s="192" t="s">
        <v>360</v>
      </c>
      <c r="C413" s="187" t="s">
        <v>361</v>
      </c>
      <c r="D413" s="17"/>
      <c r="E413" s="17"/>
      <c r="F413" s="6"/>
      <c r="G413" s="93">
        <f>SUM('31:13'!G413)</f>
        <v>0</v>
      </c>
      <c r="H413" s="339">
        <f t="shared" si="147"/>
        <v>0</v>
      </c>
      <c r="I413" s="93">
        <f>SUM('31:13'!I413)</f>
        <v>0</v>
      </c>
      <c r="J413" s="31"/>
      <c r="K413" s="35"/>
      <c r="L413" s="87"/>
      <c r="M413" s="36"/>
      <c r="N413" s="31"/>
      <c r="O413" s="93">
        <f>SUM('31:13'!O413)</f>
        <v>0</v>
      </c>
      <c r="P413" s="93">
        <f>SUM('31:13'!P413)</f>
        <v>0</v>
      </c>
      <c r="Q413" s="93">
        <f>SUM('31:13'!Q413)</f>
        <v>0</v>
      </c>
      <c r="R413" s="93">
        <f>SUM('31:13'!R413)</f>
        <v>0</v>
      </c>
      <c r="S413" s="93">
        <f>SUM('31:13'!S413)</f>
        <v>0</v>
      </c>
      <c r="T413" s="93">
        <f>SUM('31:13'!T413)</f>
        <v>0</v>
      </c>
      <c r="U413" s="93">
        <f>SUM('31:13'!U413)</f>
        <v>0</v>
      </c>
      <c r="V413" s="206"/>
      <c r="W413" s="33"/>
      <c r="X413" s="93">
        <f>SUM('31:13'!X413)</f>
        <v>0</v>
      </c>
      <c r="Y413" s="93">
        <f>SUM('31:13'!Y413)</f>
        <v>0</v>
      </c>
      <c r="Z413" s="93">
        <f>SUM('31:13'!Z413)</f>
        <v>0</v>
      </c>
      <c r="AA413" s="93">
        <f>SUM('31:13'!AA413)</f>
        <v>0</v>
      </c>
      <c r="AB413" s="73"/>
      <c r="AC413" s="54"/>
      <c r="AD413" s="346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>
      <c r="A414" s="300">
        <v>30100055</v>
      </c>
      <c r="B414" s="63" t="s">
        <v>85</v>
      </c>
      <c r="C414" s="16" t="s">
        <v>60</v>
      </c>
      <c r="D414" s="17">
        <v>5.0599999999999996</v>
      </c>
      <c r="E414" s="17"/>
      <c r="F414" s="6"/>
      <c r="G414" s="93">
        <f>SUM('31:13'!G414)</f>
        <v>0</v>
      </c>
      <c r="H414" s="339">
        <f t="shared" si="147"/>
        <v>0</v>
      </c>
      <c r="I414" s="93">
        <f>SUM('31:13'!I414)</f>
        <v>0</v>
      </c>
      <c r="J414" s="31" t="str">
        <f t="array" ref="J414">IF(ISERROR(G414/I414),"",G414/I414)</f>
        <v/>
      </c>
      <c r="K414" s="35" t="str">
        <f t="array" ref="K414">IF(ISERROR(G414/L414),"",G414/L414)</f>
        <v/>
      </c>
      <c r="L414" s="87"/>
      <c r="M414" s="36" t="str">
        <f t="shared" ref="M414:M427" si="166">IF(ISERROR(I414-K414),"",I414-K414)</f>
        <v/>
      </c>
      <c r="N414" s="31">
        <f t="shared" ref="N414:N417" si="167">SUM(O414:U414)</f>
        <v>0</v>
      </c>
      <c r="O414" s="93">
        <f>SUM('31:13'!O414)</f>
        <v>0</v>
      </c>
      <c r="P414" s="93">
        <f>SUM('31:13'!P414)</f>
        <v>0</v>
      </c>
      <c r="Q414" s="93">
        <f>SUM('31:13'!Q414)</f>
        <v>0</v>
      </c>
      <c r="R414" s="93">
        <f>SUM('31:13'!R414)</f>
        <v>0</v>
      </c>
      <c r="S414" s="93">
        <f>SUM('31:13'!S414)</f>
        <v>0</v>
      </c>
      <c r="T414" s="93">
        <f>SUM('31:13'!T414)</f>
        <v>0</v>
      </c>
      <c r="U414" s="93">
        <f>SUM('31:13'!U414)</f>
        <v>0</v>
      </c>
      <c r="V414" s="206">
        <f t="shared" ref="V414:V417" si="168">SUM(X414:AA414)</f>
        <v>0</v>
      </c>
      <c r="W414" s="33" t="str">
        <f t="shared" ref="W414:W417" si="169">IF(ISERROR(V414/G414),"",V414/G414)</f>
        <v/>
      </c>
      <c r="X414" s="93">
        <f>SUM('31:13'!X414)</f>
        <v>0</v>
      </c>
      <c r="Y414" s="93">
        <f>SUM('31:13'!Y414)</f>
        <v>0</v>
      </c>
      <c r="Z414" s="93">
        <f>SUM('31:13'!Z414)</f>
        <v>0</v>
      </c>
      <c r="AA414" s="93">
        <f>SUM('31:13'!AA414)</f>
        <v>0</v>
      </c>
      <c r="AB414" s="73"/>
      <c r="AC414" s="54"/>
      <c r="AD414" s="346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>
      <c r="A415" s="300">
        <v>30100056</v>
      </c>
      <c r="B415" s="63" t="s">
        <v>85</v>
      </c>
      <c r="C415" s="16" t="s">
        <v>74</v>
      </c>
      <c r="D415" s="17">
        <v>5.0599999999999996</v>
      </c>
      <c r="E415" s="17"/>
      <c r="F415" s="6"/>
      <c r="G415" s="93">
        <f>SUM('31:13'!G415)</f>
        <v>0</v>
      </c>
      <c r="H415" s="339">
        <f t="shared" si="147"/>
        <v>0</v>
      </c>
      <c r="I415" s="93">
        <f>SUM('31:13'!I415)</f>
        <v>0</v>
      </c>
      <c r="J415" s="31" t="str">
        <f t="array" ref="J415">IF(ISERROR(G415/I415),"",G415/I415)</f>
        <v/>
      </c>
      <c r="K415" s="35" t="str">
        <f t="array" ref="K415">IF(ISERROR(G415/L415),"",G415/L415)</f>
        <v/>
      </c>
      <c r="L415" s="87"/>
      <c r="M415" s="36" t="str">
        <f t="shared" si="166"/>
        <v/>
      </c>
      <c r="N415" s="31">
        <f t="shared" si="167"/>
        <v>0</v>
      </c>
      <c r="O415" s="93">
        <f>SUM('31:13'!O415)</f>
        <v>0</v>
      </c>
      <c r="P415" s="93">
        <f>SUM('31:13'!P415)</f>
        <v>0</v>
      </c>
      <c r="Q415" s="93">
        <f>SUM('31:13'!Q415)</f>
        <v>0</v>
      </c>
      <c r="R415" s="93">
        <f>SUM('31:13'!R415)</f>
        <v>0</v>
      </c>
      <c r="S415" s="93">
        <f>SUM('31:13'!S415)</f>
        <v>0</v>
      </c>
      <c r="T415" s="93">
        <f>SUM('31:13'!T415)</f>
        <v>0</v>
      </c>
      <c r="U415" s="93">
        <f>SUM('31:13'!U415)</f>
        <v>0</v>
      </c>
      <c r="V415" s="206">
        <f t="shared" si="168"/>
        <v>0</v>
      </c>
      <c r="W415" s="33" t="str">
        <f t="shared" si="169"/>
        <v/>
      </c>
      <c r="X415" s="93">
        <f>SUM('31:13'!X415)</f>
        <v>0</v>
      </c>
      <c r="Y415" s="93">
        <f>SUM('31:13'!Y415)</f>
        <v>0</v>
      </c>
      <c r="Z415" s="93">
        <f>SUM('31:13'!Z415)</f>
        <v>0</v>
      </c>
      <c r="AA415" s="93">
        <f>SUM('31:13'!AA415)</f>
        <v>0</v>
      </c>
      <c r="AB415" s="73"/>
      <c r="AC415" s="54"/>
      <c r="AD415" s="346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>
      <c r="A416" s="300">
        <v>30100057</v>
      </c>
      <c r="B416" s="63" t="s">
        <v>85</v>
      </c>
      <c r="C416" s="16" t="s">
        <v>65</v>
      </c>
      <c r="D416" s="17">
        <v>5.0599999999999996</v>
      </c>
      <c r="E416" s="17"/>
      <c r="F416" s="6"/>
      <c r="G416" s="93">
        <f>SUM('31:13'!G416)</f>
        <v>0</v>
      </c>
      <c r="H416" s="339">
        <f t="shared" si="147"/>
        <v>0</v>
      </c>
      <c r="I416" s="93">
        <f>SUM('31:13'!I416)</f>
        <v>0</v>
      </c>
      <c r="J416" s="31" t="str">
        <f t="array" ref="J416">IF(ISERROR(G416/I416),"",G416/I416)</f>
        <v/>
      </c>
      <c r="K416" s="35" t="str">
        <f t="array" ref="K416">IF(ISERROR(G416/L416),"",G416/L416)</f>
        <v/>
      </c>
      <c r="L416" s="87"/>
      <c r="M416" s="36" t="str">
        <f t="shared" si="166"/>
        <v/>
      </c>
      <c r="N416" s="31">
        <f t="shared" si="167"/>
        <v>0</v>
      </c>
      <c r="O416" s="93">
        <f>SUM('31:13'!O416)</f>
        <v>0</v>
      </c>
      <c r="P416" s="93">
        <f>SUM('31:13'!P416)</f>
        <v>0</v>
      </c>
      <c r="Q416" s="93">
        <f>SUM('31:13'!Q416)</f>
        <v>0</v>
      </c>
      <c r="R416" s="93">
        <f>SUM('31:13'!R416)</f>
        <v>0</v>
      </c>
      <c r="S416" s="93">
        <f>SUM('31:13'!S416)</f>
        <v>0</v>
      </c>
      <c r="T416" s="93">
        <f>SUM('31:13'!T416)</f>
        <v>0</v>
      </c>
      <c r="U416" s="93">
        <f>SUM('31:13'!U416)</f>
        <v>0</v>
      </c>
      <c r="V416" s="206">
        <f t="shared" si="168"/>
        <v>0</v>
      </c>
      <c r="W416" s="33" t="str">
        <f t="shared" si="169"/>
        <v/>
      </c>
      <c r="X416" s="93">
        <f>SUM('31:13'!X416)</f>
        <v>0</v>
      </c>
      <c r="Y416" s="93">
        <f>SUM('31:13'!Y416)</f>
        <v>0</v>
      </c>
      <c r="Z416" s="93">
        <f>SUM('31:13'!Z416)</f>
        <v>0</v>
      </c>
      <c r="AA416" s="93">
        <f>SUM('31:13'!AA416)</f>
        <v>0</v>
      </c>
      <c r="AB416" s="73"/>
      <c r="AC416" s="54"/>
      <c r="AD416" s="346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>
      <c r="A417" s="300">
        <v>30100058</v>
      </c>
      <c r="B417" s="63" t="s">
        <v>85</v>
      </c>
      <c r="C417" s="16" t="s">
        <v>61</v>
      </c>
      <c r="D417" s="17">
        <v>5.0599999999999996</v>
      </c>
      <c r="E417" s="17"/>
      <c r="F417" s="6"/>
      <c r="G417" s="93">
        <f>SUM('31:13'!G417)</f>
        <v>0</v>
      </c>
      <c r="H417" s="339">
        <f t="shared" si="147"/>
        <v>0</v>
      </c>
      <c r="I417" s="93">
        <f>SUM('31:13'!I417)</f>
        <v>0</v>
      </c>
      <c r="J417" s="31" t="str">
        <f t="array" ref="J417">IF(ISERROR(G417/I417),"",G417/I417)</f>
        <v/>
      </c>
      <c r="K417" s="35" t="str">
        <f t="array" ref="K417">IF(ISERROR(G417/L417),"",G417/L417)</f>
        <v/>
      </c>
      <c r="L417" s="87"/>
      <c r="M417" s="36" t="str">
        <f t="shared" si="166"/>
        <v/>
      </c>
      <c r="N417" s="31">
        <f t="shared" si="167"/>
        <v>0</v>
      </c>
      <c r="O417" s="93">
        <f>SUM('31:13'!O417)</f>
        <v>0</v>
      </c>
      <c r="P417" s="93">
        <f>SUM('31:13'!P417)</f>
        <v>0</v>
      </c>
      <c r="Q417" s="93">
        <f>SUM('31:13'!Q417)</f>
        <v>0</v>
      </c>
      <c r="R417" s="93">
        <f>SUM('31:13'!R417)</f>
        <v>0</v>
      </c>
      <c r="S417" s="93">
        <f>SUM('31:13'!S417)</f>
        <v>0</v>
      </c>
      <c r="T417" s="93">
        <f>SUM('31:13'!T417)</f>
        <v>0</v>
      </c>
      <c r="U417" s="93">
        <f>SUM('31:13'!U417)</f>
        <v>0</v>
      </c>
      <c r="V417" s="206">
        <f t="shared" si="168"/>
        <v>0</v>
      </c>
      <c r="W417" s="33" t="str">
        <f t="shared" si="169"/>
        <v/>
      </c>
      <c r="X417" s="93">
        <f>SUM('31:13'!X417)</f>
        <v>0</v>
      </c>
      <c r="Y417" s="93">
        <f>SUM('31:13'!Y417)</f>
        <v>0</v>
      </c>
      <c r="Z417" s="93">
        <f>SUM('31:13'!Z417)</f>
        <v>0</v>
      </c>
      <c r="AA417" s="93">
        <f>SUM('31:13'!AA417)</f>
        <v>0</v>
      </c>
      <c r="AB417" s="73"/>
      <c r="AC417" s="54"/>
      <c r="AD417" s="346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302">
        <v>30600013</v>
      </c>
      <c r="B418" s="197" t="s">
        <v>368</v>
      </c>
      <c r="C418" s="187" t="s">
        <v>374</v>
      </c>
      <c r="D418" s="17"/>
      <c r="E418" s="17"/>
      <c r="F418" s="6"/>
      <c r="G418" s="93">
        <f>SUM('31:13'!G418)</f>
        <v>0</v>
      </c>
      <c r="H418" s="339">
        <f t="shared" si="147"/>
        <v>0</v>
      </c>
      <c r="I418" s="93">
        <f>SUM('31:13'!I418)</f>
        <v>0</v>
      </c>
      <c r="J418" s="31"/>
      <c r="K418" s="35">
        <f t="array" ref="K418">IF(ISERROR(G418/L418),"",G418/L418)</f>
        <v>0</v>
      </c>
      <c r="L418" s="87">
        <v>24</v>
      </c>
      <c r="M418" s="36">
        <f t="shared" si="166"/>
        <v>0</v>
      </c>
      <c r="N418" s="31"/>
      <c r="O418" s="93">
        <f>SUM('31:13'!O418)</f>
        <v>0</v>
      </c>
      <c r="P418" s="93">
        <f>SUM('31:13'!P418)</f>
        <v>0</v>
      </c>
      <c r="Q418" s="93">
        <f>SUM('31:13'!Q418)</f>
        <v>0</v>
      </c>
      <c r="R418" s="93">
        <f>SUM('31:13'!R418)</f>
        <v>0</v>
      </c>
      <c r="S418" s="93">
        <f>SUM('31:13'!S418)</f>
        <v>0</v>
      </c>
      <c r="T418" s="93">
        <f>SUM('31:13'!T418)</f>
        <v>0</v>
      </c>
      <c r="U418" s="93">
        <f>SUM('31:13'!U418)</f>
        <v>0</v>
      </c>
      <c r="V418" s="206"/>
      <c r="W418" s="33"/>
      <c r="X418" s="93">
        <f>SUM('31:13'!X418)</f>
        <v>0</v>
      </c>
      <c r="Y418" s="93">
        <f>SUM('31:13'!Y418)</f>
        <v>0</v>
      </c>
      <c r="Z418" s="93">
        <f>SUM('31:13'!Z418)</f>
        <v>0</v>
      </c>
      <c r="AA418" s="93">
        <f>SUM('31:13'!AA418)</f>
        <v>0</v>
      </c>
      <c r="AB418" s="73"/>
      <c r="AC418" s="54"/>
      <c r="AD418" s="346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302">
        <v>30600014</v>
      </c>
      <c r="B419" s="197" t="s">
        <v>368</v>
      </c>
      <c r="C419" s="187" t="s">
        <v>369</v>
      </c>
      <c r="D419" s="17"/>
      <c r="E419" s="17"/>
      <c r="F419" s="6"/>
      <c r="G419" s="93">
        <f>SUM('31:13'!G419)</f>
        <v>0</v>
      </c>
      <c r="H419" s="339">
        <f t="shared" si="147"/>
        <v>0</v>
      </c>
      <c r="I419" s="93">
        <f>SUM('31:13'!I419)</f>
        <v>0</v>
      </c>
      <c r="J419" s="31"/>
      <c r="K419" s="35">
        <f t="array" ref="K419">IF(ISERROR(G419/L419),"",G419/L419)</f>
        <v>0</v>
      </c>
      <c r="L419" s="87">
        <v>24</v>
      </c>
      <c r="M419" s="36">
        <f t="shared" si="166"/>
        <v>0</v>
      </c>
      <c r="N419" s="31"/>
      <c r="O419" s="93">
        <f>SUM('31:13'!O419)</f>
        <v>0</v>
      </c>
      <c r="P419" s="93">
        <f>SUM('31:13'!P419)</f>
        <v>0</v>
      </c>
      <c r="Q419" s="93">
        <f>SUM('31:13'!Q419)</f>
        <v>0</v>
      </c>
      <c r="R419" s="93">
        <f>SUM('31:13'!R419)</f>
        <v>0</v>
      </c>
      <c r="S419" s="93">
        <f>SUM('31:13'!S419)</f>
        <v>0</v>
      </c>
      <c r="T419" s="93">
        <f>SUM('31:13'!T419)</f>
        <v>0</v>
      </c>
      <c r="U419" s="93">
        <f>SUM('31:13'!U419)</f>
        <v>0</v>
      </c>
      <c r="V419" s="206"/>
      <c r="W419" s="33"/>
      <c r="X419" s="93">
        <f>SUM('31:13'!X419)</f>
        <v>0</v>
      </c>
      <c r="Y419" s="93">
        <f>SUM('31:13'!Y419)</f>
        <v>0</v>
      </c>
      <c r="Z419" s="93">
        <f>SUM('31:13'!Z419)</f>
        <v>0</v>
      </c>
      <c r="AA419" s="93">
        <f>SUM('31:13'!AA419)</f>
        <v>0</v>
      </c>
      <c r="AB419" s="73"/>
      <c r="AC419" s="54"/>
      <c r="AD419" s="346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302">
        <v>30600012</v>
      </c>
      <c r="B420" s="197" t="s">
        <v>368</v>
      </c>
      <c r="C420" s="187" t="s">
        <v>370</v>
      </c>
      <c r="D420" s="17"/>
      <c r="E420" s="17"/>
      <c r="F420" s="6"/>
      <c r="G420" s="93">
        <f>SUM('31:13'!G420)</f>
        <v>0</v>
      </c>
      <c r="H420" s="339">
        <f t="shared" si="147"/>
        <v>0</v>
      </c>
      <c r="I420" s="93">
        <f>SUM('31:13'!I420)</f>
        <v>0</v>
      </c>
      <c r="J420" s="31"/>
      <c r="K420" s="35">
        <f t="array" ref="K420">IF(ISERROR(G420/L420),"",G420/L420)</f>
        <v>0</v>
      </c>
      <c r="L420" s="87">
        <v>24</v>
      </c>
      <c r="M420" s="36">
        <f t="shared" si="166"/>
        <v>0</v>
      </c>
      <c r="N420" s="31"/>
      <c r="O420" s="93">
        <f>SUM('31:13'!O420)</f>
        <v>0</v>
      </c>
      <c r="P420" s="93">
        <f>SUM('31:13'!P420)</f>
        <v>0</v>
      </c>
      <c r="Q420" s="93">
        <f>SUM('31:13'!Q420)</f>
        <v>0</v>
      </c>
      <c r="R420" s="93">
        <f>SUM('31:13'!R420)</f>
        <v>0</v>
      </c>
      <c r="S420" s="93">
        <f>SUM('31:13'!S420)</f>
        <v>0</v>
      </c>
      <c r="T420" s="93">
        <f>SUM('31:13'!T420)</f>
        <v>0</v>
      </c>
      <c r="U420" s="93">
        <f>SUM('31:13'!U420)</f>
        <v>0</v>
      </c>
      <c r="V420" s="206"/>
      <c r="W420" s="33"/>
      <c r="X420" s="93">
        <f>SUM('31:13'!X420)</f>
        <v>0</v>
      </c>
      <c r="Y420" s="93">
        <f>SUM('31:13'!Y420)</f>
        <v>0</v>
      </c>
      <c r="Z420" s="93">
        <f>SUM('31:13'!Z420)</f>
        <v>0</v>
      </c>
      <c r="AA420" s="93">
        <f>SUM('31:13'!AA420)</f>
        <v>0</v>
      </c>
      <c r="AB420" s="73"/>
      <c r="AC420" s="54"/>
      <c r="AD420" s="346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302">
        <v>30600011</v>
      </c>
      <c r="B421" s="197" t="s">
        <v>368</v>
      </c>
      <c r="C421" s="187" t="s">
        <v>371</v>
      </c>
      <c r="D421" s="17"/>
      <c r="E421" s="17"/>
      <c r="F421" s="6"/>
      <c r="G421" s="93">
        <f>SUM('31:13'!G421)</f>
        <v>0</v>
      </c>
      <c r="H421" s="339">
        <f t="shared" si="147"/>
        <v>0</v>
      </c>
      <c r="I421" s="93">
        <f>SUM('31:13'!I421)</f>
        <v>0</v>
      </c>
      <c r="J421" s="31"/>
      <c r="K421" s="35">
        <f t="array" ref="K421">IF(ISERROR(G421/L421),"",G421/L421)</f>
        <v>0</v>
      </c>
      <c r="L421" s="87">
        <v>24</v>
      </c>
      <c r="M421" s="36">
        <f t="shared" si="166"/>
        <v>0</v>
      </c>
      <c r="N421" s="31"/>
      <c r="O421" s="93">
        <f>SUM('31:13'!O421)</f>
        <v>0</v>
      </c>
      <c r="P421" s="93">
        <f>SUM('31:13'!P421)</f>
        <v>0</v>
      </c>
      <c r="Q421" s="93">
        <f>SUM('31:13'!Q421)</f>
        <v>0</v>
      </c>
      <c r="R421" s="93">
        <f>SUM('31:13'!R421)</f>
        <v>0</v>
      </c>
      <c r="S421" s="93">
        <f>SUM('31:13'!S421)</f>
        <v>0</v>
      </c>
      <c r="T421" s="93">
        <f>SUM('31:13'!T421)</f>
        <v>0</v>
      </c>
      <c r="U421" s="93">
        <f>SUM('31:13'!U421)</f>
        <v>0</v>
      </c>
      <c r="V421" s="206"/>
      <c r="W421" s="33"/>
      <c r="X421" s="93">
        <f>SUM('31:13'!X421)</f>
        <v>0</v>
      </c>
      <c r="Y421" s="93">
        <f>SUM('31:13'!Y421)</f>
        <v>0</v>
      </c>
      <c r="Z421" s="93">
        <f>SUM('31:13'!Z421)</f>
        <v>0</v>
      </c>
      <c r="AA421" s="93">
        <f>SUM('31:13'!AA421)</f>
        <v>0</v>
      </c>
      <c r="AB421" s="73"/>
      <c r="AC421" s="54"/>
      <c r="AD421" s="346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 ht="15" customHeight="1">
      <c r="A422" s="302">
        <v>30300002</v>
      </c>
      <c r="B422" s="197" t="s">
        <v>407</v>
      </c>
      <c r="C422" s="187" t="s">
        <v>408</v>
      </c>
      <c r="D422" s="17"/>
      <c r="E422" s="17"/>
      <c r="F422" s="6"/>
      <c r="G422" s="93">
        <f>SUM('31:13'!G422)</f>
        <v>0</v>
      </c>
      <c r="H422" s="339">
        <f t="shared" si="147"/>
        <v>0</v>
      </c>
      <c r="I422" s="93">
        <f>SUM('31:13'!I422)</f>
        <v>0</v>
      </c>
      <c r="J422" s="31"/>
      <c r="K422" s="35">
        <f t="array" ref="K422">IF(ISERROR(G422/L422),"",G422/L422)</f>
        <v>0</v>
      </c>
      <c r="L422" s="87">
        <v>4</v>
      </c>
      <c r="M422" s="36">
        <f t="shared" si="166"/>
        <v>0</v>
      </c>
      <c r="N422" s="31"/>
      <c r="O422" s="93"/>
      <c r="P422" s="93"/>
      <c r="Q422" s="93"/>
      <c r="R422" s="93"/>
      <c r="S422" s="93"/>
      <c r="T422" s="93"/>
      <c r="U422" s="93"/>
      <c r="V422" s="206"/>
      <c r="W422" s="33"/>
      <c r="X422" s="93"/>
      <c r="Y422" s="93"/>
      <c r="Z422" s="93"/>
      <c r="AA422" s="93"/>
      <c r="AB422" s="73"/>
      <c r="AC422" s="54"/>
      <c r="AD422" s="346"/>
      <c r="AE422" s="54"/>
      <c r="AF422" s="54"/>
      <c r="AG422" s="54"/>
      <c r="AH422" s="5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 ht="15" customHeight="1">
      <c r="A423" s="302">
        <v>30300001</v>
      </c>
      <c r="B423" s="197" t="s">
        <v>407</v>
      </c>
      <c r="C423" s="187" t="s">
        <v>409</v>
      </c>
      <c r="D423" s="17"/>
      <c r="E423" s="17"/>
      <c r="F423" s="6"/>
      <c r="G423" s="93">
        <f>SUM('31:13'!G423)</f>
        <v>0</v>
      </c>
      <c r="H423" s="339">
        <f t="shared" si="147"/>
        <v>0</v>
      </c>
      <c r="I423" s="93">
        <f>SUM('31:13'!I423)</f>
        <v>0</v>
      </c>
      <c r="J423" s="31"/>
      <c r="K423" s="35">
        <f t="array" ref="K423">IF(ISERROR(G423/L423),"",G423/L423)</f>
        <v>0</v>
      </c>
      <c r="L423" s="87">
        <v>4</v>
      </c>
      <c r="M423" s="36">
        <f t="shared" si="166"/>
        <v>0</v>
      </c>
      <c r="N423" s="31"/>
      <c r="O423" s="93"/>
      <c r="P423" s="93"/>
      <c r="Q423" s="93"/>
      <c r="R423" s="93"/>
      <c r="S423" s="93"/>
      <c r="T423" s="93"/>
      <c r="U423" s="93"/>
      <c r="V423" s="206"/>
      <c r="W423" s="33"/>
      <c r="X423" s="93"/>
      <c r="Y423" s="93"/>
      <c r="Z423" s="93"/>
      <c r="AA423" s="93"/>
      <c r="AB423" s="73"/>
      <c r="AC423" s="54"/>
      <c r="AD423" s="346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 ht="15" customHeight="1">
      <c r="A424" s="302">
        <v>30300003</v>
      </c>
      <c r="B424" s="197" t="s">
        <v>407</v>
      </c>
      <c r="C424" s="187" t="s">
        <v>411</v>
      </c>
      <c r="D424" s="17"/>
      <c r="E424" s="17"/>
      <c r="F424" s="6"/>
      <c r="G424" s="93">
        <f>SUM('31:13'!G424)</f>
        <v>0</v>
      </c>
      <c r="H424" s="339">
        <f t="shared" si="147"/>
        <v>0</v>
      </c>
      <c r="I424" s="93">
        <f>SUM('31:13'!I424)</f>
        <v>0</v>
      </c>
      <c r="J424" s="31"/>
      <c r="K424" s="35">
        <f t="array" ref="K424">IF(ISERROR(G424/L424),"",G424/L424)</f>
        <v>0</v>
      </c>
      <c r="L424" s="87">
        <v>4</v>
      </c>
      <c r="M424" s="36">
        <f t="shared" si="166"/>
        <v>0</v>
      </c>
      <c r="N424" s="31"/>
      <c r="O424" s="93"/>
      <c r="P424" s="93"/>
      <c r="Q424" s="93"/>
      <c r="R424" s="93"/>
      <c r="S424" s="93"/>
      <c r="T424" s="93"/>
      <c r="U424" s="93"/>
      <c r="V424" s="206"/>
      <c r="W424" s="33"/>
      <c r="X424" s="93"/>
      <c r="Y424" s="93"/>
      <c r="Z424" s="93"/>
      <c r="AA424" s="93"/>
      <c r="AB424" s="73"/>
      <c r="AC424" s="54"/>
      <c r="AD424" s="346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 ht="15" customHeight="1">
      <c r="A425" s="302">
        <v>30300005</v>
      </c>
      <c r="B425" s="63" t="s">
        <v>362</v>
      </c>
      <c r="C425" s="16" t="s">
        <v>349</v>
      </c>
      <c r="D425" s="17"/>
      <c r="E425" s="17"/>
      <c r="F425" s="6"/>
      <c r="G425" s="93">
        <f>SUM('31:13'!G425)</f>
        <v>0</v>
      </c>
      <c r="H425" s="339">
        <f t="shared" si="147"/>
        <v>0</v>
      </c>
      <c r="I425" s="93">
        <f>SUM('31:13'!I425)</f>
        <v>0</v>
      </c>
      <c r="J425" s="31"/>
      <c r="K425" s="35">
        <f t="array" ref="K425">IF(ISERROR(G425/L425),"",G425/L425)</f>
        <v>0</v>
      </c>
      <c r="L425" s="87">
        <v>4</v>
      </c>
      <c r="M425" s="36">
        <f t="shared" si="166"/>
        <v>0</v>
      </c>
      <c r="N425" s="31"/>
      <c r="O425" s="93">
        <f>SUM('31:13'!O425)</f>
        <v>0</v>
      </c>
      <c r="P425" s="93">
        <f>SUM('31:13'!P425)</f>
        <v>0</v>
      </c>
      <c r="Q425" s="93">
        <f>SUM('31:13'!Q425)</f>
        <v>0</v>
      </c>
      <c r="R425" s="93">
        <f>SUM('31:13'!R425)</f>
        <v>0</v>
      </c>
      <c r="S425" s="93">
        <f>SUM('31:13'!S425)</f>
        <v>0</v>
      </c>
      <c r="T425" s="93">
        <f>SUM('31:13'!T425)</f>
        <v>0</v>
      </c>
      <c r="U425" s="93">
        <f>SUM('31:13'!U425)</f>
        <v>0</v>
      </c>
      <c r="V425" s="206"/>
      <c r="W425" s="33"/>
      <c r="X425" s="93">
        <f>SUM('31:13'!X425)</f>
        <v>0</v>
      </c>
      <c r="Y425" s="93">
        <f>SUM('31:13'!Y425)</f>
        <v>0</v>
      </c>
      <c r="Z425" s="93">
        <f>SUM('31:13'!Z425)</f>
        <v>0</v>
      </c>
      <c r="AA425" s="93">
        <f>SUM('31:13'!AA425)</f>
        <v>0</v>
      </c>
      <c r="AB425" s="73"/>
      <c r="AC425" s="54"/>
      <c r="AD425" s="346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 ht="15" customHeight="1">
      <c r="A426" s="302">
        <v>30300004</v>
      </c>
      <c r="B426" s="63" t="s">
        <v>362</v>
      </c>
      <c r="C426" s="16" t="s">
        <v>350</v>
      </c>
      <c r="D426" s="17"/>
      <c r="E426" s="17"/>
      <c r="F426" s="6"/>
      <c r="G426" s="93">
        <f>SUM('31:13'!G426)</f>
        <v>0</v>
      </c>
      <c r="H426" s="339">
        <f t="shared" si="147"/>
        <v>0</v>
      </c>
      <c r="I426" s="93">
        <f>SUM('31:13'!I426)</f>
        <v>0</v>
      </c>
      <c r="J426" s="31"/>
      <c r="K426" s="35">
        <f t="array" ref="K426">IF(ISERROR(G426/L426),"",G426/L426)</f>
        <v>0</v>
      </c>
      <c r="L426" s="87">
        <v>4</v>
      </c>
      <c r="M426" s="36">
        <f t="shared" si="166"/>
        <v>0</v>
      </c>
      <c r="N426" s="31"/>
      <c r="O426" s="93">
        <f>SUM('31:13'!O426)</f>
        <v>0</v>
      </c>
      <c r="P426" s="93">
        <f>SUM('31:13'!P426)</f>
        <v>0</v>
      </c>
      <c r="Q426" s="93">
        <f>SUM('31:13'!Q426)</f>
        <v>0</v>
      </c>
      <c r="R426" s="93">
        <f>SUM('31:13'!R426)</f>
        <v>0</v>
      </c>
      <c r="S426" s="93">
        <f>SUM('31:13'!S426)</f>
        <v>0</v>
      </c>
      <c r="T426" s="93">
        <f>SUM('31:13'!T426)</f>
        <v>0</v>
      </c>
      <c r="U426" s="93">
        <f>SUM('31:13'!U426)</f>
        <v>0</v>
      </c>
      <c r="V426" s="206"/>
      <c r="W426" s="33"/>
      <c r="X426" s="93">
        <f>SUM('31:13'!X426)</f>
        <v>0</v>
      </c>
      <c r="Y426" s="93">
        <f>SUM('31:13'!Y426)</f>
        <v>0</v>
      </c>
      <c r="Z426" s="93">
        <f>SUM('31:13'!Z426)</f>
        <v>0</v>
      </c>
      <c r="AA426" s="93">
        <f>SUM('31:13'!AA426)</f>
        <v>0</v>
      </c>
      <c r="AB426" s="73"/>
      <c r="AC426" s="54"/>
      <c r="AD426" s="346"/>
      <c r="AE426" s="54"/>
      <c r="AF426" s="54"/>
      <c r="AG426" s="54"/>
      <c r="AH426" s="5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 ht="15" customHeight="1">
      <c r="A427" s="302">
        <v>30300006</v>
      </c>
      <c r="B427" s="63" t="s">
        <v>362</v>
      </c>
      <c r="C427" s="16" t="s">
        <v>356</v>
      </c>
      <c r="D427" s="17"/>
      <c r="E427" s="17"/>
      <c r="F427" s="6"/>
      <c r="G427" s="93">
        <f>SUM('31:13'!G427)</f>
        <v>0</v>
      </c>
      <c r="H427" s="339">
        <f t="shared" si="147"/>
        <v>0</v>
      </c>
      <c r="I427" s="93">
        <f>SUM('31:13'!I427)</f>
        <v>0</v>
      </c>
      <c r="J427" s="31"/>
      <c r="K427" s="35">
        <f t="array" ref="K427">IF(ISERROR(G427/L427),"",G427/L427)</f>
        <v>0</v>
      </c>
      <c r="L427" s="87">
        <v>4</v>
      </c>
      <c r="M427" s="36">
        <f t="shared" si="166"/>
        <v>0</v>
      </c>
      <c r="N427" s="31"/>
      <c r="O427" s="93">
        <f>SUM('31:13'!O427)</f>
        <v>0</v>
      </c>
      <c r="P427" s="93">
        <f>SUM('31:13'!P427)</f>
        <v>0</v>
      </c>
      <c r="Q427" s="93">
        <f>SUM('31:13'!Q427)</f>
        <v>0</v>
      </c>
      <c r="R427" s="93">
        <f>SUM('31:13'!R427)</f>
        <v>0</v>
      </c>
      <c r="S427" s="93">
        <f>SUM('31:13'!S427)</f>
        <v>0</v>
      </c>
      <c r="T427" s="93">
        <f>SUM('31:13'!T427)</f>
        <v>0</v>
      </c>
      <c r="U427" s="93">
        <f>SUM('31:13'!U427)</f>
        <v>0</v>
      </c>
      <c r="V427" s="206"/>
      <c r="W427" s="33"/>
      <c r="X427" s="93">
        <f>SUM('31:13'!X427)</f>
        <v>0</v>
      </c>
      <c r="Y427" s="93">
        <f>SUM('31:13'!Y427)</f>
        <v>0</v>
      </c>
      <c r="Z427" s="93">
        <f>SUM('31:13'!Z427)</f>
        <v>0</v>
      </c>
      <c r="AA427" s="93">
        <f>SUM('31:13'!AA427)</f>
        <v>0</v>
      </c>
      <c r="AB427" s="73"/>
      <c r="AC427" s="54"/>
      <c r="AD427" s="346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>
      <c r="A428" s="699" t="s">
        <v>86</v>
      </c>
      <c r="B428" s="699"/>
      <c r="C428" s="342" t="s">
        <v>71</v>
      </c>
      <c r="D428" s="20"/>
      <c r="E428" s="20"/>
      <c r="F428" s="32"/>
      <c r="G428" s="94">
        <f>SUM(G371:G427)</f>
        <v>0</v>
      </c>
      <c r="H428" s="30">
        <f>SUM(H371:H427)</f>
        <v>0</v>
      </c>
      <c r="I428" s="30">
        <f>SUM(I371:I427)</f>
        <v>0</v>
      </c>
      <c r="J428" s="31" t="str">
        <f t="array" ref="J428">IF(ISERROR(G428/I428),"",G428/I428)</f>
        <v/>
      </c>
      <c r="K428" s="30">
        <f>SUM(K371:K427)</f>
        <v>0</v>
      </c>
      <c r="L428" s="87"/>
      <c r="M428" s="89">
        <f t="shared" ref="M428:V428" si="170">SUM(M371:M427)</f>
        <v>0</v>
      </c>
      <c r="N428" s="30">
        <f t="shared" si="170"/>
        <v>0</v>
      </c>
      <c r="O428" s="91">
        <f t="shared" si="170"/>
        <v>0</v>
      </c>
      <c r="P428" s="91">
        <f t="shared" si="170"/>
        <v>0</v>
      </c>
      <c r="Q428" s="91">
        <f t="shared" si="170"/>
        <v>0</v>
      </c>
      <c r="R428" s="91">
        <f t="shared" si="170"/>
        <v>0</v>
      </c>
      <c r="S428" s="92">
        <f t="shared" si="170"/>
        <v>0</v>
      </c>
      <c r="T428" s="91">
        <f t="shared" si="170"/>
        <v>0</v>
      </c>
      <c r="U428" s="91">
        <f t="shared" si="170"/>
        <v>0</v>
      </c>
      <c r="V428" s="206">
        <f t="shared" si="170"/>
        <v>0</v>
      </c>
      <c r="W428" s="33" t="str">
        <f t="shared" ref="W428:W435" si="171">IF(ISERROR(V428/G428),"",V428/G428)</f>
        <v/>
      </c>
      <c r="X428" s="92">
        <f>SUM(X371:X427)</f>
        <v>0</v>
      </c>
      <c r="Y428" s="92">
        <f>SUM(Y371:Y427)</f>
        <v>0</v>
      </c>
      <c r="Z428" s="92">
        <f>SUM(Z371:Z427)</f>
        <v>0</v>
      </c>
      <c r="AA428" s="92">
        <f>SUM(AA371:AA427)</f>
        <v>0</v>
      </c>
      <c r="AB428" s="75"/>
      <c r="AC428" s="70"/>
      <c r="AD428" s="346"/>
      <c r="AE428" s="74"/>
      <c r="AF428" s="74"/>
      <c r="AG428" s="74"/>
      <c r="AH428" s="7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>
      <c r="A429" s="299">
        <v>30400012</v>
      </c>
      <c r="B429" s="61" t="s">
        <v>87</v>
      </c>
      <c r="C429" s="16" t="s">
        <v>53</v>
      </c>
      <c r="D429" s="17">
        <v>5.03</v>
      </c>
      <c r="E429" s="17"/>
      <c r="F429" s="6"/>
      <c r="G429" s="93">
        <f>SUM('31:13'!G429)</f>
        <v>971</v>
      </c>
      <c r="H429" s="339">
        <f>D429*G429</f>
        <v>4884.13</v>
      </c>
      <c r="I429" s="93">
        <f>SUM('31:13'!I429)</f>
        <v>78</v>
      </c>
      <c r="J429" s="31">
        <f t="array" ref="J429">IF(ISERROR(G429/I429),"",G429/I429)</f>
        <v>12.448717948717949</v>
      </c>
      <c r="K429" s="35">
        <f t="array" ref="K429">IF(ISERROR(G429/L429),"",G429/L429)</f>
        <v>110.34090909090908</v>
      </c>
      <c r="L429" s="87">
        <v>8.8000000000000007</v>
      </c>
      <c r="M429" s="36">
        <f t="shared" ref="M429:M436" si="172">IF(ISERROR(I429-K429),"",I429-K429)</f>
        <v>-32.340909090909079</v>
      </c>
      <c r="N429" s="31">
        <f t="shared" ref="N429:N436" si="173">SUM(O429:U429)</f>
        <v>0</v>
      </c>
      <c r="O429" s="93">
        <f>SUM('31:13'!O429)</f>
        <v>0</v>
      </c>
      <c r="P429" s="93">
        <f>SUM('31:13'!P429)</f>
        <v>0</v>
      </c>
      <c r="Q429" s="93">
        <f>SUM('31:13'!Q429)</f>
        <v>0</v>
      </c>
      <c r="R429" s="93">
        <f>SUM('31:13'!R429)</f>
        <v>0</v>
      </c>
      <c r="S429" s="93">
        <f>SUM('31:13'!S429)</f>
        <v>0</v>
      </c>
      <c r="T429" s="93">
        <f>SUM('31:13'!T429)</f>
        <v>0</v>
      </c>
      <c r="U429" s="93">
        <f>SUM('31:13'!U429)</f>
        <v>0</v>
      </c>
      <c r="V429" s="206">
        <f t="shared" ref="V429:V435" si="174">SUM(X429:AA429)</f>
        <v>0</v>
      </c>
      <c r="W429" s="33">
        <f t="shared" si="171"/>
        <v>0</v>
      </c>
      <c r="X429" s="93">
        <f>SUM('31:13'!X429)</f>
        <v>0</v>
      </c>
      <c r="Y429" s="93">
        <f>SUM('31:13'!Y429)</f>
        <v>0</v>
      </c>
      <c r="Z429" s="93">
        <f>SUM('31:13'!Z429)</f>
        <v>0</v>
      </c>
      <c r="AA429" s="93">
        <f>SUM('31:13'!AA429)</f>
        <v>0</v>
      </c>
      <c r="AB429" s="73"/>
      <c r="AC429" s="54"/>
      <c r="AD429" s="346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>
      <c r="A430" s="299">
        <v>30400010</v>
      </c>
      <c r="B430" s="61" t="s">
        <v>87</v>
      </c>
      <c r="C430" s="16" t="s">
        <v>60</v>
      </c>
      <c r="D430" s="17">
        <v>5.03</v>
      </c>
      <c r="E430" s="17"/>
      <c r="F430" s="6"/>
      <c r="G430" s="93">
        <f>SUM('31:13'!G430)</f>
        <v>922</v>
      </c>
      <c r="H430" s="339">
        <f t="shared" ref="H430:H462" si="175">D430*G430</f>
        <v>4637.66</v>
      </c>
      <c r="I430" s="93">
        <f>SUM('31:13'!I430)</f>
        <v>87.5</v>
      </c>
      <c r="J430" s="31">
        <f t="array" ref="J430">IF(ISERROR(G430/I430),"",G430/I430)</f>
        <v>10.537142857142857</v>
      </c>
      <c r="K430" s="35">
        <f t="array" ref="K430">IF(ISERROR(G430/L430),"",G430/L430)</f>
        <v>104.77272727272727</v>
      </c>
      <c r="L430" s="87">
        <v>8.8000000000000007</v>
      </c>
      <c r="M430" s="36">
        <f t="shared" si="172"/>
        <v>-17.272727272727266</v>
      </c>
      <c r="N430" s="31">
        <f t="shared" si="173"/>
        <v>0</v>
      </c>
      <c r="O430" s="93">
        <f>SUM('31:13'!O430)</f>
        <v>0</v>
      </c>
      <c r="P430" s="93">
        <f>SUM('31:13'!P430)</f>
        <v>0</v>
      </c>
      <c r="Q430" s="93">
        <f>SUM('31:13'!Q430)</f>
        <v>0</v>
      </c>
      <c r="R430" s="93">
        <f>SUM('31:13'!R430)</f>
        <v>0</v>
      </c>
      <c r="S430" s="93">
        <f>SUM('31:13'!S430)</f>
        <v>0</v>
      </c>
      <c r="T430" s="93">
        <f>SUM('31:13'!T430)</f>
        <v>0</v>
      </c>
      <c r="U430" s="93">
        <f>SUM('31:13'!U430)</f>
        <v>0</v>
      </c>
      <c r="V430" s="206">
        <f t="shared" si="174"/>
        <v>0</v>
      </c>
      <c r="W430" s="33">
        <f t="shared" si="171"/>
        <v>0</v>
      </c>
      <c r="X430" s="93">
        <f>SUM('31:13'!X430)</f>
        <v>0</v>
      </c>
      <c r="Y430" s="93">
        <f>SUM('31:13'!Y430)</f>
        <v>0</v>
      </c>
      <c r="Z430" s="93">
        <f>SUM('31:13'!Z430)</f>
        <v>0</v>
      </c>
      <c r="AA430" s="93">
        <f>SUM('31:13'!AA430)</f>
        <v>0</v>
      </c>
      <c r="AB430" s="73"/>
      <c r="AC430" s="54"/>
      <c r="AD430" s="346"/>
      <c r="AE430" s="54"/>
      <c r="AF430" s="54"/>
      <c r="AG430" s="54"/>
      <c r="AH430" s="54"/>
      <c r="AI430" s="57"/>
      <c r="AJ430" s="57"/>
      <c r="AK430" s="57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</row>
    <row r="431" spans="1:53">
      <c r="A431" s="299">
        <v>30400011</v>
      </c>
      <c r="B431" s="61" t="s">
        <v>87</v>
      </c>
      <c r="C431" s="16" t="s">
        <v>74</v>
      </c>
      <c r="D431" s="17">
        <v>5.03</v>
      </c>
      <c r="E431" s="17"/>
      <c r="F431" s="6"/>
      <c r="G431" s="93">
        <f>SUM('31:13'!G431)</f>
        <v>1026</v>
      </c>
      <c r="H431" s="339">
        <f t="shared" si="175"/>
        <v>5160.7800000000007</v>
      </c>
      <c r="I431" s="93">
        <f>SUM('31:13'!I431)</f>
        <v>85</v>
      </c>
      <c r="J431" s="31">
        <f t="array" ref="J431">IF(ISERROR(G431/I431),"",G431/I431)</f>
        <v>12.070588235294117</v>
      </c>
      <c r="K431" s="35">
        <f t="array" ref="K431">IF(ISERROR(G431/L431),"",G431/L431)</f>
        <v>116.59090909090908</v>
      </c>
      <c r="L431" s="87">
        <v>8.8000000000000007</v>
      </c>
      <c r="M431" s="36">
        <f t="shared" si="172"/>
        <v>-31.590909090909079</v>
      </c>
      <c r="N431" s="31">
        <f t="shared" si="173"/>
        <v>0</v>
      </c>
      <c r="O431" s="93">
        <f>SUM('31:13'!O431)</f>
        <v>0</v>
      </c>
      <c r="P431" s="93">
        <f>SUM('31:13'!P431)</f>
        <v>0</v>
      </c>
      <c r="Q431" s="93">
        <f>SUM('31:13'!Q431)</f>
        <v>0</v>
      </c>
      <c r="R431" s="93">
        <f>SUM('31:13'!R431)</f>
        <v>0</v>
      </c>
      <c r="S431" s="93">
        <f>SUM('31:13'!S431)</f>
        <v>0</v>
      </c>
      <c r="T431" s="93">
        <f>SUM('31:13'!T431)</f>
        <v>0</v>
      </c>
      <c r="U431" s="93">
        <f>SUM('31:13'!U431)</f>
        <v>0</v>
      </c>
      <c r="V431" s="206">
        <f t="shared" si="174"/>
        <v>0</v>
      </c>
      <c r="W431" s="33">
        <f t="shared" si="171"/>
        <v>0</v>
      </c>
      <c r="X431" s="93">
        <f>SUM('31:13'!X431)</f>
        <v>0</v>
      </c>
      <c r="Y431" s="93">
        <f>SUM('31:13'!Y431)</f>
        <v>0</v>
      </c>
      <c r="Z431" s="93">
        <f>SUM('31:13'!Z431)</f>
        <v>0</v>
      </c>
      <c r="AA431" s="93">
        <f>SUM('31:13'!AA431)</f>
        <v>0</v>
      </c>
      <c r="AB431" s="73"/>
      <c r="AC431" s="54"/>
      <c r="AD431" s="346"/>
      <c r="AE431" s="54"/>
      <c r="AF431" s="54"/>
      <c r="AG431" s="54"/>
      <c r="AH431" s="54"/>
      <c r="AI431" s="57"/>
      <c r="AJ431" s="57"/>
      <c r="AK431" s="57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</row>
    <row r="432" spans="1:53">
      <c r="A432" s="299">
        <v>30400014</v>
      </c>
      <c r="B432" s="215" t="s">
        <v>513</v>
      </c>
      <c r="C432" s="16" t="s">
        <v>53</v>
      </c>
      <c r="D432" s="17">
        <v>5.03</v>
      </c>
      <c r="E432" s="17"/>
      <c r="F432" s="6"/>
      <c r="G432" s="93">
        <f>SUM('31:13'!G432)</f>
        <v>0</v>
      </c>
      <c r="H432" s="339">
        <f t="shared" si="175"/>
        <v>0</v>
      </c>
      <c r="I432" s="93">
        <f>SUM('31:13'!I432)</f>
        <v>0</v>
      </c>
      <c r="J432" s="31" t="str">
        <f t="array" ref="J432">IF(ISERROR(G432/I432),"",G432/I432)</f>
        <v/>
      </c>
      <c r="K432" s="35">
        <f t="array" ref="K432">IF(ISERROR(G432/L432),"",G432/L432)</f>
        <v>0</v>
      </c>
      <c r="L432" s="87">
        <v>9.3000000000000007</v>
      </c>
      <c r="M432" s="36">
        <f t="shared" si="172"/>
        <v>0</v>
      </c>
      <c r="N432" s="31">
        <f t="shared" si="173"/>
        <v>0</v>
      </c>
      <c r="O432" s="93">
        <f>SUM('31:13'!O432)</f>
        <v>0</v>
      </c>
      <c r="P432" s="93">
        <f>SUM('31:13'!P432)</f>
        <v>0</v>
      </c>
      <c r="Q432" s="93">
        <f>SUM('31:13'!Q432)</f>
        <v>0</v>
      </c>
      <c r="R432" s="93">
        <f>SUM('31:13'!R432)</f>
        <v>0</v>
      </c>
      <c r="S432" s="93">
        <f>SUM('31:13'!S432)</f>
        <v>0</v>
      </c>
      <c r="T432" s="93">
        <f>SUM('31:13'!T432)</f>
        <v>0</v>
      </c>
      <c r="U432" s="93">
        <f>SUM('31:13'!U432)</f>
        <v>0</v>
      </c>
      <c r="V432" s="206">
        <f t="shared" si="174"/>
        <v>0</v>
      </c>
      <c r="W432" s="33" t="str">
        <f t="shared" si="171"/>
        <v/>
      </c>
      <c r="X432" s="93">
        <f>SUM('31:13'!X432)</f>
        <v>0</v>
      </c>
      <c r="Y432" s="93">
        <f>SUM('31:13'!Y432)</f>
        <v>0</v>
      </c>
      <c r="Z432" s="93">
        <f>SUM('31:13'!Z432)</f>
        <v>0</v>
      </c>
      <c r="AA432" s="93">
        <f>SUM('31:13'!AA432)</f>
        <v>0</v>
      </c>
      <c r="AB432" s="73"/>
      <c r="AC432" s="54"/>
      <c r="AD432" s="346"/>
      <c r="AE432" s="54"/>
      <c r="AF432" s="54"/>
      <c r="AG432" s="54"/>
      <c r="AH432" s="54"/>
      <c r="AI432" s="57"/>
      <c r="AJ432" s="57"/>
      <c r="AK432" s="57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</row>
    <row r="433" spans="1:53">
      <c r="A433" s="299">
        <v>30400013</v>
      </c>
      <c r="B433" s="215" t="s">
        <v>473</v>
      </c>
      <c r="C433" s="16" t="s">
        <v>72</v>
      </c>
      <c r="D433" s="17">
        <v>5.03</v>
      </c>
      <c r="E433" s="17"/>
      <c r="F433" s="6"/>
      <c r="G433" s="93">
        <f>SUM('31:13'!G433)</f>
        <v>778</v>
      </c>
      <c r="H433" s="339">
        <f t="shared" si="175"/>
        <v>3913.34</v>
      </c>
      <c r="I433" s="93">
        <f>SUM('31:13'!I433)</f>
        <v>90</v>
      </c>
      <c r="J433" s="31">
        <f t="array" ref="J433">IF(ISERROR(G433/I433),"",G433/I433)</f>
        <v>8.6444444444444439</v>
      </c>
      <c r="K433" s="35">
        <f t="array" ref="K433">IF(ISERROR(G433/L433),"",G433/L433)</f>
        <v>83.655913978494624</v>
      </c>
      <c r="L433" s="87">
        <v>9.3000000000000007</v>
      </c>
      <c r="M433" s="36">
        <f t="shared" si="172"/>
        <v>6.344086021505376</v>
      </c>
      <c r="N433" s="31">
        <f t="shared" si="173"/>
        <v>0</v>
      </c>
      <c r="O433" s="93">
        <f>SUM('31:13'!O433)</f>
        <v>0</v>
      </c>
      <c r="P433" s="93">
        <f>SUM('31:13'!P433)</f>
        <v>0</v>
      </c>
      <c r="Q433" s="93">
        <f>SUM('31:13'!Q433)</f>
        <v>0</v>
      </c>
      <c r="R433" s="93">
        <f>SUM('31:13'!R433)</f>
        <v>0</v>
      </c>
      <c r="S433" s="93">
        <f>SUM('31:13'!S433)</f>
        <v>0</v>
      </c>
      <c r="T433" s="93">
        <f>SUM('31:13'!T433)</f>
        <v>0</v>
      </c>
      <c r="U433" s="93">
        <f>SUM('31:13'!U433)</f>
        <v>0</v>
      </c>
      <c r="V433" s="206">
        <f t="shared" si="174"/>
        <v>0</v>
      </c>
      <c r="W433" s="33">
        <f t="shared" si="171"/>
        <v>0</v>
      </c>
      <c r="X433" s="93">
        <f>SUM('31:13'!X433)</f>
        <v>0</v>
      </c>
      <c r="Y433" s="93">
        <f>SUM('31:13'!Y433)</f>
        <v>0</v>
      </c>
      <c r="Z433" s="93">
        <f>SUM('31:13'!Z433)</f>
        <v>0</v>
      </c>
      <c r="AA433" s="93">
        <f>SUM('31:13'!AA433)</f>
        <v>0</v>
      </c>
      <c r="AB433" s="73"/>
      <c r="AC433" s="54"/>
      <c r="AD433" s="346"/>
      <c r="AE433" s="54"/>
      <c r="AF433" s="54"/>
      <c r="AG433" s="54"/>
      <c r="AH433" s="54"/>
      <c r="AI433" s="57"/>
      <c r="AJ433" s="57"/>
      <c r="AK433" s="57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</row>
    <row r="434" spans="1:53">
      <c r="A434" s="299">
        <v>30400016</v>
      </c>
      <c r="B434" s="215" t="s">
        <v>513</v>
      </c>
      <c r="C434" s="16" t="s">
        <v>60</v>
      </c>
      <c r="D434" s="17">
        <v>5.03</v>
      </c>
      <c r="E434" s="17"/>
      <c r="F434" s="6"/>
      <c r="G434" s="93">
        <f>SUM('31:13'!G434)</f>
        <v>230</v>
      </c>
      <c r="H434" s="339">
        <f t="shared" si="175"/>
        <v>1156.9000000000001</v>
      </c>
      <c r="I434" s="93">
        <f>SUM('31:13'!I434)</f>
        <v>45.5</v>
      </c>
      <c r="J434" s="31">
        <f t="array" ref="J434">IF(ISERROR(G434/I434),"",G434/I434)</f>
        <v>5.0549450549450547</v>
      </c>
      <c r="K434" s="35">
        <f t="array" ref="K434">IF(ISERROR(G434/L434),"",G434/L434)</f>
        <v>24.731182795698924</v>
      </c>
      <c r="L434" s="87">
        <v>9.3000000000000007</v>
      </c>
      <c r="M434" s="36">
        <f t="shared" si="172"/>
        <v>20.768817204301076</v>
      </c>
      <c r="N434" s="31">
        <f t="shared" si="173"/>
        <v>0</v>
      </c>
      <c r="O434" s="93">
        <f>SUM('31:13'!O434)</f>
        <v>0</v>
      </c>
      <c r="P434" s="93">
        <f>SUM('31:13'!P434)</f>
        <v>0</v>
      </c>
      <c r="Q434" s="93">
        <f>SUM('31:13'!Q434)</f>
        <v>0</v>
      </c>
      <c r="R434" s="93">
        <f>SUM('31:13'!R434)</f>
        <v>0</v>
      </c>
      <c r="S434" s="93">
        <f>SUM('31:13'!S434)</f>
        <v>0</v>
      </c>
      <c r="T434" s="93">
        <f>SUM('31:13'!T434)</f>
        <v>0</v>
      </c>
      <c r="U434" s="93">
        <f>SUM('31:13'!U434)</f>
        <v>0</v>
      </c>
      <c r="V434" s="206">
        <f t="shared" si="174"/>
        <v>0</v>
      </c>
      <c r="W434" s="33">
        <f t="shared" si="171"/>
        <v>0</v>
      </c>
      <c r="X434" s="93">
        <f>SUM('31:13'!X434)</f>
        <v>0</v>
      </c>
      <c r="Y434" s="93">
        <f>SUM('31:13'!Y434)</f>
        <v>0</v>
      </c>
      <c r="Z434" s="93">
        <f>SUM('31:13'!Z434)</f>
        <v>0</v>
      </c>
      <c r="AA434" s="93">
        <f>SUM('31:13'!AA434)</f>
        <v>0</v>
      </c>
      <c r="AB434" s="73"/>
      <c r="AC434" s="54"/>
      <c r="AD434" s="346"/>
      <c r="AE434" s="54"/>
      <c r="AF434" s="54"/>
      <c r="AG434" s="54"/>
      <c r="AH434" s="54"/>
      <c r="AI434" s="57"/>
      <c r="AJ434" s="57"/>
      <c r="AK434" s="57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</row>
    <row r="435" spans="1:53">
      <c r="A435" s="299">
        <v>30400017</v>
      </c>
      <c r="B435" s="215" t="s">
        <v>513</v>
      </c>
      <c r="C435" s="16" t="s">
        <v>66</v>
      </c>
      <c r="D435" s="17">
        <v>5.03</v>
      </c>
      <c r="E435" s="17"/>
      <c r="F435" s="6"/>
      <c r="G435" s="93">
        <f>SUM('31:13'!G435)</f>
        <v>988</v>
      </c>
      <c r="H435" s="339">
        <f t="shared" si="175"/>
        <v>4969.6400000000003</v>
      </c>
      <c r="I435" s="93">
        <f>SUM('31:13'!I435)</f>
        <v>87.5</v>
      </c>
      <c r="J435" s="31">
        <f t="array" ref="J435">IF(ISERROR(G435/I435),"",G435/I435)</f>
        <v>11.291428571428572</v>
      </c>
      <c r="K435" s="35">
        <f t="array" ref="K435">IF(ISERROR(G435/L435),"",G435/L435)</f>
        <v>106.23655913978494</v>
      </c>
      <c r="L435" s="87">
        <v>9.3000000000000007</v>
      </c>
      <c r="M435" s="36">
        <f t="shared" si="172"/>
        <v>-18.736559139784944</v>
      </c>
      <c r="N435" s="31">
        <f t="shared" si="173"/>
        <v>0</v>
      </c>
      <c r="O435" s="93">
        <f>SUM('31:13'!O435)</f>
        <v>0</v>
      </c>
      <c r="P435" s="93">
        <f>SUM('31:13'!P435)</f>
        <v>0</v>
      </c>
      <c r="Q435" s="93">
        <f>SUM('31:13'!Q435)</f>
        <v>0</v>
      </c>
      <c r="R435" s="93">
        <f>SUM('31:13'!R435)</f>
        <v>0</v>
      </c>
      <c r="S435" s="93">
        <f>SUM('31:13'!S435)</f>
        <v>0</v>
      </c>
      <c r="T435" s="93">
        <f>SUM('31:13'!T435)</f>
        <v>0</v>
      </c>
      <c r="U435" s="93">
        <f>SUM('31:13'!U435)</f>
        <v>0</v>
      </c>
      <c r="V435" s="206">
        <f t="shared" si="174"/>
        <v>0</v>
      </c>
      <c r="W435" s="33">
        <f t="shared" si="171"/>
        <v>0</v>
      </c>
      <c r="X435" s="93">
        <f>SUM('31:13'!X435)</f>
        <v>0</v>
      </c>
      <c r="Y435" s="93">
        <f>SUM('31:13'!Y435)</f>
        <v>0</v>
      </c>
      <c r="Z435" s="93">
        <f>SUM('31:13'!Z435)</f>
        <v>0</v>
      </c>
      <c r="AA435" s="93">
        <f>SUM('31:13'!AA435)</f>
        <v>0</v>
      </c>
      <c r="AB435" s="73"/>
      <c r="AC435" s="54"/>
      <c r="AD435" s="346"/>
      <c r="AE435" s="54"/>
      <c r="AF435" s="54"/>
      <c r="AG435" s="54"/>
      <c r="AH435" s="54"/>
      <c r="AI435" s="57"/>
      <c r="AJ435" s="57"/>
      <c r="AK435" s="57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</row>
    <row r="436" spans="1:53">
      <c r="A436" s="299">
        <v>30400015</v>
      </c>
      <c r="B436" s="65" t="s">
        <v>512</v>
      </c>
      <c r="C436" s="16" t="s">
        <v>177</v>
      </c>
      <c r="D436" s="17">
        <v>5.03</v>
      </c>
      <c r="E436" s="17"/>
      <c r="F436" s="6"/>
      <c r="G436" s="93">
        <f>SUM('31:13'!G436)</f>
        <v>834</v>
      </c>
      <c r="H436" s="339">
        <f t="shared" si="175"/>
        <v>4195.0200000000004</v>
      </c>
      <c r="I436" s="93">
        <f>SUM('31:13'!I436)</f>
        <v>77</v>
      </c>
      <c r="J436" s="31"/>
      <c r="K436" s="35">
        <f t="array" ref="K436">IF(ISERROR(G436/L436),"",G436/L436)</f>
        <v>89.677419354838705</v>
      </c>
      <c r="L436" s="87">
        <v>9.3000000000000007</v>
      </c>
      <c r="M436" s="36">
        <f t="shared" si="172"/>
        <v>-12.677419354838705</v>
      </c>
      <c r="N436" s="31">
        <f t="shared" si="173"/>
        <v>0</v>
      </c>
      <c r="O436" s="93">
        <f>SUM('31:13'!O436)</f>
        <v>0</v>
      </c>
      <c r="P436" s="93">
        <f>SUM('31:13'!P436)</f>
        <v>0</v>
      </c>
      <c r="Q436" s="93">
        <f>SUM('31:13'!Q436)</f>
        <v>0</v>
      </c>
      <c r="R436" s="93">
        <f>SUM('31:13'!R436)</f>
        <v>0</v>
      </c>
      <c r="S436" s="93">
        <f>SUM('31:13'!S436)</f>
        <v>0</v>
      </c>
      <c r="T436" s="93">
        <f>SUM('31:13'!T436)</f>
        <v>0</v>
      </c>
      <c r="U436" s="93">
        <f>SUM('31:13'!U436)</f>
        <v>0</v>
      </c>
      <c r="V436" s="207"/>
      <c r="W436" s="33"/>
      <c r="X436" s="93">
        <f>SUM('31:13'!X436)</f>
        <v>0</v>
      </c>
      <c r="Y436" s="93">
        <f>SUM('31:13'!Y436)</f>
        <v>0</v>
      </c>
      <c r="Z436" s="93">
        <f>SUM('31:13'!Z436)</f>
        <v>0</v>
      </c>
      <c r="AA436" s="93">
        <f>SUM('31:13'!AA436)</f>
        <v>0</v>
      </c>
      <c r="AD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</row>
    <row r="437" spans="1:53">
      <c r="A437" s="304">
        <v>30600004</v>
      </c>
      <c r="B437" s="65" t="s">
        <v>162</v>
      </c>
      <c r="C437" s="16" t="s">
        <v>53</v>
      </c>
      <c r="D437" s="17">
        <v>5.03</v>
      </c>
      <c r="E437" s="17"/>
      <c r="F437" s="6"/>
      <c r="G437" s="93">
        <f>SUM('31:13'!G437)</f>
        <v>0</v>
      </c>
      <c r="H437" s="339">
        <f t="shared" si="175"/>
        <v>0</v>
      </c>
      <c r="I437" s="93">
        <f>SUM('31:13'!I437)</f>
        <v>0</v>
      </c>
      <c r="J437" s="31" t="str">
        <f t="array" ref="J437">IF(ISERROR(G437/I437),"",G437/I437)</f>
        <v/>
      </c>
      <c r="K437" s="35">
        <f t="array" ref="K437">IF(ISERROR(G437/L437),"",G437/L437)</f>
        <v>0</v>
      </c>
      <c r="L437" s="87">
        <v>8</v>
      </c>
      <c r="M437" s="36">
        <f>IF(ISERROR(I437-K437),"",I437-K437)</f>
        <v>0</v>
      </c>
      <c r="N437" s="31">
        <f>SUM(O437:U437)</f>
        <v>0</v>
      </c>
      <c r="O437" s="93">
        <f>SUM('31:13'!O437)</f>
        <v>0</v>
      </c>
      <c r="P437" s="93">
        <f>SUM('31:13'!P437)</f>
        <v>0</v>
      </c>
      <c r="Q437" s="93">
        <f>SUM('31:13'!Q437)</f>
        <v>0</v>
      </c>
      <c r="R437" s="93">
        <f>SUM('31:13'!R437)</f>
        <v>0</v>
      </c>
      <c r="S437" s="93">
        <f>SUM('31:13'!S437)</f>
        <v>0</v>
      </c>
      <c r="T437" s="93">
        <f>SUM('31:13'!T437)</f>
        <v>0</v>
      </c>
      <c r="U437" s="93">
        <f>SUM('31:13'!U437)</f>
        <v>0</v>
      </c>
      <c r="V437" s="207">
        <f>SUM(X437:AA437)</f>
        <v>0</v>
      </c>
      <c r="W437" s="33" t="str">
        <f>IF(ISERROR(V437/G437),"",V437/G437)</f>
        <v/>
      </c>
      <c r="X437" s="93">
        <f>SUM('31:13'!X437)</f>
        <v>0</v>
      </c>
      <c r="Y437" s="93">
        <f>SUM('31:13'!Y437)</f>
        <v>0</v>
      </c>
      <c r="Z437" s="93">
        <f>SUM('31:13'!Z437)</f>
        <v>0</v>
      </c>
      <c r="AA437" s="93">
        <f>SUM('31:13'!AA437)</f>
        <v>0</v>
      </c>
      <c r="AD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</row>
    <row r="438" spans="1:53">
      <c r="A438" s="304">
        <v>30600001</v>
      </c>
      <c r="B438" s="65" t="s">
        <v>162</v>
      </c>
      <c r="C438" s="16" t="s">
        <v>55</v>
      </c>
      <c r="D438" s="17">
        <v>5.03</v>
      </c>
      <c r="E438" s="17"/>
      <c r="F438" s="6"/>
      <c r="G438" s="93">
        <f>SUM('31:13'!G438)</f>
        <v>0</v>
      </c>
      <c r="H438" s="339">
        <f t="shared" si="175"/>
        <v>0</v>
      </c>
      <c r="I438" s="93">
        <f>SUM('31:13'!I438)</f>
        <v>0</v>
      </c>
      <c r="J438" s="31" t="str">
        <f t="array" ref="J438">IF(ISERROR(G438/I438),"",G438/I438)</f>
        <v/>
      </c>
      <c r="K438" s="35">
        <f t="array" ref="K438">IF(ISERROR(G438/L438),"",G438/L438)</f>
        <v>0</v>
      </c>
      <c r="L438" s="87">
        <v>8</v>
      </c>
      <c r="M438" s="36">
        <f>IF(ISERROR(I438-K438),"",I438-K438)</f>
        <v>0</v>
      </c>
      <c r="N438" s="31">
        <f>SUM(O438:U438)</f>
        <v>0</v>
      </c>
      <c r="O438" s="93">
        <f>SUM('31:13'!O438)</f>
        <v>0</v>
      </c>
      <c r="P438" s="93">
        <f>SUM('31:13'!P438)</f>
        <v>0</v>
      </c>
      <c r="Q438" s="93">
        <f>SUM('31:13'!Q438)</f>
        <v>0</v>
      </c>
      <c r="R438" s="93">
        <f>SUM('31:13'!R438)</f>
        <v>0</v>
      </c>
      <c r="S438" s="93">
        <f>SUM('31:13'!S438)</f>
        <v>0</v>
      </c>
      <c r="T438" s="93">
        <f>SUM('31:13'!T438)</f>
        <v>0</v>
      </c>
      <c r="U438" s="93">
        <f>SUM('31:13'!U438)</f>
        <v>0</v>
      </c>
      <c r="V438" s="207">
        <f>SUM(X438:AA438)</f>
        <v>0</v>
      </c>
      <c r="W438" s="33" t="str">
        <f>IF(ISERROR(V438/G438),"",V438/G438)</f>
        <v/>
      </c>
      <c r="X438" s="93">
        <f>SUM('31:13'!X438)</f>
        <v>0</v>
      </c>
      <c r="Y438" s="93">
        <f>SUM('31:13'!Y438)</f>
        <v>0</v>
      </c>
      <c r="Z438" s="93">
        <f>SUM('31:13'!Z438)</f>
        <v>0</v>
      </c>
      <c r="AA438" s="93">
        <f>SUM('31:13'!AA438)</f>
        <v>0</v>
      </c>
      <c r="AD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</row>
    <row r="439" spans="1:53">
      <c r="A439" s="304">
        <v>30600002</v>
      </c>
      <c r="B439" s="65" t="s">
        <v>162</v>
      </c>
      <c r="C439" s="16" t="s">
        <v>60</v>
      </c>
      <c r="D439" s="17">
        <v>5.03</v>
      </c>
      <c r="E439" s="17"/>
      <c r="F439" s="6"/>
      <c r="G439" s="93">
        <f>SUM('31:13'!G439)</f>
        <v>0</v>
      </c>
      <c r="H439" s="339">
        <f t="shared" si="175"/>
        <v>0</v>
      </c>
      <c r="I439" s="93">
        <f>SUM('31:13'!I439)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87">
        <v>8</v>
      </c>
      <c r="M439" s="36">
        <f>IF(ISERROR(I439-K439),"",I439-K439)</f>
        <v>0</v>
      </c>
      <c r="N439" s="31">
        <f>SUM(O439:U439)</f>
        <v>0</v>
      </c>
      <c r="O439" s="93">
        <f>SUM('31:13'!O439)</f>
        <v>0</v>
      </c>
      <c r="P439" s="93">
        <f>SUM('31:13'!P439)</f>
        <v>0</v>
      </c>
      <c r="Q439" s="93">
        <f>SUM('31:13'!Q439)</f>
        <v>0</v>
      </c>
      <c r="R439" s="93">
        <f>SUM('31:13'!R439)</f>
        <v>0</v>
      </c>
      <c r="S439" s="93">
        <f>SUM('31:13'!S439)</f>
        <v>0</v>
      </c>
      <c r="T439" s="93">
        <f>SUM('31:13'!T439)</f>
        <v>0</v>
      </c>
      <c r="U439" s="93">
        <f>SUM('31:13'!U439)</f>
        <v>0</v>
      </c>
      <c r="V439" s="207">
        <f>SUM(X439:AA439)</f>
        <v>0</v>
      </c>
      <c r="W439" s="33" t="str">
        <f>IF(ISERROR(V439/G439),"",V439/G439)</f>
        <v/>
      </c>
      <c r="X439" s="93">
        <f>SUM('31:13'!X439)</f>
        <v>0</v>
      </c>
      <c r="Y439" s="93">
        <f>SUM('31:13'!Y439)</f>
        <v>0</v>
      </c>
      <c r="Z439" s="93">
        <f>SUM('31:13'!Z439)</f>
        <v>0</v>
      </c>
      <c r="AA439" s="93">
        <f>SUM('31:13'!AA439)</f>
        <v>0</v>
      </c>
      <c r="AD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</row>
    <row r="440" spans="1:53">
      <c r="A440" s="304">
        <v>30600003</v>
      </c>
      <c r="B440" s="65" t="s">
        <v>162</v>
      </c>
      <c r="C440" s="195" t="s">
        <v>89</v>
      </c>
      <c r="D440" s="17">
        <v>5.03</v>
      </c>
      <c r="E440" s="17"/>
      <c r="F440" s="6"/>
      <c r="G440" s="93">
        <f>SUM('31:13'!G440)</f>
        <v>0</v>
      </c>
      <c r="H440" s="339">
        <f t="shared" si="175"/>
        <v>0</v>
      </c>
      <c r="I440" s="93">
        <f>SUM('31:13'!I440)</f>
        <v>0</v>
      </c>
      <c r="J440" s="31" t="str">
        <f t="array" ref="J440">IF(ISERROR(G440/I440),"",G440/I440)</f>
        <v/>
      </c>
      <c r="K440" s="35">
        <f t="array" ref="K440">IF(ISERROR(G440/L440),"",G440/L440)</f>
        <v>0</v>
      </c>
      <c r="L440" s="87">
        <v>8</v>
      </c>
      <c r="M440" s="36">
        <f>IF(ISERROR(I440-K440),"",I440-K440)</f>
        <v>0</v>
      </c>
      <c r="N440" s="31">
        <f>SUM(O440:U440)</f>
        <v>0</v>
      </c>
      <c r="O440" s="93">
        <f>SUM('31:13'!O440)</f>
        <v>0</v>
      </c>
      <c r="P440" s="93">
        <f>SUM('31:13'!P440)</f>
        <v>0</v>
      </c>
      <c r="Q440" s="93">
        <f>SUM('31:13'!Q440)</f>
        <v>0</v>
      </c>
      <c r="R440" s="93">
        <f>SUM('31:13'!R440)</f>
        <v>0</v>
      </c>
      <c r="S440" s="93">
        <f>SUM('31:13'!S440)</f>
        <v>0</v>
      </c>
      <c r="T440" s="93">
        <f>SUM('31:13'!T440)</f>
        <v>0</v>
      </c>
      <c r="U440" s="93">
        <f>SUM('31:13'!U440)</f>
        <v>0</v>
      </c>
      <c r="V440" s="207">
        <f>SUM(X440:AA440)</f>
        <v>0</v>
      </c>
      <c r="W440" s="33" t="str">
        <f>IF(ISERROR(V440/G440),"",V440/G440)</f>
        <v/>
      </c>
      <c r="X440" s="93">
        <f>SUM('31:13'!X440)</f>
        <v>0</v>
      </c>
      <c r="Y440" s="93">
        <f>SUM('31:13'!Y440)</f>
        <v>0</v>
      </c>
      <c r="Z440" s="93">
        <f>SUM('31:13'!Z440)</f>
        <v>0</v>
      </c>
      <c r="AA440" s="93">
        <f>SUM('31:13'!AA440)</f>
        <v>0</v>
      </c>
      <c r="AD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</row>
    <row r="441" spans="1:53">
      <c r="A441" s="304">
        <v>30400030</v>
      </c>
      <c r="B441" s="65" t="s">
        <v>88</v>
      </c>
      <c r="C441" s="16" t="s">
        <v>53</v>
      </c>
      <c r="D441" s="17">
        <v>5.03</v>
      </c>
      <c r="E441" s="17"/>
      <c r="F441" s="6"/>
      <c r="G441" s="93">
        <f>SUM('31:13'!G441)</f>
        <v>0</v>
      </c>
      <c r="H441" s="339">
        <f t="shared" si="175"/>
        <v>0</v>
      </c>
      <c r="I441" s="93">
        <f>SUM('31:13'!I441)</f>
        <v>0</v>
      </c>
      <c r="J441" s="31" t="str">
        <f t="array" ref="J441">IF(ISERROR(G441/I441),"",G441/I441)</f>
        <v/>
      </c>
      <c r="K441" s="35">
        <f t="array" ref="K441">IF(ISERROR(G441/L441),"",G441/L441)</f>
        <v>0</v>
      </c>
      <c r="L441" s="87">
        <v>10</v>
      </c>
      <c r="M441" s="36">
        <f t="shared" ref="M441:M462" si="176">IF(ISERROR(I441-K441),"",I441-K441)</f>
        <v>0</v>
      </c>
      <c r="N441" s="31">
        <f t="shared" ref="N441:N456" si="177">SUM(O441:U441)</f>
        <v>0</v>
      </c>
      <c r="O441" s="93">
        <f>SUM('31:13'!O441)</f>
        <v>0</v>
      </c>
      <c r="P441" s="93">
        <f>SUM('31:13'!P441)</f>
        <v>0</v>
      </c>
      <c r="Q441" s="93">
        <f>SUM('31:13'!Q441)</f>
        <v>0</v>
      </c>
      <c r="R441" s="93">
        <f>SUM('31:13'!R441)</f>
        <v>0</v>
      </c>
      <c r="S441" s="93">
        <f>SUM('31:13'!S441)</f>
        <v>0</v>
      </c>
      <c r="T441" s="93">
        <f>SUM('31:13'!T441)</f>
        <v>0</v>
      </c>
      <c r="U441" s="93">
        <f>SUM('31:13'!U441)</f>
        <v>0</v>
      </c>
      <c r="V441" s="206">
        <f t="shared" ref="V441:V448" si="178">SUM(X441:AA441)</f>
        <v>0</v>
      </c>
      <c r="W441" s="33" t="str">
        <f t="shared" ref="W441:W448" si="179">IF(ISERROR(V441/G441),"",V441/G441)</f>
        <v/>
      </c>
      <c r="X441" s="93">
        <f>SUM('31:13'!X441)</f>
        <v>0</v>
      </c>
      <c r="Y441" s="93">
        <f>SUM('31:13'!Y441)</f>
        <v>0</v>
      </c>
      <c r="Z441" s="93">
        <f>SUM('31:13'!Z441)</f>
        <v>0</v>
      </c>
      <c r="AA441" s="93">
        <f>SUM('31:13'!AA441)</f>
        <v>0</v>
      </c>
      <c r="AB441" s="73"/>
      <c r="AC441" s="54"/>
      <c r="AD441" s="346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>
      <c r="A442" s="304"/>
      <c r="B442" s="65" t="s">
        <v>88</v>
      </c>
      <c r="C442" s="16" t="s">
        <v>72</v>
      </c>
      <c r="D442" s="17">
        <v>5.03</v>
      </c>
      <c r="E442" s="17"/>
      <c r="F442" s="6"/>
      <c r="G442" s="93">
        <f>SUM('31:13'!G442)</f>
        <v>0</v>
      </c>
      <c r="H442" s="339">
        <f t="shared" si="175"/>
        <v>0</v>
      </c>
      <c r="I442" s="93">
        <f>SUM('31:13'!I442)</f>
        <v>0</v>
      </c>
      <c r="J442" s="31" t="str">
        <f t="array" ref="J442">IF(ISERROR(G442/I442),"",G442/I442)</f>
        <v/>
      </c>
      <c r="K442" s="35" t="str">
        <f t="array" ref="K442">IF(ISERROR(G442/L442),"",G442/L442)</f>
        <v/>
      </c>
      <c r="L442" s="87"/>
      <c r="M442" s="36" t="str">
        <f t="shared" si="176"/>
        <v/>
      </c>
      <c r="N442" s="31">
        <f t="shared" si="177"/>
        <v>0</v>
      </c>
      <c r="O442" s="93">
        <f>SUM('31:13'!O442)</f>
        <v>0</v>
      </c>
      <c r="P442" s="93">
        <f>SUM('31:13'!P442)</f>
        <v>0</v>
      </c>
      <c r="Q442" s="93">
        <f>SUM('31:13'!Q442)</f>
        <v>0</v>
      </c>
      <c r="R442" s="93">
        <f>SUM('31:13'!R442)</f>
        <v>0</v>
      </c>
      <c r="S442" s="93">
        <f>SUM('31:13'!S442)</f>
        <v>0</v>
      </c>
      <c r="T442" s="93">
        <f>SUM('31:13'!T442)</f>
        <v>0</v>
      </c>
      <c r="U442" s="93">
        <f>SUM('31:13'!U442)</f>
        <v>0</v>
      </c>
      <c r="V442" s="206">
        <f t="shared" si="178"/>
        <v>0</v>
      </c>
      <c r="W442" s="33" t="str">
        <f t="shared" si="179"/>
        <v/>
      </c>
      <c r="X442" s="93">
        <f>SUM('31:13'!X442)</f>
        <v>0</v>
      </c>
      <c r="Y442" s="93">
        <f>SUM('31:13'!Y442)</f>
        <v>0</v>
      </c>
      <c r="Z442" s="93">
        <f>SUM('31:13'!Z442)</f>
        <v>0</v>
      </c>
      <c r="AA442" s="93">
        <f>SUM('31:13'!AA442)</f>
        <v>0</v>
      </c>
      <c r="AB442" s="73"/>
      <c r="AC442" s="54"/>
      <c r="AD442" s="346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>
      <c r="A443" s="304"/>
      <c r="B443" s="65" t="s">
        <v>88</v>
      </c>
      <c r="C443" s="16" t="s">
        <v>60</v>
      </c>
      <c r="D443" s="17">
        <v>5.03</v>
      </c>
      <c r="E443" s="17"/>
      <c r="F443" s="6"/>
      <c r="G443" s="93">
        <f>SUM('31:13'!G443)</f>
        <v>0</v>
      </c>
      <c r="H443" s="339">
        <f t="shared" si="175"/>
        <v>0</v>
      </c>
      <c r="I443" s="93">
        <f>SUM('31:13'!I443)</f>
        <v>0</v>
      </c>
      <c r="J443" s="31" t="str">
        <f t="array" ref="J443">IF(ISERROR(G443/I443),"",G443/I443)</f>
        <v/>
      </c>
      <c r="K443" s="35" t="str">
        <f t="array" ref="K443">IF(ISERROR(G443/L443),"",G443/L443)</f>
        <v/>
      </c>
      <c r="L443" s="87"/>
      <c r="M443" s="36" t="str">
        <f t="shared" si="176"/>
        <v/>
      </c>
      <c r="N443" s="31">
        <f t="shared" si="177"/>
        <v>0</v>
      </c>
      <c r="O443" s="93">
        <f>SUM('31:13'!O443)</f>
        <v>0</v>
      </c>
      <c r="P443" s="93">
        <f>SUM('31:13'!P443)</f>
        <v>0</v>
      </c>
      <c r="Q443" s="93">
        <f>SUM('31:13'!Q443)</f>
        <v>0</v>
      </c>
      <c r="R443" s="93">
        <f>SUM('31:13'!R443)</f>
        <v>0</v>
      </c>
      <c r="S443" s="93">
        <f>SUM('31:13'!S443)</f>
        <v>0</v>
      </c>
      <c r="T443" s="93">
        <f>SUM('31:13'!T443)</f>
        <v>0</v>
      </c>
      <c r="U443" s="93">
        <f>SUM('31:13'!U443)</f>
        <v>0</v>
      </c>
      <c r="V443" s="206">
        <f t="shared" si="178"/>
        <v>0</v>
      </c>
      <c r="W443" s="33" t="str">
        <f t="shared" si="179"/>
        <v/>
      </c>
      <c r="X443" s="93">
        <f>SUM('31:13'!X443)</f>
        <v>0</v>
      </c>
      <c r="Y443" s="93">
        <f>SUM('31:13'!Y443)</f>
        <v>0</v>
      </c>
      <c r="Z443" s="93">
        <f>SUM('31:13'!Z443)</f>
        <v>0</v>
      </c>
      <c r="AA443" s="93">
        <f>SUM('31:13'!AA443)</f>
        <v>0</v>
      </c>
      <c r="AB443" s="73"/>
      <c r="AC443" s="54"/>
      <c r="AD443" s="346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>
      <c r="A444" s="304">
        <v>30401031</v>
      </c>
      <c r="B444" s="65" t="s">
        <v>88</v>
      </c>
      <c r="C444" s="16" t="s">
        <v>66</v>
      </c>
      <c r="D444" s="17">
        <v>5.03</v>
      </c>
      <c r="E444" s="17"/>
      <c r="F444" s="6"/>
      <c r="G444" s="93">
        <f>SUM('31:13'!G444)</f>
        <v>0</v>
      </c>
      <c r="H444" s="339">
        <f t="shared" si="175"/>
        <v>0</v>
      </c>
      <c r="I444" s="93">
        <f>SUM('31:13'!I444)</f>
        <v>0</v>
      </c>
      <c r="J444" s="31" t="str">
        <f t="array" ref="J444">IF(ISERROR(G444/I444),"",G444/I444)</f>
        <v/>
      </c>
      <c r="K444" s="35" t="str">
        <f t="array" ref="K444">IF(ISERROR(G444/L444),"",G444/L444)</f>
        <v/>
      </c>
      <c r="L444" s="87"/>
      <c r="M444" s="36" t="str">
        <f t="shared" si="176"/>
        <v/>
      </c>
      <c r="N444" s="31">
        <f t="shared" si="177"/>
        <v>0</v>
      </c>
      <c r="O444" s="93">
        <f>SUM('31:13'!O444)</f>
        <v>0</v>
      </c>
      <c r="P444" s="93">
        <f>SUM('31:13'!P444)</f>
        <v>0</v>
      </c>
      <c r="Q444" s="93">
        <f>SUM('31:13'!Q444)</f>
        <v>0</v>
      </c>
      <c r="R444" s="93">
        <f>SUM('31:13'!R444)</f>
        <v>0</v>
      </c>
      <c r="S444" s="93">
        <f>SUM('31:13'!S444)</f>
        <v>0</v>
      </c>
      <c r="T444" s="93">
        <f>SUM('31:13'!T444)</f>
        <v>0</v>
      </c>
      <c r="U444" s="93">
        <f>SUM('31:13'!U444)</f>
        <v>0</v>
      </c>
      <c r="V444" s="206">
        <f t="shared" si="178"/>
        <v>0</v>
      </c>
      <c r="W444" s="33" t="str">
        <f t="shared" si="179"/>
        <v/>
      </c>
      <c r="X444" s="93">
        <f>SUM('31:13'!X444)</f>
        <v>0</v>
      </c>
      <c r="Y444" s="93">
        <f>SUM('31:13'!Y444)</f>
        <v>0</v>
      </c>
      <c r="Z444" s="93">
        <f>SUM('31:13'!Z444)</f>
        <v>0</v>
      </c>
      <c r="AA444" s="93">
        <f>SUM('31:13'!AA444)</f>
        <v>0</v>
      </c>
      <c r="AB444" s="73"/>
      <c r="AC444" s="54"/>
      <c r="AD444" s="346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>
      <c r="A445" s="304">
        <v>30600005</v>
      </c>
      <c r="B445" s="61" t="s">
        <v>90</v>
      </c>
      <c r="C445" s="16" t="s">
        <v>55</v>
      </c>
      <c r="D445" s="17">
        <v>9.36</v>
      </c>
      <c r="E445" s="17"/>
      <c r="F445" s="6"/>
      <c r="G445" s="93">
        <f>SUM('31:13'!G445)</f>
        <v>0</v>
      </c>
      <c r="H445" s="339">
        <f t="shared" si="175"/>
        <v>0</v>
      </c>
      <c r="I445" s="93">
        <f>SUM('31:13'!I445)</f>
        <v>0</v>
      </c>
      <c r="J445" s="31" t="str">
        <f t="array" ref="J445">IF(ISERROR(G445/I445),"",G445/I445)</f>
        <v/>
      </c>
      <c r="K445" s="35">
        <f t="array" ref="K445">IF(ISERROR(G445/L445),"",G445/L445)</f>
        <v>0</v>
      </c>
      <c r="L445" s="87">
        <v>6</v>
      </c>
      <c r="M445" s="36">
        <f t="shared" si="176"/>
        <v>0</v>
      </c>
      <c r="N445" s="31">
        <f t="shared" si="177"/>
        <v>0</v>
      </c>
      <c r="O445" s="93">
        <f>SUM('31:13'!O445)</f>
        <v>0</v>
      </c>
      <c r="P445" s="93">
        <f>SUM('31:13'!P445)</f>
        <v>0</v>
      </c>
      <c r="Q445" s="93">
        <f>SUM('31:13'!Q445)</f>
        <v>0</v>
      </c>
      <c r="R445" s="93">
        <f>SUM('31:13'!R445)</f>
        <v>0</v>
      </c>
      <c r="S445" s="93">
        <f>SUM('31:13'!S445)</f>
        <v>0</v>
      </c>
      <c r="T445" s="93">
        <f>SUM('31:13'!T445)</f>
        <v>0</v>
      </c>
      <c r="U445" s="93">
        <f>SUM('31:13'!U445)</f>
        <v>0</v>
      </c>
      <c r="V445" s="206">
        <f t="shared" si="178"/>
        <v>0</v>
      </c>
      <c r="W445" s="33" t="str">
        <f t="shared" si="179"/>
        <v/>
      </c>
      <c r="X445" s="93">
        <f>SUM('31:13'!X445)</f>
        <v>0</v>
      </c>
      <c r="Y445" s="93">
        <f>SUM('31:13'!Y445)</f>
        <v>0</v>
      </c>
      <c r="Z445" s="93">
        <f>SUM('31:13'!Z445)</f>
        <v>0</v>
      </c>
      <c r="AA445" s="93">
        <f>SUM('31:13'!AA445)</f>
        <v>0</v>
      </c>
      <c r="AB445" s="73"/>
      <c r="AC445" s="54"/>
      <c r="AD445" s="346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>
      <c r="A446" s="304">
        <v>30600008</v>
      </c>
      <c r="B446" s="61" t="s">
        <v>90</v>
      </c>
      <c r="C446" s="16" t="s">
        <v>53</v>
      </c>
      <c r="D446" s="17">
        <v>9.36</v>
      </c>
      <c r="E446" s="17"/>
      <c r="F446" s="6"/>
      <c r="G446" s="93">
        <f>SUM('31:13'!G446)</f>
        <v>0</v>
      </c>
      <c r="H446" s="339">
        <f t="shared" si="175"/>
        <v>0</v>
      </c>
      <c r="I446" s="93">
        <f>SUM('31:13'!I446)</f>
        <v>0</v>
      </c>
      <c r="J446" s="31" t="str">
        <f t="array" ref="J446">IF(ISERROR(G446/I446),"",G446/I446)</f>
        <v/>
      </c>
      <c r="K446" s="35">
        <f t="array" ref="K446">IF(ISERROR(G446/L446),"",G446/L446)</f>
        <v>0</v>
      </c>
      <c r="L446" s="87">
        <v>6</v>
      </c>
      <c r="M446" s="36">
        <f t="shared" si="176"/>
        <v>0</v>
      </c>
      <c r="N446" s="31">
        <f t="shared" si="177"/>
        <v>0</v>
      </c>
      <c r="O446" s="93">
        <f>SUM('31:13'!O446)</f>
        <v>0</v>
      </c>
      <c r="P446" s="93">
        <f>SUM('31:13'!P446)</f>
        <v>0</v>
      </c>
      <c r="Q446" s="93">
        <f>SUM('31:13'!Q446)</f>
        <v>0</v>
      </c>
      <c r="R446" s="93">
        <f>SUM('31:13'!R446)</f>
        <v>0</v>
      </c>
      <c r="S446" s="93">
        <f>SUM('31:13'!S446)</f>
        <v>0</v>
      </c>
      <c r="T446" s="93">
        <f>SUM('31:13'!T446)</f>
        <v>0</v>
      </c>
      <c r="U446" s="93">
        <f>SUM('31:13'!U446)</f>
        <v>0</v>
      </c>
      <c r="V446" s="206">
        <f t="shared" si="178"/>
        <v>0</v>
      </c>
      <c r="W446" s="33" t="str">
        <f t="shared" si="179"/>
        <v/>
      </c>
      <c r="X446" s="93">
        <f>SUM('31:13'!X446)</f>
        <v>0</v>
      </c>
      <c r="Y446" s="93">
        <f>SUM('31:13'!Y446)</f>
        <v>0</v>
      </c>
      <c r="Z446" s="93">
        <f>SUM('31:13'!Z446)</f>
        <v>0</v>
      </c>
      <c r="AA446" s="93">
        <f>SUM('31:13'!AA446)</f>
        <v>0</v>
      </c>
      <c r="AB446" s="73"/>
      <c r="AC446" s="54"/>
      <c r="AD446" s="346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>
      <c r="A447" s="304">
        <v>30600007</v>
      </c>
      <c r="B447" s="61" t="s">
        <v>90</v>
      </c>
      <c r="C447" s="16" t="s">
        <v>89</v>
      </c>
      <c r="D447" s="17">
        <v>9.36</v>
      </c>
      <c r="E447" s="17"/>
      <c r="F447" s="6"/>
      <c r="G447" s="93">
        <f>SUM('31:13'!G447)</f>
        <v>0</v>
      </c>
      <c r="H447" s="339">
        <f t="shared" si="175"/>
        <v>0</v>
      </c>
      <c r="I447" s="93">
        <f>SUM('31:13'!I447)</f>
        <v>0</v>
      </c>
      <c r="J447" s="31" t="str">
        <f t="array" ref="J447">IF(ISERROR(G447/I447),"",G447/I447)</f>
        <v/>
      </c>
      <c r="K447" s="35">
        <f t="array" ref="K447">IF(ISERROR(G447/L447),"",G447/L447)</f>
        <v>0</v>
      </c>
      <c r="L447" s="87">
        <v>6</v>
      </c>
      <c r="M447" s="36">
        <f t="shared" si="176"/>
        <v>0</v>
      </c>
      <c r="N447" s="31">
        <f t="shared" si="177"/>
        <v>0</v>
      </c>
      <c r="O447" s="93">
        <f>SUM('31:13'!O447)</f>
        <v>0</v>
      </c>
      <c r="P447" s="93">
        <f>SUM('31:13'!P447)</f>
        <v>0</v>
      </c>
      <c r="Q447" s="93">
        <f>SUM('31:13'!Q447)</f>
        <v>0</v>
      </c>
      <c r="R447" s="93">
        <f>SUM('31:13'!R447)</f>
        <v>0</v>
      </c>
      <c r="S447" s="93">
        <f>SUM('31:13'!S447)</f>
        <v>0</v>
      </c>
      <c r="T447" s="93">
        <f>SUM('31:13'!T447)</f>
        <v>0</v>
      </c>
      <c r="U447" s="93">
        <f>SUM('31:13'!U447)</f>
        <v>0</v>
      </c>
      <c r="V447" s="206">
        <f t="shared" si="178"/>
        <v>0</v>
      </c>
      <c r="W447" s="33" t="str">
        <f t="shared" si="179"/>
        <v/>
      </c>
      <c r="X447" s="93">
        <f>SUM('31:13'!X447)</f>
        <v>0</v>
      </c>
      <c r="Y447" s="93">
        <f>SUM('31:13'!Y447)</f>
        <v>0</v>
      </c>
      <c r="Z447" s="93">
        <f>SUM('31:13'!Z447)</f>
        <v>0</v>
      </c>
      <c r="AA447" s="93">
        <f>SUM('31:13'!AA447)</f>
        <v>0</v>
      </c>
      <c r="AB447" s="73"/>
      <c r="AC447" s="54"/>
      <c r="AD447" s="346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>
      <c r="A448" s="304">
        <v>30600006</v>
      </c>
      <c r="B448" s="61" t="s">
        <v>90</v>
      </c>
      <c r="C448" s="16" t="s">
        <v>60</v>
      </c>
      <c r="D448" s="17">
        <v>9.36</v>
      </c>
      <c r="E448" s="17"/>
      <c r="F448" s="6"/>
      <c r="G448" s="93">
        <f>SUM('31:13'!G448)</f>
        <v>0</v>
      </c>
      <c r="H448" s="339">
        <f t="shared" si="175"/>
        <v>0</v>
      </c>
      <c r="I448" s="93">
        <f>SUM('31:13'!I448)</f>
        <v>0</v>
      </c>
      <c r="J448" s="31" t="str">
        <f t="array" ref="J448">IF(ISERROR(G448/I448),"",G448/I448)</f>
        <v/>
      </c>
      <c r="K448" s="35">
        <f t="array" ref="K448">IF(ISERROR(G448/L448),"",G448/L448)</f>
        <v>0</v>
      </c>
      <c r="L448" s="87">
        <v>6</v>
      </c>
      <c r="M448" s="36">
        <f t="shared" si="176"/>
        <v>0</v>
      </c>
      <c r="N448" s="31">
        <f t="shared" si="177"/>
        <v>0</v>
      </c>
      <c r="O448" s="93">
        <f>SUM('31:13'!O448)</f>
        <v>0</v>
      </c>
      <c r="P448" s="93">
        <f>SUM('31:13'!P448)</f>
        <v>0</v>
      </c>
      <c r="Q448" s="93">
        <f>SUM('31:13'!Q448)</f>
        <v>0</v>
      </c>
      <c r="R448" s="93">
        <f>SUM('31:13'!R448)</f>
        <v>0</v>
      </c>
      <c r="S448" s="93">
        <f>SUM('31:13'!S448)</f>
        <v>0</v>
      </c>
      <c r="T448" s="93">
        <f>SUM('31:13'!T448)</f>
        <v>0</v>
      </c>
      <c r="U448" s="93">
        <f>SUM('31:13'!U448)</f>
        <v>0</v>
      </c>
      <c r="V448" s="206">
        <f t="shared" si="178"/>
        <v>0</v>
      </c>
      <c r="W448" s="33" t="str">
        <f t="shared" si="179"/>
        <v/>
      </c>
      <c r="X448" s="93">
        <f>SUM('31:13'!X448)</f>
        <v>0</v>
      </c>
      <c r="Y448" s="93">
        <f>SUM('31:13'!Y448)</f>
        <v>0</v>
      </c>
      <c r="Z448" s="93">
        <f>SUM('31:13'!Z448)</f>
        <v>0</v>
      </c>
      <c r="AA448" s="93">
        <f>SUM('31:13'!AA448)</f>
        <v>0</v>
      </c>
      <c r="AB448" s="73"/>
      <c r="AC448" s="54"/>
      <c r="AD448" s="346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>
      <c r="A449" s="299">
        <v>30400026</v>
      </c>
      <c r="B449" s="190" t="s">
        <v>394</v>
      </c>
      <c r="C449" s="187" t="s">
        <v>396</v>
      </c>
      <c r="D449" s="17">
        <v>5</v>
      </c>
      <c r="E449" s="17"/>
      <c r="F449" s="6"/>
      <c r="G449" s="93">
        <f>SUM('31:13'!G449)</f>
        <v>0</v>
      </c>
      <c r="H449" s="339">
        <f t="shared" si="175"/>
        <v>0</v>
      </c>
      <c r="I449" s="93">
        <f>SUM('31:13'!I449)</f>
        <v>0</v>
      </c>
      <c r="J449" s="31"/>
      <c r="K449" s="35">
        <f t="array" ref="K449">IF(ISERROR(G449/L449),"",G449/L449)</f>
        <v>0</v>
      </c>
      <c r="L449" s="87">
        <v>5</v>
      </c>
      <c r="M449" s="36">
        <f t="shared" si="176"/>
        <v>0</v>
      </c>
      <c r="N449" s="31">
        <f t="shared" si="177"/>
        <v>0</v>
      </c>
      <c r="O449" s="93">
        <f>SUM('31:13'!O449)</f>
        <v>0</v>
      </c>
      <c r="P449" s="93">
        <f>SUM('31:13'!P449)</f>
        <v>0</v>
      </c>
      <c r="Q449" s="93">
        <f>SUM('31:13'!Q449)</f>
        <v>0</v>
      </c>
      <c r="R449" s="93">
        <f>SUM('31:13'!R449)</f>
        <v>0</v>
      </c>
      <c r="S449" s="93">
        <f>SUM('31:13'!S449)</f>
        <v>0</v>
      </c>
      <c r="T449" s="93">
        <f>SUM('31:13'!T449)</f>
        <v>0</v>
      </c>
      <c r="U449" s="93">
        <f>SUM('31:13'!U449)</f>
        <v>0</v>
      </c>
      <c r="V449" s="206"/>
      <c r="W449" s="33"/>
      <c r="X449" s="93">
        <f>SUM('31:13'!X449)</f>
        <v>0</v>
      </c>
      <c r="Y449" s="93">
        <f>SUM('31:13'!Y449)</f>
        <v>0</v>
      </c>
      <c r="Z449" s="93">
        <f>SUM('31:13'!Z449)</f>
        <v>0</v>
      </c>
      <c r="AA449" s="93">
        <f>SUM('31:13'!AA449)</f>
        <v>0</v>
      </c>
      <c r="AB449" s="73"/>
      <c r="AC449" s="54"/>
      <c r="AD449" s="346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>
      <c r="A450" s="299">
        <v>30400028</v>
      </c>
      <c r="B450" s="190" t="s">
        <v>393</v>
      </c>
      <c r="C450" s="187" t="s">
        <v>403</v>
      </c>
      <c r="D450" s="17">
        <v>5</v>
      </c>
      <c r="E450" s="17"/>
      <c r="F450" s="6"/>
      <c r="G450" s="93">
        <f>SUM('31:13'!G450)</f>
        <v>0</v>
      </c>
      <c r="H450" s="339">
        <f t="shared" si="175"/>
        <v>0</v>
      </c>
      <c r="I450" s="93">
        <f>SUM('31:13'!I450)</f>
        <v>0</v>
      </c>
      <c r="J450" s="31"/>
      <c r="K450" s="35">
        <f t="array" ref="K450">IF(ISERROR(G450/L450),"",G450/L450)</f>
        <v>0</v>
      </c>
      <c r="L450" s="87">
        <v>5</v>
      </c>
      <c r="M450" s="36">
        <f t="shared" si="176"/>
        <v>0</v>
      </c>
      <c r="N450" s="31">
        <f t="shared" si="177"/>
        <v>0</v>
      </c>
      <c r="O450" s="93">
        <f>SUM('31:13'!O450)</f>
        <v>0</v>
      </c>
      <c r="P450" s="93">
        <f>SUM('31:13'!P450)</f>
        <v>0</v>
      </c>
      <c r="Q450" s="93">
        <f>SUM('31:13'!Q450)</f>
        <v>0</v>
      </c>
      <c r="R450" s="93">
        <f>SUM('31:13'!R450)</f>
        <v>0</v>
      </c>
      <c r="S450" s="93">
        <f>SUM('31:13'!S450)</f>
        <v>0</v>
      </c>
      <c r="T450" s="93">
        <f>SUM('31:13'!T450)</f>
        <v>0</v>
      </c>
      <c r="U450" s="93">
        <f>SUM('31:13'!U450)</f>
        <v>0</v>
      </c>
      <c r="V450" s="206"/>
      <c r="W450" s="33"/>
      <c r="X450" s="93">
        <f>SUM('31:13'!X450)</f>
        <v>0</v>
      </c>
      <c r="Y450" s="93">
        <f>SUM('31:13'!Y450)</f>
        <v>0</v>
      </c>
      <c r="Z450" s="93">
        <f>SUM('31:13'!Z450)</f>
        <v>0</v>
      </c>
      <c r="AA450" s="93">
        <f>SUM('31:13'!AA450)</f>
        <v>0</v>
      </c>
      <c r="AB450" s="73"/>
      <c r="AC450" s="54"/>
      <c r="AD450" s="346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>
      <c r="A451" s="299">
        <v>30400027</v>
      </c>
      <c r="B451" s="190" t="s">
        <v>404</v>
      </c>
      <c r="C451" s="187" t="s">
        <v>406</v>
      </c>
      <c r="D451" s="17">
        <v>5</v>
      </c>
      <c r="E451" s="17"/>
      <c r="F451" s="6"/>
      <c r="G451" s="93">
        <f>SUM('31:13'!G451)</f>
        <v>543</v>
      </c>
      <c r="H451" s="339">
        <f t="shared" si="175"/>
        <v>2715</v>
      </c>
      <c r="I451" s="93">
        <f>SUM('31:13'!I451)</f>
        <v>20</v>
      </c>
      <c r="J451" s="31"/>
      <c r="K451" s="35">
        <f t="array" ref="K451">IF(ISERROR(G451/L451),"",G451/L451)</f>
        <v>108.6</v>
      </c>
      <c r="L451" s="87">
        <v>5</v>
      </c>
      <c r="M451" s="36">
        <f t="shared" si="176"/>
        <v>-88.6</v>
      </c>
      <c r="N451" s="31">
        <f t="shared" si="177"/>
        <v>0</v>
      </c>
      <c r="O451" s="93">
        <f>SUM('31:13'!O451)</f>
        <v>0</v>
      </c>
      <c r="P451" s="93">
        <f>SUM('31:13'!P451)</f>
        <v>0</v>
      </c>
      <c r="Q451" s="93">
        <f>SUM('31:13'!Q451)</f>
        <v>0</v>
      </c>
      <c r="R451" s="93">
        <f>SUM('31:13'!R451)</f>
        <v>0</v>
      </c>
      <c r="S451" s="93">
        <f>SUM('31:13'!S451)</f>
        <v>0</v>
      </c>
      <c r="T451" s="93">
        <f>SUM('31:13'!T451)</f>
        <v>0</v>
      </c>
      <c r="U451" s="93">
        <f>SUM('31:13'!U451)</f>
        <v>0</v>
      </c>
      <c r="V451" s="206"/>
      <c r="W451" s="33"/>
      <c r="X451" s="93">
        <f>SUM('31:13'!X451)</f>
        <v>0</v>
      </c>
      <c r="Y451" s="93">
        <f>SUM('31:13'!Y451)</f>
        <v>0</v>
      </c>
      <c r="Z451" s="93">
        <f>SUM('31:13'!Z451)</f>
        <v>0</v>
      </c>
      <c r="AA451" s="93">
        <f>SUM('31:13'!AA451)</f>
        <v>0</v>
      </c>
      <c r="AB451" s="73"/>
      <c r="AC451" s="54"/>
      <c r="AD451" s="346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>
      <c r="A452" s="299"/>
      <c r="B452" s="61" t="s">
        <v>352</v>
      </c>
      <c r="C452" s="187" t="s">
        <v>373</v>
      </c>
      <c r="D452" s="17">
        <v>5</v>
      </c>
      <c r="E452" s="17"/>
      <c r="F452" s="6"/>
      <c r="G452" s="93">
        <f>SUM('31:13'!G452)</f>
        <v>0</v>
      </c>
      <c r="H452" s="339">
        <f t="shared" si="175"/>
        <v>0</v>
      </c>
      <c r="I452" s="93">
        <f>SUM('31:13'!I452)</f>
        <v>0</v>
      </c>
      <c r="J452" s="31"/>
      <c r="K452" s="35">
        <f t="array" ref="K452">IF(ISERROR(G452/L452),"",G452/L452)</f>
        <v>0</v>
      </c>
      <c r="L452" s="87">
        <v>5</v>
      </c>
      <c r="M452" s="36">
        <f t="shared" si="176"/>
        <v>0</v>
      </c>
      <c r="N452" s="31">
        <f t="shared" si="177"/>
        <v>0</v>
      </c>
      <c r="O452" s="93">
        <f>SUM('31:13'!O452)</f>
        <v>0</v>
      </c>
      <c r="P452" s="93">
        <f>SUM('31:13'!P452)</f>
        <v>0</v>
      </c>
      <c r="Q452" s="93">
        <f>SUM('31:13'!Q452)</f>
        <v>0</v>
      </c>
      <c r="R452" s="93">
        <f>SUM('31:13'!R452)</f>
        <v>0</v>
      </c>
      <c r="S452" s="93">
        <f>SUM('31:13'!S452)</f>
        <v>0</v>
      </c>
      <c r="T452" s="93">
        <f>SUM('31:13'!T452)</f>
        <v>0</v>
      </c>
      <c r="U452" s="93">
        <f>SUM('31:13'!U452)</f>
        <v>0</v>
      </c>
      <c r="V452" s="206"/>
      <c r="W452" s="33"/>
      <c r="X452" s="93">
        <f>SUM('31:13'!X452)</f>
        <v>0</v>
      </c>
      <c r="Y452" s="93">
        <f>SUM('31:13'!Y452)</f>
        <v>0</v>
      </c>
      <c r="Z452" s="93">
        <f>SUM('31:13'!Z452)</f>
        <v>0</v>
      </c>
      <c r="AA452" s="93">
        <f>SUM('31:13'!AA452)</f>
        <v>0</v>
      </c>
      <c r="AB452" s="73"/>
      <c r="AC452" s="54"/>
      <c r="AD452" s="346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>
      <c r="A453" s="299">
        <v>30600009</v>
      </c>
      <c r="B453" s="61" t="s">
        <v>353</v>
      </c>
      <c r="C453" s="16" t="s">
        <v>354</v>
      </c>
      <c r="D453" s="17">
        <v>5</v>
      </c>
      <c r="E453" s="17"/>
      <c r="F453" s="6"/>
      <c r="G453" s="93">
        <f>SUM('31:13'!G453)</f>
        <v>0</v>
      </c>
      <c r="H453" s="339">
        <f t="shared" si="175"/>
        <v>0</v>
      </c>
      <c r="I453" s="93">
        <f>SUM('31:13'!I453)</f>
        <v>0</v>
      </c>
      <c r="J453" s="31"/>
      <c r="K453" s="35">
        <f t="array" ref="K453">IF(ISERROR(G453/L453),"",G453/L453)</f>
        <v>0</v>
      </c>
      <c r="L453" s="87">
        <v>5</v>
      </c>
      <c r="M453" s="36">
        <f t="shared" si="176"/>
        <v>0</v>
      </c>
      <c r="N453" s="31">
        <f t="shared" si="177"/>
        <v>0</v>
      </c>
      <c r="O453" s="93">
        <f>SUM('31:13'!O453)</f>
        <v>0</v>
      </c>
      <c r="P453" s="93">
        <f>SUM('31:13'!P453)</f>
        <v>0</v>
      </c>
      <c r="Q453" s="93">
        <f>SUM('31:13'!Q453)</f>
        <v>0</v>
      </c>
      <c r="R453" s="93">
        <f>SUM('31:13'!R453)</f>
        <v>0</v>
      </c>
      <c r="S453" s="93">
        <f>SUM('31:13'!S453)</f>
        <v>0</v>
      </c>
      <c r="T453" s="93">
        <f>SUM('31:13'!T453)</f>
        <v>0</v>
      </c>
      <c r="U453" s="93">
        <f>SUM('31:13'!U453)</f>
        <v>0</v>
      </c>
      <c r="V453" s="206"/>
      <c r="W453" s="33"/>
      <c r="X453" s="93">
        <f>SUM('31:13'!X453)</f>
        <v>0</v>
      </c>
      <c r="Y453" s="93">
        <f>SUM('31:13'!Y453)</f>
        <v>0</v>
      </c>
      <c r="Z453" s="93">
        <f>SUM('31:13'!Z453)</f>
        <v>0</v>
      </c>
      <c r="AA453" s="93">
        <f>SUM('31:13'!AA453)</f>
        <v>0</v>
      </c>
      <c r="AB453" s="73"/>
      <c r="AC453" s="54"/>
      <c r="AD453" s="346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>
      <c r="A454" s="299">
        <v>30600010</v>
      </c>
      <c r="B454" s="61" t="s">
        <v>353</v>
      </c>
      <c r="C454" s="16" t="s">
        <v>357</v>
      </c>
      <c r="D454" s="17">
        <v>5</v>
      </c>
      <c r="E454" s="17"/>
      <c r="F454" s="6"/>
      <c r="G454" s="93">
        <f>SUM('31:13'!G454)</f>
        <v>0</v>
      </c>
      <c r="H454" s="339">
        <f t="shared" si="175"/>
        <v>0</v>
      </c>
      <c r="I454" s="93">
        <f>SUM('31:13'!I454)</f>
        <v>0</v>
      </c>
      <c r="J454" s="31"/>
      <c r="K454" s="35">
        <f t="array" ref="K454">IF(ISERROR(G454/L454),"",G454/L454)</f>
        <v>0</v>
      </c>
      <c r="L454" s="87">
        <v>5</v>
      </c>
      <c r="M454" s="36">
        <f t="shared" si="176"/>
        <v>0</v>
      </c>
      <c r="N454" s="31">
        <f t="shared" si="177"/>
        <v>0</v>
      </c>
      <c r="O454" s="93">
        <f>SUM('31:13'!O454)</f>
        <v>0</v>
      </c>
      <c r="P454" s="93">
        <f>SUM('31:13'!P454)</f>
        <v>0</v>
      </c>
      <c r="Q454" s="93">
        <f>SUM('31:13'!Q454)</f>
        <v>0</v>
      </c>
      <c r="R454" s="93">
        <f>SUM('31:13'!R454)</f>
        <v>0</v>
      </c>
      <c r="S454" s="93">
        <f>SUM('31:13'!S454)</f>
        <v>0</v>
      </c>
      <c r="T454" s="93">
        <f>SUM('31:13'!T454)</f>
        <v>0</v>
      </c>
      <c r="U454" s="93">
        <f>SUM('31:13'!U454)</f>
        <v>0</v>
      </c>
      <c r="V454" s="206"/>
      <c r="W454" s="33"/>
      <c r="X454" s="93">
        <f>SUM('31:13'!X454)</f>
        <v>0</v>
      </c>
      <c r="Y454" s="93">
        <f>SUM('31:13'!Y454)</f>
        <v>0</v>
      </c>
      <c r="Z454" s="93">
        <f>SUM('31:13'!Z454)</f>
        <v>0</v>
      </c>
      <c r="AA454" s="93">
        <f>SUM('31:13'!AA454)</f>
        <v>0</v>
      </c>
      <c r="AB454" s="73"/>
      <c r="AC454" s="54"/>
      <c r="AD454" s="346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>
      <c r="A455" s="299">
        <v>30400001</v>
      </c>
      <c r="B455" s="65" t="s">
        <v>514</v>
      </c>
      <c r="C455" s="16" t="s">
        <v>61</v>
      </c>
      <c r="D455" s="17">
        <v>5.0599999999999996</v>
      </c>
      <c r="E455" s="17"/>
      <c r="F455" s="6"/>
      <c r="G455" s="93">
        <f>SUM('31:13'!G455)</f>
        <v>289</v>
      </c>
      <c r="H455" s="339">
        <f t="shared" si="175"/>
        <v>1462.34</v>
      </c>
      <c r="I455" s="93">
        <f>SUM('31:13'!I455)</f>
        <v>22</v>
      </c>
      <c r="J455" s="31">
        <f t="array" ref="J455">IF(ISERROR(G455/I455),"",G455/I455)</f>
        <v>13.136363636363637</v>
      </c>
      <c r="K455" s="35">
        <f t="array" ref="K455">IF(ISERROR(G455/L455),"",G455/L455)</f>
        <v>18.64516129032258</v>
      </c>
      <c r="L455" s="87">
        <v>15.5</v>
      </c>
      <c r="M455" s="36">
        <f t="shared" si="176"/>
        <v>3.3548387096774199</v>
      </c>
      <c r="N455" s="31">
        <f t="shared" si="177"/>
        <v>0</v>
      </c>
      <c r="O455" s="93">
        <f>SUM('31:13'!O455)</f>
        <v>0</v>
      </c>
      <c r="P455" s="93">
        <f>SUM('31:13'!P455)</f>
        <v>0</v>
      </c>
      <c r="Q455" s="93">
        <f>SUM('31:13'!Q455)</f>
        <v>0</v>
      </c>
      <c r="R455" s="93">
        <f>SUM('31:13'!R455)</f>
        <v>0</v>
      </c>
      <c r="S455" s="93">
        <f>SUM('31:13'!S455)</f>
        <v>0</v>
      </c>
      <c r="T455" s="93">
        <f>SUM('31:13'!T455)</f>
        <v>0</v>
      </c>
      <c r="U455" s="93">
        <f>SUM('31:13'!U455)</f>
        <v>0</v>
      </c>
      <c r="V455" s="206">
        <f t="shared" ref="V455:V456" si="180">SUM(X455:AA455)</f>
        <v>0</v>
      </c>
      <c r="W455" s="33">
        <f t="shared" ref="W455:W456" si="181">IF(ISERROR(V455/G455),"",V455/G455)</f>
        <v>0</v>
      </c>
      <c r="X455" s="93">
        <f>SUM('31:13'!X455)</f>
        <v>0</v>
      </c>
      <c r="Y455" s="93">
        <f>SUM('31:13'!Y455)</f>
        <v>0</v>
      </c>
      <c r="Z455" s="93">
        <f>SUM('31:13'!Z455)</f>
        <v>0</v>
      </c>
      <c r="AA455" s="93">
        <f>SUM('31:13'!AA455)</f>
        <v>0</v>
      </c>
      <c r="AB455" s="73"/>
      <c r="AC455" s="54"/>
      <c r="AD455" s="346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>
      <c r="A456" s="299">
        <v>30400002</v>
      </c>
      <c r="B456" s="65" t="s">
        <v>514</v>
      </c>
      <c r="C456" s="16" t="s">
        <v>72</v>
      </c>
      <c r="D456" s="17">
        <v>5.0599999999999996</v>
      </c>
      <c r="E456" s="17"/>
      <c r="F456" s="6"/>
      <c r="G456" s="93">
        <f>SUM('31:13'!G456)</f>
        <v>1399</v>
      </c>
      <c r="H456" s="339">
        <f t="shared" si="175"/>
        <v>7078.94</v>
      </c>
      <c r="I456" s="93">
        <f>SUM('31:13'!I456)</f>
        <v>54</v>
      </c>
      <c r="J456" s="31">
        <f t="array" ref="J456">IF(ISERROR(G456/I456),"",G456/I456)</f>
        <v>25.907407407407408</v>
      </c>
      <c r="K456" s="35">
        <f t="array" ref="K456">IF(ISERROR(G456/L456),"",G456/L456)</f>
        <v>90.258064516129039</v>
      </c>
      <c r="L456" s="87">
        <v>15.5</v>
      </c>
      <c r="M456" s="36">
        <f t="shared" si="176"/>
        <v>-36.258064516129039</v>
      </c>
      <c r="N456" s="31">
        <f t="shared" si="177"/>
        <v>0</v>
      </c>
      <c r="O456" s="93">
        <f>SUM('31:13'!O456)</f>
        <v>0</v>
      </c>
      <c r="P456" s="93">
        <f>SUM('31:13'!P456)</f>
        <v>0</v>
      </c>
      <c r="Q456" s="93">
        <f>SUM('31:13'!Q456)</f>
        <v>0</v>
      </c>
      <c r="R456" s="93">
        <f>SUM('31:13'!R456)</f>
        <v>0</v>
      </c>
      <c r="S456" s="93">
        <f>SUM('31:13'!S456)</f>
        <v>0</v>
      </c>
      <c r="T456" s="93">
        <f>SUM('31:13'!T456)</f>
        <v>0</v>
      </c>
      <c r="U456" s="93">
        <f>SUM('31:13'!U456)</f>
        <v>0</v>
      </c>
      <c r="V456" s="206">
        <f t="shared" si="180"/>
        <v>0</v>
      </c>
      <c r="W456" s="33">
        <f t="shared" si="181"/>
        <v>0</v>
      </c>
      <c r="X456" s="93">
        <f>SUM('31:13'!X456)</f>
        <v>0</v>
      </c>
      <c r="Y456" s="93">
        <f>SUM('31:13'!Y456)</f>
        <v>0</v>
      </c>
      <c r="Z456" s="93">
        <f>SUM('31:13'!Z456)</f>
        <v>0</v>
      </c>
      <c r="AA456" s="93">
        <f>SUM('31:13'!AA456)</f>
        <v>0</v>
      </c>
      <c r="AB456" s="73"/>
      <c r="AC456" s="54"/>
      <c r="AD456" s="346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>
      <c r="A457" s="299">
        <v>30400004</v>
      </c>
      <c r="B457" s="215" t="s">
        <v>419</v>
      </c>
      <c r="C457" s="187" t="s">
        <v>420</v>
      </c>
      <c r="D457" s="17"/>
      <c r="E457" s="17"/>
      <c r="F457" s="6"/>
      <c r="G457" s="93">
        <f>SUM('31:13'!G457)</f>
        <v>0</v>
      </c>
      <c r="H457" s="339">
        <f t="shared" si="175"/>
        <v>0</v>
      </c>
      <c r="I457" s="93">
        <f>SUM('31:13'!I457)</f>
        <v>0</v>
      </c>
      <c r="J457" s="31"/>
      <c r="K457" s="35">
        <f t="array" ref="K457">IF(ISERROR(G457/L457),"",G457/L457)</f>
        <v>0</v>
      </c>
      <c r="L457" s="87">
        <v>24</v>
      </c>
      <c r="M457" s="36">
        <f t="shared" si="176"/>
        <v>0</v>
      </c>
      <c r="N457" s="31"/>
      <c r="O457" s="93"/>
      <c r="P457" s="93"/>
      <c r="Q457" s="93"/>
      <c r="R457" s="93"/>
      <c r="S457" s="93"/>
      <c r="T457" s="93"/>
      <c r="U457" s="93"/>
      <c r="V457" s="206"/>
      <c r="W457" s="33"/>
      <c r="X457" s="93"/>
      <c r="Y457" s="93"/>
      <c r="Z457" s="93"/>
      <c r="AA457" s="93"/>
      <c r="AB457" s="73"/>
      <c r="AC457" s="54"/>
      <c r="AD457" s="346"/>
      <c r="AE457" s="54"/>
      <c r="AF457" s="54"/>
      <c r="AG457" s="54"/>
      <c r="AH457" s="5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>
      <c r="A458" s="299">
        <v>30400003</v>
      </c>
      <c r="B458" s="215" t="s">
        <v>419</v>
      </c>
      <c r="C458" s="187" t="s">
        <v>421</v>
      </c>
      <c r="D458" s="17"/>
      <c r="E458" s="17"/>
      <c r="F458" s="6"/>
      <c r="G458" s="93">
        <f>SUM('31:13'!G458)</f>
        <v>0</v>
      </c>
      <c r="H458" s="339">
        <f t="shared" si="175"/>
        <v>0</v>
      </c>
      <c r="I458" s="93">
        <f>SUM('31:13'!I458)</f>
        <v>0</v>
      </c>
      <c r="J458" s="31"/>
      <c r="K458" s="35">
        <f t="array" ref="K458">IF(ISERROR(G458/L458),"",G458/L458)</f>
        <v>0</v>
      </c>
      <c r="L458" s="87">
        <v>24</v>
      </c>
      <c r="M458" s="36">
        <f t="shared" si="176"/>
        <v>0</v>
      </c>
      <c r="N458" s="31"/>
      <c r="O458" s="93"/>
      <c r="P458" s="93"/>
      <c r="Q458" s="93"/>
      <c r="R458" s="93"/>
      <c r="S458" s="93"/>
      <c r="T458" s="93"/>
      <c r="U458" s="93"/>
      <c r="V458" s="206"/>
      <c r="W458" s="33"/>
      <c r="X458" s="93"/>
      <c r="Y458" s="93"/>
      <c r="Z458" s="93"/>
      <c r="AA458" s="93"/>
      <c r="AB458" s="73"/>
      <c r="AC458" s="54"/>
      <c r="AD458" s="346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>
      <c r="A459" s="299">
        <v>30400005</v>
      </c>
      <c r="B459" s="215" t="s">
        <v>419</v>
      </c>
      <c r="C459" s="187" t="s">
        <v>422</v>
      </c>
      <c r="D459" s="17"/>
      <c r="E459" s="17"/>
      <c r="F459" s="6"/>
      <c r="G459" s="93">
        <f>SUM('31:13'!G459)</f>
        <v>0</v>
      </c>
      <c r="H459" s="339">
        <f t="shared" si="175"/>
        <v>0</v>
      </c>
      <c r="I459" s="93">
        <f>SUM('31:13'!I459)</f>
        <v>0</v>
      </c>
      <c r="J459" s="31"/>
      <c r="K459" s="35">
        <f t="array" ref="K459">IF(ISERROR(G459/L459),"",G459/L459)</f>
        <v>0</v>
      </c>
      <c r="L459" s="87">
        <v>24</v>
      </c>
      <c r="M459" s="36">
        <f t="shared" si="176"/>
        <v>0</v>
      </c>
      <c r="N459" s="31"/>
      <c r="O459" s="93"/>
      <c r="P459" s="93"/>
      <c r="Q459" s="93"/>
      <c r="R459" s="93"/>
      <c r="S459" s="93"/>
      <c r="T459" s="93"/>
      <c r="U459" s="93"/>
      <c r="V459" s="206"/>
      <c r="W459" s="33"/>
      <c r="X459" s="93"/>
      <c r="Y459" s="93"/>
      <c r="Z459" s="93"/>
      <c r="AA459" s="93"/>
      <c r="AB459" s="73"/>
      <c r="AC459" s="54"/>
      <c r="AD459" s="346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>
      <c r="A460" s="299">
        <v>30400007</v>
      </c>
      <c r="B460" s="65" t="s">
        <v>91</v>
      </c>
      <c r="C460" s="16" t="s">
        <v>74</v>
      </c>
      <c r="D460" s="17">
        <v>5.07</v>
      </c>
      <c r="E460" s="17"/>
      <c r="F460" s="6"/>
      <c r="G460" s="93">
        <f>SUM('31:13'!G460)</f>
        <v>0</v>
      </c>
      <c r="H460" s="339">
        <f t="shared" si="175"/>
        <v>0</v>
      </c>
      <c r="I460" s="93">
        <f>SUM('31:13'!I460)</f>
        <v>0</v>
      </c>
      <c r="J460" s="31" t="str">
        <f t="array" ref="J460">IF(ISERROR(G460/I460),"",G460/I460)</f>
        <v/>
      </c>
      <c r="K460" s="35">
        <f t="array" ref="K460">IF(ISERROR(G460/L460),"",G460/L460)</f>
        <v>0</v>
      </c>
      <c r="L460" s="87">
        <v>9</v>
      </c>
      <c r="M460" s="36">
        <f t="shared" si="176"/>
        <v>0</v>
      </c>
      <c r="N460" s="31">
        <f t="shared" ref="N460:N462" si="182">SUM(O460:U460)</f>
        <v>0</v>
      </c>
      <c r="O460" s="93">
        <f>SUM('31:13'!O460)</f>
        <v>0</v>
      </c>
      <c r="P460" s="93">
        <f>SUM('31:13'!P460)</f>
        <v>0</v>
      </c>
      <c r="Q460" s="93">
        <f>SUM('31:13'!Q460)</f>
        <v>0</v>
      </c>
      <c r="R460" s="93">
        <f>SUM('31:13'!R460)</f>
        <v>0</v>
      </c>
      <c r="S460" s="93">
        <f>SUM('31:13'!S460)</f>
        <v>0</v>
      </c>
      <c r="T460" s="93">
        <f>SUM('31:13'!T460)</f>
        <v>0</v>
      </c>
      <c r="U460" s="93">
        <f>SUM('31:13'!U460)</f>
        <v>0</v>
      </c>
      <c r="V460" s="206">
        <f t="shared" ref="V460:V462" si="183">SUM(X460:AA460)</f>
        <v>0</v>
      </c>
      <c r="W460" s="33" t="str">
        <f t="shared" ref="W460:W484" si="184">IF(ISERROR(V460/G460),"",V460/G460)</f>
        <v/>
      </c>
      <c r="X460" s="93">
        <f>SUM('31:13'!X460)</f>
        <v>0</v>
      </c>
      <c r="Y460" s="93">
        <f>SUM('31:13'!Y460)</f>
        <v>0</v>
      </c>
      <c r="Z460" s="93">
        <f>SUM('31:13'!Z460)</f>
        <v>0</v>
      </c>
      <c r="AA460" s="93">
        <f>SUM('31:13'!AA460)</f>
        <v>0</v>
      </c>
      <c r="AB460" s="73"/>
      <c r="AC460" s="54"/>
      <c r="AD460" s="346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>
      <c r="A461" s="299">
        <v>30400006</v>
      </c>
      <c r="B461" s="65" t="s">
        <v>91</v>
      </c>
      <c r="C461" s="16" t="s">
        <v>53</v>
      </c>
      <c r="D461" s="17">
        <v>5.07</v>
      </c>
      <c r="E461" s="17"/>
      <c r="F461" s="6"/>
      <c r="G461" s="93">
        <f>SUM('31:13'!G461)</f>
        <v>0</v>
      </c>
      <c r="H461" s="339">
        <f t="shared" si="175"/>
        <v>0</v>
      </c>
      <c r="I461" s="93">
        <f>SUM('31:13'!I461)</f>
        <v>0</v>
      </c>
      <c r="J461" s="31" t="str">
        <f t="array" ref="J461">IF(ISERROR(G461/I461),"",G461/I461)</f>
        <v/>
      </c>
      <c r="K461" s="35">
        <f t="array" ref="K461">IF(ISERROR(G461/L461),"",G461/L461)</f>
        <v>0</v>
      </c>
      <c r="L461" s="87">
        <v>9</v>
      </c>
      <c r="M461" s="36">
        <f t="shared" si="176"/>
        <v>0</v>
      </c>
      <c r="N461" s="31">
        <f t="shared" si="182"/>
        <v>0</v>
      </c>
      <c r="O461" s="93">
        <f>SUM('31:13'!O461)</f>
        <v>0</v>
      </c>
      <c r="P461" s="93">
        <f>SUM('31:13'!P461)</f>
        <v>0</v>
      </c>
      <c r="Q461" s="93">
        <f>SUM('31:13'!Q461)</f>
        <v>0</v>
      </c>
      <c r="R461" s="93">
        <f>SUM('31:13'!R461)</f>
        <v>0</v>
      </c>
      <c r="S461" s="93">
        <f>SUM('31:13'!S461)</f>
        <v>0</v>
      </c>
      <c r="T461" s="93">
        <f>SUM('31:13'!T461)</f>
        <v>0</v>
      </c>
      <c r="U461" s="93">
        <f>SUM('31:13'!U461)</f>
        <v>0</v>
      </c>
      <c r="V461" s="206">
        <f t="shared" si="183"/>
        <v>0</v>
      </c>
      <c r="W461" s="33" t="str">
        <f t="shared" si="184"/>
        <v/>
      </c>
      <c r="X461" s="93">
        <f>SUM('31:13'!X461)</f>
        <v>0</v>
      </c>
      <c r="Y461" s="93">
        <f>SUM('31:13'!Y461)</f>
        <v>0</v>
      </c>
      <c r="Z461" s="93">
        <f>SUM('31:13'!Z461)</f>
        <v>0</v>
      </c>
      <c r="AA461" s="93">
        <f>SUM('31:13'!AA461)</f>
        <v>0</v>
      </c>
      <c r="AB461" s="73"/>
      <c r="AC461" s="54"/>
      <c r="AD461" s="346"/>
      <c r="AE461" s="54"/>
      <c r="AF461" s="54"/>
      <c r="AG461" s="54"/>
      <c r="AH461" s="5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>
      <c r="A462" s="299">
        <v>30400006</v>
      </c>
      <c r="B462" s="65" t="s">
        <v>91</v>
      </c>
      <c r="C462" s="16" t="s">
        <v>60</v>
      </c>
      <c r="D462" s="17">
        <v>5.0599999999999996</v>
      </c>
      <c r="E462" s="17"/>
      <c r="F462" s="53"/>
      <c r="G462" s="93">
        <f>SUM('31:13'!G462)</f>
        <v>0</v>
      </c>
      <c r="H462" s="339">
        <f t="shared" si="175"/>
        <v>0</v>
      </c>
      <c r="I462" s="93">
        <f>SUM('31:13'!I462)</f>
        <v>0</v>
      </c>
      <c r="J462" s="31" t="str">
        <f t="array" ref="J462">IF(ISERROR(G462/I462),"",G462/I462)</f>
        <v/>
      </c>
      <c r="K462" s="339">
        <f t="array" ref="K462">IF(ISERROR(G462/L462),"",G462/L462)</f>
        <v>0</v>
      </c>
      <c r="L462" s="87">
        <v>9</v>
      </c>
      <c r="M462" s="36">
        <f t="shared" si="176"/>
        <v>0</v>
      </c>
      <c r="N462" s="31">
        <f t="shared" si="182"/>
        <v>0</v>
      </c>
      <c r="O462" s="93">
        <f>SUM('31:13'!O462)</f>
        <v>0</v>
      </c>
      <c r="P462" s="93">
        <f>SUM('31:13'!P462)</f>
        <v>0</v>
      </c>
      <c r="Q462" s="93">
        <f>SUM('31:13'!Q462)</f>
        <v>0</v>
      </c>
      <c r="R462" s="93">
        <f>SUM('31:13'!R462)</f>
        <v>0</v>
      </c>
      <c r="S462" s="93">
        <f>SUM('31:13'!S462)</f>
        <v>0</v>
      </c>
      <c r="T462" s="93">
        <f>SUM('31:13'!T462)</f>
        <v>0</v>
      </c>
      <c r="U462" s="93">
        <f>SUM('31:13'!U462)</f>
        <v>0</v>
      </c>
      <c r="V462" s="206">
        <f t="shared" si="183"/>
        <v>0</v>
      </c>
      <c r="W462" s="33" t="str">
        <f t="shared" si="184"/>
        <v/>
      </c>
      <c r="X462" s="93">
        <f>SUM('31:13'!X462)</f>
        <v>0</v>
      </c>
      <c r="Y462" s="93">
        <f>SUM('31:13'!Y462)</f>
        <v>0</v>
      </c>
      <c r="Z462" s="93">
        <f>SUM('31:13'!Z462)</f>
        <v>0</v>
      </c>
      <c r="AA462" s="93">
        <f>SUM('31:13'!AA462)</f>
        <v>0</v>
      </c>
      <c r="AB462" s="73"/>
      <c r="AC462" s="54"/>
      <c r="AD462" s="346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>
      <c r="A463" s="691" t="s">
        <v>92</v>
      </c>
      <c r="B463" s="692"/>
      <c r="C463" s="342" t="s">
        <v>71</v>
      </c>
      <c r="D463" s="20"/>
      <c r="E463" s="20"/>
      <c r="F463" s="32"/>
      <c r="G463" s="99">
        <f>SUM(G429:G462)</f>
        <v>7980</v>
      </c>
      <c r="H463" s="30">
        <f>SUM(H429:H462)</f>
        <v>40173.750000000007</v>
      </c>
      <c r="I463" s="30">
        <f>SUM(I429:I462)</f>
        <v>646.5</v>
      </c>
      <c r="J463" s="31">
        <f t="array" ref="J463">IF(ISERROR(G463/I463),"",G463/I463)</f>
        <v>12.34338747099768</v>
      </c>
      <c r="K463" s="30">
        <f>SUM(K429:K462)</f>
        <v>853.50884652981426</v>
      </c>
      <c r="L463" s="98"/>
      <c r="M463" s="89">
        <f t="shared" ref="M463:V463" si="185">SUM(M429:M462)</f>
        <v>-207.00884652981426</v>
      </c>
      <c r="N463" s="30">
        <f t="shared" si="185"/>
        <v>0</v>
      </c>
      <c r="O463" s="91">
        <f t="shared" si="185"/>
        <v>0</v>
      </c>
      <c r="P463" s="91">
        <f t="shared" si="185"/>
        <v>0</v>
      </c>
      <c r="Q463" s="91">
        <f t="shared" si="185"/>
        <v>0</v>
      </c>
      <c r="R463" s="91">
        <f t="shared" si="185"/>
        <v>0</v>
      </c>
      <c r="S463" s="92">
        <f t="shared" si="185"/>
        <v>0</v>
      </c>
      <c r="T463" s="91">
        <f t="shared" si="185"/>
        <v>0</v>
      </c>
      <c r="U463" s="91">
        <f t="shared" si="185"/>
        <v>0</v>
      </c>
      <c r="V463" s="206">
        <f t="shared" si="185"/>
        <v>0</v>
      </c>
      <c r="W463" s="33">
        <f t="shared" si="184"/>
        <v>0</v>
      </c>
      <c r="X463" s="92">
        <f>SUM(X429:X462)</f>
        <v>0</v>
      </c>
      <c r="Y463" s="92">
        <f>SUM(Y429:Y462)</f>
        <v>0</v>
      </c>
      <c r="Z463" s="92">
        <f>SUM(Z429:Z462)</f>
        <v>0</v>
      </c>
      <c r="AA463" s="92">
        <f>SUM(AA429:AA462)</f>
        <v>0</v>
      </c>
      <c r="AB463" s="75"/>
      <c r="AC463" s="70"/>
      <c r="AD463" s="346"/>
      <c r="AE463" s="74"/>
      <c r="AF463" s="74"/>
      <c r="AG463" s="74"/>
      <c r="AH463" s="7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>
      <c r="A464" s="299">
        <v>30100038</v>
      </c>
      <c r="B464" s="62" t="s">
        <v>93</v>
      </c>
      <c r="C464" s="16" t="s">
        <v>94</v>
      </c>
      <c r="D464" s="17">
        <v>5.03</v>
      </c>
      <c r="E464" s="17"/>
      <c r="F464" s="6"/>
      <c r="G464" s="93">
        <f>SUM('31:13'!G464)</f>
        <v>0</v>
      </c>
      <c r="H464" s="339">
        <f>D464*G464</f>
        <v>0</v>
      </c>
      <c r="I464" s="93">
        <f>SUM('31:13'!I464)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87">
        <v>25</v>
      </c>
      <c r="M464" s="36">
        <f t="shared" ref="M464:M478" si="186">IF(ISERROR(I464-K464),"",I464-K464)</f>
        <v>0</v>
      </c>
      <c r="N464" s="31">
        <f t="shared" ref="N464:N478" si="187">SUM(O464:U464)</f>
        <v>0</v>
      </c>
      <c r="O464" s="93">
        <f>SUM('31:13'!O464)</f>
        <v>0</v>
      </c>
      <c r="P464" s="93">
        <f>SUM('31:13'!P464)</f>
        <v>0</v>
      </c>
      <c r="Q464" s="93">
        <f>SUM('31:13'!Q464)</f>
        <v>0</v>
      </c>
      <c r="R464" s="93">
        <f>SUM('31:13'!R464)</f>
        <v>0</v>
      </c>
      <c r="S464" s="93">
        <f>SUM('31:13'!S464)</f>
        <v>0</v>
      </c>
      <c r="T464" s="93">
        <f>SUM('31:13'!T464)</f>
        <v>0</v>
      </c>
      <c r="U464" s="93">
        <f>SUM('31:13'!U464)</f>
        <v>0</v>
      </c>
      <c r="V464" s="206">
        <f t="shared" ref="V464:V478" si="188">SUM(X464:AA464)</f>
        <v>0</v>
      </c>
      <c r="W464" s="33" t="str">
        <f t="shared" si="184"/>
        <v/>
      </c>
      <c r="X464" s="93">
        <f>SUM('31:13'!X464)</f>
        <v>0</v>
      </c>
      <c r="Y464" s="93">
        <f>SUM('31:13'!Y464)</f>
        <v>0</v>
      </c>
      <c r="Z464" s="93">
        <f>SUM('31:13'!Z464)</f>
        <v>0</v>
      </c>
      <c r="AA464" s="93">
        <f>SUM('31:13'!AA464)</f>
        <v>0</v>
      </c>
      <c r="AB464" s="73"/>
      <c r="AC464" s="54"/>
      <c r="AD464" s="346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>
      <c r="A465" s="299">
        <v>30100037</v>
      </c>
      <c r="B465" s="62" t="s">
        <v>93</v>
      </c>
      <c r="C465" s="16" t="s">
        <v>74</v>
      </c>
      <c r="D465" s="17">
        <v>5.03</v>
      </c>
      <c r="E465" s="17"/>
      <c r="F465" s="6"/>
      <c r="G465" s="93">
        <f>SUM('31:13'!G465)</f>
        <v>0</v>
      </c>
      <c r="H465" s="339">
        <f t="shared" ref="H465:H478" si="189">D465*G465</f>
        <v>0</v>
      </c>
      <c r="I465" s="93">
        <f>SUM('31:13'!I465)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87">
        <v>25</v>
      </c>
      <c r="M465" s="36">
        <f t="shared" si="186"/>
        <v>0</v>
      </c>
      <c r="N465" s="31">
        <f t="shared" si="187"/>
        <v>0</v>
      </c>
      <c r="O465" s="93">
        <f>SUM('31:13'!O465)</f>
        <v>0</v>
      </c>
      <c r="P465" s="93">
        <f>SUM('31:13'!P465)</f>
        <v>0</v>
      </c>
      <c r="Q465" s="93">
        <f>SUM('31:13'!Q465)</f>
        <v>0</v>
      </c>
      <c r="R465" s="93">
        <f>SUM('31:13'!R465)</f>
        <v>0</v>
      </c>
      <c r="S465" s="93">
        <f>SUM('31:13'!S465)</f>
        <v>0</v>
      </c>
      <c r="T465" s="93">
        <f>SUM('31:13'!T465)</f>
        <v>0</v>
      </c>
      <c r="U465" s="93">
        <f>SUM('31:13'!U465)</f>
        <v>0</v>
      </c>
      <c r="V465" s="206">
        <f t="shared" si="188"/>
        <v>0</v>
      </c>
      <c r="W465" s="33" t="str">
        <f t="shared" si="184"/>
        <v/>
      </c>
      <c r="X465" s="93">
        <f>SUM('31:13'!X465)</f>
        <v>0</v>
      </c>
      <c r="Y465" s="93">
        <f>SUM('31:13'!Y465)</f>
        <v>0</v>
      </c>
      <c r="Z465" s="93">
        <f>SUM('31:13'!Z465)</f>
        <v>0</v>
      </c>
      <c r="AA465" s="93">
        <f>SUM('31:13'!AA465)</f>
        <v>0</v>
      </c>
      <c r="AB465" s="73"/>
      <c r="AC465" s="54"/>
      <c r="AD465" s="346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>
      <c r="A466" s="299">
        <v>30100051</v>
      </c>
      <c r="B466" s="62" t="s">
        <v>58</v>
      </c>
      <c r="C466" s="16" t="s">
        <v>65</v>
      </c>
      <c r="D466" s="17">
        <v>5.04</v>
      </c>
      <c r="E466" s="17"/>
      <c r="F466" s="6"/>
      <c r="G466" s="93">
        <f>SUM('31:13'!G466)</f>
        <v>0</v>
      </c>
      <c r="H466" s="339">
        <f t="shared" si="189"/>
        <v>0</v>
      </c>
      <c r="I466" s="93">
        <f>SUM('31:13'!I466)</f>
        <v>0</v>
      </c>
      <c r="J466" s="31" t="str">
        <f t="array" ref="J466">IF(ISERROR(G466/I466),"",G466/I466)</f>
        <v/>
      </c>
      <c r="K466" s="35">
        <f t="array" ref="K466">IF(ISERROR(G466/L466),"",G466/L466)</f>
        <v>0</v>
      </c>
      <c r="L466" s="87">
        <v>20</v>
      </c>
      <c r="M466" s="36">
        <f t="shared" si="186"/>
        <v>0</v>
      </c>
      <c r="N466" s="31">
        <f t="shared" si="187"/>
        <v>0</v>
      </c>
      <c r="O466" s="93">
        <f>SUM('31:13'!O466)</f>
        <v>0</v>
      </c>
      <c r="P466" s="93">
        <f>SUM('31:13'!P466)</f>
        <v>0</v>
      </c>
      <c r="Q466" s="93">
        <f>SUM('31:13'!Q466)</f>
        <v>0</v>
      </c>
      <c r="R466" s="93">
        <f>SUM('31:13'!R466)</f>
        <v>0</v>
      </c>
      <c r="S466" s="93">
        <f>SUM('31:13'!S466)</f>
        <v>0</v>
      </c>
      <c r="T466" s="93">
        <f>SUM('31:13'!T466)</f>
        <v>0</v>
      </c>
      <c r="U466" s="93">
        <f>SUM('31:13'!U466)</f>
        <v>0</v>
      </c>
      <c r="V466" s="206">
        <f t="shared" si="188"/>
        <v>0</v>
      </c>
      <c r="W466" s="33" t="str">
        <f t="shared" si="184"/>
        <v/>
      </c>
      <c r="X466" s="93">
        <f>SUM('31:13'!X466)</f>
        <v>0</v>
      </c>
      <c r="Y466" s="93">
        <f>SUM('31:13'!Y466)</f>
        <v>0</v>
      </c>
      <c r="Z466" s="93">
        <f>SUM('31:13'!Z466)</f>
        <v>0</v>
      </c>
      <c r="AA466" s="93">
        <f>SUM('31:13'!AA466)</f>
        <v>0</v>
      </c>
      <c r="AB466" s="73"/>
      <c r="AC466" s="54"/>
      <c r="AD466" s="346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>
      <c r="A467" s="299"/>
      <c r="B467" s="63" t="s">
        <v>95</v>
      </c>
      <c r="C467" s="16" t="s">
        <v>82</v>
      </c>
      <c r="D467" s="17">
        <v>5.03</v>
      </c>
      <c r="E467" s="17"/>
      <c r="F467" s="6"/>
      <c r="G467" s="93">
        <f>SUM('31:13'!G467)</f>
        <v>0</v>
      </c>
      <c r="H467" s="339">
        <f t="shared" si="189"/>
        <v>0</v>
      </c>
      <c r="I467" s="93">
        <f>SUM('31:13'!I467)</f>
        <v>0</v>
      </c>
      <c r="J467" s="31" t="str">
        <f t="array" ref="J467">IF(ISERROR(G467/I467),"",G467/I467)</f>
        <v/>
      </c>
      <c r="K467" s="35">
        <f t="array" ref="K467">IF(ISERROR(G467/L467),"",G467/L467)</f>
        <v>0</v>
      </c>
      <c r="L467" s="87">
        <v>4</v>
      </c>
      <c r="M467" s="36">
        <f t="shared" si="186"/>
        <v>0</v>
      </c>
      <c r="N467" s="31">
        <f t="shared" si="187"/>
        <v>0</v>
      </c>
      <c r="O467" s="93">
        <f>SUM('31:13'!O467)</f>
        <v>0</v>
      </c>
      <c r="P467" s="93">
        <f>SUM('31:13'!P467)</f>
        <v>0</v>
      </c>
      <c r="Q467" s="93">
        <f>SUM('31:13'!Q467)</f>
        <v>0</v>
      </c>
      <c r="R467" s="93">
        <f>SUM('31:13'!R467)</f>
        <v>0</v>
      </c>
      <c r="S467" s="93">
        <f>SUM('31:13'!S467)</f>
        <v>0</v>
      </c>
      <c r="T467" s="93">
        <f>SUM('31:13'!T467)</f>
        <v>0</v>
      </c>
      <c r="U467" s="93">
        <f>SUM('31:13'!U467)</f>
        <v>0</v>
      </c>
      <c r="V467" s="206">
        <f t="shared" si="188"/>
        <v>0</v>
      </c>
      <c r="W467" s="33" t="str">
        <f t="shared" si="184"/>
        <v/>
      </c>
      <c r="X467" s="93">
        <f>SUM('31:13'!X467)</f>
        <v>0</v>
      </c>
      <c r="Y467" s="93">
        <f>SUM('31:13'!Y467)</f>
        <v>0</v>
      </c>
      <c r="Z467" s="93">
        <f>SUM('31:13'!Z467)</f>
        <v>0</v>
      </c>
      <c r="AA467" s="93">
        <f>SUM('31:13'!AA467)</f>
        <v>0</v>
      </c>
      <c r="AB467" s="73"/>
      <c r="AC467" s="54"/>
      <c r="AD467" s="346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>
      <c r="A468" s="299">
        <v>30100054</v>
      </c>
      <c r="B468" s="63" t="s">
        <v>95</v>
      </c>
      <c r="C468" s="340" t="s">
        <v>72</v>
      </c>
      <c r="D468" s="17">
        <v>5.03</v>
      </c>
      <c r="E468" s="17"/>
      <c r="F468" s="6"/>
      <c r="G468" s="93">
        <f>SUM('31:13'!G468)</f>
        <v>0</v>
      </c>
      <c r="H468" s="339">
        <f t="shared" si="189"/>
        <v>0</v>
      </c>
      <c r="I468" s="93">
        <f>SUM('31:13'!I468)</f>
        <v>0</v>
      </c>
      <c r="J468" s="31" t="str">
        <f t="array" ref="J468">IF(ISERROR(G468/I468),"",G468/I468)</f>
        <v/>
      </c>
      <c r="K468" s="35">
        <f t="array" ref="K468">IF(ISERROR(G468/L468),"",G468/L468)</f>
        <v>0</v>
      </c>
      <c r="L468" s="87">
        <v>4</v>
      </c>
      <c r="M468" s="36">
        <f t="shared" si="186"/>
        <v>0</v>
      </c>
      <c r="N468" s="31">
        <f t="shared" si="187"/>
        <v>0</v>
      </c>
      <c r="O468" s="93">
        <f>SUM('31:13'!O468)</f>
        <v>0</v>
      </c>
      <c r="P468" s="93">
        <f>SUM('31:13'!P468)</f>
        <v>0</v>
      </c>
      <c r="Q468" s="93">
        <f>SUM('31:13'!Q468)</f>
        <v>0</v>
      </c>
      <c r="R468" s="93">
        <f>SUM('31:13'!R468)</f>
        <v>0</v>
      </c>
      <c r="S468" s="93">
        <f>SUM('31:13'!S468)</f>
        <v>0</v>
      </c>
      <c r="T468" s="93">
        <f>SUM('31:13'!T468)</f>
        <v>0</v>
      </c>
      <c r="U468" s="93">
        <f>SUM('31:13'!U468)</f>
        <v>0</v>
      </c>
      <c r="V468" s="206">
        <f t="shared" si="188"/>
        <v>0</v>
      </c>
      <c r="W468" s="33" t="str">
        <f t="shared" si="184"/>
        <v/>
      </c>
      <c r="X468" s="93">
        <f>SUM('31:13'!X468)</f>
        <v>0</v>
      </c>
      <c r="Y468" s="93">
        <f>SUM('31:13'!Y468)</f>
        <v>0</v>
      </c>
      <c r="Z468" s="93">
        <f>SUM('31:13'!Z468)</f>
        <v>0</v>
      </c>
      <c r="AA468" s="93">
        <f>SUM('31:13'!AA468)</f>
        <v>0</v>
      </c>
      <c r="AB468" s="73"/>
      <c r="AC468" s="54"/>
      <c r="AD468" s="346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>
      <c r="A469" s="299">
        <v>30100053</v>
      </c>
      <c r="B469" s="63" t="s">
        <v>95</v>
      </c>
      <c r="C469" s="16" t="s">
        <v>73</v>
      </c>
      <c r="D469" s="17">
        <v>5.03</v>
      </c>
      <c r="E469" s="17"/>
      <c r="F469" s="6"/>
      <c r="G469" s="93">
        <f>SUM('31:13'!G469)</f>
        <v>0</v>
      </c>
      <c r="H469" s="339">
        <f t="shared" si="189"/>
        <v>0</v>
      </c>
      <c r="I469" s="93">
        <f>SUM('31:13'!I469)</f>
        <v>0</v>
      </c>
      <c r="J469" s="31" t="str">
        <f t="array" ref="J469">IF(ISERROR(G469/I469),"",G469/I469)</f>
        <v/>
      </c>
      <c r="K469" s="35">
        <f t="array" ref="K469">IF(ISERROR(G469/L469),"",G469/L469)</f>
        <v>0</v>
      </c>
      <c r="L469" s="87">
        <v>4</v>
      </c>
      <c r="M469" s="36">
        <f t="shared" si="186"/>
        <v>0</v>
      </c>
      <c r="N469" s="31">
        <f t="shared" si="187"/>
        <v>0</v>
      </c>
      <c r="O469" s="93">
        <f>SUM('31:13'!O469)</f>
        <v>0</v>
      </c>
      <c r="P469" s="93">
        <f>SUM('31:13'!P469)</f>
        <v>0</v>
      </c>
      <c r="Q469" s="93">
        <f>SUM('31:13'!Q469)</f>
        <v>0</v>
      </c>
      <c r="R469" s="93">
        <f>SUM('31:13'!R469)</f>
        <v>0</v>
      </c>
      <c r="S469" s="93">
        <f>SUM('31:13'!S469)</f>
        <v>0</v>
      </c>
      <c r="T469" s="93">
        <f>SUM('31:13'!T469)</f>
        <v>0</v>
      </c>
      <c r="U469" s="93">
        <f>SUM('31:13'!U469)</f>
        <v>0</v>
      </c>
      <c r="V469" s="206">
        <f t="shared" si="188"/>
        <v>0</v>
      </c>
      <c r="W469" s="33" t="str">
        <f t="shared" si="184"/>
        <v/>
      </c>
      <c r="X469" s="93">
        <f>SUM('31:13'!X469)</f>
        <v>0</v>
      </c>
      <c r="Y469" s="93">
        <f>SUM('31:13'!Y469)</f>
        <v>0</v>
      </c>
      <c r="Z469" s="93">
        <f>SUM('31:13'!Z469)</f>
        <v>0</v>
      </c>
      <c r="AA469" s="93">
        <f>SUM('31:13'!AA469)</f>
        <v>0</v>
      </c>
      <c r="AB469" s="73"/>
      <c r="AC469" s="54"/>
      <c r="AD469" s="346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>
      <c r="A470" s="299"/>
      <c r="B470" s="63" t="s">
        <v>95</v>
      </c>
      <c r="C470" s="16" t="s">
        <v>60</v>
      </c>
      <c r="D470" s="17">
        <v>5.03</v>
      </c>
      <c r="E470" s="17"/>
      <c r="F470" s="6"/>
      <c r="G470" s="93">
        <f>SUM('31:13'!G470)</f>
        <v>0</v>
      </c>
      <c r="H470" s="339">
        <f t="shared" si="189"/>
        <v>0</v>
      </c>
      <c r="I470" s="93">
        <f>SUM('31:13'!I470)</f>
        <v>0</v>
      </c>
      <c r="J470" s="31" t="str">
        <f t="array" ref="J470">IF(ISERROR(G470/I470),"",G470/I470)</f>
        <v/>
      </c>
      <c r="K470" s="35">
        <f t="array" ref="K470">IF(ISERROR(G470/L470),"",G470/L470)</f>
        <v>0</v>
      </c>
      <c r="L470" s="87">
        <v>4</v>
      </c>
      <c r="M470" s="36">
        <f t="shared" si="186"/>
        <v>0</v>
      </c>
      <c r="N470" s="31">
        <f t="shared" si="187"/>
        <v>0</v>
      </c>
      <c r="O470" s="93">
        <f>SUM('31:13'!O470)</f>
        <v>0</v>
      </c>
      <c r="P470" s="93">
        <f>SUM('31:13'!P470)</f>
        <v>0</v>
      </c>
      <c r="Q470" s="93">
        <f>SUM('31:13'!Q470)</f>
        <v>0</v>
      </c>
      <c r="R470" s="93">
        <f>SUM('31:13'!R470)</f>
        <v>0</v>
      </c>
      <c r="S470" s="93">
        <f>SUM('31:13'!S470)</f>
        <v>0</v>
      </c>
      <c r="T470" s="93">
        <f>SUM('31:13'!T470)</f>
        <v>0</v>
      </c>
      <c r="U470" s="93">
        <f>SUM('31:13'!U470)</f>
        <v>0</v>
      </c>
      <c r="V470" s="206">
        <f t="shared" si="188"/>
        <v>0</v>
      </c>
      <c r="W470" s="33" t="str">
        <f t="shared" si="184"/>
        <v/>
      </c>
      <c r="X470" s="93">
        <f>SUM('31:13'!X470)</f>
        <v>0</v>
      </c>
      <c r="Y470" s="93">
        <f>SUM('31:13'!Y470)</f>
        <v>0</v>
      </c>
      <c r="Z470" s="93">
        <f>SUM('31:13'!Z470)</f>
        <v>0</v>
      </c>
      <c r="AA470" s="93">
        <f>SUM('31:13'!AA470)</f>
        <v>0</v>
      </c>
      <c r="AB470" s="73"/>
      <c r="AC470" s="54"/>
      <c r="AD470" s="346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>
      <c r="A471" s="299"/>
      <c r="B471" s="63" t="s">
        <v>95</v>
      </c>
      <c r="C471" s="340" t="s">
        <v>96</v>
      </c>
      <c r="D471" s="17">
        <v>5.03</v>
      </c>
      <c r="E471" s="17"/>
      <c r="F471" s="6"/>
      <c r="G471" s="93">
        <f>SUM('31:13'!G471)</f>
        <v>0</v>
      </c>
      <c r="H471" s="339">
        <f t="shared" si="189"/>
        <v>0</v>
      </c>
      <c r="I471" s="93">
        <f>SUM('31:13'!I471)</f>
        <v>0</v>
      </c>
      <c r="J471" s="31" t="str">
        <f t="array" ref="J471">IF(ISERROR(G471/I471),"",G471/I471)</f>
        <v/>
      </c>
      <c r="K471" s="35">
        <f t="array" ref="K471">IF(ISERROR(G471/L471),"",G471/L471)</f>
        <v>0</v>
      </c>
      <c r="L471" s="87">
        <v>4</v>
      </c>
      <c r="M471" s="36">
        <f t="shared" si="186"/>
        <v>0</v>
      </c>
      <c r="N471" s="31">
        <f t="shared" si="187"/>
        <v>0</v>
      </c>
      <c r="O471" s="93">
        <f>SUM('31:13'!O471)</f>
        <v>0</v>
      </c>
      <c r="P471" s="93">
        <f>SUM('31:13'!P471)</f>
        <v>0</v>
      </c>
      <c r="Q471" s="93">
        <f>SUM('31:13'!Q471)</f>
        <v>0</v>
      </c>
      <c r="R471" s="93">
        <f>SUM('31:13'!R471)</f>
        <v>0</v>
      </c>
      <c r="S471" s="93">
        <f>SUM('31:13'!S471)</f>
        <v>0</v>
      </c>
      <c r="T471" s="93">
        <f>SUM('31:13'!T471)</f>
        <v>0</v>
      </c>
      <c r="U471" s="93">
        <f>SUM('31:13'!U471)</f>
        <v>0</v>
      </c>
      <c r="V471" s="206">
        <f t="shared" si="188"/>
        <v>0</v>
      </c>
      <c r="W471" s="33" t="str">
        <f t="shared" si="184"/>
        <v/>
      </c>
      <c r="X471" s="93">
        <f>SUM('31:13'!X471)</f>
        <v>0</v>
      </c>
      <c r="Y471" s="93">
        <f>SUM('31:13'!Y471)</f>
        <v>0</v>
      </c>
      <c r="Z471" s="93">
        <f>SUM('31:13'!Z471)</f>
        <v>0</v>
      </c>
      <c r="AA471" s="93">
        <f>SUM('31:13'!AA471)</f>
        <v>0</v>
      </c>
      <c r="AB471" s="73"/>
      <c r="AC471" s="54"/>
      <c r="AD471" s="346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>
      <c r="A472" s="299">
        <v>30101067</v>
      </c>
      <c r="B472" s="63" t="s">
        <v>97</v>
      </c>
      <c r="C472" s="340" t="s">
        <v>82</v>
      </c>
      <c r="D472" s="17">
        <v>5.03</v>
      </c>
      <c r="E472" s="17"/>
      <c r="F472" s="6"/>
      <c r="G472" s="93">
        <f>SUM('31:13'!G472)</f>
        <v>0</v>
      </c>
      <c r="H472" s="339">
        <f t="shared" si="189"/>
        <v>0</v>
      </c>
      <c r="I472" s="93">
        <f>SUM('31:13'!I472)</f>
        <v>0</v>
      </c>
      <c r="J472" s="31" t="str">
        <f t="array" ref="J472">IF(ISERROR(G472/I472),"",G472/I472)</f>
        <v/>
      </c>
      <c r="K472" s="35" t="str">
        <f t="array" ref="K472">IF(ISERROR(G472/L472),"",G472/L472)</f>
        <v/>
      </c>
      <c r="L472" s="87"/>
      <c r="M472" s="36" t="str">
        <f t="shared" si="186"/>
        <v/>
      </c>
      <c r="N472" s="31">
        <f t="shared" si="187"/>
        <v>0</v>
      </c>
      <c r="O472" s="93">
        <f>SUM('31:13'!O472)</f>
        <v>0</v>
      </c>
      <c r="P472" s="93">
        <f>SUM('31:13'!P472)</f>
        <v>0</v>
      </c>
      <c r="Q472" s="93">
        <f>SUM('31:13'!Q472)</f>
        <v>0</v>
      </c>
      <c r="R472" s="93">
        <f>SUM('31:13'!R472)</f>
        <v>0</v>
      </c>
      <c r="S472" s="93">
        <f>SUM('31:13'!S472)</f>
        <v>0</v>
      </c>
      <c r="T472" s="93">
        <f>SUM('31:13'!T472)</f>
        <v>0</v>
      </c>
      <c r="U472" s="93">
        <f>SUM('31:13'!U472)</f>
        <v>0</v>
      </c>
      <c r="V472" s="206">
        <f t="shared" si="188"/>
        <v>0</v>
      </c>
      <c r="W472" s="33" t="str">
        <f t="shared" si="184"/>
        <v/>
      </c>
      <c r="X472" s="93">
        <f>SUM('31:13'!X472)</f>
        <v>0</v>
      </c>
      <c r="Y472" s="93">
        <f>SUM('31:13'!Y472)</f>
        <v>0</v>
      </c>
      <c r="Z472" s="93">
        <f>SUM('31:13'!Z472)</f>
        <v>0</v>
      </c>
      <c r="AA472" s="93">
        <f>SUM('31:13'!AA472)</f>
        <v>0</v>
      </c>
      <c r="AB472" s="73"/>
      <c r="AC472" s="54"/>
      <c r="AD472" s="346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>
      <c r="A473" s="299">
        <v>30101068</v>
      </c>
      <c r="B473" s="63" t="s">
        <v>97</v>
      </c>
      <c r="C473" s="340" t="s">
        <v>72</v>
      </c>
      <c r="D473" s="17">
        <v>5.03</v>
      </c>
      <c r="E473" s="17"/>
      <c r="F473" s="6"/>
      <c r="G473" s="93">
        <f>SUM('31:13'!G473)</f>
        <v>0</v>
      </c>
      <c r="H473" s="339">
        <f t="shared" si="189"/>
        <v>0</v>
      </c>
      <c r="I473" s="93">
        <f>SUM('31:13'!I473)</f>
        <v>0</v>
      </c>
      <c r="J473" s="31" t="str">
        <f t="array" ref="J473">IF(ISERROR(G473/I473),"",G473/I473)</f>
        <v/>
      </c>
      <c r="K473" s="35" t="str">
        <f t="array" ref="K473">IF(ISERROR(G473/L473),"",G473/L473)</f>
        <v/>
      </c>
      <c r="L473" s="87"/>
      <c r="M473" s="36" t="str">
        <f t="shared" si="186"/>
        <v/>
      </c>
      <c r="N473" s="31">
        <f t="shared" si="187"/>
        <v>0</v>
      </c>
      <c r="O473" s="93">
        <f>SUM('31:13'!O473)</f>
        <v>0</v>
      </c>
      <c r="P473" s="93">
        <f>SUM('31:13'!P473)</f>
        <v>0</v>
      </c>
      <c r="Q473" s="93">
        <f>SUM('31:13'!Q473)</f>
        <v>0</v>
      </c>
      <c r="R473" s="93">
        <f>SUM('31:13'!R473)</f>
        <v>0</v>
      </c>
      <c r="S473" s="93">
        <f>SUM('31:13'!S473)</f>
        <v>0</v>
      </c>
      <c r="T473" s="93">
        <f>SUM('31:13'!T473)</f>
        <v>0</v>
      </c>
      <c r="U473" s="93">
        <f>SUM('31:13'!U473)</f>
        <v>0</v>
      </c>
      <c r="V473" s="206">
        <f t="shared" si="188"/>
        <v>0</v>
      </c>
      <c r="W473" s="33" t="str">
        <f t="shared" si="184"/>
        <v/>
      </c>
      <c r="X473" s="93">
        <f>SUM('31:13'!X473)</f>
        <v>0</v>
      </c>
      <c r="Y473" s="93">
        <f>SUM('31:13'!Y473)</f>
        <v>0</v>
      </c>
      <c r="Z473" s="93">
        <f>SUM('31:13'!Z473)</f>
        <v>0</v>
      </c>
      <c r="AA473" s="93">
        <f>SUM('31:13'!AA473)</f>
        <v>0</v>
      </c>
      <c r="AB473" s="73"/>
      <c r="AC473" s="54"/>
      <c r="AD473" s="346"/>
      <c r="AE473" s="54"/>
      <c r="AF473" s="54"/>
      <c r="AG473" s="54"/>
      <c r="AH473" s="5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>
      <c r="A474" s="299">
        <v>30101069</v>
      </c>
      <c r="B474" s="63" t="s">
        <v>97</v>
      </c>
      <c r="C474" s="340" t="s">
        <v>60</v>
      </c>
      <c r="D474" s="17">
        <v>5.03</v>
      </c>
      <c r="E474" s="17"/>
      <c r="F474" s="6"/>
      <c r="G474" s="93">
        <f>SUM('31:13'!G474)</f>
        <v>0</v>
      </c>
      <c r="H474" s="339">
        <f t="shared" si="189"/>
        <v>0</v>
      </c>
      <c r="I474" s="93">
        <f>SUM('31:13'!I474)</f>
        <v>0</v>
      </c>
      <c r="J474" s="31" t="str">
        <f t="array" ref="J474">IF(ISERROR(G474/I474),"",G474/I474)</f>
        <v/>
      </c>
      <c r="K474" s="35" t="str">
        <f t="array" ref="K474">IF(ISERROR(G474/L474),"",G474/L474)</f>
        <v/>
      </c>
      <c r="L474" s="87"/>
      <c r="M474" s="36" t="str">
        <f t="shared" si="186"/>
        <v/>
      </c>
      <c r="N474" s="31">
        <f t="shared" si="187"/>
        <v>0</v>
      </c>
      <c r="O474" s="93">
        <f>SUM('31:13'!O474)</f>
        <v>0</v>
      </c>
      <c r="P474" s="93">
        <f>SUM('31:13'!P474)</f>
        <v>0</v>
      </c>
      <c r="Q474" s="93">
        <f>SUM('31:13'!Q474)</f>
        <v>0</v>
      </c>
      <c r="R474" s="93">
        <f>SUM('31:13'!R474)</f>
        <v>0</v>
      </c>
      <c r="S474" s="93">
        <f>SUM('31:13'!S474)</f>
        <v>0</v>
      </c>
      <c r="T474" s="93">
        <f>SUM('31:13'!T474)</f>
        <v>0</v>
      </c>
      <c r="U474" s="93">
        <f>SUM('31:13'!U474)</f>
        <v>0</v>
      </c>
      <c r="V474" s="206">
        <f t="shared" si="188"/>
        <v>0</v>
      </c>
      <c r="W474" s="33" t="str">
        <f t="shared" si="184"/>
        <v/>
      </c>
      <c r="X474" s="93">
        <f>SUM('31:13'!X474)</f>
        <v>0</v>
      </c>
      <c r="Y474" s="93">
        <f>SUM('31:13'!Y474)</f>
        <v>0</v>
      </c>
      <c r="Z474" s="93">
        <f>SUM('31:13'!Z474)</f>
        <v>0</v>
      </c>
      <c r="AA474" s="93">
        <f>SUM('31:13'!AA474)</f>
        <v>0</v>
      </c>
      <c r="AB474" s="73"/>
      <c r="AC474" s="54"/>
      <c r="AD474" s="346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>
      <c r="A475" s="299">
        <v>30101070</v>
      </c>
      <c r="B475" s="63" t="s">
        <v>97</v>
      </c>
      <c r="C475" s="340" t="s">
        <v>96</v>
      </c>
      <c r="D475" s="17">
        <v>5.03</v>
      </c>
      <c r="E475" s="17"/>
      <c r="F475" s="6"/>
      <c r="G475" s="93">
        <f>SUM('31:13'!G475)</f>
        <v>0</v>
      </c>
      <c r="H475" s="339">
        <f t="shared" si="189"/>
        <v>0</v>
      </c>
      <c r="I475" s="93">
        <f>SUM('31:13'!I475)</f>
        <v>0</v>
      </c>
      <c r="J475" s="31" t="str">
        <f t="array" ref="J475">IF(ISERROR(G475/I475),"",G475/I475)</f>
        <v/>
      </c>
      <c r="K475" s="35" t="str">
        <f t="array" ref="K475">IF(ISERROR(G475/L475),"",G475/L475)</f>
        <v/>
      </c>
      <c r="L475" s="87"/>
      <c r="M475" s="36" t="str">
        <f t="shared" si="186"/>
        <v/>
      </c>
      <c r="N475" s="31">
        <f t="shared" si="187"/>
        <v>0</v>
      </c>
      <c r="O475" s="93">
        <f>SUM('31:13'!O475)</f>
        <v>0</v>
      </c>
      <c r="P475" s="93">
        <f>SUM('31:13'!P475)</f>
        <v>0</v>
      </c>
      <c r="Q475" s="93">
        <f>SUM('31:13'!Q475)</f>
        <v>0</v>
      </c>
      <c r="R475" s="93">
        <f>SUM('31:13'!R475)</f>
        <v>0</v>
      </c>
      <c r="S475" s="93">
        <f>SUM('31:13'!S475)</f>
        <v>0</v>
      </c>
      <c r="T475" s="93">
        <f>SUM('31:13'!T475)</f>
        <v>0</v>
      </c>
      <c r="U475" s="93">
        <f>SUM('31:13'!U475)</f>
        <v>0</v>
      </c>
      <c r="V475" s="206">
        <f t="shared" si="188"/>
        <v>0</v>
      </c>
      <c r="W475" s="33" t="str">
        <f t="shared" si="184"/>
        <v/>
      </c>
      <c r="X475" s="93">
        <f>SUM('31:13'!X475)</f>
        <v>0</v>
      </c>
      <c r="Y475" s="93">
        <f>SUM('31:13'!Y475)</f>
        <v>0</v>
      </c>
      <c r="Z475" s="93">
        <f>SUM('31:13'!Z475)</f>
        <v>0</v>
      </c>
      <c r="AA475" s="93">
        <f>SUM('31:13'!AA475)</f>
        <v>0</v>
      </c>
      <c r="AB475" s="73"/>
      <c r="AC475" s="54"/>
      <c r="AD475" s="346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>
      <c r="A476" s="299">
        <v>30101071</v>
      </c>
      <c r="B476" s="63" t="s">
        <v>97</v>
      </c>
      <c r="C476" s="340" t="s">
        <v>73</v>
      </c>
      <c r="D476" s="17">
        <v>5.03</v>
      </c>
      <c r="E476" s="17"/>
      <c r="F476" s="6"/>
      <c r="G476" s="93">
        <f>SUM('31:13'!G476)</f>
        <v>0</v>
      </c>
      <c r="H476" s="339">
        <f t="shared" si="189"/>
        <v>0</v>
      </c>
      <c r="I476" s="93">
        <f>SUM('31:13'!I476)</f>
        <v>0</v>
      </c>
      <c r="J476" s="31" t="str">
        <f t="array" ref="J476">IF(ISERROR(G476/I476),"",G476/I476)</f>
        <v/>
      </c>
      <c r="K476" s="35" t="str">
        <f t="array" ref="K476">IF(ISERROR(G476/L476),"",G476/L476)</f>
        <v/>
      </c>
      <c r="L476" s="87"/>
      <c r="M476" s="36" t="str">
        <f t="shared" si="186"/>
        <v/>
      </c>
      <c r="N476" s="31">
        <f t="shared" si="187"/>
        <v>0</v>
      </c>
      <c r="O476" s="93">
        <f>SUM('31:13'!O476)</f>
        <v>0</v>
      </c>
      <c r="P476" s="93">
        <f>SUM('31:13'!P476)</f>
        <v>0</v>
      </c>
      <c r="Q476" s="93">
        <f>SUM('31:13'!Q476)</f>
        <v>0</v>
      </c>
      <c r="R476" s="93">
        <f>SUM('31:13'!R476)</f>
        <v>0</v>
      </c>
      <c r="S476" s="93">
        <f>SUM('31:13'!S476)</f>
        <v>0</v>
      </c>
      <c r="T476" s="93">
        <f>SUM('31:13'!T476)</f>
        <v>0</v>
      </c>
      <c r="U476" s="93">
        <f>SUM('31:13'!U476)</f>
        <v>0</v>
      </c>
      <c r="V476" s="206">
        <f t="shared" si="188"/>
        <v>0</v>
      </c>
      <c r="W476" s="33" t="str">
        <f t="shared" si="184"/>
        <v/>
      </c>
      <c r="X476" s="93">
        <f>SUM('31:13'!X476)</f>
        <v>0</v>
      </c>
      <c r="Y476" s="93">
        <f>SUM('31:13'!Y476)</f>
        <v>0</v>
      </c>
      <c r="Z476" s="93">
        <f>SUM('31:13'!Z476)</f>
        <v>0</v>
      </c>
      <c r="AA476" s="93">
        <f>SUM('31:13'!AA476)</f>
        <v>0</v>
      </c>
      <c r="AB476" s="73"/>
      <c r="AC476" s="54"/>
      <c r="AD476" s="346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>
      <c r="A477" s="300">
        <v>30100001</v>
      </c>
      <c r="B477" s="62" t="s">
        <v>98</v>
      </c>
      <c r="C477" s="16" t="s">
        <v>74</v>
      </c>
      <c r="D477" s="17">
        <v>5.0599999999999996</v>
      </c>
      <c r="E477" s="17"/>
      <c r="F477" s="6"/>
      <c r="G477" s="93">
        <f>SUM('31:13'!G477)</f>
        <v>0</v>
      </c>
      <c r="H477" s="339">
        <f t="shared" si="189"/>
        <v>0</v>
      </c>
      <c r="I477" s="93">
        <f>SUM('31:13'!I477)</f>
        <v>0</v>
      </c>
      <c r="J477" s="31" t="str">
        <f t="array" ref="J477">IF(ISERROR(G477/I477),"",G477/I477)</f>
        <v/>
      </c>
      <c r="K477" s="35">
        <f t="array" ref="K477">IF(ISERROR(G477/L477),"",G477/L477)</f>
        <v>0</v>
      </c>
      <c r="L477" s="87">
        <v>25</v>
      </c>
      <c r="M477" s="36">
        <f t="shared" si="186"/>
        <v>0</v>
      </c>
      <c r="N477" s="31">
        <f t="shared" si="187"/>
        <v>0</v>
      </c>
      <c r="O477" s="93">
        <f>SUM('31:13'!O477)</f>
        <v>0</v>
      </c>
      <c r="P477" s="93">
        <f>SUM('31:13'!P477)</f>
        <v>0</v>
      </c>
      <c r="Q477" s="93">
        <f>SUM('31:13'!Q477)</f>
        <v>0</v>
      </c>
      <c r="R477" s="93">
        <f>SUM('31:13'!R477)</f>
        <v>0</v>
      </c>
      <c r="S477" s="93">
        <f>SUM('31:13'!S477)</f>
        <v>0</v>
      </c>
      <c r="T477" s="93">
        <f>SUM('31:13'!T477)</f>
        <v>0</v>
      </c>
      <c r="U477" s="93">
        <f>SUM('31:13'!U477)</f>
        <v>0</v>
      </c>
      <c r="V477" s="206">
        <f t="shared" si="188"/>
        <v>0</v>
      </c>
      <c r="W477" s="33" t="str">
        <f t="shared" si="184"/>
        <v/>
      </c>
      <c r="X477" s="93">
        <f>SUM('31:13'!X477)</f>
        <v>0</v>
      </c>
      <c r="Y477" s="93">
        <f>SUM('31:13'!Y477)</f>
        <v>0</v>
      </c>
      <c r="Z477" s="93">
        <f>SUM('31:13'!Z477)</f>
        <v>0</v>
      </c>
      <c r="AA477" s="93">
        <f>SUM('31:13'!AA477)</f>
        <v>0</v>
      </c>
      <c r="AB477" s="73"/>
      <c r="AC477" s="54"/>
      <c r="AD477" s="346"/>
      <c r="AE477" s="54"/>
      <c r="AF477" s="54"/>
      <c r="AG477" s="54"/>
      <c r="AH477" s="5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>
      <c r="A478" s="300">
        <v>30100002</v>
      </c>
      <c r="B478" s="62" t="s">
        <v>98</v>
      </c>
      <c r="C478" s="16" t="s">
        <v>94</v>
      </c>
      <c r="D478" s="17">
        <v>5.0599999999999996</v>
      </c>
      <c r="E478" s="17"/>
      <c r="F478" s="6"/>
      <c r="G478" s="93">
        <f>SUM('31:13'!G478)</f>
        <v>0</v>
      </c>
      <c r="H478" s="339">
        <f t="shared" si="189"/>
        <v>0</v>
      </c>
      <c r="I478" s="93">
        <f>SUM('31:13'!I478)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87">
        <v>25</v>
      </c>
      <c r="M478" s="36">
        <f t="shared" si="186"/>
        <v>0</v>
      </c>
      <c r="N478" s="31">
        <f t="shared" si="187"/>
        <v>0</v>
      </c>
      <c r="O478" s="93">
        <f>SUM('31:13'!O478)</f>
        <v>0</v>
      </c>
      <c r="P478" s="93">
        <f>SUM('31:13'!P478)</f>
        <v>0</v>
      </c>
      <c r="Q478" s="93">
        <f>SUM('31:13'!Q478)</f>
        <v>0</v>
      </c>
      <c r="R478" s="93">
        <f>SUM('31:13'!R478)</f>
        <v>0</v>
      </c>
      <c r="S478" s="93">
        <f>SUM('31:13'!S478)</f>
        <v>0</v>
      </c>
      <c r="T478" s="93">
        <f>SUM('31:13'!T478)</f>
        <v>0</v>
      </c>
      <c r="U478" s="93">
        <f>SUM('31:13'!U478)</f>
        <v>0</v>
      </c>
      <c r="V478" s="206">
        <f t="shared" si="188"/>
        <v>0</v>
      </c>
      <c r="W478" s="33" t="str">
        <f t="shared" si="184"/>
        <v/>
      </c>
      <c r="X478" s="93">
        <f>SUM('31:13'!X478)</f>
        <v>0</v>
      </c>
      <c r="Y478" s="93">
        <f>SUM('31:13'!Y478)</f>
        <v>0</v>
      </c>
      <c r="Z478" s="93">
        <f>SUM('31:13'!Z478)</f>
        <v>0</v>
      </c>
      <c r="AA478" s="93">
        <f>SUM('31:13'!AA478)</f>
        <v>0</v>
      </c>
      <c r="AB478" s="73"/>
      <c r="AC478" s="54"/>
      <c r="AD478" s="346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>
      <c r="A479" s="691" t="s">
        <v>99</v>
      </c>
      <c r="B479" s="692"/>
      <c r="C479" s="342" t="s">
        <v>71</v>
      </c>
      <c r="D479" s="20"/>
      <c r="E479" s="20"/>
      <c r="F479" s="32"/>
      <c r="G479" s="99">
        <f>SUM(G464:G478)</f>
        <v>0</v>
      </c>
      <c r="H479" s="30">
        <f>SUM(H464:H478)</f>
        <v>0</v>
      </c>
      <c r="I479" s="30">
        <f>SUM(I464:I478)</f>
        <v>0</v>
      </c>
      <c r="J479" s="31" t="str">
        <f t="array" ref="J479">IF(ISERROR(G479/I479),"",G479/I479)</f>
        <v/>
      </c>
      <c r="K479" s="30">
        <f>SUM(K464:K478)</f>
        <v>0</v>
      </c>
      <c r="L479" s="98"/>
      <c r="M479" s="89">
        <f t="shared" ref="M479:V479" si="190">SUM(M464:M478)</f>
        <v>0</v>
      </c>
      <c r="N479" s="30">
        <f t="shared" si="190"/>
        <v>0</v>
      </c>
      <c r="O479" s="30">
        <f t="shared" si="190"/>
        <v>0</v>
      </c>
      <c r="P479" s="30">
        <f t="shared" si="190"/>
        <v>0</v>
      </c>
      <c r="Q479" s="30">
        <f t="shared" si="190"/>
        <v>0</v>
      </c>
      <c r="R479" s="30">
        <f t="shared" si="190"/>
        <v>0</v>
      </c>
      <c r="S479" s="30">
        <f t="shared" si="190"/>
        <v>0</v>
      </c>
      <c r="T479" s="30">
        <f t="shared" si="190"/>
        <v>0</v>
      </c>
      <c r="U479" s="30">
        <f t="shared" si="190"/>
        <v>0</v>
      </c>
      <c r="V479" s="208">
        <f t="shared" si="190"/>
        <v>0</v>
      </c>
      <c r="W479" s="33" t="str">
        <f t="shared" si="184"/>
        <v/>
      </c>
      <c r="X479" s="94">
        <f>SUM(X464:X478)</f>
        <v>0</v>
      </c>
      <c r="Y479" s="94">
        <f>SUM(Y464:Y478)</f>
        <v>0</v>
      </c>
      <c r="Z479" s="94">
        <f>SUM(Z464:Z478)</f>
        <v>0</v>
      </c>
      <c r="AA479" s="94">
        <f>SUM(AA464:AA478)</f>
        <v>0</v>
      </c>
      <c r="AB479" s="75"/>
      <c r="AC479" s="70"/>
      <c r="AD479" s="346"/>
      <c r="AE479" s="74"/>
      <c r="AF479" s="74"/>
      <c r="AG479" s="74"/>
      <c r="AH479" s="7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>
      <c r="A480" s="300">
        <v>30400025</v>
      </c>
      <c r="B480" s="192" t="s">
        <v>423</v>
      </c>
      <c r="C480" s="16" t="s">
        <v>53</v>
      </c>
      <c r="D480" s="17">
        <v>5.04</v>
      </c>
      <c r="E480" s="17"/>
      <c r="F480" s="6"/>
      <c r="G480" s="93">
        <f>SUM('31:13'!G480)</f>
        <v>0</v>
      </c>
      <c r="H480" s="339">
        <f t="shared" ref="H480:H489" si="191">D480*G480</f>
        <v>0</v>
      </c>
      <c r="I480" s="93">
        <f>SUM('31:13'!I480)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87">
        <v>22</v>
      </c>
      <c r="M480" s="36">
        <f t="shared" ref="M480:M484" si="192">IF(ISERROR(I480-K480),"",I480-K480)</f>
        <v>0</v>
      </c>
      <c r="N480" s="31">
        <f t="shared" ref="N480:N484" si="193">SUM(O480:U480)</f>
        <v>0</v>
      </c>
      <c r="O480" s="93">
        <f>SUM('31:13'!O480)</f>
        <v>0</v>
      </c>
      <c r="P480" s="93">
        <f>SUM('31:13'!P480)</f>
        <v>0</v>
      </c>
      <c r="Q480" s="93">
        <f>SUM('31:13'!Q480)</f>
        <v>0</v>
      </c>
      <c r="R480" s="93">
        <f>SUM('31:13'!R480)</f>
        <v>0</v>
      </c>
      <c r="S480" s="93">
        <f>SUM('31:13'!S480)</f>
        <v>0</v>
      </c>
      <c r="T480" s="93">
        <f>SUM('31:13'!T480)</f>
        <v>0</v>
      </c>
      <c r="U480" s="93">
        <f>SUM('31:13'!U480)</f>
        <v>0</v>
      </c>
      <c r="V480" s="206">
        <f t="shared" ref="V480:V484" si="194">SUM(X480:AA480)</f>
        <v>0</v>
      </c>
      <c r="W480" s="33" t="str">
        <f t="shared" si="184"/>
        <v/>
      </c>
      <c r="X480" s="93">
        <f>SUM('31:13'!X480)</f>
        <v>0</v>
      </c>
      <c r="Y480" s="93">
        <f>SUM('31:13'!Y480)</f>
        <v>0</v>
      </c>
      <c r="Z480" s="93">
        <f>SUM('31:13'!Z480)</f>
        <v>0</v>
      </c>
      <c r="AA480" s="93">
        <f>SUM('31:13'!AA480)</f>
        <v>0</v>
      </c>
      <c r="AB480" s="73"/>
      <c r="AC480" s="54"/>
      <c r="AD480" s="346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>
      <c r="A481" s="300">
        <v>30400023</v>
      </c>
      <c r="B481" s="192" t="s">
        <v>423</v>
      </c>
      <c r="C481" s="16" t="s">
        <v>60</v>
      </c>
      <c r="D481" s="17">
        <v>5.04</v>
      </c>
      <c r="E481" s="17"/>
      <c r="F481" s="6"/>
      <c r="G481" s="93">
        <f>SUM('31:13'!G481)</f>
        <v>0</v>
      </c>
      <c r="H481" s="339">
        <f t="shared" si="191"/>
        <v>0</v>
      </c>
      <c r="I481" s="93">
        <f>SUM('31:13'!I481)</f>
        <v>0</v>
      </c>
      <c r="J481" s="31" t="str">
        <f t="array" ref="J481">IF(ISERROR(G481/I481),"",G481/I481)</f>
        <v/>
      </c>
      <c r="K481" s="35">
        <f t="array" ref="K481">IF(ISERROR(G481/L481),"",G481/L481)</f>
        <v>0</v>
      </c>
      <c r="L481" s="87">
        <v>22</v>
      </c>
      <c r="M481" s="36">
        <f t="shared" si="192"/>
        <v>0</v>
      </c>
      <c r="N481" s="31">
        <f t="shared" si="193"/>
        <v>0</v>
      </c>
      <c r="O481" s="93">
        <f>SUM('31:13'!O481)</f>
        <v>0</v>
      </c>
      <c r="P481" s="93">
        <f>SUM('31:13'!P481)</f>
        <v>0</v>
      </c>
      <c r="Q481" s="93">
        <f>SUM('31:13'!Q481)</f>
        <v>0</v>
      </c>
      <c r="R481" s="93">
        <f>SUM('31:13'!R481)</f>
        <v>0</v>
      </c>
      <c r="S481" s="93">
        <f>SUM('31:13'!S481)</f>
        <v>0</v>
      </c>
      <c r="T481" s="93">
        <f>SUM('31:13'!T481)</f>
        <v>0</v>
      </c>
      <c r="U481" s="93">
        <f>SUM('31:13'!U481)</f>
        <v>0</v>
      </c>
      <c r="V481" s="206">
        <f t="shared" si="194"/>
        <v>0</v>
      </c>
      <c r="W481" s="33" t="str">
        <f t="shared" si="184"/>
        <v/>
      </c>
      <c r="X481" s="93">
        <f>SUM('31:13'!X481)</f>
        <v>0</v>
      </c>
      <c r="Y481" s="93">
        <f>SUM('31:13'!Y481)</f>
        <v>0</v>
      </c>
      <c r="Z481" s="93">
        <f>SUM('31:13'!Z481)</f>
        <v>0</v>
      </c>
      <c r="AA481" s="93">
        <f>SUM('31:13'!AA481)</f>
        <v>0</v>
      </c>
      <c r="AB481" s="73"/>
      <c r="AC481" s="54"/>
      <c r="AD481" s="346"/>
      <c r="AE481" s="54"/>
      <c r="AF481" s="54"/>
      <c r="AG481" s="54"/>
      <c r="AH481" s="5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>
      <c r="A482" s="300">
        <v>30400024</v>
      </c>
      <c r="B482" s="192" t="s">
        <v>423</v>
      </c>
      <c r="C482" s="16" t="s">
        <v>74</v>
      </c>
      <c r="D482" s="17">
        <v>5.04</v>
      </c>
      <c r="E482" s="17"/>
      <c r="F482" s="6"/>
      <c r="G482" s="93">
        <f>SUM('31:13'!G482)</f>
        <v>0</v>
      </c>
      <c r="H482" s="339">
        <f t="shared" si="191"/>
        <v>0</v>
      </c>
      <c r="I482" s="93">
        <f>SUM('31:13'!I482)</f>
        <v>0</v>
      </c>
      <c r="J482" s="31" t="str">
        <f t="array" ref="J482">IF(ISERROR(G482/I482),"",G482/I482)</f>
        <v/>
      </c>
      <c r="K482" s="35">
        <f t="array" ref="K482">IF(ISERROR(G482/L482),"",G482/L482)</f>
        <v>0</v>
      </c>
      <c r="L482" s="87">
        <v>22</v>
      </c>
      <c r="M482" s="36">
        <f t="shared" si="192"/>
        <v>0</v>
      </c>
      <c r="N482" s="31">
        <f t="shared" si="193"/>
        <v>0</v>
      </c>
      <c r="O482" s="93">
        <f>SUM('31:13'!O482)</f>
        <v>0</v>
      </c>
      <c r="P482" s="93">
        <f>SUM('31:13'!P482)</f>
        <v>0</v>
      </c>
      <c r="Q482" s="93">
        <f>SUM('31:13'!Q482)</f>
        <v>0</v>
      </c>
      <c r="R482" s="93">
        <f>SUM('31:13'!R482)</f>
        <v>0</v>
      </c>
      <c r="S482" s="93">
        <f>SUM('31:13'!S482)</f>
        <v>0</v>
      </c>
      <c r="T482" s="93">
        <f>SUM('31:13'!T482)</f>
        <v>0</v>
      </c>
      <c r="U482" s="93">
        <f>SUM('31:13'!U482)</f>
        <v>0</v>
      </c>
      <c r="V482" s="206">
        <f t="shared" si="194"/>
        <v>0</v>
      </c>
      <c r="W482" s="33" t="str">
        <f t="shared" si="184"/>
        <v/>
      </c>
      <c r="X482" s="93">
        <f>SUM('31:13'!X482)</f>
        <v>0</v>
      </c>
      <c r="Y482" s="93">
        <f>SUM('31:13'!Y482)</f>
        <v>0</v>
      </c>
      <c r="Z482" s="93">
        <f>SUM('31:13'!Z482)</f>
        <v>0</v>
      </c>
      <c r="AA482" s="93">
        <f>SUM('31:13'!AA482)</f>
        <v>0</v>
      </c>
      <c r="AB482" s="73"/>
      <c r="AC482" s="54"/>
      <c r="AD482" s="346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>
      <c r="A483" s="300"/>
      <c r="B483" s="192" t="s">
        <v>423</v>
      </c>
      <c r="C483" s="16" t="s">
        <v>66</v>
      </c>
      <c r="D483" s="17">
        <v>5.04</v>
      </c>
      <c r="E483" s="17"/>
      <c r="F483" s="6"/>
      <c r="G483" s="93">
        <f>SUM('31:13'!G483)</f>
        <v>0</v>
      </c>
      <c r="H483" s="339">
        <f t="shared" si="191"/>
        <v>0</v>
      </c>
      <c r="I483" s="93">
        <f>SUM('31:13'!I483)</f>
        <v>0</v>
      </c>
      <c r="J483" s="31" t="str">
        <f t="array" ref="J483">IF(ISERROR(G483/I483),"",G483/I483)</f>
        <v/>
      </c>
      <c r="K483" s="35">
        <f t="array" ref="K483">IF(ISERROR(G483/L483),"",G483/L483)</f>
        <v>0</v>
      </c>
      <c r="L483" s="87">
        <v>22</v>
      </c>
      <c r="M483" s="36">
        <f t="shared" si="192"/>
        <v>0</v>
      </c>
      <c r="N483" s="31">
        <f t="shared" si="193"/>
        <v>0</v>
      </c>
      <c r="O483" s="93">
        <f>SUM('31:13'!O483)</f>
        <v>0</v>
      </c>
      <c r="P483" s="93">
        <f>SUM('31:13'!P483)</f>
        <v>0</v>
      </c>
      <c r="Q483" s="93">
        <f>SUM('31:13'!Q483)</f>
        <v>0</v>
      </c>
      <c r="R483" s="93">
        <f>SUM('31:13'!R483)</f>
        <v>0</v>
      </c>
      <c r="S483" s="93">
        <f>SUM('31:13'!S483)</f>
        <v>0</v>
      </c>
      <c r="T483" s="93">
        <f>SUM('31:13'!T483)</f>
        <v>0</v>
      </c>
      <c r="U483" s="93">
        <f>SUM('31:13'!U483)</f>
        <v>0</v>
      </c>
      <c r="V483" s="206">
        <f t="shared" si="194"/>
        <v>0</v>
      </c>
      <c r="W483" s="33" t="str">
        <f t="shared" si="184"/>
        <v/>
      </c>
      <c r="X483" s="93">
        <f>SUM('31:13'!X483)</f>
        <v>0</v>
      </c>
      <c r="Y483" s="93">
        <f>SUM('31:13'!Y483)</f>
        <v>0</v>
      </c>
      <c r="Z483" s="93">
        <f>SUM('31:13'!Z483)</f>
        <v>0</v>
      </c>
      <c r="AA483" s="93">
        <f>SUM('31:13'!AA483)</f>
        <v>0</v>
      </c>
      <c r="AB483" s="73"/>
      <c r="AC483" s="54"/>
      <c r="AD483" s="346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>
      <c r="A484" s="300"/>
      <c r="B484" s="192" t="s">
        <v>423</v>
      </c>
      <c r="C484" s="16" t="s">
        <v>101</v>
      </c>
      <c r="D484" s="17">
        <v>5.04</v>
      </c>
      <c r="E484" s="17"/>
      <c r="F484" s="6"/>
      <c r="G484" s="93">
        <f>SUM('31:13'!G484)</f>
        <v>0</v>
      </c>
      <c r="H484" s="339">
        <f t="shared" si="191"/>
        <v>0</v>
      </c>
      <c r="I484" s="93">
        <f>SUM('31:13'!I484)</f>
        <v>0</v>
      </c>
      <c r="J484" s="31" t="str">
        <f t="array" ref="J484">IF(ISERROR(G484/I484),"",G484/I484)</f>
        <v/>
      </c>
      <c r="K484" s="35">
        <f t="array" ref="K484">IF(ISERROR(G484/L484),"",G484/L484)</f>
        <v>0</v>
      </c>
      <c r="L484" s="87">
        <v>22</v>
      </c>
      <c r="M484" s="36">
        <f t="shared" si="192"/>
        <v>0</v>
      </c>
      <c r="N484" s="31">
        <f t="shared" si="193"/>
        <v>0</v>
      </c>
      <c r="O484" s="93">
        <f>SUM('31:13'!O484)</f>
        <v>0</v>
      </c>
      <c r="P484" s="93">
        <f>SUM('31:13'!P484)</f>
        <v>0</v>
      </c>
      <c r="Q484" s="93">
        <f>SUM('31:13'!Q484)</f>
        <v>0</v>
      </c>
      <c r="R484" s="93">
        <f>SUM('31:13'!R484)</f>
        <v>0</v>
      </c>
      <c r="S484" s="93">
        <f>SUM('31:13'!S484)</f>
        <v>0</v>
      </c>
      <c r="T484" s="93">
        <f>SUM('31:13'!T484)</f>
        <v>0</v>
      </c>
      <c r="U484" s="93">
        <f>SUM('31:13'!U484)</f>
        <v>0</v>
      </c>
      <c r="V484" s="206">
        <f t="shared" si="194"/>
        <v>0</v>
      </c>
      <c r="W484" s="33" t="str">
        <f t="shared" si="184"/>
        <v/>
      </c>
      <c r="X484" s="93">
        <f>SUM('31:13'!X484)</f>
        <v>0</v>
      </c>
      <c r="Y484" s="93">
        <f>SUM('31:13'!Y484)</f>
        <v>0</v>
      </c>
      <c r="Z484" s="93">
        <f>SUM('31:13'!Z484)</f>
        <v>0</v>
      </c>
      <c r="AA484" s="93">
        <f>SUM('31:13'!AA484)</f>
        <v>0</v>
      </c>
      <c r="AB484" s="73"/>
      <c r="AC484" s="54"/>
      <c r="AD484" s="346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>
      <c r="A485" s="300">
        <v>30400019</v>
      </c>
      <c r="B485" s="192" t="s">
        <v>440</v>
      </c>
      <c r="C485" s="187" t="s">
        <v>442</v>
      </c>
      <c r="D485" s="17">
        <v>5.04</v>
      </c>
      <c r="E485" s="17"/>
      <c r="F485" s="6"/>
      <c r="G485" s="93">
        <f>SUM('31:13'!G485)</f>
        <v>0</v>
      </c>
      <c r="H485" s="339">
        <f t="shared" si="191"/>
        <v>0</v>
      </c>
      <c r="I485" s="93">
        <f>SUM('31:13'!I485)</f>
        <v>0</v>
      </c>
      <c r="J485" s="31"/>
      <c r="K485" s="35"/>
      <c r="L485" s="87">
        <v>13.5</v>
      </c>
      <c r="M485" s="36"/>
      <c r="N485" s="31"/>
      <c r="O485" s="93"/>
      <c r="P485" s="93"/>
      <c r="Q485" s="93"/>
      <c r="R485" s="93"/>
      <c r="S485" s="93"/>
      <c r="T485" s="93"/>
      <c r="U485" s="93"/>
      <c r="V485" s="206"/>
      <c r="W485" s="33"/>
      <c r="X485" s="93"/>
      <c r="Y485" s="93"/>
      <c r="Z485" s="93"/>
      <c r="AA485" s="93"/>
      <c r="AB485" s="73"/>
      <c r="AC485" s="54"/>
      <c r="AD485" s="346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>
      <c r="A486" s="300">
        <v>30400020</v>
      </c>
      <c r="B486" s="192" t="s">
        <v>439</v>
      </c>
      <c r="C486" s="187" t="s">
        <v>516</v>
      </c>
      <c r="D486" s="17">
        <v>5.04</v>
      </c>
      <c r="E486" s="17"/>
      <c r="F486" s="6"/>
      <c r="G486" s="93">
        <f>SUM('31:13'!G486)</f>
        <v>0</v>
      </c>
      <c r="H486" s="378">
        <f t="shared" si="191"/>
        <v>0</v>
      </c>
      <c r="I486" s="93">
        <f>SUM('31:13'!I486)</f>
        <v>0</v>
      </c>
      <c r="J486" s="31"/>
      <c r="K486" s="35"/>
      <c r="L486" s="87">
        <v>13.5</v>
      </c>
      <c r="M486" s="36"/>
      <c r="N486" s="31"/>
      <c r="O486" s="93"/>
      <c r="P486" s="93"/>
      <c r="Q486" s="93"/>
      <c r="R486" s="93"/>
      <c r="S486" s="93"/>
      <c r="T486" s="93"/>
      <c r="U486" s="93"/>
      <c r="V486" s="206"/>
      <c r="W486" s="33"/>
      <c r="X486" s="93"/>
      <c r="Y486" s="93"/>
      <c r="Z486" s="93"/>
      <c r="AA486" s="93"/>
      <c r="AB486" s="73"/>
      <c r="AC486" s="54"/>
      <c r="AD486" s="375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>
      <c r="A487" s="300">
        <v>30400021</v>
      </c>
      <c r="B487" s="192" t="s">
        <v>439</v>
      </c>
      <c r="C487" s="187" t="s">
        <v>517</v>
      </c>
      <c r="D487" s="17">
        <v>5.04</v>
      </c>
      <c r="E487" s="17"/>
      <c r="F487" s="6"/>
      <c r="G487" s="93">
        <f>SUM('31:13'!G487)</f>
        <v>0</v>
      </c>
      <c r="H487" s="378">
        <f t="shared" si="191"/>
        <v>0</v>
      </c>
      <c r="I487" s="93">
        <f>SUM('31:13'!I487)</f>
        <v>0</v>
      </c>
      <c r="J487" s="31"/>
      <c r="K487" s="35"/>
      <c r="L487" s="87">
        <v>13.5</v>
      </c>
      <c r="M487" s="36"/>
      <c r="N487" s="31"/>
      <c r="O487" s="93"/>
      <c r="P487" s="93"/>
      <c r="Q487" s="93"/>
      <c r="R487" s="93"/>
      <c r="S487" s="93"/>
      <c r="T487" s="93"/>
      <c r="U487" s="93"/>
      <c r="V487" s="206"/>
      <c r="W487" s="33"/>
      <c r="X487" s="93"/>
      <c r="Y487" s="93"/>
      <c r="Z487" s="93"/>
      <c r="AA487" s="93"/>
      <c r="AB487" s="73"/>
      <c r="AC487" s="54"/>
      <c r="AD487" s="379"/>
      <c r="AE487" s="54"/>
      <c r="AF487" s="54"/>
      <c r="AG487" s="54"/>
      <c r="AH487" s="5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>
      <c r="A488" s="300">
        <v>30400018</v>
      </c>
      <c r="B488" s="192" t="s">
        <v>439</v>
      </c>
      <c r="C488" s="16" t="s">
        <v>55</v>
      </c>
      <c r="D488" s="17">
        <v>5.04</v>
      </c>
      <c r="E488" s="17"/>
      <c r="F488" s="6"/>
      <c r="G488" s="93">
        <f>SUM('31:13'!G488)</f>
        <v>0</v>
      </c>
      <c r="H488" s="450">
        <f t="shared" si="191"/>
        <v>0</v>
      </c>
      <c r="I488" s="93">
        <f>SUM('31:13'!I488)</f>
        <v>0</v>
      </c>
      <c r="J488" s="31"/>
      <c r="K488" s="35"/>
      <c r="L488" s="87">
        <v>13.5</v>
      </c>
      <c r="M488" s="36"/>
      <c r="N488" s="31"/>
      <c r="O488" s="93"/>
      <c r="P488" s="93"/>
      <c r="Q488" s="93"/>
      <c r="R488" s="93"/>
      <c r="S488" s="93"/>
      <c r="T488" s="93"/>
      <c r="U488" s="93"/>
      <c r="V488" s="206"/>
      <c r="W488" s="33"/>
      <c r="X488" s="93"/>
      <c r="Y488" s="93"/>
      <c r="Z488" s="93"/>
      <c r="AA488" s="93"/>
      <c r="AB488" s="73"/>
      <c r="AC488" s="54"/>
      <c r="AD488" s="451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>
      <c r="A489" s="300">
        <v>30400022</v>
      </c>
      <c r="B489" s="192" t="s">
        <v>423</v>
      </c>
      <c r="C489" s="16" t="s">
        <v>55</v>
      </c>
      <c r="D489" s="17">
        <v>5.04</v>
      </c>
      <c r="E489" s="17"/>
      <c r="F489" s="6"/>
      <c r="G489" s="93">
        <f>SUM('31:13'!G489)</f>
        <v>0</v>
      </c>
      <c r="H489" s="339">
        <f t="shared" si="191"/>
        <v>0</v>
      </c>
      <c r="I489" s="93">
        <f>SUM('31:13'!I489)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87">
        <v>22</v>
      </c>
      <c r="M489" s="36">
        <f t="shared" ref="M489" si="195">IF(ISERROR(I489-K489),"",I489-K489)</f>
        <v>0</v>
      </c>
      <c r="N489" s="31">
        <f t="shared" ref="N489" si="196">SUM(O489:U489)</f>
        <v>0</v>
      </c>
      <c r="O489" s="93">
        <f>SUM('31:13'!O489)</f>
        <v>0</v>
      </c>
      <c r="P489" s="93">
        <f>SUM('31:13'!P489)</f>
        <v>0</v>
      </c>
      <c r="Q489" s="93">
        <f>SUM('31:13'!Q489)</f>
        <v>0</v>
      </c>
      <c r="R489" s="93">
        <f>SUM('31:13'!R489)</f>
        <v>0</v>
      </c>
      <c r="S489" s="93">
        <f>SUM('31:13'!S489)</f>
        <v>0</v>
      </c>
      <c r="T489" s="93">
        <f>SUM('31:13'!T489)</f>
        <v>0</v>
      </c>
      <c r="U489" s="93">
        <f>SUM('31:13'!U489)</f>
        <v>0</v>
      </c>
      <c r="V489" s="206">
        <f t="shared" ref="V489" si="197">SUM(X489:AA489)</f>
        <v>0</v>
      </c>
      <c r="W489" s="33" t="str">
        <f t="shared" ref="W489:W494" si="198">IF(ISERROR(V489/G489),"",V489/G489)</f>
        <v/>
      </c>
      <c r="X489" s="93">
        <f>SUM('31:13'!X489)</f>
        <v>0</v>
      </c>
      <c r="Y489" s="93">
        <f>SUM('31:13'!Y489)</f>
        <v>0</v>
      </c>
      <c r="Z489" s="93">
        <f>SUM('31:13'!Z489)</f>
        <v>0</v>
      </c>
      <c r="AA489" s="93">
        <f>SUM('31:13'!AA489)</f>
        <v>0</v>
      </c>
      <c r="AB489" s="73"/>
      <c r="AC489" s="54"/>
      <c r="AD489" s="346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>
      <c r="A490" s="691" t="s">
        <v>102</v>
      </c>
      <c r="B490" s="692"/>
      <c r="C490" s="342" t="s">
        <v>71</v>
      </c>
      <c r="D490" s="20"/>
      <c r="E490" s="20"/>
      <c r="F490" s="32"/>
      <c r="G490" s="99">
        <f>SUM(G480:G489)</f>
        <v>0</v>
      </c>
      <c r="H490" s="30">
        <f>SUM(H480:H489)</f>
        <v>0</v>
      </c>
      <c r="I490" s="30">
        <f>SUM(I480:I489)</f>
        <v>0</v>
      </c>
      <c r="J490" s="31" t="str">
        <f t="array" ref="J490">IF(ISERROR(G490/I490),"",G490/I490)</f>
        <v/>
      </c>
      <c r="K490" s="30">
        <f>SUM(K480:K489)</f>
        <v>0</v>
      </c>
      <c r="L490" s="98"/>
      <c r="M490" s="89">
        <f>SUM(M480:M489)</f>
        <v>0</v>
      </c>
      <c r="N490" s="30">
        <f>SUM(N480:N489)</f>
        <v>0</v>
      </c>
      <c r="O490" s="91">
        <f>SUM(O480:O489)</f>
        <v>0</v>
      </c>
      <c r="P490" s="91">
        <f>SUM(P480:P489)</f>
        <v>0</v>
      </c>
      <c r="Q490" s="91">
        <f>SUM(Q480:Q489)</f>
        <v>0</v>
      </c>
      <c r="R490" s="91"/>
      <c r="S490" s="92">
        <f>SUM(S480:S489)</f>
        <v>0</v>
      </c>
      <c r="T490" s="91">
        <f>SUM(T480:T489)</f>
        <v>0</v>
      </c>
      <c r="U490" s="91">
        <f>SUM(U480:U489)</f>
        <v>0</v>
      </c>
      <c r="V490" s="206">
        <f>SUM(V480:V489)</f>
        <v>0</v>
      </c>
      <c r="W490" s="33" t="str">
        <f t="shared" si="198"/>
        <v/>
      </c>
      <c r="X490" s="92">
        <f>SUM(X480:X489)</f>
        <v>0</v>
      </c>
      <c r="Y490" s="92">
        <f>SUM(Y480:Y489)</f>
        <v>0</v>
      </c>
      <c r="Z490" s="92">
        <f>SUM(Z480:Z489)</f>
        <v>0</v>
      </c>
      <c r="AA490" s="92">
        <f>SUM(AA480:AA489)</f>
        <v>0</v>
      </c>
      <c r="AB490" s="75"/>
      <c r="AC490" s="70"/>
      <c r="AD490" s="346"/>
      <c r="AE490" s="74"/>
      <c r="AF490" s="74"/>
      <c r="AG490" s="74"/>
      <c r="AH490" s="7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>
      <c r="A491" s="299">
        <v>30700013</v>
      </c>
      <c r="B491" s="64" t="s">
        <v>103</v>
      </c>
      <c r="C491" s="335"/>
      <c r="D491" s="17">
        <v>3.65</v>
      </c>
      <c r="E491" s="17"/>
      <c r="F491" s="53"/>
      <c r="G491" s="93">
        <f>SUM('31:13'!G491)</f>
        <v>0</v>
      </c>
      <c r="H491" s="339">
        <f>D491*G491</f>
        <v>0</v>
      </c>
      <c r="I491" s="93">
        <f>SUM('31:13'!I491)</f>
        <v>0</v>
      </c>
      <c r="J491" s="31" t="str">
        <f t="array" ref="J491">IF(ISERROR(G491/I491),"",G491/I491)</f>
        <v/>
      </c>
      <c r="K491" s="339">
        <f t="array" ref="K491">IF(ISERROR(G491/L491),"",G491/L491)</f>
        <v>0</v>
      </c>
      <c r="L491" s="87">
        <v>5</v>
      </c>
      <c r="M491" s="36">
        <f t="shared" ref="M491:M494" si="199">IF(ISERROR(I491-K491),"",I491-K491)</f>
        <v>0</v>
      </c>
      <c r="N491" s="31">
        <f t="shared" ref="N491:N494" si="200">SUM(O491:U491)</f>
        <v>0</v>
      </c>
      <c r="O491" s="93">
        <f>SUM('31:13'!O491)</f>
        <v>0</v>
      </c>
      <c r="P491" s="93">
        <f>SUM('31:13'!P491)</f>
        <v>0</v>
      </c>
      <c r="Q491" s="93">
        <f>SUM('31:13'!Q491)</f>
        <v>0</v>
      </c>
      <c r="R491" s="93">
        <f>SUM('31:13'!R491)</f>
        <v>0</v>
      </c>
      <c r="S491" s="93">
        <f>SUM('31:13'!S491)</f>
        <v>0</v>
      </c>
      <c r="T491" s="93">
        <f>SUM('31:13'!T491)</f>
        <v>0</v>
      </c>
      <c r="U491" s="93">
        <f>SUM('31:13'!U491)</f>
        <v>0</v>
      </c>
      <c r="V491" s="206">
        <f t="shared" ref="V491:V494" si="201">SUM(X491:AA491)</f>
        <v>0</v>
      </c>
      <c r="W491" s="33" t="str">
        <f t="shared" si="198"/>
        <v/>
      </c>
      <c r="X491" s="93">
        <f>SUM('31:13'!X491)</f>
        <v>0</v>
      </c>
      <c r="Y491" s="93">
        <f>SUM('31:13'!Y491)</f>
        <v>0</v>
      </c>
      <c r="Z491" s="93">
        <f>SUM('31:13'!Z491)</f>
        <v>0</v>
      </c>
      <c r="AA491" s="93">
        <f>SUM('31:13'!AA491)</f>
        <v>0</v>
      </c>
      <c r="AB491" s="73"/>
      <c r="AC491" s="54"/>
      <c r="AD491" s="346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>
      <c r="A492" s="299">
        <v>30700014</v>
      </c>
      <c r="B492" s="64" t="s">
        <v>0</v>
      </c>
      <c r="C492" s="335"/>
      <c r="D492" s="17">
        <v>6.58</v>
      </c>
      <c r="E492" s="17"/>
      <c r="F492" s="6"/>
      <c r="G492" s="93">
        <f>SUM('31:13'!G492)</f>
        <v>0</v>
      </c>
      <c r="H492" s="339">
        <f t="shared" ref="H492:H505" si="202">D492*G492</f>
        <v>0</v>
      </c>
      <c r="I492" s="93">
        <f>SUM('31:13'!I492)</f>
        <v>0</v>
      </c>
      <c r="J492" s="31" t="str">
        <f t="array" ref="J492">IF(ISERROR(G492/I492),"",G492/I492)</f>
        <v/>
      </c>
      <c r="K492" s="35">
        <f t="array" ref="K492">IF(ISERROR(G492/L492),"",G492/L492)</f>
        <v>0</v>
      </c>
      <c r="L492" s="87">
        <v>5</v>
      </c>
      <c r="M492" s="36">
        <f t="shared" si="199"/>
        <v>0</v>
      </c>
      <c r="N492" s="31">
        <f t="shared" si="200"/>
        <v>0</v>
      </c>
      <c r="O492" s="93">
        <f>SUM('31:13'!O492)</f>
        <v>0</v>
      </c>
      <c r="P492" s="93">
        <f>SUM('31:13'!P492)</f>
        <v>0</v>
      </c>
      <c r="Q492" s="93">
        <f>SUM('31:13'!Q492)</f>
        <v>0</v>
      </c>
      <c r="R492" s="93">
        <f>SUM('31:13'!R492)</f>
        <v>0</v>
      </c>
      <c r="S492" s="93">
        <f>SUM('31:13'!S492)</f>
        <v>0</v>
      </c>
      <c r="T492" s="93">
        <f>SUM('31:13'!T492)</f>
        <v>0</v>
      </c>
      <c r="U492" s="93">
        <f>SUM('31:13'!U492)</f>
        <v>0</v>
      </c>
      <c r="V492" s="206">
        <f t="shared" si="201"/>
        <v>0</v>
      </c>
      <c r="W492" s="33" t="str">
        <f t="shared" si="198"/>
        <v/>
      </c>
      <c r="X492" s="93">
        <f>SUM('31:13'!X492)</f>
        <v>0</v>
      </c>
      <c r="Y492" s="93">
        <f>SUM('31:13'!Y492)</f>
        <v>0</v>
      </c>
      <c r="Z492" s="93">
        <f>SUM('31:13'!Z492)</f>
        <v>0</v>
      </c>
      <c r="AA492" s="93">
        <f>SUM('31:13'!AA492)</f>
        <v>0</v>
      </c>
      <c r="AB492" s="73"/>
      <c r="AC492" s="54"/>
      <c r="AD492" s="346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>
      <c r="A493" s="299">
        <v>30700016</v>
      </c>
      <c r="B493" s="64" t="s">
        <v>1</v>
      </c>
      <c r="C493" s="335"/>
      <c r="D493" s="17">
        <v>7.8</v>
      </c>
      <c r="E493" s="17"/>
      <c r="F493" s="6"/>
      <c r="G493" s="93">
        <f>SUM('31:13'!G493)</f>
        <v>0</v>
      </c>
      <c r="H493" s="339">
        <f t="shared" si="202"/>
        <v>0</v>
      </c>
      <c r="I493" s="93">
        <f>SUM('31:13'!I493)</f>
        <v>0</v>
      </c>
      <c r="J493" s="31" t="str">
        <f t="array" ref="J493">IF(ISERROR(G493/I493),"",G493/I493)</f>
        <v/>
      </c>
      <c r="K493" s="35">
        <f t="array" ref="K493">IF(ISERROR(G493/L493),"",G493/L493)</f>
        <v>0</v>
      </c>
      <c r="L493" s="87">
        <v>4.5999999999999996</v>
      </c>
      <c r="M493" s="36">
        <f t="shared" si="199"/>
        <v>0</v>
      </c>
      <c r="N493" s="31">
        <f t="shared" si="200"/>
        <v>0</v>
      </c>
      <c r="O493" s="93">
        <f>SUM('31:13'!O493)</f>
        <v>0</v>
      </c>
      <c r="P493" s="93">
        <f>SUM('31:13'!P493)</f>
        <v>0</v>
      </c>
      <c r="Q493" s="93">
        <f>SUM('31:13'!Q493)</f>
        <v>0</v>
      </c>
      <c r="R493" s="93">
        <f>SUM('31:13'!R493)</f>
        <v>0</v>
      </c>
      <c r="S493" s="93">
        <f>SUM('31:13'!S493)</f>
        <v>0</v>
      </c>
      <c r="T493" s="93">
        <f>SUM('31:13'!T493)</f>
        <v>0</v>
      </c>
      <c r="U493" s="93">
        <f>SUM('31:13'!U493)</f>
        <v>0</v>
      </c>
      <c r="V493" s="206">
        <f t="shared" si="201"/>
        <v>0</v>
      </c>
      <c r="W493" s="33" t="str">
        <f t="shared" si="198"/>
        <v/>
      </c>
      <c r="X493" s="93">
        <f>SUM('31:13'!X493)</f>
        <v>0</v>
      </c>
      <c r="Y493" s="93">
        <f>SUM('31:13'!Y493)</f>
        <v>0</v>
      </c>
      <c r="Z493" s="93">
        <f>SUM('31:13'!Z493)</f>
        <v>0</v>
      </c>
      <c r="AA493" s="93">
        <f>SUM('31:13'!AA493)</f>
        <v>0</v>
      </c>
      <c r="AB493" s="73"/>
      <c r="AC493" s="54"/>
      <c r="AD493" s="346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>
      <c r="A494" s="299">
        <v>30700017</v>
      </c>
      <c r="B494" s="64" t="s">
        <v>2</v>
      </c>
      <c r="C494" s="335"/>
      <c r="D494" s="17">
        <v>4.4000000000000004</v>
      </c>
      <c r="E494" s="17"/>
      <c r="F494" s="6"/>
      <c r="G494" s="93">
        <f>SUM('31:13'!G494)</f>
        <v>0</v>
      </c>
      <c r="H494" s="339">
        <f t="shared" si="202"/>
        <v>0</v>
      </c>
      <c r="I494" s="93">
        <f>SUM('31:13'!I494)</f>
        <v>0</v>
      </c>
      <c r="J494" s="31" t="str">
        <f t="array" ref="J494">IF(ISERROR(G494/I494),"",G494/I494)</f>
        <v/>
      </c>
      <c r="K494" s="35">
        <f t="array" ref="K494">IF(ISERROR(G494/L494),"",G494/L494)</f>
        <v>0</v>
      </c>
      <c r="L494" s="87">
        <v>5.8</v>
      </c>
      <c r="M494" s="36">
        <f t="shared" si="199"/>
        <v>0</v>
      </c>
      <c r="N494" s="31">
        <f t="shared" si="200"/>
        <v>0</v>
      </c>
      <c r="O494" s="93">
        <f>SUM('31:13'!O494)</f>
        <v>0</v>
      </c>
      <c r="P494" s="93">
        <f>SUM('31:13'!P494)</f>
        <v>0</v>
      </c>
      <c r="Q494" s="93">
        <f>SUM('31:13'!Q494)</f>
        <v>0</v>
      </c>
      <c r="R494" s="93">
        <f>SUM('31:13'!R494)</f>
        <v>0</v>
      </c>
      <c r="S494" s="93">
        <f>SUM('31:13'!S494)</f>
        <v>0</v>
      </c>
      <c r="T494" s="93">
        <f>SUM('31:13'!T494)</f>
        <v>0</v>
      </c>
      <c r="U494" s="93">
        <f>SUM('31:13'!U494)</f>
        <v>0</v>
      </c>
      <c r="V494" s="206">
        <f t="shared" si="201"/>
        <v>0</v>
      </c>
      <c r="W494" s="33" t="str">
        <f t="shared" si="198"/>
        <v/>
      </c>
      <c r="X494" s="93">
        <f>SUM('31:13'!X494)</f>
        <v>0</v>
      </c>
      <c r="Y494" s="93">
        <f>SUM('31:13'!Y494)</f>
        <v>0</v>
      </c>
      <c r="Z494" s="93">
        <f>SUM('31:13'!Z494)</f>
        <v>0</v>
      </c>
      <c r="AA494" s="93">
        <f>SUM('31:13'!AA494)</f>
        <v>0</v>
      </c>
      <c r="AB494" s="73"/>
      <c r="AC494" s="54"/>
      <c r="AD494" s="346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>
      <c r="A495" s="299"/>
      <c r="B495" s="64" t="s">
        <v>358</v>
      </c>
      <c r="C495" s="188" t="s">
        <v>376</v>
      </c>
      <c r="D495" s="17"/>
      <c r="E495" s="17"/>
      <c r="F495" s="6"/>
      <c r="G495" s="93">
        <f>SUM('31:13'!G495)</f>
        <v>0</v>
      </c>
      <c r="H495" s="339">
        <f t="shared" si="202"/>
        <v>0</v>
      </c>
      <c r="I495" s="93">
        <f>SUM('31:13'!I495)</f>
        <v>0</v>
      </c>
      <c r="J495" s="31"/>
      <c r="K495" s="35"/>
      <c r="L495" s="87"/>
      <c r="M495" s="36"/>
      <c r="N495" s="31"/>
      <c r="O495" s="93">
        <f>SUM('31:13'!O495)</f>
        <v>0</v>
      </c>
      <c r="P495" s="93">
        <f>SUM('31:13'!P495)</f>
        <v>0</v>
      </c>
      <c r="Q495" s="93">
        <f>SUM('31:13'!Q495)</f>
        <v>0</v>
      </c>
      <c r="R495" s="93">
        <f>SUM('31:13'!R495)</f>
        <v>0</v>
      </c>
      <c r="S495" s="93">
        <f>SUM('31:13'!S495)</f>
        <v>0</v>
      </c>
      <c r="T495" s="93">
        <f>SUM('31:13'!T495)</f>
        <v>0</v>
      </c>
      <c r="U495" s="93">
        <f>SUM('31:13'!U495)</f>
        <v>0</v>
      </c>
      <c r="V495" s="206"/>
      <c r="W495" s="33"/>
      <c r="X495" s="93">
        <f>SUM('31:13'!X495)</f>
        <v>0</v>
      </c>
      <c r="Y495" s="93">
        <f>SUM('31:13'!Y495)</f>
        <v>0</v>
      </c>
      <c r="Z495" s="93">
        <f>SUM('31:13'!Z495)</f>
        <v>0</v>
      </c>
      <c r="AA495" s="93">
        <f>SUM('31:13'!AA495)</f>
        <v>0</v>
      </c>
      <c r="AB495" s="73"/>
      <c r="AC495" s="54"/>
      <c r="AD495" s="346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>
      <c r="A496" s="299">
        <v>30700001</v>
      </c>
      <c r="B496" s="191" t="s">
        <v>359</v>
      </c>
      <c r="C496" s="335"/>
      <c r="D496" s="17"/>
      <c r="E496" s="17"/>
      <c r="F496" s="6"/>
      <c r="G496" s="93">
        <f>SUM('31:13'!G496)</f>
        <v>0</v>
      </c>
      <c r="H496" s="339">
        <f t="shared" si="202"/>
        <v>0</v>
      </c>
      <c r="I496" s="93">
        <f>SUM('31:13'!I496)</f>
        <v>0</v>
      </c>
      <c r="J496" s="31"/>
      <c r="K496" s="35"/>
      <c r="L496" s="87">
        <v>6</v>
      </c>
      <c r="M496" s="36"/>
      <c r="N496" s="31"/>
      <c r="O496" s="93">
        <f>SUM('31:13'!O496)</f>
        <v>0</v>
      </c>
      <c r="P496" s="93">
        <f>SUM('31:13'!P496)</f>
        <v>0</v>
      </c>
      <c r="Q496" s="93">
        <f>SUM('31:13'!Q496)</f>
        <v>0</v>
      </c>
      <c r="R496" s="93">
        <f>SUM('31:13'!R496)</f>
        <v>0</v>
      </c>
      <c r="S496" s="93">
        <f>SUM('31:13'!S496)</f>
        <v>0</v>
      </c>
      <c r="T496" s="93">
        <f>SUM('31:13'!T496)</f>
        <v>0</v>
      </c>
      <c r="U496" s="93">
        <f>SUM('31:13'!U496)</f>
        <v>0</v>
      </c>
      <c r="V496" s="206"/>
      <c r="W496" s="33"/>
      <c r="X496" s="93">
        <f>SUM('31:13'!X496)</f>
        <v>0</v>
      </c>
      <c r="Y496" s="93">
        <f>SUM('31:13'!Y496)</f>
        <v>0</v>
      </c>
      <c r="Z496" s="93">
        <f>SUM('31:13'!Z496)</f>
        <v>0</v>
      </c>
      <c r="AA496" s="93">
        <f>SUM('31:13'!AA496)</f>
        <v>0</v>
      </c>
      <c r="AB496" s="73"/>
      <c r="AC496" s="54"/>
      <c r="AD496" s="346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>
      <c r="A497" s="305"/>
      <c r="B497" s="66" t="s">
        <v>104</v>
      </c>
      <c r="C497" s="335" t="s">
        <v>53</v>
      </c>
      <c r="D497" s="17">
        <v>6.04</v>
      </c>
      <c r="E497" s="17"/>
      <c r="F497" s="6"/>
      <c r="G497" s="93">
        <f>SUM('31:13'!G497)</f>
        <v>0</v>
      </c>
      <c r="H497" s="339">
        <f t="shared" si="202"/>
        <v>0</v>
      </c>
      <c r="I497" s="93">
        <f>SUM('31:13'!I497)</f>
        <v>0</v>
      </c>
      <c r="J497" s="31" t="str">
        <f t="array" ref="J497">IF(ISERROR(G497/I497),"",G497/I497)</f>
        <v/>
      </c>
      <c r="K497" s="35">
        <f t="array" ref="K497">IF(ISERROR(G497/L497),"",G497/L497)</f>
        <v>0</v>
      </c>
      <c r="L497" s="87">
        <v>6</v>
      </c>
      <c r="M497" s="36">
        <f t="shared" ref="M497:M498" si="203">IF(ISERROR(I497-K497),"",I497-K497)</f>
        <v>0</v>
      </c>
      <c r="N497" s="31">
        <f t="shared" ref="N497:N498" si="204">SUM(O497:U497)</f>
        <v>0</v>
      </c>
      <c r="O497" s="93">
        <f>SUM('31:13'!O497)</f>
        <v>0</v>
      </c>
      <c r="P497" s="93">
        <f>SUM('31:13'!P497)</f>
        <v>0</v>
      </c>
      <c r="Q497" s="93">
        <f>SUM('31:13'!Q497)</f>
        <v>0</v>
      </c>
      <c r="R497" s="93">
        <f>SUM('31:13'!R497)</f>
        <v>0</v>
      </c>
      <c r="S497" s="93">
        <f>SUM('31:13'!S497)</f>
        <v>0</v>
      </c>
      <c r="T497" s="93">
        <f>SUM('31:13'!T497)</f>
        <v>0</v>
      </c>
      <c r="U497" s="93">
        <f>SUM('31:13'!U497)</f>
        <v>0</v>
      </c>
      <c r="V497" s="206">
        <f t="shared" ref="V497:V498" si="205">SUM(X497:AA497)</f>
        <v>0</v>
      </c>
      <c r="W497" s="33" t="str">
        <f t="shared" ref="W497:W498" si="206">IF(ISERROR(V497/G497),"",V497/G497)</f>
        <v/>
      </c>
      <c r="X497" s="93">
        <f>SUM('31:13'!X497)</f>
        <v>0</v>
      </c>
      <c r="Y497" s="93">
        <f>SUM('31:13'!Y497)</f>
        <v>0</v>
      </c>
      <c r="Z497" s="93">
        <f>SUM('31:13'!Z497)</f>
        <v>0</v>
      </c>
      <c r="AA497" s="93">
        <f>SUM('31:13'!AA497)</f>
        <v>0</v>
      </c>
      <c r="AB497" s="73"/>
      <c r="AC497" s="54"/>
      <c r="AD497" s="346"/>
      <c r="AE497" s="54"/>
      <c r="AF497" s="54"/>
      <c r="AG497" s="54"/>
      <c r="AH497" s="54"/>
      <c r="AI497" s="57"/>
      <c r="AJ497" s="57"/>
      <c r="AK497" s="57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</row>
    <row r="498" spans="1:53">
      <c r="A498" s="305">
        <v>30700019</v>
      </c>
      <c r="B498" s="66" t="s">
        <v>104</v>
      </c>
      <c r="C498" s="335" t="s">
        <v>60</v>
      </c>
      <c r="D498" s="17">
        <v>6.04</v>
      </c>
      <c r="E498" s="17"/>
      <c r="F498" s="6"/>
      <c r="G498" s="93">
        <f>SUM('31:13'!G498)</f>
        <v>0</v>
      </c>
      <c r="H498" s="339">
        <f t="shared" si="202"/>
        <v>0</v>
      </c>
      <c r="I498" s="93">
        <f>SUM('31:13'!I498)</f>
        <v>0</v>
      </c>
      <c r="J498" s="31" t="str">
        <f t="array" ref="J498">IF(ISERROR(G498/I498),"",G498/I498)</f>
        <v/>
      </c>
      <c r="K498" s="35">
        <f t="array" ref="K498">IF(ISERROR(G498/L498),"",G498/L498)</f>
        <v>0</v>
      </c>
      <c r="L498" s="87">
        <v>6</v>
      </c>
      <c r="M498" s="36">
        <f t="shared" si="203"/>
        <v>0</v>
      </c>
      <c r="N498" s="31">
        <f t="shared" si="204"/>
        <v>0</v>
      </c>
      <c r="O498" s="93">
        <f>SUM('31:13'!O498)</f>
        <v>0</v>
      </c>
      <c r="P498" s="93">
        <f>SUM('31:13'!P498)</f>
        <v>0</v>
      </c>
      <c r="Q498" s="93">
        <f>SUM('31:13'!Q498)</f>
        <v>0</v>
      </c>
      <c r="R498" s="93">
        <f>SUM('31:13'!R498)</f>
        <v>0</v>
      </c>
      <c r="S498" s="93">
        <f>SUM('31:13'!S498)</f>
        <v>0</v>
      </c>
      <c r="T498" s="93">
        <f>SUM('31:13'!T498)</f>
        <v>0</v>
      </c>
      <c r="U498" s="93">
        <f>SUM('31:13'!U498)</f>
        <v>0</v>
      </c>
      <c r="V498" s="206">
        <f t="shared" si="205"/>
        <v>0</v>
      </c>
      <c r="W498" s="33" t="str">
        <f t="shared" si="206"/>
        <v/>
      </c>
      <c r="X498" s="93">
        <f>SUM('31:13'!X498)</f>
        <v>0</v>
      </c>
      <c r="Y498" s="93">
        <f>SUM('31:13'!Y498)</f>
        <v>0</v>
      </c>
      <c r="Z498" s="93">
        <f>SUM('31:13'!Z498)</f>
        <v>0</v>
      </c>
      <c r="AA498" s="93">
        <f>SUM('31:13'!AA498)</f>
        <v>0</v>
      </c>
      <c r="AB498" s="73"/>
      <c r="AC498" s="54"/>
      <c r="AD498" s="346"/>
      <c r="AE498" s="54"/>
      <c r="AF498" s="54"/>
      <c r="AG498" s="54"/>
      <c r="AH498" s="54"/>
      <c r="AI498" s="57"/>
      <c r="AJ498" s="57"/>
      <c r="AK498" s="57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</row>
    <row r="499" spans="1:53">
      <c r="A499" s="305">
        <v>30601015</v>
      </c>
      <c r="B499" s="281" t="s">
        <v>443</v>
      </c>
      <c r="C499" s="335" t="s">
        <v>53</v>
      </c>
      <c r="D499" s="17"/>
      <c r="E499" s="17"/>
      <c r="F499" s="6"/>
      <c r="G499" s="93">
        <f>SUM('31:13'!G499)</f>
        <v>0</v>
      </c>
      <c r="H499" s="339">
        <f t="shared" si="202"/>
        <v>0</v>
      </c>
      <c r="I499" s="93"/>
      <c r="J499" s="31"/>
      <c r="K499" s="35"/>
      <c r="L499" s="87"/>
      <c r="M499" s="36"/>
      <c r="N499" s="31"/>
      <c r="O499" s="93"/>
      <c r="P499" s="93"/>
      <c r="Q499" s="93"/>
      <c r="R499" s="93"/>
      <c r="S499" s="93"/>
      <c r="T499" s="93"/>
      <c r="U499" s="93"/>
      <c r="V499" s="206"/>
      <c r="W499" s="33"/>
      <c r="X499" s="93"/>
      <c r="Y499" s="93"/>
      <c r="Z499" s="93"/>
      <c r="AA499" s="93"/>
      <c r="AB499" s="73"/>
      <c r="AC499" s="54"/>
      <c r="AD499" s="346"/>
      <c r="AE499" s="54"/>
      <c r="AF499" s="54"/>
      <c r="AG499" s="54"/>
      <c r="AH499" s="54"/>
      <c r="AI499" s="57"/>
      <c r="AJ499" s="57"/>
      <c r="AK499" s="57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</row>
    <row r="500" spans="1:53">
      <c r="A500" s="305">
        <v>30101016</v>
      </c>
      <c r="B500" s="281" t="s">
        <v>443</v>
      </c>
      <c r="C500" s="335" t="s">
        <v>60</v>
      </c>
      <c r="D500" s="17"/>
      <c r="E500" s="17"/>
      <c r="F500" s="6"/>
      <c r="G500" s="93">
        <f>SUM('31:13'!G500)</f>
        <v>0</v>
      </c>
      <c r="H500" s="339">
        <f t="shared" si="202"/>
        <v>0</v>
      </c>
      <c r="I500" s="93"/>
      <c r="J500" s="31"/>
      <c r="K500" s="35"/>
      <c r="L500" s="87"/>
      <c r="M500" s="36"/>
      <c r="N500" s="31"/>
      <c r="O500" s="93"/>
      <c r="P500" s="93"/>
      <c r="Q500" s="93"/>
      <c r="R500" s="93"/>
      <c r="S500" s="93"/>
      <c r="T500" s="93"/>
      <c r="U500" s="93"/>
      <c r="V500" s="206"/>
      <c r="W500" s="33"/>
      <c r="X500" s="93"/>
      <c r="Y500" s="93"/>
      <c r="Z500" s="93"/>
      <c r="AA500" s="93"/>
      <c r="AB500" s="73"/>
      <c r="AC500" s="54"/>
      <c r="AD500" s="346"/>
      <c r="AE500" s="54"/>
      <c r="AF500" s="54"/>
      <c r="AG500" s="54"/>
      <c r="AH500" s="54"/>
      <c r="AI500" s="57"/>
      <c r="AJ500" s="57"/>
      <c r="AK500" s="57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</row>
    <row r="501" spans="1:53">
      <c r="A501" s="299">
        <v>30700018</v>
      </c>
      <c r="B501" s="61" t="s">
        <v>159</v>
      </c>
      <c r="C501" s="16"/>
      <c r="D501" s="17">
        <v>7.3</v>
      </c>
      <c r="E501" s="17"/>
      <c r="F501" s="6"/>
      <c r="G501" s="93">
        <f>SUM('31:13'!G501)</f>
        <v>0</v>
      </c>
      <c r="H501" s="339">
        <f t="shared" si="202"/>
        <v>0</v>
      </c>
      <c r="I501" s="93">
        <f>SUM('31:13'!I501)</f>
        <v>0</v>
      </c>
      <c r="J501" s="31" t="str">
        <f t="array" ref="J501">IF(ISERROR(G501/I501),"",G501/I501)</f>
        <v/>
      </c>
      <c r="K501" s="35">
        <f t="array" ref="K501">IF(ISERROR(G501/L501),"",G501/L501)</f>
        <v>0</v>
      </c>
      <c r="L501" s="87">
        <v>7.5</v>
      </c>
      <c r="M501" s="36">
        <f t="shared" ref="M501" si="207">IF(ISERROR(I501-K501),"",I501-K501)</f>
        <v>0</v>
      </c>
      <c r="N501" s="31">
        <f t="shared" ref="N501" si="208">SUM(O501:U501)</f>
        <v>0</v>
      </c>
      <c r="O501" s="93">
        <f>SUM('31:13'!O501)</f>
        <v>0</v>
      </c>
      <c r="P501" s="93">
        <f>SUM('31:13'!P501)</f>
        <v>0</v>
      </c>
      <c r="Q501" s="93">
        <f>SUM('31:13'!Q501)</f>
        <v>0</v>
      </c>
      <c r="R501" s="93">
        <f>SUM('31:13'!R501)</f>
        <v>0</v>
      </c>
      <c r="S501" s="93">
        <f>SUM('31:13'!S501)</f>
        <v>0</v>
      </c>
      <c r="T501" s="93">
        <f>SUM('31:13'!T501)</f>
        <v>0</v>
      </c>
      <c r="U501" s="93">
        <f>SUM('31:13'!U501)</f>
        <v>0</v>
      </c>
      <c r="V501" s="206">
        <f t="shared" ref="V501" si="209">SUM(X501:AA501)</f>
        <v>0</v>
      </c>
      <c r="W501" s="33" t="str">
        <f t="shared" ref="W501" si="210">IF(ISERROR(V501/G501),"",V501/G501)</f>
        <v/>
      </c>
      <c r="X501" s="93">
        <f>SUM('31:13'!X501)</f>
        <v>0</v>
      </c>
      <c r="Y501" s="93">
        <f>SUM('31:13'!Y501)</f>
        <v>0</v>
      </c>
      <c r="Z501" s="93">
        <f>SUM('31:13'!Z501)</f>
        <v>0</v>
      </c>
      <c r="AA501" s="93">
        <f>SUM('31:13'!AA501)</f>
        <v>0</v>
      </c>
      <c r="AB501" s="73"/>
      <c r="AC501" s="54"/>
      <c r="AD501" s="346"/>
      <c r="AE501" s="54"/>
      <c r="AF501" s="54"/>
      <c r="AG501" s="54"/>
      <c r="AH501" s="54"/>
      <c r="AI501" s="57"/>
      <c r="AJ501" s="57"/>
      <c r="AK501" s="57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</row>
    <row r="502" spans="1:53">
      <c r="A502" s="299">
        <v>30700010</v>
      </c>
      <c r="B502" s="61" t="s">
        <v>105</v>
      </c>
      <c r="C502" s="16"/>
      <c r="D502" s="17">
        <f>78*120/1000</f>
        <v>9.36</v>
      </c>
      <c r="E502" s="17"/>
      <c r="F502" s="6"/>
      <c r="G502" s="93">
        <f>SUM('31:13'!G502)</f>
        <v>0</v>
      </c>
      <c r="H502" s="339">
        <f t="shared" si="202"/>
        <v>0</v>
      </c>
      <c r="I502" s="93">
        <f>SUM('31:13'!I502)</f>
        <v>0</v>
      </c>
      <c r="J502" s="31"/>
      <c r="K502" s="35"/>
      <c r="L502" s="87"/>
      <c r="M502" s="36"/>
      <c r="N502" s="31"/>
      <c r="O502" s="93">
        <f>SUM('31:13'!O502)</f>
        <v>0</v>
      </c>
      <c r="P502" s="93">
        <f>SUM('31:13'!P502)</f>
        <v>0</v>
      </c>
      <c r="Q502" s="93">
        <f>SUM('31:13'!Q502)</f>
        <v>0</v>
      </c>
      <c r="R502" s="93">
        <f>SUM('31:13'!R502)</f>
        <v>0</v>
      </c>
      <c r="S502" s="93">
        <f>SUM('31:13'!S502)</f>
        <v>0</v>
      </c>
      <c r="T502" s="93">
        <f>SUM('31:13'!T502)</f>
        <v>0</v>
      </c>
      <c r="U502" s="93">
        <f>SUM('31:13'!U502)</f>
        <v>0</v>
      </c>
      <c r="V502" s="206"/>
      <c r="W502" s="33"/>
      <c r="X502" s="93">
        <f>SUM('31:13'!X502)</f>
        <v>0</v>
      </c>
      <c r="Y502" s="93">
        <f>SUM('31:13'!Y502)</f>
        <v>0</v>
      </c>
      <c r="Z502" s="93">
        <f>SUM('31:13'!Z502)</f>
        <v>0</v>
      </c>
      <c r="AA502" s="93">
        <f>SUM('31:13'!AA502)</f>
        <v>0</v>
      </c>
      <c r="AB502" s="73"/>
      <c r="AC502" s="54"/>
      <c r="AD502" s="346"/>
      <c r="AE502" s="54"/>
      <c r="AF502" s="54"/>
      <c r="AG502" s="54"/>
      <c r="AH502" s="54"/>
      <c r="AI502" s="57"/>
      <c r="AJ502" s="57"/>
      <c r="AK502" s="57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</row>
    <row r="503" spans="1:53">
      <c r="A503" s="299">
        <v>30700015</v>
      </c>
      <c r="B503" s="336" t="s">
        <v>159</v>
      </c>
      <c r="C503" s="16"/>
      <c r="D503" s="17">
        <v>4.5</v>
      </c>
      <c r="E503" s="17"/>
      <c r="F503" s="6"/>
      <c r="G503" s="93">
        <f>SUM('31:13'!G503)</f>
        <v>0</v>
      </c>
      <c r="H503" s="339">
        <f t="shared" si="202"/>
        <v>0</v>
      </c>
      <c r="I503" s="93">
        <f>SUM('31:13'!I503)</f>
        <v>0</v>
      </c>
      <c r="J503" s="31"/>
      <c r="K503" s="35"/>
      <c r="L503" s="87"/>
      <c r="M503" s="36"/>
      <c r="N503" s="31"/>
      <c r="O503" s="93"/>
      <c r="P503" s="93"/>
      <c r="Q503" s="93"/>
      <c r="R503" s="93"/>
      <c r="S503" s="93"/>
      <c r="T503" s="93"/>
      <c r="U503" s="93"/>
      <c r="V503" s="206"/>
      <c r="W503" s="33"/>
      <c r="X503" s="93"/>
      <c r="Y503" s="93"/>
      <c r="Z503" s="93"/>
      <c r="AA503" s="93"/>
      <c r="AB503" s="73"/>
      <c r="AC503" s="54"/>
      <c r="AD503" s="346"/>
      <c r="AE503" s="54"/>
      <c r="AF503" s="54"/>
      <c r="AG503" s="54"/>
      <c r="AH503" s="54"/>
      <c r="AI503" s="57"/>
      <c r="AJ503" s="57"/>
      <c r="AK503" s="57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</row>
    <row r="504" spans="1:53">
      <c r="A504" s="299">
        <v>30700012</v>
      </c>
      <c r="B504" s="336" t="s">
        <v>160</v>
      </c>
      <c r="C504" s="16"/>
      <c r="D504" s="17">
        <v>4.5</v>
      </c>
      <c r="E504" s="17"/>
      <c r="F504" s="6"/>
      <c r="G504" s="93">
        <f>SUM('31:13'!G504)</f>
        <v>0</v>
      </c>
      <c r="H504" s="339">
        <f t="shared" si="202"/>
        <v>0</v>
      </c>
      <c r="I504" s="93">
        <f>SUM('31:13'!I504)</f>
        <v>0</v>
      </c>
      <c r="J504" s="31"/>
      <c r="K504" s="35"/>
      <c r="L504" s="87"/>
      <c r="M504" s="36"/>
      <c r="N504" s="31"/>
      <c r="O504" s="93">
        <f>SUM('31:13'!O504)</f>
        <v>0</v>
      </c>
      <c r="P504" s="93">
        <f>SUM('31:13'!P504)</f>
        <v>0</v>
      </c>
      <c r="Q504" s="93">
        <f>SUM('31:13'!Q504)</f>
        <v>0</v>
      </c>
      <c r="R504" s="93">
        <f>SUM('31:13'!R504)</f>
        <v>0</v>
      </c>
      <c r="S504" s="93">
        <f>SUM('31:13'!S504)</f>
        <v>0</v>
      </c>
      <c r="T504" s="93">
        <f>SUM('31:13'!T504)</f>
        <v>0</v>
      </c>
      <c r="U504" s="93">
        <f>SUM('31:13'!U504)</f>
        <v>0</v>
      </c>
      <c r="V504" s="206"/>
      <c r="W504" s="33"/>
      <c r="X504" s="93">
        <f>SUM('31:13'!X504)</f>
        <v>0</v>
      </c>
      <c r="Y504" s="93">
        <f>SUM('31:13'!Y504)</f>
        <v>0</v>
      </c>
      <c r="Z504" s="93">
        <f>SUM('31:13'!Z504)</f>
        <v>0</v>
      </c>
      <c r="AA504" s="93">
        <f>SUM('31:13'!AA504)</f>
        <v>0</v>
      </c>
      <c r="AB504" s="73"/>
      <c r="AC504" s="54"/>
      <c r="AD504" s="346"/>
      <c r="AE504" s="54"/>
      <c r="AF504" s="54"/>
      <c r="AG504" s="54"/>
      <c r="AH504" s="54"/>
      <c r="AI504" s="57"/>
      <c r="AJ504" s="57"/>
      <c r="AK504" s="57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</row>
    <row r="505" spans="1:53">
      <c r="A505" s="299"/>
      <c r="B505" s="336"/>
      <c r="C505" s="16"/>
      <c r="D505" s="17"/>
      <c r="E505" s="17"/>
      <c r="F505" s="6"/>
      <c r="G505" s="93">
        <f>SUM('31:13'!G505)</f>
        <v>0</v>
      </c>
      <c r="H505" s="339">
        <f t="shared" si="202"/>
        <v>0</v>
      </c>
      <c r="I505" s="93">
        <f>SUM('31:13'!I505)</f>
        <v>0</v>
      </c>
      <c r="J505" s="31"/>
      <c r="K505" s="35"/>
      <c r="L505" s="87"/>
      <c r="M505" s="36"/>
      <c r="N505" s="31"/>
      <c r="O505" s="93">
        <f>SUM('31:13'!O505)</f>
        <v>0</v>
      </c>
      <c r="P505" s="93">
        <f>SUM('31:13'!P505)</f>
        <v>0</v>
      </c>
      <c r="Q505" s="93">
        <f>SUM('31:13'!Q505)</f>
        <v>0</v>
      </c>
      <c r="R505" s="93">
        <f>SUM('31:13'!R505)</f>
        <v>0</v>
      </c>
      <c r="S505" s="93">
        <f>SUM('31:13'!S505)</f>
        <v>0</v>
      </c>
      <c r="T505" s="93">
        <f>SUM('31:13'!T505)</f>
        <v>0</v>
      </c>
      <c r="U505" s="93">
        <f>SUM('31:13'!U505)</f>
        <v>0</v>
      </c>
      <c r="V505" s="206"/>
      <c r="W505" s="33"/>
      <c r="X505" s="93">
        <f>SUM('31:13'!X505)</f>
        <v>0</v>
      </c>
      <c r="Y505" s="93">
        <f>SUM('31:13'!Y505)</f>
        <v>0</v>
      </c>
      <c r="Z505" s="93">
        <f>SUM('31:13'!Z505)</f>
        <v>0</v>
      </c>
      <c r="AA505" s="93">
        <f>SUM('31:13'!AA505)</f>
        <v>0</v>
      </c>
      <c r="AB505" s="73"/>
      <c r="AC505" s="54"/>
      <c r="AD505" s="346"/>
      <c r="AE505" s="54"/>
      <c r="AF505" s="54"/>
      <c r="AG505" s="54"/>
      <c r="AH505" s="54"/>
      <c r="AI505" s="57"/>
      <c r="AJ505" s="57"/>
      <c r="AK505" s="57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</row>
    <row r="506" spans="1:53">
      <c r="A506" s="691" t="s">
        <v>106</v>
      </c>
      <c r="B506" s="692"/>
      <c r="C506" s="342" t="s">
        <v>71</v>
      </c>
      <c r="D506" s="20"/>
      <c r="E506" s="20"/>
      <c r="F506" s="32"/>
      <c r="G506" s="94">
        <f>SUM(G491:G505)</f>
        <v>0</v>
      </c>
      <c r="H506" s="30">
        <f>SUM(H491:H505)</f>
        <v>0</v>
      </c>
      <c r="I506" s="30">
        <f>SUM(I491:I505)</f>
        <v>0</v>
      </c>
      <c r="J506" s="31" t="str">
        <f t="array" ref="J506">IF(ISERROR(G506/I506),"",G506/I506)</f>
        <v/>
      </c>
      <c r="K506" s="30">
        <f>SUM(K491:K501)</f>
        <v>0</v>
      </c>
      <c r="L506" s="98"/>
      <c r="M506" s="89">
        <f t="shared" ref="M506:V506" si="211">SUM(M491:M501)</f>
        <v>0</v>
      </c>
      <c r="N506" s="20">
        <f t="shared" si="211"/>
        <v>0</v>
      </c>
      <c r="O506" s="91">
        <f t="shared" si="211"/>
        <v>0</v>
      </c>
      <c r="P506" s="91">
        <f t="shared" si="211"/>
        <v>0</v>
      </c>
      <c r="Q506" s="91">
        <f t="shared" si="211"/>
        <v>0</v>
      </c>
      <c r="R506" s="91">
        <f t="shared" si="211"/>
        <v>0</v>
      </c>
      <c r="S506" s="92">
        <f t="shared" si="211"/>
        <v>0</v>
      </c>
      <c r="T506" s="91">
        <f t="shared" si="211"/>
        <v>0</v>
      </c>
      <c r="U506" s="91">
        <f t="shared" si="211"/>
        <v>0</v>
      </c>
      <c r="V506" s="206">
        <f t="shared" si="211"/>
        <v>0</v>
      </c>
      <c r="W506" s="33" t="str">
        <f t="shared" ref="W506:W507" si="212">IF(ISERROR(V506/G506),"",V506/G506)</f>
        <v/>
      </c>
      <c r="X506" s="92">
        <f>SUM(X491:X501)</f>
        <v>0</v>
      </c>
      <c r="Y506" s="92">
        <f>SUM(Y491:Y501)</f>
        <v>0</v>
      </c>
      <c r="Z506" s="92">
        <f>SUM(Z491:Z501)</f>
        <v>0</v>
      </c>
      <c r="AA506" s="92">
        <f>SUM(AA491:AA501)</f>
        <v>0</v>
      </c>
      <c r="AB506" s="70"/>
      <c r="AC506" s="70"/>
      <c r="AD506" s="58"/>
      <c r="AE506" s="70"/>
      <c r="AF506" s="70"/>
      <c r="AG506" s="70"/>
      <c r="AH506" s="70"/>
      <c r="AI506" s="58"/>
      <c r="AJ506" s="58"/>
      <c r="AK506" s="58"/>
      <c r="AL506" s="58"/>
      <c r="AM506" s="58"/>
      <c r="AN506" s="58"/>
      <c r="AO506" s="58"/>
      <c r="AP506" s="58"/>
      <c r="AQ506" s="58"/>
      <c r="AR506" s="58"/>
      <c r="AS506" s="58"/>
      <c r="AT506" s="58"/>
      <c r="AU506" s="58"/>
      <c r="AV506" s="58"/>
      <c r="AW506" s="58"/>
      <c r="AX506" s="58"/>
      <c r="AY506" s="58"/>
      <c r="AZ506" s="58"/>
      <c r="BA506" s="58"/>
    </row>
    <row r="507" spans="1:53">
      <c r="A507" s="693" t="s">
        <v>108</v>
      </c>
      <c r="B507" s="694"/>
      <c r="C507" s="694"/>
      <c r="D507" s="694"/>
      <c r="E507" s="694"/>
      <c r="F507" s="695"/>
      <c r="G507" s="193">
        <f>SUM(G370,G428,G463,G479,G490,G506)</f>
        <v>7980</v>
      </c>
      <c r="H507" s="193">
        <f>SUM(H370,H428,H463,H479,H490,H506)</f>
        <v>40173.750000000007</v>
      </c>
      <c r="I507" s="193">
        <f>SUM(I370,I428,I463,I479,I490,I506)</f>
        <v>646.5</v>
      </c>
      <c r="J507" s="52">
        <f t="array" ref="J507">IF(ISERROR(G507/I507),"",G507/I507)</f>
        <v>12.34338747099768</v>
      </c>
      <c r="K507" s="193">
        <f>SUM(K370,K428,K463,K479,K490,K506)</f>
        <v>853.50884652981426</v>
      </c>
      <c r="L507" s="52">
        <f>IF(ISERROR(G507/K507),"",G507/K507)</f>
        <v>9.3496394705748926</v>
      </c>
      <c r="M507" s="193">
        <f t="shared" ref="M507:V507" si="213">SUM(M370,M428,M463,M479,M490,M506)</f>
        <v>-207.00884652981426</v>
      </c>
      <c r="N507" s="193">
        <f t="shared" si="213"/>
        <v>0</v>
      </c>
      <c r="O507" s="193">
        <f t="shared" si="213"/>
        <v>0</v>
      </c>
      <c r="P507" s="193">
        <f t="shared" si="213"/>
        <v>0</v>
      </c>
      <c r="Q507" s="193">
        <f t="shared" si="213"/>
        <v>0</v>
      </c>
      <c r="R507" s="193">
        <f t="shared" si="213"/>
        <v>0</v>
      </c>
      <c r="S507" s="193">
        <f t="shared" si="213"/>
        <v>0</v>
      </c>
      <c r="T507" s="193">
        <f t="shared" si="213"/>
        <v>0</v>
      </c>
      <c r="U507" s="193">
        <f t="shared" si="213"/>
        <v>0</v>
      </c>
      <c r="V507" s="193">
        <f t="shared" si="213"/>
        <v>0</v>
      </c>
      <c r="W507" s="78">
        <f t="shared" si="212"/>
        <v>0</v>
      </c>
      <c r="X507" s="193">
        <f>SUM(X370,X428,X463,X479,X490,X506)</f>
        <v>0</v>
      </c>
      <c r="Y507" s="193">
        <f>SUM(Y370,Y428,Y463,Y479,Y490,Y506)</f>
        <v>0</v>
      </c>
      <c r="Z507" s="193">
        <f>SUM(Z370,Z428,Z463,Z479,Z490,Z506)</f>
        <v>0</v>
      </c>
      <c r="AA507" s="193">
        <f>SUM(AA370,AA428,AA463,AA479,AA490,AA506)</f>
        <v>0</v>
      </c>
      <c r="AB507" s="76"/>
      <c r="AC507" s="71"/>
      <c r="AD507" s="346"/>
      <c r="AE507" s="77"/>
      <c r="AF507" s="77"/>
      <c r="AG507" s="77"/>
      <c r="AH507" s="77"/>
      <c r="AI507" s="57"/>
      <c r="AJ507" s="57"/>
      <c r="AK507" s="57"/>
      <c r="AL507" s="696"/>
      <c r="AM507" s="696"/>
      <c r="AN507" s="696"/>
      <c r="AO507" s="696"/>
      <c r="AP507" s="696"/>
      <c r="AQ507" s="696"/>
      <c r="AR507" s="696"/>
      <c r="AS507" s="696"/>
      <c r="AT507" s="696"/>
      <c r="AU507" s="696"/>
      <c r="AV507" s="696"/>
      <c r="AW507" s="696"/>
      <c r="AX507" s="696"/>
      <c r="AY507" s="696"/>
      <c r="AZ507" s="696"/>
      <c r="BA507" s="696"/>
    </row>
    <row r="508" spans="1:53" ht="15.75" customHeight="1">
      <c r="A508" s="583" t="s">
        <v>503</v>
      </c>
      <c r="B508" s="337" t="s">
        <v>110</v>
      </c>
      <c r="C508" s="674" t="s">
        <v>111</v>
      </c>
      <c r="D508" s="674"/>
      <c r="E508" s="684" t="s">
        <v>112</v>
      </c>
      <c r="F508" s="684"/>
      <c r="G508" s="654" t="s">
        <v>113</v>
      </c>
      <c r="H508" s="654"/>
      <c r="I508" s="684" t="s">
        <v>114</v>
      </c>
      <c r="J508" s="684"/>
      <c r="K508" s="684" t="s">
        <v>36</v>
      </c>
      <c r="L508" s="684"/>
      <c r="M508" s="684" t="s">
        <v>115</v>
      </c>
      <c r="N508" s="684"/>
      <c r="O508" s="684" t="s">
        <v>116</v>
      </c>
      <c r="P508" s="654" t="s">
        <v>117</v>
      </c>
      <c r="Q508" s="654"/>
      <c r="R508" s="654" t="s">
        <v>36</v>
      </c>
      <c r="S508" s="654"/>
      <c r="T508" s="654" t="s">
        <v>118</v>
      </c>
      <c r="U508" s="654"/>
      <c r="V508" s="654" t="s">
        <v>119</v>
      </c>
      <c r="W508" s="654"/>
      <c r="X508" s="654" t="s">
        <v>36</v>
      </c>
      <c r="Y508" s="654"/>
      <c r="Z508" s="654" t="s">
        <v>118</v>
      </c>
      <c r="AA508" s="654"/>
      <c r="AB508" s="12"/>
      <c r="AC508" s="12"/>
      <c r="AD508" s="12"/>
      <c r="AE508" s="3"/>
      <c r="AF508" s="3"/>
      <c r="AG508" s="3"/>
      <c r="AH508" s="344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21"/>
      <c r="AV508" s="21"/>
      <c r="AW508" s="21"/>
      <c r="AX508" s="21"/>
      <c r="AY508" s="21"/>
      <c r="AZ508" s="21"/>
      <c r="BA508" s="21"/>
    </row>
    <row r="509" spans="1:53">
      <c r="A509" s="584"/>
      <c r="B509" s="337" t="s">
        <v>120</v>
      </c>
      <c r="C509" s="689">
        <f>SUM('31:13'!C509)</f>
        <v>0</v>
      </c>
      <c r="D509" s="690"/>
      <c r="E509" s="688">
        <f>D509*11</f>
        <v>0</v>
      </c>
      <c r="F509" s="688"/>
      <c r="G509" s="601">
        <v>0</v>
      </c>
      <c r="H509" s="602"/>
      <c r="I509" s="684">
        <f>G509*11</f>
        <v>0</v>
      </c>
      <c r="J509" s="684"/>
      <c r="K509" s="684">
        <f>E509-I509</f>
        <v>0</v>
      </c>
      <c r="L509" s="684"/>
      <c r="M509" s="686" t="str">
        <f>IF(ISERROR(K509/E509),"",K509/E509)</f>
        <v/>
      </c>
      <c r="N509" s="686"/>
      <c r="O509" s="684"/>
      <c r="P509" s="654" t="s">
        <v>70</v>
      </c>
      <c r="Q509" s="654"/>
      <c r="R509" s="677">
        <f>SUM(O370:U370)</f>
        <v>0</v>
      </c>
      <c r="S509" s="677"/>
      <c r="T509" s="685" t="str">
        <f t="array" ref="T509">IF(ISERROR(R509/R516),"",R509/R516)</f>
        <v/>
      </c>
      <c r="U509" s="685"/>
      <c r="V509" s="654" t="s">
        <v>41</v>
      </c>
      <c r="W509" s="654"/>
      <c r="X509" s="677">
        <f>SUM(O370,O428,O463,O479,O490,O506)</f>
        <v>0</v>
      </c>
      <c r="Y509" s="677"/>
      <c r="Z509" s="685" t="str">
        <f t="array" ref="Z509">IF(ISERROR(X509/X516),"",X509/X516)</f>
        <v/>
      </c>
      <c r="AA509" s="685"/>
      <c r="AB509" s="12"/>
      <c r="AC509" s="22"/>
      <c r="AD509" s="22"/>
      <c r="AE509" s="3"/>
      <c r="AF509" s="3"/>
      <c r="AG509" s="3"/>
      <c r="AH509" s="346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21"/>
      <c r="AV509" s="21"/>
      <c r="AW509" s="21"/>
      <c r="AX509" s="21"/>
      <c r="AY509" s="21"/>
      <c r="AZ509" s="21"/>
      <c r="BA509" s="21"/>
    </row>
    <row r="510" spans="1:53" ht="15.75" customHeight="1">
      <c r="A510" s="584"/>
      <c r="B510" s="337" t="s">
        <v>121</v>
      </c>
      <c r="C510" s="689">
        <f>SUM('31:13'!C510)</f>
        <v>0</v>
      </c>
      <c r="D510" s="690"/>
      <c r="E510" s="688">
        <f>D510*11</f>
        <v>0</v>
      </c>
      <c r="F510" s="688"/>
      <c r="G510" s="601">
        <v>0</v>
      </c>
      <c r="H510" s="602"/>
      <c r="I510" s="684">
        <f>G510*11</f>
        <v>0</v>
      </c>
      <c r="J510" s="684"/>
      <c r="K510" s="684">
        <f>E510-I510</f>
        <v>0</v>
      </c>
      <c r="L510" s="684"/>
      <c r="M510" s="686" t="str">
        <f>IF(ISERROR(K510/E510),"",K510/E510)</f>
        <v/>
      </c>
      <c r="N510" s="686"/>
      <c r="O510" s="684"/>
      <c r="P510" s="654" t="s">
        <v>86</v>
      </c>
      <c r="Q510" s="654"/>
      <c r="R510" s="677">
        <f>SUM(O428:U428)</f>
        <v>0</v>
      </c>
      <c r="S510" s="677"/>
      <c r="T510" s="685" t="str">
        <f>IF(ISERROR(R510/R516),"",R510/R516)</f>
        <v/>
      </c>
      <c r="U510" s="685"/>
      <c r="V510" s="654" t="s">
        <v>42</v>
      </c>
      <c r="W510" s="654"/>
      <c r="X510" s="677">
        <f>SUM(O371,O429,O464,O480,O491,O507)</f>
        <v>0</v>
      </c>
      <c r="Y510" s="677"/>
      <c r="Z510" s="685" t="str">
        <f>IF(ISERROR(X510/X516),"",X510/X516)</f>
        <v/>
      </c>
      <c r="AA510" s="685"/>
      <c r="AB510" s="12"/>
      <c r="AC510" s="22"/>
      <c r="AD510" s="22"/>
      <c r="AE510" s="3"/>
      <c r="AF510" s="3"/>
      <c r="AG510" s="3"/>
      <c r="AH510" s="346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21"/>
      <c r="AV510" s="21"/>
      <c r="AW510" s="21"/>
      <c r="AX510" s="21"/>
      <c r="AY510" s="21"/>
      <c r="AZ510" s="21"/>
      <c r="BA510" s="21"/>
    </row>
    <row r="511" spans="1:53">
      <c r="A511" s="584"/>
      <c r="B511" s="337" t="s">
        <v>122</v>
      </c>
      <c r="C511" s="689">
        <f>SUM('31:13'!C511)</f>
        <v>0</v>
      </c>
      <c r="D511" s="690"/>
      <c r="E511" s="688">
        <f>D511*11</f>
        <v>0</v>
      </c>
      <c r="F511" s="688"/>
      <c r="G511" s="601">
        <v>0</v>
      </c>
      <c r="H511" s="602"/>
      <c r="I511" s="684">
        <f>G511*11</f>
        <v>0</v>
      </c>
      <c r="J511" s="684"/>
      <c r="K511" s="684">
        <f>E511-I511</f>
        <v>0</v>
      </c>
      <c r="L511" s="684"/>
      <c r="M511" s="686" t="str">
        <f>IF(ISERROR(K511/E511),"",K511/E511)</f>
        <v/>
      </c>
      <c r="N511" s="686"/>
      <c r="O511" s="684"/>
      <c r="P511" s="654" t="s">
        <v>92</v>
      </c>
      <c r="Q511" s="654"/>
      <c r="R511" s="677">
        <f>SUM(O463:U463)</f>
        <v>0</v>
      </c>
      <c r="S511" s="677"/>
      <c r="T511" s="685" t="str">
        <f>IF(ISERROR(R511/R516),"",R511/R516)</f>
        <v/>
      </c>
      <c r="U511" s="685"/>
      <c r="V511" s="654" t="s">
        <v>43</v>
      </c>
      <c r="W511" s="654"/>
      <c r="X511" s="677">
        <f>SUM(O373,O430,O465,O481,O492,O508)</f>
        <v>0</v>
      </c>
      <c r="Y511" s="677"/>
      <c r="Z511" s="685" t="str">
        <f>IF(ISERROR(X511/X516),"",X511/X516)</f>
        <v/>
      </c>
      <c r="AA511" s="685"/>
      <c r="AB511" s="12"/>
      <c r="AC511" s="22"/>
      <c r="AD511" s="22"/>
      <c r="AE511" s="3"/>
      <c r="AF511" s="3"/>
      <c r="AG511" s="346"/>
      <c r="AH511" s="346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21"/>
      <c r="AV511" s="21"/>
      <c r="AW511" s="21"/>
      <c r="AX511" s="21"/>
      <c r="AY511" s="21"/>
      <c r="AZ511" s="21"/>
      <c r="BA511" s="21"/>
    </row>
    <row r="512" spans="1:53">
      <c r="A512" s="584"/>
      <c r="B512" s="337" t="s">
        <v>47</v>
      </c>
      <c r="C512" s="586">
        <v>1</v>
      </c>
      <c r="D512" s="587"/>
      <c r="E512" s="688">
        <f>D512*11</f>
        <v>0</v>
      </c>
      <c r="F512" s="688"/>
      <c r="G512" s="601">
        <v>1</v>
      </c>
      <c r="H512" s="602"/>
      <c r="I512" s="684">
        <f>G512*11</f>
        <v>11</v>
      </c>
      <c r="J512" s="684"/>
      <c r="K512" s="684">
        <f>E512-I512</f>
        <v>-11</v>
      </c>
      <c r="L512" s="684"/>
      <c r="M512" s="686" t="str">
        <f>IF(ISERROR(K512/E512),"",K512/E512)</f>
        <v/>
      </c>
      <c r="N512" s="686"/>
      <c r="O512" s="684"/>
      <c r="P512" s="654" t="s">
        <v>99</v>
      </c>
      <c r="Q512" s="654"/>
      <c r="R512" s="677">
        <f>SUM(O479:U479)</f>
        <v>0</v>
      </c>
      <c r="S512" s="677"/>
      <c r="T512" s="685" t="str">
        <f>IF(ISERROR(R512/R516),"",R512/R516)</f>
        <v/>
      </c>
      <c r="U512" s="685"/>
      <c r="V512" s="654" t="s">
        <v>44</v>
      </c>
      <c r="W512" s="654"/>
      <c r="X512" s="677">
        <f>SUM(O374,O431,O466,O482,O493,O509)</f>
        <v>0</v>
      </c>
      <c r="Y512" s="677"/>
      <c r="Z512" s="685" t="str">
        <f>IF(ISERROR(X512/X516),"",X512/X516)</f>
        <v/>
      </c>
      <c r="AA512" s="685"/>
      <c r="AB512" s="12"/>
      <c r="AC512" s="22"/>
      <c r="AD512" s="22"/>
      <c r="AE512" s="3"/>
      <c r="AF512" s="3"/>
      <c r="AG512" s="346"/>
      <c r="AH512" s="346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21"/>
      <c r="AV512" s="21"/>
      <c r="AW512" s="21"/>
      <c r="AX512" s="21"/>
      <c r="AY512" s="21"/>
      <c r="AZ512" s="21"/>
      <c r="BA512" s="21"/>
    </row>
    <row r="513" spans="1:53">
      <c r="A513" s="585"/>
      <c r="B513" s="337" t="s">
        <v>123</v>
      </c>
      <c r="C513" s="687">
        <f>SUM(C509:D512)</f>
        <v>1</v>
      </c>
      <c r="D513" s="684"/>
      <c r="E513" s="684">
        <f>SUM(F509:F512)</f>
        <v>0</v>
      </c>
      <c r="F513" s="684"/>
      <c r="G513" s="687">
        <f>SUM(G509:H512)</f>
        <v>1</v>
      </c>
      <c r="H513" s="684"/>
      <c r="I513" s="684">
        <f>SUM(I509:J512)</f>
        <v>11</v>
      </c>
      <c r="J513" s="684"/>
      <c r="K513" s="684">
        <f>SUM(K509:L512)</f>
        <v>-11</v>
      </c>
      <c r="L513" s="684"/>
      <c r="M513" s="686" t="str">
        <f>IF(ISERROR(K513/E513),"",K513/E513)</f>
        <v/>
      </c>
      <c r="N513" s="686"/>
      <c r="O513" s="684"/>
      <c r="P513" s="654" t="s">
        <v>102</v>
      </c>
      <c r="Q513" s="654"/>
      <c r="R513" s="677">
        <f>SUM(O490:U490)</f>
        <v>0</v>
      </c>
      <c r="S513" s="677"/>
      <c r="T513" s="685" t="str">
        <f>IF(ISERROR(R513/R516),"",R513/R516)</f>
        <v/>
      </c>
      <c r="U513" s="685"/>
      <c r="V513" s="654" t="s">
        <v>45</v>
      </c>
      <c r="W513" s="654"/>
      <c r="X513" s="677">
        <f>SUM(O375,O432,O467,O483,O494,O510)</f>
        <v>0</v>
      </c>
      <c r="Y513" s="677"/>
      <c r="Z513" s="685" t="str">
        <f>IF(ISERROR(X513/X516),"",X513/X516)</f>
        <v/>
      </c>
      <c r="AA513" s="685"/>
      <c r="AB513" s="12"/>
      <c r="AC513" s="22"/>
      <c r="AD513" s="22"/>
      <c r="AE513" s="3"/>
      <c r="AF513" s="3"/>
      <c r="AG513" s="346"/>
      <c r="AH513" s="346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343"/>
      <c r="AV513" s="343"/>
      <c r="AW513" s="343"/>
      <c r="AX513" s="343"/>
      <c r="AY513" s="343"/>
      <c r="AZ513" s="343"/>
      <c r="BA513" s="343"/>
    </row>
    <row r="514" spans="1:53" ht="17.25">
      <c r="A514" s="309" t="s">
        <v>504</v>
      </c>
      <c r="B514" s="337">
        <f>G507</f>
        <v>7980</v>
      </c>
      <c r="C514" s="677" t="s">
        <v>155</v>
      </c>
      <c r="D514" s="677"/>
      <c r="E514" s="654">
        <f>H507</f>
        <v>40173.750000000007</v>
      </c>
      <c r="F514" s="654"/>
      <c r="G514" s="654" t="s">
        <v>34</v>
      </c>
      <c r="H514" s="654"/>
      <c r="I514" s="683">
        <f>L507</f>
        <v>9.3496394705748926</v>
      </c>
      <c r="J514" s="683"/>
      <c r="K514" s="684" t="s">
        <v>32</v>
      </c>
      <c r="L514" s="684"/>
      <c r="M514" s="683">
        <f>J507</f>
        <v>12.34338747099768</v>
      </c>
      <c r="N514" s="683"/>
      <c r="O514" s="684"/>
      <c r="P514" s="654" t="s">
        <v>106</v>
      </c>
      <c r="Q514" s="654"/>
      <c r="R514" s="677">
        <f>SUM(O506:U506)</f>
        <v>0</v>
      </c>
      <c r="S514" s="677"/>
      <c r="T514" s="685" t="str">
        <f>IF(ISERROR(R514/R516),"",R514/R516)</f>
        <v/>
      </c>
      <c r="U514" s="685"/>
      <c r="V514" s="654" t="s">
        <v>46</v>
      </c>
      <c r="W514" s="654"/>
      <c r="X514" s="677">
        <f>SUM(O376,O433,O468,O484,O495,O511)</f>
        <v>0</v>
      </c>
      <c r="Y514" s="677"/>
      <c r="Z514" s="685" t="str">
        <f>IF(ISERROR(X514/X516),"",X514/X516)</f>
        <v/>
      </c>
      <c r="AA514" s="685"/>
      <c r="AB514" s="12"/>
      <c r="AC514" s="22"/>
      <c r="AD514" s="22"/>
      <c r="AE514" s="3"/>
      <c r="AF514" s="3"/>
      <c r="AG514" s="346"/>
      <c r="AH514" s="346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343"/>
      <c r="AV514" s="343"/>
      <c r="AW514" s="343"/>
      <c r="AX514" s="343"/>
      <c r="AY514" s="343"/>
      <c r="AZ514" s="343"/>
      <c r="BA514" s="343"/>
    </row>
    <row r="515" spans="1:53" ht="15.75" customHeight="1">
      <c r="A515" s="310" t="s">
        <v>505</v>
      </c>
      <c r="B515" s="337">
        <f>I507+C513</f>
        <v>647.5</v>
      </c>
      <c r="C515" s="654" t="s">
        <v>114</v>
      </c>
      <c r="D515" s="654"/>
      <c r="E515" s="674">
        <f>K507+I513</f>
        <v>864.50884652981426</v>
      </c>
      <c r="F515" s="674"/>
      <c r="G515" s="654" t="s">
        <v>150</v>
      </c>
      <c r="H515" s="654"/>
      <c r="I515" s="683">
        <f>B515-E515</f>
        <v>-217.00884652981426</v>
      </c>
      <c r="J515" s="683"/>
      <c r="K515" s="684" t="s">
        <v>151</v>
      </c>
      <c r="L515" s="684"/>
      <c r="M515" s="686">
        <f>IF(ISERROR(I515/B515),"",I515/B515)</f>
        <v>-0.33514879772944289</v>
      </c>
      <c r="N515" s="686"/>
      <c r="O515" s="684"/>
      <c r="P515" s="654" t="s">
        <v>107</v>
      </c>
      <c r="Q515" s="654"/>
      <c r="R515" s="677"/>
      <c r="S515" s="677"/>
      <c r="T515" s="685" t="str">
        <f>IF(ISERROR(R515/R516),"",R515/R516)</f>
        <v/>
      </c>
      <c r="U515" s="685"/>
      <c r="V515" s="654" t="s">
        <v>47</v>
      </c>
      <c r="W515" s="654"/>
      <c r="X515" s="677">
        <f>SUM(O377,O434,O469,O489,O496,O512)</f>
        <v>0</v>
      </c>
      <c r="Y515" s="677"/>
      <c r="Z515" s="685" t="str">
        <f>IF(ISERROR(X515/X516),"",X515/X516)</f>
        <v/>
      </c>
      <c r="AA515" s="685"/>
      <c r="AB515" s="12"/>
      <c r="AC515" s="22"/>
      <c r="AD515" s="22"/>
      <c r="AE515" s="3"/>
      <c r="AF515" s="3"/>
      <c r="AG515" s="346"/>
      <c r="AH515" s="346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343"/>
      <c r="AV515" s="343"/>
      <c r="AW515" s="343"/>
      <c r="AX515" s="343"/>
      <c r="AY515" s="343"/>
      <c r="AZ515" s="343"/>
      <c r="BA515" s="343"/>
    </row>
    <row r="516" spans="1:53" ht="15.75" customHeight="1">
      <c r="A516" s="310" t="s">
        <v>507</v>
      </c>
      <c r="B516" s="337">
        <f>N507</f>
        <v>0</v>
      </c>
      <c r="C516" s="654" t="s">
        <v>149</v>
      </c>
      <c r="D516" s="654"/>
      <c r="E516" s="685">
        <f>IF(ISERROR(B516/B515),"",B516/B515)</f>
        <v>0</v>
      </c>
      <c r="F516" s="685"/>
      <c r="G516" s="654" t="s">
        <v>158</v>
      </c>
      <c r="H516" s="654"/>
      <c r="I516" s="684">
        <f>V507</f>
        <v>0</v>
      </c>
      <c r="J516" s="684"/>
      <c r="K516" s="684" t="s">
        <v>156</v>
      </c>
      <c r="L516" s="684"/>
      <c r="M516" s="686">
        <f t="array" ref="M516">IF(ISERROR(I516/B514),"",I516/B514)</f>
        <v>0</v>
      </c>
      <c r="N516" s="686"/>
      <c r="O516" s="684"/>
      <c r="P516" s="654" t="s">
        <v>123</v>
      </c>
      <c r="Q516" s="654"/>
      <c r="R516" s="677">
        <f>SUM(R509:S515)</f>
        <v>0</v>
      </c>
      <c r="S516" s="677"/>
      <c r="T516" s="685">
        <f>SUM(T509:U515)</f>
        <v>0</v>
      </c>
      <c r="U516" s="685"/>
      <c r="V516" s="654" t="s">
        <v>123</v>
      </c>
      <c r="W516" s="654"/>
      <c r="X516" s="677">
        <f>SUM(X509:Y515)</f>
        <v>0</v>
      </c>
      <c r="Y516" s="677"/>
      <c r="Z516" s="685">
        <f>SUM(Z509:AA515)</f>
        <v>0</v>
      </c>
      <c r="AA516" s="685"/>
      <c r="AB516" s="12"/>
      <c r="AC516" s="22"/>
      <c r="AD516" s="22"/>
      <c r="AE516" s="3"/>
      <c r="AF516" s="3"/>
      <c r="AG516" s="346"/>
      <c r="AH516" s="346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343"/>
      <c r="AV516" s="343"/>
      <c r="AW516" s="343"/>
      <c r="AX516" s="343"/>
      <c r="AY516" s="343"/>
      <c r="AZ516" s="343"/>
      <c r="BA516" s="343"/>
    </row>
    <row r="517" spans="1:53" ht="17.25">
      <c r="A517" s="329" t="s">
        <v>508</v>
      </c>
      <c r="B517" s="341"/>
      <c r="C517" s="7"/>
      <c r="D517" s="7"/>
      <c r="E517" s="15"/>
      <c r="F517" s="15"/>
      <c r="G517" s="678" t="str">
        <f>IF(ISERROR(#REF!/#REF!),"",#REF!/#REF!)</f>
        <v/>
      </c>
      <c r="H517" s="678"/>
      <c r="I517" s="678"/>
      <c r="J517" s="8"/>
      <c r="K517" s="47"/>
      <c r="L517" s="12"/>
      <c r="M517" s="12"/>
      <c r="N517" s="678" t="str">
        <f>IF(ISERROR(G517/#REF!),"",G517/#REF!)</f>
        <v/>
      </c>
      <c r="O517" s="678"/>
      <c r="P517" s="678"/>
      <c r="Q517" s="678"/>
      <c r="R517" s="678"/>
      <c r="S517" s="346"/>
      <c r="T517" s="15"/>
      <c r="U517" s="15"/>
      <c r="V517" s="209"/>
      <c r="W517" s="8"/>
      <c r="X517" s="9"/>
      <c r="Y517" s="9"/>
      <c r="Z517" s="9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9"/>
      <c r="AN517" s="9"/>
      <c r="AO517" s="9"/>
      <c r="AP517" s="9"/>
      <c r="AQ517" s="9"/>
      <c r="AR517" s="9"/>
      <c r="AS517" s="12"/>
      <c r="AT517" s="12"/>
      <c r="AU517" s="12"/>
      <c r="AV517" s="12"/>
      <c r="AW517" s="12"/>
      <c r="AX517" s="12"/>
      <c r="AY517" s="12"/>
      <c r="AZ517" s="12"/>
      <c r="BA517" s="12"/>
    </row>
    <row r="518" spans="1:53" ht="15.75" customHeight="1">
      <c r="A518" s="311" t="s">
        <v>509</v>
      </c>
      <c r="B518" s="341"/>
      <c r="C518" s="7"/>
      <c r="D518" s="7"/>
      <c r="E518" s="7"/>
      <c r="F518" s="7"/>
      <c r="G518" s="11"/>
      <c r="H518" s="7"/>
      <c r="I518" s="11"/>
      <c r="J518" s="44"/>
      <c r="K518" s="48"/>
      <c r="L518" s="7"/>
      <c r="M518" s="7"/>
      <c r="N518" s="7"/>
      <c r="O518" s="7"/>
      <c r="P518" s="7"/>
      <c r="Q518" s="7"/>
      <c r="R518" s="7"/>
      <c r="S518" s="7"/>
      <c r="T518" s="7"/>
      <c r="U518" s="18"/>
      <c r="V518" s="210"/>
      <c r="W518" s="18"/>
      <c r="X518" s="7"/>
      <c r="Y518" s="7"/>
      <c r="Z518" s="7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7"/>
      <c r="AN518" s="7"/>
      <c r="AO518" s="7"/>
      <c r="AP518" s="7"/>
      <c r="AQ518" s="7"/>
      <c r="AR518" s="7"/>
      <c r="AS518" s="15"/>
      <c r="AT518" s="15"/>
      <c r="AU518" s="15"/>
      <c r="AV518" s="15"/>
      <c r="AW518" s="15"/>
      <c r="AX518" s="15"/>
      <c r="AY518" s="15"/>
      <c r="AZ518" s="15"/>
      <c r="BA518" s="15"/>
    </row>
    <row r="519" spans="1:53">
      <c r="A519" s="677" t="s">
        <v>157</v>
      </c>
      <c r="B519" s="677"/>
      <c r="C519" s="674">
        <f>SUM(B171,B342,B514)</f>
        <v>156803</v>
      </c>
      <c r="D519" s="674"/>
      <c r="E519" s="677" t="s">
        <v>124</v>
      </c>
      <c r="F519" s="677"/>
      <c r="G519" s="674">
        <f>SUM(E171,E342,E514)</f>
        <v>780540.42999999993</v>
      </c>
      <c r="H519" s="674"/>
      <c r="I519" s="654" t="s">
        <v>34</v>
      </c>
      <c r="J519" s="677"/>
      <c r="K519" s="679">
        <f>IF(ISERROR(C519/G520),"",C519/G520)</f>
        <v>16.937568233640757</v>
      </c>
      <c r="L519" s="680"/>
      <c r="M519" s="654" t="s">
        <v>32</v>
      </c>
      <c r="N519" s="654"/>
      <c r="O519" s="681">
        <f t="array" ref="O519">IF(ISERROR(C519/C520),"",C519/C520)</f>
        <v>16.93657008613939</v>
      </c>
      <c r="P519" s="682"/>
      <c r="Q519" s="7"/>
      <c r="R519" s="7"/>
      <c r="S519" s="7"/>
      <c r="T519" s="7"/>
      <c r="U519" s="18"/>
      <c r="V519" s="210"/>
      <c r="W519" s="18"/>
      <c r="X519" s="7"/>
      <c r="Y519" s="7"/>
      <c r="Z519" s="7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7"/>
      <c r="AN519" s="7"/>
      <c r="AO519" s="7"/>
      <c r="AP519" s="7"/>
      <c r="AQ519" s="7"/>
      <c r="AR519" s="7"/>
      <c r="AS519" s="15"/>
      <c r="AT519" s="15"/>
      <c r="AU519" s="15"/>
      <c r="AV519" s="15"/>
      <c r="AW519" s="15"/>
      <c r="AX519" s="15"/>
      <c r="AY519" s="15"/>
      <c r="AZ519" s="15"/>
      <c r="BA519" s="15"/>
    </row>
    <row r="520" spans="1:53">
      <c r="A520" s="654" t="s">
        <v>125</v>
      </c>
      <c r="B520" s="654"/>
      <c r="C520" s="674">
        <f>SUM(B172,B343,B515)</f>
        <v>9258.25</v>
      </c>
      <c r="D520" s="674"/>
      <c r="E520" s="654" t="s">
        <v>114</v>
      </c>
      <c r="F520" s="654"/>
      <c r="G520" s="674">
        <f>SUM(E172,E343,E515)</f>
        <v>9257.704402250838</v>
      </c>
      <c r="H520" s="674"/>
      <c r="I520" s="661" t="s">
        <v>150</v>
      </c>
      <c r="J520" s="662"/>
      <c r="K520" s="665">
        <f>C520-G520</f>
        <v>0.54559774916197057</v>
      </c>
      <c r="L520" s="664"/>
      <c r="M520" s="665" t="s">
        <v>151</v>
      </c>
      <c r="N520" s="664"/>
      <c r="O520" s="675">
        <f>IF(ISERROR(K520/C520),"",K520/C520)</f>
        <v>5.8930980386354937E-5</v>
      </c>
      <c r="P520" s="676"/>
      <c r="Q520" s="7"/>
      <c r="R520" s="7"/>
      <c r="S520" s="7"/>
      <c r="T520" s="7"/>
      <c r="U520" s="18"/>
      <c r="V520" s="210"/>
      <c r="W520" s="18"/>
      <c r="X520" s="7"/>
      <c r="Y520" s="7"/>
      <c r="Z520" s="7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7"/>
      <c r="AN520" s="7"/>
      <c r="AO520" s="7"/>
      <c r="AP520" s="7"/>
      <c r="AQ520" s="7"/>
      <c r="AR520" s="7"/>
      <c r="AS520" s="15"/>
      <c r="AT520" s="15"/>
      <c r="AU520" s="15"/>
      <c r="AV520" s="15"/>
      <c r="AW520" s="15"/>
      <c r="AX520" s="15"/>
      <c r="AY520" s="15"/>
      <c r="AZ520" s="15"/>
      <c r="BA520" s="15"/>
    </row>
    <row r="521" spans="1:53">
      <c r="A521" s="661" t="s">
        <v>148</v>
      </c>
      <c r="B521" s="662"/>
      <c r="C521" s="674">
        <f>SUM(B173,B344,B516)</f>
        <v>0</v>
      </c>
      <c r="D521" s="674"/>
      <c r="E521" s="661" t="s">
        <v>149</v>
      </c>
      <c r="F521" s="662"/>
      <c r="G521" s="675">
        <f>IF(ISERROR(C521/C520),"",C521/C520)</f>
        <v>0</v>
      </c>
      <c r="H521" s="676"/>
      <c r="I521" s="654" t="s">
        <v>126</v>
      </c>
      <c r="J521" s="677"/>
      <c r="K521" s="674">
        <f>SUM(I173,I344,I516)</f>
        <v>0</v>
      </c>
      <c r="L521" s="674"/>
      <c r="M521" s="677" t="s">
        <v>127</v>
      </c>
      <c r="N521" s="677"/>
      <c r="O521" s="675">
        <f t="array" ref="O521">IF(ISERROR(K521/C519),"",K521/C519)</f>
        <v>0</v>
      </c>
      <c r="P521" s="676"/>
      <c r="Q521" s="7"/>
      <c r="R521" s="7"/>
      <c r="S521" s="7"/>
      <c r="T521" s="7"/>
      <c r="U521" s="18"/>
      <c r="V521" s="210"/>
      <c r="W521" s="18"/>
      <c r="X521" s="7"/>
      <c r="Y521" s="7"/>
      <c r="Z521" s="7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7"/>
      <c r="AN521" s="7"/>
      <c r="AO521" s="7"/>
      <c r="AP521" s="7"/>
      <c r="AQ521" s="7"/>
      <c r="AR521" s="7"/>
      <c r="AS521" s="15"/>
      <c r="AT521" s="15"/>
      <c r="AU521" s="15"/>
      <c r="AV521" s="15"/>
      <c r="AW521" s="15"/>
      <c r="AX521" s="15"/>
      <c r="AY521" s="15"/>
      <c r="AZ521" s="15"/>
      <c r="BA521" s="15"/>
    </row>
    <row r="522" spans="1:53" ht="17.25">
      <c r="A522" s="311" t="s">
        <v>510</v>
      </c>
      <c r="B522" s="19"/>
      <c r="C522" s="26"/>
      <c r="D522" s="26"/>
      <c r="E522" s="25"/>
      <c r="F522" s="25"/>
      <c r="G522" s="346"/>
      <c r="H522" s="22"/>
      <c r="I522" s="346"/>
      <c r="J522" s="8"/>
      <c r="K522" s="54"/>
      <c r="L522" s="344"/>
      <c r="M522" s="344"/>
      <c r="N522" s="15"/>
      <c r="O522" s="15"/>
      <c r="P522" s="15"/>
      <c r="Q522" s="15"/>
      <c r="R522" s="15"/>
      <c r="S522" s="15"/>
      <c r="T522" s="344"/>
      <c r="U522" s="344"/>
      <c r="V522" s="211"/>
      <c r="W522" s="344"/>
      <c r="X522" s="12"/>
      <c r="Y522" s="12"/>
      <c r="Z522" s="12"/>
      <c r="AA522" s="4"/>
      <c r="AB522" s="4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7"/>
      <c r="AN522" s="7"/>
      <c r="AO522" s="7"/>
      <c r="AP522" s="7"/>
      <c r="AQ522" s="7"/>
      <c r="AR522" s="7"/>
      <c r="AS522" s="15"/>
      <c r="AT522" s="15"/>
      <c r="AU522" s="15"/>
      <c r="AV522" s="15"/>
      <c r="AW522" s="15"/>
      <c r="AX522" s="15"/>
      <c r="AY522" s="15"/>
      <c r="AZ522" s="15"/>
      <c r="BA522" s="15"/>
    </row>
    <row r="523" spans="1:53">
      <c r="A523" s="661" t="s">
        <v>130</v>
      </c>
      <c r="B523" s="662"/>
      <c r="C523" s="661" t="s">
        <v>131</v>
      </c>
      <c r="D523" s="662"/>
      <c r="E523" s="661" t="s">
        <v>118</v>
      </c>
      <c r="F523" s="662"/>
      <c r="G523" s="668" t="s">
        <v>116</v>
      </c>
      <c r="H523" s="669"/>
      <c r="I523" s="661" t="s">
        <v>117</v>
      </c>
      <c r="J523" s="664"/>
      <c r="K523" s="661" t="s">
        <v>14</v>
      </c>
      <c r="L523" s="662"/>
      <c r="M523" s="661" t="s">
        <v>118</v>
      </c>
      <c r="N523" s="662"/>
      <c r="O523" s="654" t="s">
        <v>119</v>
      </c>
      <c r="P523" s="654"/>
      <c r="Q523" s="661" t="s">
        <v>14</v>
      </c>
      <c r="R523" s="662"/>
      <c r="S523" s="661" t="s">
        <v>118</v>
      </c>
      <c r="T523" s="662"/>
      <c r="U523" s="14"/>
      <c r="V523" s="203"/>
      <c r="W523" s="12"/>
      <c r="X523" s="3"/>
      <c r="Y523" s="14"/>
      <c r="Z523" s="15"/>
      <c r="AA523" s="15"/>
      <c r="AB523" s="15"/>
      <c r="AC523" s="15"/>
      <c r="AD523" s="15"/>
      <c r="AE523" s="15"/>
      <c r="AF523" s="15"/>
      <c r="AG523" s="15"/>
      <c r="AH523" s="11"/>
      <c r="AI523" s="11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</row>
    <row r="524" spans="1:53" ht="23.25" customHeight="1">
      <c r="A524" s="666" t="s">
        <v>70</v>
      </c>
      <c r="B524" s="662"/>
      <c r="C524" s="663">
        <f>SUM(G28,G199,G370)</f>
        <v>36813</v>
      </c>
      <c r="D524" s="662"/>
      <c r="E524" s="657">
        <f>IF(ISERROR(C524/C530),"",C524/C530)</f>
        <v>0.2347722938974382</v>
      </c>
      <c r="F524" s="658"/>
      <c r="G524" s="670"/>
      <c r="H524" s="671"/>
      <c r="I524" s="659" t="s">
        <v>15</v>
      </c>
      <c r="J524" s="667"/>
      <c r="K524" s="665">
        <f t="shared" ref="K524:K529" si="214">SUM(R166,U337,U509)</f>
        <v>0</v>
      </c>
      <c r="L524" s="664"/>
      <c r="M524" s="657" t="str">
        <f t="array" ref="M524">IF(ISERROR(K524/K530),"",K524/K530)</f>
        <v/>
      </c>
      <c r="N524" s="658"/>
      <c r="O524" s="654" t="s">
        <v>41</v>
      </c>
      <c r="P524" s="654"/>
      <c r="Q524" s="655">
        <f t="shared" ref="Q524:Q529" si="215">SUM(X166,AA337,AA509)</f>
        <v>0</v>
      </c>
      <c r="R524" s="656"/>
      <c r="S524" s="657" t="str">
        <f t="array" ref="S524">IF(ISERROR(Q524/Q530),"",Q524/Q530)</f>
        <v/>
      </c>
      <c r="T524" s="658"/>
      <c r="U524" s="14"/>
      <c r="V524" s="203"/>
      <c r="W524" s="22"/>
      <c r="X524" s="3"/>
      <c r="Y524" s="14"/>
      <c r="Z524" s="15"/>
      <c r="AA524" s="15"/>
      <c r="AB524" s="15"/>
      <c r="AC524" s="15"/>
      <c r="AD524" s="15"/>
      <c r="AE524" s="15"/>
      <c r="AF524" s="15"/>
      <c r="AG524" s="15"/>
      <c r="AH524" s="11"/>
      <c r="AI524" s="11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</row>
    <row r="525" spans="1:53">
      <c r="A525" s="666" t="s">
        <v>86</v>
      </c>
      <c r="B525" s="662"/>
      <c r="C525" s="661">
        <f>SUM(G86,G257,G428)</f>
        <v>69188</v>
      </c>
      <c r="D525" s="662"/>
      <c r="E525" s="657">
        <f>IF(ISERROR(C525/C530),"",C525/C530)</f>
        <v>0.44124155787835689</v>
      </c>
      <c r="F525" s="658"/>
      <c r="G525" s="670"/>
      <c r="H525" s="671"/>
      <c r="I525" s="659" t="s">
        <v>16</v>
      </c>
      <c r="J525" s="667"/>
      <c r="K525" s="665">
        <f t="shared" si="214"/>
        <v>0</v>
      </c>
      <c r="L525" s="664"/>
      <c r="M525" s="657" t="str">
        <f>IF(ISERROR(K525/K530),"",K525/K530)</f>
        <v/>
      </c>
      <c r="N525" s="658"/>
      <c r="O525" s="654" t="s">
        <v>42</v>
      </c>
      <c r="P525" s="654"/>
      <c r="Q525" s="661">
        <f t="shared" si="215"/>
        <v>0</v>
      </c>
      <c r="R525" s="662"/>
      <c r="S525" s="657" t="str">
        <f>IF(ISERROR(Q525/Q530),"",Q525/Q530)</f>
        <v/>
      </c>
      <c r="T525" s="658"/>
      <c r="U525" s="14"/>
      <c r="V525" s="203"/>
      <c r="W525" s="22"/>
      <c r="X525" s="3"/>
      <c r="Y525" s="14"/>
      <c r="Z525" s="15"/>
      <c r="AA525" s="15"/>
      <c r="AB525" s="15"/>
      <c r="AC525" s="15"/>
      <c r="AD525" s="15"/>
      <c r="AE525" s="15"/>
      <c r="AF525" s="15"/>
      <c r="AG525" s="15"/>
      <c r="AH525" s="11"/>
      <c r="AI525" s="11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</row>
    <row r="526" spans="1:53">
      <c r="A526" s="666" t="s">
        <v>92</v>
      </c>
      <c r="B526" s="662"/>
      <c r="C526" s="661">
        <f>SUM(G121,G292,G463)</f>
        <v>21160</v>
      </c>
      <c r="D526" s="662"/>
      <c r="E526" s="657">
        <f>IF(ISERROR(C526/C530),"",C526/C530)</f>
        <v>0.13494639770922751</v>
      </c>
      <c r="F526" s="658"/>
      <c r="G526" s="670"/>
      <c r="H526" s="671"/>
      <c r="I526" s="659" t="s">
        <v>17</v>
      </c>
      <c r="J526" s="667"/>
      <c r="K526" s="665">
        <f t="shared" si="214"/>
        <v>0</v>
      </c>
      <c r="L526" s="664"/>
      <c r="M526" s="657" t="str">
        <f>IF(ISERROR(K526/K530),"",K526/K530)</f>
        <v/>
      </c>
      <c r="N526" s="658"/>
      <c r="O526" s="654" t="s">
        <v>43</v>
      </c>
      <c r="P526" s="654"/>
      <c r="Q526" s="661">
        <f t="shared" si="215"/>
        <v>0</v>
      </c>
      <c r="R526" s="662"/>
      <c r="S526" s="657" t="str">
        <f>IF(ISERROR(Q526/Q530),"",Q526/Q530)</f>
        <v/>
      </c>
      <c r="T526" s="658"/>
      <c r="U526" s="14"/>
      <c r="V526" s="203"/>
      <c r="W526" s="22"/>
      <c r="X526" s="3"/>
      <c r="Y526" s="14"/>
      <c r="Z526" s="15"/>
      <c r="AA526" s="15"/>
      <c r="AB526" s="15"/>
      <c r="AC526" s="15"/>
      <c r="AD526" s="15"/>
      <c r="AE526" s="15"/>
      <c r="AF526" s="15"/>
      <c r="AG526" s="15"/>
      <c r="AH526" s="7"/>
      <c r="AI526" s="7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</row>
    <row r="527" spans="1:53" ht="15.75" customHeight="1">
      <c r="A527" s="666" t="s">
        <v>99</v>
      </c>
      <c r="B527" s="662"/>
      <c r="C527" s="661">
        <f>SUM(G137,G308,G479)</f>
        <v>17508</v>
      </c>
      <c r="D527" s="662"/>
      <c r="E527" s="657">
        <f>IF(ISERROR(C527/C530),"",C527/C530)</f>
        <v>0.11165602698927954</v>
      </c>
      <c r="F527" s="658"/>
      <c r="G527" s="670"/>
      <c r="H527" s="671"/>
      <c r="I527" s="659" t="s">
        <v>18</v>
      </c>
      <c r="J527" s="667"/>
      <c r="K527" s="665">
        <f t="shared" si="214"/>
        <v>0</v>
      </c>
      <c r="L527" s="664"/>
      <c r="M527" s="657" t="str">
        <f>IF(ISERROR(K527/K530),"",K527/K530)</f>
        <v/>
      </c>
      <c r="N527" s="658"/>
      <c r="O527" s="654" t="s">
        <v>21</v>
      </c>
      <c r="P527" s="654"/>
      <c r="Q527" s="661">
        <f t="shared" si="215"/>
        <v>0</v>
      </c>
      <c r="R527" s="662"/>
      <c r="S527" s="657" t="str">
        <f>IF(ISERROR(Q527/Q530),"",Q527/Q530)</f>
        <v/>
      </c>
      <c r="T527" s="658"/>
      <c r="U527" s="14"/>
      <c r="V527" s="203"/>
      <c r="W527" s="22"/>
      <c r="X527" s="3"/>
      <c r="Y527" s="14"/>
      <c r="Z527" s="15"/>
      <c r="AA527" s="15"/>
      <c r="AB527" s="15"/>
      <c r="AC527" s="15"/>
      <c r="AD527" s="15"/>
      <c r="AE527" s="15"/>
      <c r="AF527" s="15"/>
      <c r="AG527" s="15"/>
      <c r="AH527" s="7"/>
      <c r="AI527" s="7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</row>
    <row r="528" spans="1:53" ht="15.75" customHeight="1">
      <c r="A528" s="666" t="s">
        <v>102</v>
      </c>
      <c r="B528" s="662"/>
      <c r="C528" s="661">
        <f>SUM(G148,G319,G490)</f>
        <v>8805</v>
      </c>
      <c r="D528" s="662"/>
      <c r="E528" s="657">
        <f>IF(ISERROR(C528/C530),"",C528/C530)</f>
        <v>5.6153262373806627E-2</v>
      </c>
      <c r="F528" s="658"/>
      <c r="G528" s="670"/>
      <c r="H528" s="671"/>
      <c r="I528" s="659" t="s">
        <v>19</v>
      </c>
      <c r="J528" s="667"/>
      <c r="K528" s="665">
        <f t="shared" si="214"/>
        <v>0</v>
      </c>
      <c r="L528" s="664"/>
      <c r="M528" s="657" t="str">
        <f>IF(ISERROR(K528/K530),"",K528/K530)</f>
        <v/>
      </c>
      <c r="N528" s="658"/>
      <c r="O528" s="654" t="s">
        <v>45</v>
      </c>
      <c r="P528" s="654"/>
      <c r="Q528" s="661">
        <f t="shared" si="215"/>
        <v>0</v>
      </c>
      <c r="R528" s="662"/>
      <c r="S528" s="657" t="str">
        <f>IF(ISERROR(Q528/Q530),"",Q528/Q530)</f>
        <v/>
      </c>
      <c r="T528" s="658"/>
      <c r="U528" s="14"/>
      <c r="V528" s="203"/>
      <c r="W528" s="22"/>
      <c r="X528" s="3"/>
      <c r="Y528" s="14"/>
      <c r="Z528" s="15"/>
      <c r="AA528" s="15"/>
      <c r="AB528" s="15"/>
      <c r="AC528" s="15"/>
      <c r="AD528" s="15"/>
      <c r="AE528" s="15"/>
      <c r="AF528" s="15"/>
      <c r="AG528" s="15"/>
      <c r="AH528" s="7"/>
      <c r="AI528" s="7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</row>
    <row r="529" spans="1:53" ht="15.75" customHeight="1">
      <c r="A529" s="666" t="s">
        <v>106</v>
      </c>
      <c r="B529" s="662"/>
      <c r="C529" s="661">
        <f>SUM(G163,G334,G506)</f>
        <v>3329</v>
      </c>
      <c r="D529" s="662"/>
      <c r="E529" s="657">
        <f>IF(ISERROR(C529/C530),"",C529/C530)</f>
        <v>2.1230461151891228E-2</v>
      </c>
      <c r="F529" s="658"/>
      <c r="G529" s="670"/>
      <c r="H529" s="671"/>
      <c r="I529" s="659" t="s">
        <v>20</v>
      </c>
      <c r="J529" s="667"/>
      <c r="K529" s="665">
        <f t="shared" si="214"/>
        <v>0</v>
      </c>
      <c r="L529" s="664"/>
      <c r="M529" s="657" t="str">
        <f>IF(ISERROR(K529/K530),"",K529/K530)</f>
        <v/>
      </c>
      <c r="N529" s="658"/>
      <c r="O529" s="654" t="s">
        <v>46</v>
      </c>
      <c r="P529" s="654"/>
      <c r="Q529" s="661">
        <f t="shared" si="215"/>
        <v>0</v>
      </c>
      <c r="R529" s="662"/>
      <c r="S529" s="657" t="str">
        <f>IF(ISERROR(Q529/Q530),"",Q529/Q530)</f>
        <v/>
      </c>
      <c r="T529" s="658"/>
      <c r="U529" s="14"/>
      <c r="V529" s="203"/>
      <c r="W529" s="22"/>
      <c r="X529" s="3"/>
      <c r="Y529" s="14"/>
      <c r="Z529" s="15"/>
      <c r="AA529" s="15"/>
      <c r="AB529" s="15"/>
      <c r="AC529" s="15"/>
      <c r="AD529" s="15"/>
      <c r="AE529" s="15"/>
      <c r="AF529" s="15"/>
      <c r="AG529" s="15"/>
      <c r="AH529" s="7"/>
      <c r="AI529" s="7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</row>
    <row r="530" spans="1:53" ht="15.75" customHeight="1">
      <c r="A530" s="661" t="s">
        <v>123</v>
      </c>
      <c r="B530" s="662"/>
      <c r="C530" s="663">
        <f>SUM(C524:C529)</f>
        <v>156803</v>
      </c>
      <c r="D530" s="662"/>
      <c r="E530" s="657">
        <f>SUM(E524:F529)</f>
        <v>0.99999999999999989</v>
      </c>
      <c r="F530" s="662"/>
      <c r="G530" s="672"/>
      <c r="H530" s="673"/>
      <c r="I530" s="661" t="s">
        <v>123</v>
      </c>
      <c r="J530" s="664"/>
      <c r="K530" s="665">
        <f>SUM(R173,U344,U516)</f>
        <v>0</v>
      </c>
      <c r="L530" s="664"/>
      <c r="M530" s="657">
        <f>SUM(M524:N529)</f>
        <v>0</v>
      </c>
      <c r="N530" s="658"/>
      <c r="O530" s="654" t="s">
        <v>123</v>
      </c>
      <c r="P530" s="654"/>
      <c r="Q530" s="655">
        <f>SUM(X173,AA344,AA516)</f>
        <v>0</v>
      </c>
      <c r="R530" s="656"/>
      <c r="S530" s="657">
        <f>SUM(S524:T529)</f>
        <v>0</v>
      </c>
      <c r="T530" s="658"/>
      <c r="U530" s="14"/>
      <c r="V530" s="203"/>
      <c r="W530" s="12"/>
      <c r="X530" s="3"/>
      <c r="Y530" s="14"/>
      <c r="Z530" s="15"/>
      <c r="AA530" s="15"/>
      <c r="AB530" s="15"/>
      <c r="AC530" s="15"/>
      <c r="AD530" s="15"/>
      <c r="AE530" s="15"/>
      <c r="AF530" s="15"/>
      <c r="AG530" s="15"/>
      <c r="AH530" s="7"/>
      <c r="AI530" s="7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</row>
    <row r="531" spans="1:53" ht="15.75" customHeight="1">
      <c r="A531" s="330" t="s">
        <v>511</v>
      </c>
      <c r="B531" s="67"/>
      <c r="C531" s="501"/>
      <c r="D531" s="1"/>
      <c r="E531" s="1"/>
      <c r="F531" s="1"/>
      <c r="G531" s="27"/>
      <c r="H531" s="2"/>
      <c r="I531" s="27"/>
      <c r="J531" s="2"/>
      <c r="K531" s="49"/>
      <c r="L531" s="2"/>
      <c r="M531" s="2"/>
      <c r="N531" s="2"/>
      <c r="O531" s="2"/>
      <c r="P531" s="2"/>
      <c r="Q531" s="2"/>
      <c r="R531" s="2"/>
      <c r="S531" s="2"/>
      <c r="T531" s="2"/>
      <c r="U531" s="24"/>
      <c r="V531" s="212"/>
      <c r="W531" s="24"/>
      <c r="X531" s="5"/>
      <c r="Y531" s="5"/>
      <c r="Z531" s="24"/>
      <c r="AA531" s="3"/>
      <c r="AB531" s="344"/>
      <c r="AC531" s="344"/>
      <c r="AD531" s="344"/>
      <c r="AE531" s="344"/>
      <c r="AF531" s="344"/>
      <c r="AG531" s="344"/>
      <c r="AH531" s="344"/>
      <c r="AI531" s="344"/>
      <c r="AJ531" s="344"/>
      <c r="AK531" s="344"/>
      <c r="AL531" s="344"/>
      <c r="AM531" s="12"/>
      <c r="AN531" s="12"/>
      <c r="AO531" s="12"/>
      <c r="AP531" s="12"/>
      <c r="AQ531" s="12"/>
      <c r="AR531" s="12"/>
      <c r="AS531" s="15"/>
      <c r="AT531" s="15"/>
      <c r="AU531" s="15"/>
      <c r="AV531" s="15"/>
      <c r="AW531" s="15"/>
      <c r="AX531" s="15"/>
      <c r="AY531" s="15"/>
      <c r="AZ531" s="15"/>
      <c r="BA531" s="15"/>
    </row>
    <row r="532" spans="1:53" ht="18.75" customHeight="1">
      <c r="A532" s="659" t="s">
        <v>132</v>
      </c>
      <c r="B532" s="660"/>
      <c r="C532" s="335" t="s">
        <v>133</v>
      </c>
      <c r="D532" s="335" t="s">
        <v>134</v>
      </c>
      <c r="E532" s="335" t="s">
        <v>3</v>
      </c>
      <c r="F532" s="335" t="s">
        <v>4</v>
      </c>
      <c r="G532" s="335" t="s">
        <v>5</v>
      </c>
      <c r="H532" s="87" t="s">
        <v>6</v>
      </c>
      <c r="I532" s="87" t="s">
        <v>7</v>
      </c>
      <c r="J532" s="87" t="s">
        <v>135</v>
      </c>
      <c r="K532" s="338" t="s">
        <v>8</v>
      </c>
      <c r="L532" s="87" t="s">
        <v>9</v>
      </c>
      <c r="M532" s="87" t="s">
        <v>136</v>
      </c>
      <c r="N532" s="87" t="s">
        <v>10</v>
      </c>
      <c r="O532" s="87" t="s">
        <v>137</v>
      </c>
      <c r="P532" s="339" t="s">
        <v>138</v>
      </c>
      <c r="Q532" s="87" t="s">
        <v>139</v>
      </c>
      <c r="R532" s="36" t="s">
        <v>140</v>
      </c>
      <c r="S532" s="335" t="s">
        <v>141</v>
      </c>
      <c r="T532" s="335" t="s">
        <v>142</v>
      </c>
      <c r="U532" s="51"/>
      <c r="V532" s="213"/>
      <c r="X532" s="14"/>
      <c r="Y532" s="14"/>
      <c r="Z532" s="15"/>
      <c r="AA532" s="15"/>
      <c r="AB532" s="15"/>
      <c r="AC532" s="344"/>
      <c r="AD532" s="344"/>
      <c r="AE532" s="344"/>
      <c r="AF532" s="344"/>
      <c r="AG532" s="344"/>
      <c r="AH532" s="344"/>
      <c r="AI532" s="344"/>
      <c r="AJ532" s="344"/>
      <c r="AK532" s="344"/>
      <c r="AL532" s="344"/>
      <c r="AM532" s="344"/>
      <c r="AN532" s="15"/>
      <c r="AO532" s="344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</row>
    <row r="533" spans="1:53" ht="15.75" customHeight="1">
      <c r="A533" s="650" t="s">
        <v>143</v>
      </c>
      <c r="B533" s="651"/>
      <c r="C533" s="93">
        <f>SUM('31:13'!C533)</f>
        <v>616</v>
      </c>
      <c r="D533" s="93">
        <f>SUM('31:13'!D533)</f>
        <v>608</v>
      </c>
      <c r="E533" s="93">
        <f>SUM('31:13'!E533)</f>
        <v>8</v>
      </c>
      <c r="F533" s="93">
        <f>SUM('31:13'!F533)</f>
        <v>0</v>
      </c>
      <c r="G533" s="93">
        <f>SUM('31:13'!G533)</f>
        <v>0</v>
      </c>
      <c r="H533" s="93">
        <f>SUM('31:13'!H533)</f>
        <v>0</v>
      </c>
      <c r="I533" s="93">
        <f>SUM('31:13'!I533)</f>
        <v>0</v>
      </c>
      <c r="J533" s="93">
        <f>+C533-H533-I533</f>
        <v>616</v>
      </c>
      <c r="K533" s="93">
        <f>SUM('31:13'!K533)</f>
        <v>0</v>
      </c>
      <c r="L533" s="93">
        <f>SUM('31:13'!L533)</f>
        <v>0</v>
      </c>
      <c r="M533" s="93">
        <f>SUM('31:13'!M533)</f>
        <v>0</v>
      </c>
      <c r="N533" s="93">
        <f>SUM('31:13'!N533)</f>
        <v>0</v>
      </c>
      <c r="O533" s="93">
        <f>SUM('31:13'!O533)</f>
        <v>0</v>
      </c>
      <c r="P533" s="93">
        <f>SUM('31:13'!P533)</f>
        <v>0</v>
      </c>
      <c r="Q533" s="93">
        <f>J533-K533-L533</f>
        <v>616</v>
      </c>
      <c r="R533" s="93">
        <f>Q533*11-M533-N533</f>
        <v>6776</v>
      </c>
      <c r="S533" s="200">
        <f>IF(ISERROR(Q533/J533),"",Q533/J533)</f>
        <v>1</v>
      </c>
      <c r="T533" s="194">
        <f t="array" ref="T533">IF(ISERROR((O533:P533)/C533),"",SUM(O533:P533)/C533)</f>
        <v>0</v>
      </c>
      <c r="X533" s="14"/>
      <c r="Y533" s="14"/>
      <c r="Z533" s="15"/>
      <c r="AA533" s="15"/>
      <c r="AB533" s="15"/>
      <c r="AC533" s="344"/>
      <c r="AD533" s="344"/>
      <c r="AE533" s="344"/>
      <c r="AF533" s="344"/>
      <c r="AG533" s="344"/>
      <c r="AH533" s="344"/>
      <c r="AI533" s="344"/>
      <c r="AJ533" s="344"/>
      <c r="AK533" s="344"/>
      <c r="AL533" s="344"/>
      <c r="AM533" s="344"/>
      <c r="AN533" s="15"/>
      <c r="AO533" s="344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</row>
    <row r="534" spans="1:53">
      <c r="A534" s="650" t="s">
        <v>144</v>
      </c>
      <c r="B534" s="651"/>
      <c r="C534" s="93">
        <f>SUM('31:13'!C534)</f>
        <v>605</v>
      </c>
      <c r="D534" s="93">
        <f>SUM('31:13'!D534)</f>
        <v>612</v>
      </c>
      <c r="E534" s="93">
        <f>SUM('31:13'!E534)</f>
        <v>1</v>
      </c>
      <c r="F534" s="93">
        <f>SUM('31:13'!F534)</f>
        <v>0</v>
      </c>
      <c r="G534" s="93">
        <f>SUM('31:13'!G534)</f>
        <v>0</v>
      </c>
      <c r="H534" s="93">
        <f>SUM('31:13'!H534)</f>
        <v>0</v>
      </c>
      <c r="I534" s="93">
        <f>SUM('31:13'!I534)</f>
        <v>1</v>
      </c>
      <c r="J534" s="93">
        <f t="shared" ref="J534:J535" si="216">C534-G534-H534-I534</f>
        <v>604</v>
      </c>
      <c r="K534" s="93">
        <f>SUM('31:13'!K534)</f>
        <v>15</v>
      </c>
      <c r="L534" s="93">
        <f>SUM('31:13'!L534)</f>
        <v>0</v>
      </c>
      <c r="M534" s="93">
        <f>SUM('31:13'!M534)</f>
        <v>0</v>
      </c>
      <c r="N534" s="93">
        <f>SUM('31:13'!N534)</f>
        <v>0</v>
      </c>
      <c r="O534" s="93">
        <f>SUM('31:13'!O534)</f>
        <v>6</v>
      </c>
      <c r="P534" s="93">
        <f>SUM('31:13'!P534)</f>
        <v>2</v>
      </c>
      <c r="Q534" s="93">
        <f t="shared" ref="Q534:Q535" si="217">J534-K534-L534</f>
        <v>589</v>
      </c>
      <c r="R534" s="93">
        <f t="shared" ref="R534:R535" si="218">Q534*11-M534-N534</f>
        <v>6479</v>
      </c>
      <c r="S534" s="194">
        <f t="array" ref="S534">IF(ISERROR(Q534/J534),"",Q534/J534)</f>
        <v>0.97516556291390732</v>
      </c>
      <c r="T534" s="194">
        <f t="array" ref="T534">IF(ISERROR((O534:P534)/C534),"",SUM(O534:P534)/C534)</f>
        <v>1.3223140495867768E-2</v>
      </c>
      <c r="X534" s="14"/>
      <c r="Y534" s="14"/>
      <c r="Z534" s="15"/>
      <c r="AA534" s="15"/>
      <c r="AB534" s="15"/>
      <c r="AC534" s="344"/>
      <c r="AD534" s="344"/>
      <c r="AE534" s="344"/>
      <c r="AF534" s="344"/>
      <c r="AG534" s="344"/>
      <c r="AH534" s="344"/>
      <c r="AI534" s="344"/>
      <c r="AJ534" s="344"/>
      <c r="AK534" s="344"/>
      <c r="AL534" s="344"/>
      <c r="AM534" s="344"/>
      <c r="AN534" s="15"/>
      <c r="AO534" s="344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</row>
    <row r="535" spans="1:53">
      <c r="A535" s="650" t="s">
        <v>145</v>
      </c>
      <c r="B535" s="651"/>
      <c r="C535" s="93">
        <f>SUM('31:13'!C535)</f>
        <v>140</v>
      </c>
      <c r="D535" s="93">
        <f>SUM('31:13'!D535)</f>
        <v>140</v>
      </c>
      <c r="E535" s="93">
        <f>SUM('31:13'!E535)</f>
        <v>0</v>
      </c>
      <c r="F535" s="93">
        <f>SUM('31:13'!F535)</f>
        <v>0</v>
      </c>
      <c r="G535" s="93">
        <f>SUM('31:13'!G535)</f>
        <v>0</v>
      </c>
      <c r="H535" s="93">
        <f>SUM('31:13'!H535)</f>
        <v>0</v>
      </c>
      <c r="I535" s="93">
        <f>SUM('31:13'!I535)</f>
        <v>0</v>
      </c>
      <c r="J535" s="93">
        <f t="shared" si="216"/>
        <v>140</v>
      </c>
      <c r="K535" s="93">
        <f>SUM('31:13'!K535)</f>
        <v>1</v>
      </c>
      <c r="L535" s="93">
        <f>SUM('31:13'!L535)</f>
        <v>0</v>
      </c>
      <c r="M535" s="93">
        <f>SUM('31:13'!M535)</f>
        <v>0</v>
      </c>
      <c r="N535" s="93">
        <f>SUM('31:13'!N535)</f>
        <v>0</v>
      </c>
      <c r="O535" s="93">
        <f>SUM('31:13'!O535)</f>
        <v>0</v>
      </c>
      <c r="P535" s="93">
        <f>SUM('31:13'!P535)</f>
        <v>0</v>
      </c>
      <c r="Q535" s="93">
        <f t="shared" si="217"/>
        <v>139</v>
      </c>
      <c r="R535" s="93">
        <f t="shared" si="218"/>
        <v>1529</v>
      </c>
      <c r="S535" s="194">
        <f t="array" ref="S535">IF(ISERROR(Q535/J535),"",Q535/J535)</f>
        <v>0.99285714285714288</v>
      </c>
      <c r="T535" s="194">
        <f t="array" ref="T535">IF(ISERROR((O535:P535)/C535),"",SUM(O535:P535)/C535)</f>
        <v>0</v>
      </c>
      <c r="V535" s="213"/>
      <c r="X535" s="14"/>
      <c r="Y535" s="14"/>
      <c r="Z535" s="15"/>
      <c r="AA535" s="15"/>
      <c r="AB535" s="15"/>
      <c r="AC535" s="344"/>
      <c r="AD535" s="344"/>
      <c r="AE535" s="344"/>
      <c r="AF535" s="344"/>
      <c r="AG535" s="344"/>
      <c r="AH535" s="344"/>
      <c r="AI535" s="344"/>
      <c r="AJ535" s="344"/>
      <c r="AK535" s="344"/>
      <c r="AL535" s="344"/>
      <c r="AM535" s="344"/>
      <c r="AN535" s="15"/>
      <c r="AO535" s="344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</row>
    <row r="536" spans="1:53" s="42" customFormat="1">
      <c r="A536" s="652" t="s">
        <v>11</v>
      </c>
      <c r="B536" s="653"/>
      <c r="C536" s="37">
        <f>SUM(C533:C535)</f>
        <v>1361</v>
      </c>
      <c r="D536" s="37">
        <f>SUM(D533:D535)</f>
        <v>1360</v>
      </c>
      <c r="E536" s="37">
        <f t="shared" ref="E536:N536" si="219">SUM(E533:E535)</f>
        <v>9</v>
      </c>
      <c r="F536" s="37">
        <f t="shared" si="219"/>
        <v>0</v>
      </c>
      <c r="G536" s="37">
        <f t="shared" si="219"/>
        <v>0</v>
      </c>
      <c r="H536" s="37">
        <f t="shared" si="219"/>
        <v>0</v>
      </c>
      <c r="I536" s="37">
        <f t="shared" si="219"/>
        <v>1</v>
      </c>
      <c r="J536" s="45">
        <f t="shared" si="219"/>
        <v>1360</v>
      </c>
      <c r="K536" s="88">
        <f t="shared" si="219"/>
        <v>16</v>
      </c>
      <c r="L536" s="37">
        <f t="shared" si="219"/>
        <v>0</v>
      </c>
      <c r="M536" s="37">
        <f t="shared" si="219"/>
        <v>0</v>
      </c>
      <c r="N536" s="37">
        <f t="shared" si="219"/>
        <v>0</v>
      </c>
      <c r="O536" s="37">
        <f>SUM(O533:O535)</f>
        <v>6</v>
      </c>
      <c r="P536" s="37">
        <f>SUM(P533:P535)</f>
        <v>2</v>
      </c>
      <c r="Q536" s="37">
        <f>SUM(Q533:Q535)</f>
        <v>1344</v>
      </c>
      <c r="R536" s="37">
        <f>SUM(R533:R535)</f>
        <v>14784</v>
      </c>
      <c r="S536" s="38">
        <f t="array" ref="S536">IF(ISERROR(Q536/J536),"",Q536/J536)</f>
        <v>0.9882352941176471</v>
      </c>
      <c r="T536" s="39">
        <f t="array" ref="T536">IF(ISERROR((O536:P536)/C536),"",SUM(O536:P536)/C536)</f>
        <v>5.8780308596620128E-3</v>
      </c>
      <c r="V536" s="214"/>
      <c r="X536" s="29"/>
      <c r="Y536" s="29"/>
      <c r="Z536" s="40"/>
      <c r="AA536" s="40"/>
      <c r="AB536" s="40"/>
      <c r="AC536" s="41"/>
      <c r="AD536" s="4"/>
      <c r="AE536" s="41"/>
      <c r="AF536" s="41"/>
      <c r="AG536" s="41"/>
      <c r="AH536" s="41"/>
      <c r="AI536" s="4"/>
      <c r="AJ536" s="4"/>
      <c r="AK536" s="4"/>
      <c r="AL536" s="4"/>
      <c r="AM536" s="4"/>
      <c r="AN536" s="15"/>
      <c r="AO536" s="4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</row>
    <row r="537" spans="1:53">
      <c r="A537" s="313"/>
      <c r="B537" s="68"/>
      <c r="C537" s="14"/>
      <c r="D537" s="14"/>
      <c r="E537" s="14"/>
      <c r="F537" s="14"/>
      <c r="G537" s="4"/>
      <c r="H537" s="14"/>
      <c r="I537" s="4"/>
      <c r="J537" s="43"/>
      <c r="K537" s="28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203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  <c r="AX537" s="14"/>
      <c r="AY537" s="14"/>
      <c r="AZ537" s="14"/>
      <c r="BA537" s="14"/>
    </row>
    <row r="538" spans="1:53">
      <c r="A538" s="313"/>
      <c r="B538" s="68" t="s">
        <v>146</v>
      </c>
      <c r="C538" s="14"/>
      <c r="D538" s="14"/>
      <c r="E538" s="14"/>
      <c r="F538" s="14"/>
      <c r="G538" s="4"/>
      <c r="H538" s="14"/>
      <c r="I538" s="4" t="s">
        <v>147</v>
      </c>
      <c r="J538" s="43" t="s">
        <v>449</v>
      </c>
      <c r="K538" s="28"/>
      <c r="L538" s="14"/>
      <c r="M538" s="14"/>
      <c r="N538" s="14"/>
      <c r="O538" s="14"/>
      <c r="P538" s="14"/>
      <c r="Q538" s="14"/>
      <c r="R538" s="14"/>
      <c r="S538" s="14"/>
      <c r="T538" s="14"/>
      <c r="V538" s="203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14"/>
    </row>
    <row r="539" spans="1:53">
      <c r="A539" s="179"/>
      <c r="B539" s="257"/>
      <c r="C539" s="257"/>
      <c r="D539" s="51"/>
      <c r="E539" s="257"/>
    </row>
    <row r="540" spans="1:53">
      <c r="A540" s="327"/>
      <c r="B540" s="258"/>
      <c r="C540" s="257"/>
      <c r="D540" s="51"/>
      <c r="E540" s="257"/>
    </row>
    <row r="541" spans="1:53">
      <c r="A541" s="327"/>
      <c r="B541" s="260"/>
      <c r="C541" s="257"/>
      <c r="D541" s="51"/>
      <c r="E541" s="257"/>
    </row>
    <row r="542" spans="1:53">
      <c r="A542" s="331"/>
      <c r="B542" s="257"/>
      <c r="C542" s="257"/>
      <c r="D542" s="51"/>
      <c r="E542" s="257"/>
    </row>
    <row r="543" spans="1:53">
      <c r="A543" s="331"/>
      <c r="B543" s="257"/>
      <c r="C543" s="257"/>
      <c r="D543" s="51"/>
      <c r="E543" s="257"/>
      <c r="J543" s="46" t="s">
        <v>174</v>
      </c>
      <c r="K543" s="50" t="s">
        <v>176</v>
      </c>
      <c r="L543" t="s">
        <v>175</v>
      </c>
    </row>
    <row r="544" spans="1:53">
      <c r="A544" s="331"/>
      <c r="B544" s="257"/>
      <c r="C544" s="257"/>
      <c r="D544" s="259"/>
      <c r="E544" s="257"/>
      <c r="H544" s="100" t="s">
        <v>163</v>
      </c>
      <c r="J544" s="101">
        <f>+G28+G199+G370</f>
        <v>36813</v>
      </c>
      <c r="K544" s="101">
        <f>+H28+H199+H370</f>
        <v>185399.69</v>
      </c>
      <c r="L544" s="101">
        <f>+I28+I199+I370</f>
        <v>2351.5500000000002</v>
      </c>
      <c r="M544" s="50">
        <f>+J544/L544</f>
        <v>15.654780889200739</v>
      </c>
    </row>
    <row r="545" spans="1:13">
      <c r="A545" s="331"/>
      <c r="B545" s="257"/>
      <c r="C545" s="257"/>
      <c r="D545" s="259"/>
      <c r="E545" s="257"/>
      <c r="H545" s="100" t="s">
        <v>164</v>
      </c>
      <c r="J545" s="101">
        <f>+G428+G257+G86</f>
        <v>69188</v>
      </c>
      <c r="K545" s="101">
        <f>+H428+H257+H86</f>
        <v>340125.93000000005</v>
      </c>
      <c r="L545" s="101">
        <f>+I428+I257+I86</f>
        <v>1906.75</v>
      </c>
      <c r="M545" s="50">
        <f>+J545/L545</f>
        <v>36.285826668414842</v>
      </c>
    </row>
    <row r="546" spans="1:13">
      <c r="A546" s="331"/>
      <c r="B546" s="257"/>
      <c r="C546" s="257"/>
      <c r="D546" s="259"/>
      <c r="E546" s="257"/>
      <c r="H546" s="100" t="s">
        <v>165</v>
      </c>
      <c r="J546" s="101">
        <f>+G463+G292+G121</f>
        <v>21160</v>
      </c>
      <c r="K546" s="101">
        <f>+H463+H292+H121</f>
        <v>100780.6</v>
      </c>
      <c r="L546" s="101">
        <f>+I463+I292+I121</f>
        <v>2531.5</v>
      </c>
      <c r="M546" s="50">
        <f>+J546/L546</f>
        <v>8.3586806241358875</v>
      </c>
    </row>
    <row r="547" spans="1:13">
      <c r="A547" s="331"/>
      <c r="B547" s="257"/>
      <c r="C547" s="257"/>
      <c r="D547" s="259"/>
      <c r="E547" s="257"/>
      <c r="H547" s="100" t="s">
        <v>166</v>
      </c>
      <c r="J547" s="101">
        <f>+G479+G308+G137</f>
        <v>17508</v>
      </c>
      <c r="K547" s="101">
        <f>+H479+H308+H137</f>
        <v>88368.360000000015</v>
      </c>
      <c r="L547" s="101">
        <f>+I479+I308+I137</f>
        <v>879.57999999999993</v>
      </c>
      <c r="M547" s="50">
        <f t="shared" ref="M547:M548" si="220">+J547/L547</f>
        <v>19.9049546374406</v>
      </c>
    </row>
    <row r="548" spans="1:13">
      <c r="A548" s="331"/>
      <c r="B548" s="257"/>
      <c r="C548" s="257"/>
      <c r="D548" s="259"/>
      <c r="E548" s="257"/>
      <c r="H548" s="100" t="s">
        <v>167</v>
      </c>
      <c r="J548" s="101">
        <f>+G506+G334+G163</f>
        <v>3329</v>
      </c>
      <c r="K548" s="101">
        <f>+H506+H334+H163</f>
        <v>21533.82</v>
      </c>
      <c r="L548" s="101">
        <f>+I506+I334+I163</f>
        <v>839</v>
      </c>
      <c r="M548" s="50">
        <f t="shared" si="220"/>
        <v>3.9678188319427892</v>
      </c>
    </row>
    <row r="549" spans="1:13">
      <c r="A549" s="331"/>
      <c r="B549" s="257"/>
      <c r="C549" s="257"/>
      <c r="D549" s="259"/>
      <c r="E549" s="257"/>
      <c r="J549" s="101">
        <f>SUM(J544:J548)</f>
        <v>147998</v>
      </c>
      <c r="K549" s="101"/>
      <c r="L549" s="101"/>
      <c r="M549" s="50"/>
    </row>
    <row r="550" spans="1:13">
      <c r="A550" s="331"/>
      <c r="B550" s="257"/>
      <c r="C550" s="257"/>
      <c r="D550" s="259"/>
      <c r="E550" s="257"/>
    </row>
    <row r="551" spans="1:13">
      <c r="A551" s="331"/>
      <c r="B551" s="257"/>
      <c r="C551" s="257"/>
      <c r="D551" s="259"/>
      <c r="E551" s="257"/>
      <c r="G551" t="s">
        <v>168</v>
      </c>
    </row>
    <row r="552" spans="1:13">
      <c r="A552" s="331"/>
      <c r="B552" s="257"/>
      <c r="C552" s="257"/>
      <c r="D552" s="259"/>
      <c r="E552" s="257"/>
      <c r="H552" s="100" t="s">
        <v>163</v>
      </c>
      <c r="J552" s="46">
        <f>+G28</f>
        <v>16131</v>
      </c>
      <c r="K552" s="101">
        <f>+H28</f>
        <v>80950.17</v>
      </c>
      <c r="L552" s="101">
        <f>+I28</f>
        <v>970</v>
      </c>
      <c r="M552" s="102">
        <f>+J552/L552</f>
        <v>16.629896907216494</v>
      </c>
    </row>
    <row r="553" spans="1:13">
      <c r="A553" s="331"/>
      <c r="B553" s="257"/>
      <c r="C553" s="257"/>
      <c r="D553" s="259"/>
      <c r="E553" s="257"/>
      <c r="H553" s="100" t="s">
        <v>164</v>
      </c>
      <c r="J553" s="46">
        <f>G86</f>
        <v>33458</v>
      </c>
      <c r="K553" s="101">
        <f>H86</f>
        <v>159927.86000000002</v>
      </c>
      <c r="L553" s="101">
        <f>I86</f>
        <v>842</v>
      </c>
      <c r="M553" s="102">
        <f>+J553/L553</f>
        <v>39.736342042755346</v>
      </c>
    </row>
    <row r="554" spans="1:13">
      <c r="E554" s="252"/>
      <c r="H554" s="100" t="s">
        <v>165</v>
      </c>
      <c r="J554" s="46">
        <f>+G121</f>
        <v>8203</v>
      </c>
      <c r="K554" s="101">
        <f>+H121</f>
        <v>41126.29</v>
      </c>
      <c r="L554" s="101">
        <f>+I121</f>
        <v>885</v>
      </c>
      <c r="M554" s="102">
        <f>+J554/L554</f>
        <v>9.2689265536723155</v>
      </c>
    </row>
    <row r="555" spans="1:13">
      <c r="H555" s="100" t="s">
        <v>166</v>
      </c>
      <c r="J555" s="46">
        <f>+G137</f>
        <v>9199</v>
      </c>
      <c r="K555" s="101">
        <f>+H137</f>
        <v>46413.91</v>
      </c>
      <c r="L555" s="101">
        <f>+I137</f>
        <v>400.5</v>
      </c>
      <c r="M555" s="102">
        <f>+J555/L555</f>
        <v>22.968789013732835</v>
      </c>
    </row>
    <row r="556" spans="1:13">
      <c r="H556" s="100" t="s">
        <v>167</v>
      </c>
      <c r="J556" s="46">
        <f>+G163</f>
        <v>1649</v>
      </c>
      <c r="K556" s="101">
        <f>+H163</f>
        <v>10493.66</v>
      </c>
      <c r="L556" s="101">
        <f>+I163</f>
        <v>412</v>
      </c>
      <c r="M556" s="102">
        <f>+J556/L556</f>
        <v>4.0024271844660193</v>
      </c>
    </row>
    <row r="557" spans="1:13">
      <c r="J557" s="46">
        <f>+B171</f>
        <v>72928</v>
      </c>
      <c r="M557" s="102"/>
    </row>
    <row r="558" spans="1:13">
      <c r="G558" t="s">
        <v>169</v>
      </c>
      <c r="M558" s="102"/>
    </row>
    <row r="559" spans="1:13">
      <c r="H559" s="100" t="s">
        <v>163</v>
      </c>
      <c r="J559" s="46">
        <f>+G199</f>
        <v>20682</v>
      </c>
      <c r="K559" s="101">
        <f>+H199</f>
        <v>104449.52</v>
      </c>
      <c r="L559" s="101">
        <f>+I199</f>
        <v>1381.55</v>
      </c>
      <c r="M559" s="102">
        <f>+J559/L559</f>
        <v>14.970142231551518</v>
      </c>
    </row>
    <row r="560" spans="1:13">
      <c r="H560" s="100" t="s">
        <v>164</v>
      </c>
      <c r="J560" s="46">
        <f>+G257</f>
        <v>35730</v>
      </c>
      <c r="K560" s="101">
        <f>+H257</f>
        <v>180198.07</v>
      </c>
      <c r="L560" s="101">
        <f>+I257</f>
        <v>1064.75</v>
      </c>
      <c r="M560" s="102">
        <f>+J560/L560</f>
        <v>33.5571730453158</v>
      </c>
    </row>
    <row r="561" spans="7:13">
      <c r="H561" s="100" t="s">
        <v>165</v>
      </c>
      <c r="J561" s="46">
        <f>+G292</f>
        <v>4977</v>
      </c>
      <c r="K561" s="101">
        <f>+H292</f>
        <v>19480.559999999998</v>
      </c>
      <c r="L561" s="101">
        <f>+I292</f>
        <v>1000</v>
      </c>
      <c r="M561" s="102">
        <f>+J561/L561</f>
        <v>4.9770000000000003</v>
      </c>
    </row>
    <row r="562" spans="7:13">
      <c r="H562" s="100" t="s">
        <v>166</v>
      </c>
      <c r="J562" s="46">
        <f>+G308</f>
        <v>8309</v>
      </c>
      <c r="K562" s="101">
        <f>+H308</f>
        <v>41954.450000000004</v>
      </c>
      <c r="L562" s="101">
        <f>+I308</f>
        <v>479.08</v>
      </c>
      <c r="M562" s="102">
        <f>+J562/L562</f>
        <v>17.343658679135011</v>
      </c>
    </row>
    <row r="563" spans="7:13">
      <c r="H563" s="100" t="s">
        <v>167</v>
      </c>
      <c r="J563" s="46">
        <f>+G334</f>
        <v>1680</v>
      </c>
      <c r="K563" s="101">
        <f>+H334</f>
        <v>11040.16</v>
      </c>
      <c r="L563" s="101">
        <f>+I334</f>
        <v>427</v>
      </c>
      <c r="M563" s="102">
        <f>+J563/L563</f>
        <v>3.9344262295081966</v>
      </c>
    </row>
    <row r="564" spans="7:13">
      <c r="G564" t="s">
        <v>170</v>
      </c>
      <c r="J564" s="46">
        <f>+B342</f>
        <v>75895</v>
      </c>
      <c r="K564" s="101"/>
      <c r="L564" s="101"/>
      <c r="M564" s="102"/>
    </row>
    <row r="565" spans="7:13">
      <c r="H565" s="100" t="s">
        <v>163</v>
      </c>
      <c r="J565" s="46">
        <f>+G370</f>
        <v>0</v>
      </c>
      <c r="K565" s="101">
        <f>+H370</f>
        <v>0</v>
      </c>
      <c r="L565" s="101">
        <f>+I370</f>
        <v>0</v>
      </c>
      <c r="M565" s="102" t="e">
        <f>+J565/L565</f>
        <v>#DIV/0!</v>
      </c>
    </row>
    <row r="566" spans="7:13">
      <c r="H566" s="100" t="s">
        <v>164</v>
      </c>
      <c r="J566" s="46">
        <f>+G428</f>
        <v>0</v>
      </c>
      <c r="K566" s="101">
        <f>+H428</f>
        <v>0</v>
      </c>
      <c r="L566" s="101">
        <f>+I428</f>
        <v>0</v>
      </c>
      <c r="M566" s="102" t="e">
        <f>+J566/L566</f>
        <v>#DIV/0!</v>
      </c>
    </row>
    <row r="567" spans="7:13">
      <c r="H567" s="100" t="s">
        <v>165</v>
      </c>
      <c r="J567" s="46">
        <f>+G463</f>
        <v>7980</v>
      </c>
      <c r="K567" s="101">
        <f>+H463</f>
        <v>40173.750000000007</v>
      </c>
      <c r="L567" s="101">
        <f>+I463</f>
        <v>646.5</v>
      </c>
      <c r="M567" s="102">
        <f>+J567/L567</f>
        <v>12.34338747099768</v>
      </c>
    </row>
    <row r="568" spans="7:13">
      <c r="H568" s="100" t="s">
        <v>166</v>
      </c>
      <c r="J568" s="46">
        <f>+G479</f>
        <v>0</v>
      </c>
      <c r="K568" s="101">
        <f>+H479</f>
        <v>0</v>
      </c>
      <c r="L568" s="101">
        <f>+I479</f>
        <v>0</v>
      </c>
      <c r="M568" s="102" t="e">
        <f>+J568/L568</f>
        <v>#DIV/0!</v>
      </c>
    </row>
    <row r="569" spans="7:13">
      <c r="H569" s="100" t="s">
        <v>167</v>
      </c>
      <c r="J569" s="46">
        <f>+G506</f>
        <v>0</v>
      </c>
      <c r="K569" s="101">
        <f>+H506</f>
        <v>0</v>
      </c>
      <c r="L569" s="101">
        <f>+I506</f>
        <v>0</v>
      </c>
      <c r="M569" s="102" t="e">
        <f>+J569/L569</f>
        <v>#DIV/0!</v>
      </c>
    </row>
    <row r="570" spans="7:13">
      <c r="J570" s="46">
        <f>+B514</f>
        <v>7980</v>
      </c>
    </row>
  </sheetData>
  <mergeCells count="558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M529:N529"/>
    <mergeCell ref="O529:P529"/>
    <mergeCell ref="Q529:R529"/>
    <mergeCell ref="S529:T529"/>
    <mergeCell ref="A530:B530"/>
    <mergeCell ref="C530:D530"/>
    <mergeCell ref="E530:F530"/>
    <mergeCell ref="I530:J530"/>
    <mergeCell ref="K530:L530"/>
    <mergeCell ref="M530:N530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A527:B527"/>
    <mergeCell ref="C527:D527"/>
    <mergeCell ref="E527:F527"/>
    <mergeCell ref="I527:J527"/>
    <mergeCell ref="K527:L527"/>
    <mergeCell ref="M527:N527"/>
    <mergeCell ref="O527:P527"/>
    <mergeCell ref="Q527:R527"/>
    <mergeCell ref="S527:T527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M523:N523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A523:B523"/>
    <mergeCell ref="C523:D523"/>
    <mergeCell ref="E523:F523"/>
    <mergeCell ref="G523:H530"/>
    <mergeCell ref="I523:J523"/>
    <mergeCell ref="K523:L523"/>
    <mergeCell ref="A528:B528"/>
    <mergeCell ref="C528:D528"/>
    <mergeCell ref="E528:F528"/>
    <mergeCell ref="I528:J528"/>
    <mergeCell ref="O524:P524"/>
    <mergeCell ref="Q524:R524"/>
    <mergeCell ref="S524:T524"/>
    <mergeCell ref="A525:B525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21:B521"/>
    <mergeCell ref="C521:D521"/>
    <mergeCell ref="E521:F521"/>
    <mergeCell ref="G521:H521"/>
    <mergeCell ref="I521:J521"/>
    <mergeCell ref="K521:L521"/>
    <mergeCell ref="M521:N521"/>
    <mergeCell ref="O521:P521"/>
    <mergeCell ref="G517:I517"/>
    <mergeCell ref="N517:R517"/>
    <mergeCell ref="A519:B519"/>
    <mergeCell ref="C519:D519"/>
    <mergeCell ref="E519:F519"/>
    <mergeCell ref="G519:H519"/>
    <mergeCell ref="I519:J519"/>
    <mergeCell ref="K519:L519"/>
    <mergeCell ref="M519:N519"/>
    <mergeCell ref="O519:P519"/>
    <mergeCell ref="C515:D515"/>
    <mergeCell ref="E515:F515"/>
    <mergeCell ref="G515:H515"/>
    <mergeCell ref="I515:J515"/>
    <mergeCell ref="K515:L515"/>
    <mergeCell ref="Z515:AA515"/>
    <mergeCell ref="C516:D516"/>
    <mergeCell ref="E516:F516"/>
    <mergeCell ref="G516:H516"/>
    <mergeCell ref="I516:J516"/>
    <mergeCell ref="K516:L516"/>
    <mergeCell ref="M516:N516"/>
    <mergeCell ref="P516:Q516"/>
    <mergeCell ref="R516:S516"/>
    <mergeCell ref="T516:U516"/>
    <mergeCell ref="M515:N515"/>
    <mergeCell ref="P515:Q515"/>
    <mergeCell ref="R515:S515"/>
    <mergeCell ref="T515:U515"/>
    <mergeCell ref="V515:W515"/>
    <mergeCell ref="X515:Y515"/>
    <mergeCell ref="V516:W516"/>
    <mergeCell ref="X516:Y516"/>
    <mergeCell ref="Z516:AA516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M514:N514"/>
    <mergeCell ref="P514:Q514"/>
    <mergeCell ref="R514:S514"/>
    <mergeCell ref="T514:U514"/>
    <mergeCell ref="V514:W514"/>
    <mergeCell ref="X514:Y514"/>
    <mergeCell ref="Z514:AA514"/>
    <mergeCell ref="C513:D513"/>
    <mergeCell ref="E513:F513"/>
    <mergeCell ref="G513:H513"/>
    <mergeCell ref="I513:J513"/>
    <mergeCell ref="K513:L513"/>
    <mergeCell ref="M513:N513"/>
    <mergeCell ref="P513:Q513"/>
    <mergeCell ref="R513:S513"/>
    <mergeCell ref="T513:U513"/>
    <mergeCell ref="V511:W511"/>
    <mergeCell ref="X511:Y511"/>
    <mergeCell ref="Z511:AA511"/>
    <mergeCell ref="C512:D512"/>
    <mergeCell ref="E512:F512"/>
    <mergeCell ref="G512:H512"/>
    <mergeCell ref="I512:J512"/>
    <mergeCell ref="K512:L512"/>
    <mergeCell ref="Z512:AA512"/>
    <mergeCell ref="M512:N512"/>
    <mergeCell ref="P512:Q512"/>
    <mergeCell ref="R512:S512"/>
    <mergeCell ref="T512:U512"/>
    <mergeCell ref="V512:W512"/>
    <mergeCell ref="X512:Y512"/>
    <mergeCell ref="C511:D511"/>
    <mergeCell ref="E511:F511"/>
    <mergeCell ref="G511:H511"/>
    <mergeCell ref="I511:J511"/>
    <mergeCell ref="K511:L511"/>
    <mergeCell ref="M511:N511"/>
    <mergeCell ref="P511:Q511"/>
    <mergeCell ref="R511:S511"/>
    <mergeCell ref="T511:U511"/>
    <mergeCell ref="C510:D510"/>
    <mergeCell ref="E510:F510"/>
    <mergeCell ref="G510:H510"/>
    <mergeCell ref="I510:J510"/>
    <mergeCell ref="K510:L510"/>
    <mergeCell ref="M510:N510"/>
    <mergeCell ref="P510:Q510"/>
    <mergeCell ref="V510:W510"/>
    <mergeCell ref="X510:Y510"/>
    <mergeCell ref="R508:S508"/>
    <mergeCell ref="T508:U508"/>
    <mergeCell ref="R509:S509"/>
    <mergeCell ref="T509:U509"/>
    <mergeCell ref="R510:S510"/>
    <mergeCell ref="T510:U510"/>
    <mergeCell ref="V509:W509"/>
    <mergeCell ref="X509:Y509"/>
    <mergeCell ref="Z509:AA509"/>
    <mergeCell ref="Z510:AA510"/>
    <mergeCell ref="A490:B490"/>
    <mergeCell ref="A506:B506"/>
    <mergeCell ref="A507:F507"/>
    <mergeCell ref="AL507:AR507"/>
    <mergeCell ref="AS507:BA507"/>
    <mergeCell ref="A508:A513"/>
    <mergeCell ref="C508:D508"/>
    <mergeCell ref="E508:F508"/>
    <mergeCell ref="G508:H508"/>
    <mergeCell ref="I508:J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P509:Q509"/>
    <mergeCell ref="K508:L508"/>
    <mergeCell ref="M508:N508"/>
    <mergeCell ref="O508:O516"/>
    <mergeCell ref="P508:Q508"/>
    <mergeCell ref="A370:B370"/>
    <mergeCell ref="A428:B428"/>
    <mergeCell ref="A463:B463"/>
    <mergeCell ref="A479:B479"/>
    <mergeCell ref="AJ346:AJ348"/>
    <mergeCell ref="AK346:AK348"/>
    <mergeCell ref="AL346:BA346"/>
    <mergeCell ref="O347:O348"/>
    <mergeCell ref="P347:P348"/>
    <mergeCell ref="Q347:Q348"/>
    <mergeCell ref="R347:R348"/>
    <mergeCell ref="S347:S348"/>
    <mergeCell ref="T347:T348"/>
    <mergeCell ref="U347:U348"/>
    <mergeCell ref="N346:N348"/>
    <mergeCell ref="O346:U346"/>
    <mergeCell ref="V346:V348"/>
    <mergeCell ref="W346:W348"/>
    <mergeCell ref="X346:AA346"/>
    <mergeCell ref="AI346:AI348"/>
    <mergeCell ref="X347:X348"/>
    <mergeCell ref="Y347:Y348"/>
    <mergeCell ref="Z347:Z348"/>
    <mergeCell ref="AA347:AA348"/>
    <mergeCell ref="G346:H347"/>
    <mergeCell ref="I346:I348"/>
    <mergeCell ref="J346:J348"/>
    <mergeCell ref="K346:K348"/>
    <mergeCell ref="L346:L348"/>
    <mergeCell ref="M346:M348"/>
    <mergeCell ref="V344:W344"/>
    <mergeCell ref="X344:Y344"/>
    <mergeCell ref="Z344:AA344"/>
    <mergeCell ref="A345:BA345"/>
    <mergeCell ref="A346:A348"/>
    <mergeCell ref="B346:B348"/>
    <mergeCell ref="C346:C348"/>
    <mergeCell ref="D346:D348"/>
    <mergeCell ref="E346:E348"/>
    <mergeCell ref="F346:F348"/>
    <mergeCell ref="AL347:AR347"/>
    <mergeCell ref="AS347:BA347"/>
    <mergeCell ref="C343:D343"/>
    <mergeCell ref="E343:F343"/>
    <mergeCell ref="G343:H343"/>
    <mergeCell ref="I343:J343"/>
    <mergeCell ref="K343:L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R344:S344"/>
    <mergeCell ref="T344:U344"/>
    <mergeCell ref="M343:N343"/>
    <mergeCell ref="P343:Q343"/>
    <mergeCell ref="R343:S343"/>
    <mergeCell ref="T343:U343"/>
    <mergeCell ref="V343:W343"/>
    <mergeCell ref="X343:Y343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R342:S342"/>
    <mergeCell ref="T342:U342"/>
    <mergeCell ref="V342:W342"/>
    <mergeCell ref="X342:Y342"/>
    <mergeCell ref="Z342:AA342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M340:N340"/>
    <mergeCell ref="P340:Q340"/>
    <mergeCell ref="R340:S340"/>
    <mergeCell ref="T340:U340"/>
    <mergeCell ref="V340:W340"/>
    <mergeCell ref="X340:Y340"/>
    <mergeCell ref="C339:D339"/>
    <mergeCell ref="E339:F339"/>
    <mergeCell ref="G339:H339"/>
    <mergeCell ref="I339:J339"/>
    <mergeCell ref="K339:L339"/>
    <mergeCell ref="M339:N339"/>
    <mergeCell ref="P339:Q339"/>
    <mergeCell ref="R339:S339"/>
    <mergeCell ref="T339:U339"/>
    <mergeCell ref="C338:D338"/>
    <mergeCell ref="E338:F338"/>
    <mergeCell ref="G338:H338"/>
    <mergeCell ref="I338:J338"/>
    <mergeCell ref="K338:L338"/>
    <mergeCell ref="M338:N338"/>
    <mergeCell ref="P338:Q338"/>
    <mergeCell ref="V338:W338"/>
    <mergeCell ref="X338:Y338"/>
    <mergeCell ref="R336:S336"/>
    <mergeCell ref="T336:U336"/>
    <mergeCell ref="R337:S337"/>
    <mergeCell ref="T337:U337"/>
    <mergeCell ref="R338:S338"/>
    <mergeCell ref="T338:U338"/>
    <mergeCell ref="V337:W337"/>
    <mergeCell ref="X337:Y337"/>
    <mergeCell ref="Z337:AA337"/>
    <mergeCell ref="Z338:AA338"/>
    <mergeCell ref="A319:B319"/>
    <mergeCell ref="A334:B334"/>
    <mergeCell ref="A335:F335"/>
    <mergeCell ref="AL335:AR335"/>
    <mergeCell ref="AS335:BA335"/>
    <mergeCell ref="A336:A341"/>
    <mergeCell ref="C336:D336"/>
    <mergeCell ref="E336:F336"/>
    <mergeCell ref="G336:H336"/>
    <mergeCell ref="I336:J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K336:L336"/>
    <mergeCell ref="M336:N336"/>
    <mergeCell ref="O336:O344"/>
    <mergeCell ref="P336:Q336"/>
    <mergeCell ref="AL176:AR176"/>
    <mergeCell ref="AS176:BA176"/>
    <mergeCell ref="A199:B199"/>
    <mergeCell ref="A257:B257"/>
    <mergeCell ref="A292:B292"/>
    <mergeCell ref="A308:B308"/>
    <mergeCell ref="AJ175:AJ177"/>
    <mergeCell ref="AK175:AK177"/>
    <mergeCell ref="AL175:BA175"/>
    <mergeCell ref="O176:O177"/>
    <mergeCell ref="P176:P177"/>
    <mergeCell ref="Q176:Q177"/>
    <mergeCell ref="R176:R177"/>
    <mergeCell ref="S176:S177"/>
    <mergeCell ref="T176:T177"/>
    <mergeCell ref="U176:U177"/>
    <mergeCell ref="N175:N177"/>
    <mergeCell ref="O175:U175"/>
    <mergeCell ref="V175:V177"/>
    <mergeCell ref="W175:W177"/>
    <mergeCell ref="X175:AA175"/>
    <mergeCell ref="AI175:AI177"/>
    <mergeCell ref="X176:X177"/>
    <mergeCell ref="Y176:Y177"/>
    <mergeCell ref="Z176:Z177"/>
    <mergeCell ref="AA176:AA177"/>
    <mergeCell ref="G175:H176"/>
    <mergeCell ref="I175:I177"/>
    <mergeCell ref="J175:J177"/>
    <mergeCell ref="K175:K177"/>
    <mergeCell ref="L175:L177"/>
    <mergeCell ref="M175:M177"/>
    <mergeCell ref="A175:A177"/>
    <mergeCell ref="B175:B177"/>
    <mergeCell ref="C175:C177"/>
    <mergeCell ref="D175:D177"/>
    <mergeCell ref="E175:E177"/>
    <mergeCell ref="F175:F177"/>
    <mergeCell ref="R173:S173"/>
    <mergeCell ref="T173:U173"/>
    <mergeCell ref="V173:W173"/>
    <mergeCell ref="X173:Y173"/>
    <mergeCell ref="Z173:AA173"/>
    <mergeCell ref="A174:BA174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V170:W170"/>
    <mergeCell ref="X170:Y170"/>
    <mergeCell ref="Z170:AA170"/>
    <mergeCell ref="C171:D171"/>
    <mergeCell ref="E171:F171"/>
    <mergeCell ref="G171:H171"/>
    <mergeCell ref="I171:J171"/>
    <mergeCell ref="K171:L171"/>
    <mergeCell ref="Z171:AA171"/>
    <mergeCell ref="M171:N171"/>
    <mergeCell ref="P171:Q171"/>
    <mergeCell ref="R171:S171"/>
    <mergeCell ref="T171:U171"/>
    <mergeCell ref="V171:W171"/>
    <mergeCell ref="X171:Y171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Z169:AA169"/>
    <mergeCell ref="Z166:AA166"/>
    <mergeCell ref="C167:D167"/>
    <mergeCell ref="E167:F167"/>
    <mergeCell ref="G167:H167"/>
    <mergeCell ref="I167:J167"/>
    <mergeCell ref="K167:L167"/>
    <mergeCell ref="R167:S167"/>
    <mergeCell ref="T167:U167"/>
    <mergeCell ref="V167:W167"/>
    <mergeCell ref="X167:Y167"/>
    <mergeCell ref="Z167:AA167"/>
    <mergeCell ref="P165:Q165"/>
    <mergeCell ref="M166:N166"/>
    <mergeCell ref="P166:Q166"/>
    <mergeCell ref="M167:N167"/>
    <mergeCell ref="P167:Q167"/>
    <mergeCell ref="R166:S166"/>
    <mergeCell ref="T166:U166"/>
    <mergeCell ref="V166:W166"/>
    <mergeCell ref="X166:Y166"/>
    <mergeCell ref="A137:B137"/>
    <mergeCell ref="A148:B148"/>
    <mergeCell ref="A163:B163"/>
    <mergeCell ref="A164:F164"/>
    <mergeCell ref="A165:A170"/>
    <mergeCell ref="C165:D165"/>
    <mergeCell ref="E165:F165"/>
    <mergeCell ref="Y5:Y6"/>
    <mergeCell ref="Z5:Z6"/>
    <mergeCell ref="R165:S165"/>
    <mergeCell ref="T165:U165"/>
    <mergeCell ref="V165:W165"/>
    <mergeCell ref="X165:Y165"/>
    <mergeCell ref="Z165:AA165"/>
    <mergeCell ref="C166:D166"/>
    <mergeCell ref="E166:F166"/>
    <mergeCell ref="G166:H166"/>
    <mergeCell ref="I166:J166"/>
    <mergeCell ref="K166:L166"/>
    <mergeCell ref="G165:H165"/>
    <mergeCell ref="I165:J165"/>
    <mergeCell ref="K165:L165"/>
    <mergeCell ref="M165:N165"/>
    <mergeCell ref="O165:O173"/>
    <mergeCell ref="A28:B28"/>
    <mergeCell ref="A86:B86"/>
    <mergeCell ref="A121:B121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32"/>
  <sheetViews>
    <sheetView topLeftCell="A73" zoomScaleNormal="100" workbookViewId="0">
      <selection activeCell="E487" sqref="E487"/>
    </sheetView>
  </sheetViews>
  <sheetFormatPr defaultRowHeight="14.25"/>
  <cols>
    <col min="1" max="1" width="12.875" style="274" customWidth="1"/>
    <col min="2" max="2" width="26.75" style="69" customWidth="1"/>
    <col min="3" max="3" width="9.375" customWidth="1"/>
    <col min="5" max="5" width="13.25" hidden="1" customWidth="1"/>
    <col min="6" max="6" width="14" hidden="1" customWidth="1"/>
    <col min="7" max="7" width="14" customWidth="1"/>
    <col min="8" max="8" width="12.125" hidden="1" customWidth="1"/>
    <col min="9" max="9" width="9.75" hidden="1" customWidth="1"/>
    <col min="10" max="10" width="11.125" style="46" hidden="1" customWidth="1"/>
    <col min="11" max="11" width="10.5" style="50" hidden="1" customWidth="1"/>
    <col min="12" max="12" width="9.125" hidden="1" customWidth="1"/>
    <col min="13" max="13" width="9.5" hidden="1" customWidth="1"/>
    <col min="14" max="14" width="11.125" hidden="1" customWidth="1"/>
    <col min="15" max="17" width="9.125" hidden="1" customWidth="1"/>
    <col min="18" max="18" width="13.25" hidden="1" customWidth="1"/>
    <col min="19" max="19" width="10.5" hidden="1" customWidth="1"/>
    <col min="20" max="20" width="11.625" hidden="1" customWidth="1"/>
    <col min="21" max="21" width="9.125" hidden="1" customWidth="1"/>
    <col min="22" max="22" width="9.875" style="214" hidden="1" customWidth="1"/>
    <col min="23" max="27" width="9.125" hidden="1" customWidth="1"/>
    <col min="28" max="28" width="9" style="252"/>
    <col min="29" max="29" width="10.5" style="272" bestFit="1" customWidth="1"/>
    <col min="30" max="30" width="9" style="59"/>
    <col min="35" max="53" width="9" style="59"/>
  </cols>
  <sheetData>
    <row r="1" spans="1:106" ht="17.25">
      <c r="A1" s="23" t="s">
        <v>22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203"/>
      <c r="W1" s="14"/>
      <c r="X1" s="14"/>
      <c r="Y1" s="14"/>
      <c r="Z1" s="14"/>
      <c r="AA1" s="14"/>
      <c r="AB1" s="14"/>
      <c r="AC1" s="266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725" t="s">
        <v>23</v>
      </c>
      <c r="B2" s="725"/>
      <c r="C2" s="725"/>
      <c r="D2" s="725"/>
      <c r="E2" s="725"/>
      <c r="F2" s="725"/>
      <c r="G2" s="725"/>
      <c r="H2" s="725"/>
      <c r="I2" s="725"/>
      <c r="J2" s="725"/>
      <c r="K2" s="725"/>
      <c r="L2" s="725"/>
      <c r="M2" s="725"/>
      <c r="N2" s="725"/>
      <c r="O2" s="725"/>
      <c r="P2" s="725"/>
      <c r="Q2" s="725"/>
      <c r="R2" s="725"/>
      <c r="S2" s="725"/>
      <c r="T2" s="725"/>
      <c r="U2" s="725"/>
      <c r="V2" s="725"/>
      <c r="W2" s="725"/>
      <c r="X2" s="725"/>
      <c r="Y2" s="725"/>
      <c r="Z2" s="725"/>
      <c r="AA2" s="725"/>
      <c r="AB2" s="357"/>
      <c r="AC2" s="267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314" t="s">
        <v>24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204"/>
      <c r="W3" s="7"/>
      <c r="X3" s="7"/>
      <c r="Y3" s="7"/>
      <c r="Z3" s="7"/>
      <c r="AA3" s="7"/>
      <c r="AB3" s="11"/>
      <c r="AC3" s="268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726" t="s">
        <v>12</v>
      </c>
      <c r="B4" s="705" t="s">
        <v>25</v>
      </c>
      <c r="C4" s="705" t="s">
        <v>26</v>
      </c>
      <c r="D4" s="705" t="s">
        <v>27</v>
      </c>
      <c r="E4" s="717" t="s">
        <v>28</v>
      </c>
      <c r="F4" s="720" t="s">
        <v>29</v>
      </c>
      <c r="G4" s="684" t="s">
        <v>30</v>
      </c>
      <c r="H4" s="684"/>
      <c r="I4" s="705" t="s">
        <v>31</v>
      </c>
      <c r="J4" s="708" t="s">
        <v>32</v>
      </c>
      <c r="K4" s="711" t="s">
        <v>33</v>
      </c>
      <c r="L4" s="705" t="s">
        <v>34</v>
      </c>
      <c r="M4" s="714" t="s">
        <v>35</v>
      </c>
      <c r="N4" s="702" t="s">
        <v>36</v>
      </c>
      <c r="O4" s="684" t="s">
        <v>37</v>
      </c>
      <c r="P4" s="684"/>
      <c r="Q4" s="684"/>
      <c r="R4" s="684"/>
      <c r="S4" s="684"/>
      <c r="T4" s="684"/>
      <c r="U4" s="684"/>
      <c r="V4" s="703" t="s">
        <v>38</v>
      </c>
      <c r="W4" s="702" t="s">
        <v>39</v>
      </c>
      <c r="X4" s="684" t="s">
        <v>40</v>
      </c>
      <c r="Y4" s="684"/>
      <c r="Z4" s="684"/>
      <c r="AA4" s="684"/>
      <c r="AB4" s="729" t="s">
        <v>434</v>
      </c>
      <c r="AC4" s="731" t="s">
        <v>435</v>
      </c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727"/>
      <c r="B5" s="706"/>
      <c r="C5" s="706"/>
      <c r="D5" s="706"/>
      <c r="E5" s="718"/>
      <c r="F5" s="721"/>
      <c r="G5" s="684"/>
      <c r="H5" s="684"/>
      <c r="I5" s="706"/>
      <c r="J5" s="709"/>
      <c r="K5" s="712"/>
      <c r="L5" s="706"/>
      <c r="M5" s="715"/>
      <c r="N5" s="702"/>
      <c r="O5" s="684" t="s">
        <v>41</v>
      </c>
      <c r="P5" s="684" t="s">
        <v>42</v>
      </c>
      <c r="Q5" s="684" t="s">
        <v>43</v>
      </c>
      <c r="R5" s="701" t="s">
        <v>44</v>
      </c>
      <c r="S5" s="654" t="s">
        <v>45</v>
      </c>
      <c r="T5" s="684" t="s">
        <v>46</v>
      </c>
      <c r="U5" s="684" t="s">
        <v>47</v>
      </c>
      <c r="V5" s="703"/>
      <c r="W5" s="702"/>
      <c r="X5" s="684" t="s">
        <v>13</v>
      </c>
      <c r="Y5" s="684" t="s">
        <v>48</v>
      </c>
      <c r="Z5" s="684" t="s">
        <v>49</v>
      </c>
      <c r="AA5" s="684" t="s">
        <v>47</v>
      </c>
      <c r="AB5" s="730"/>
      <c r="AC5" s="73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 ht="15.75">
      <c r="A6" s="728"/>
      <c r="B6" s="707"/>
      <c r="C6" s="707"/>
      <c r="D6" s="707"/>
      <c r="E6" s="719"/>
      <c r="F6" s="722"/>
      <c r="G6" s="242" t="s">
        <v>50</v>
      </c>
      <c r="H6" s="242" t="s">
        <v>51</v>
      </c>
      <c r="I6" s="707"/>
      <c r="J6" s="710"/>
      <c r="K6" s="713"/>
      <c r="L6" s="707"/>
      <c r="M6" s="715"/>
      <c r="N6" s="702"/>
      <c r="O6" s="684"/>
      <c r="P6" s="684"/>
      <c r="Q6" s="684"/>
      <c r="R6" s="701"/>
      <c r="S6" s="654"/>
      <c r="T6" s="684"/>
      <c r="U6" s="684"/>
      <c r="V6" s="703"/>
      <c r="W6" s="702"/>
      <c r="X6" s="684"/>
      <c r="Y6" s="684"/>
      <c r="Z6" s="684"/>
      <c r="AA6" s="684"/>
      <c r="AB6" s="730"/>
      <c r="AC6" s="73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 ht="15.75">
      <c r="A7" s="315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93">
        <f>SUM('1:2'!G7)</f>
        <v>0</v>
      </c>
      <c r="H7" s="95">
        <f t="shared" ref="H7:H24" si="0">D7*G7</f>
        <v>0</v>
      </c>
      <c r="I7" s="93">
        <f>SUM('1:2'!I7)</f>
        <v>0</v>
      </c>
      <c r="J7" s="31" t="str">
        <f>IF(ISERROR(G7/I7),"",G7/I7)</f>
        <v/>
      </c>
      <c r="K7" s="96">
        <f t="array" ref="K7">IF(ISERROR(G7/L7),"",G7/L7)</f>
        <v>0</v>
      </c>
      <c r="L7" s="84">
        <v>16</v>
      </c>
      <c r="M7" s="97">
        <f t="shared" ref="M7:M16" si="1">IF(ISERROR(I7-K7),"",I7-K7)</f>
        <v>0</v>
      </c>
      <c r="N7" s="93">
        <f>SUM('1:2'!N7)</f>
        <v>0</v>
      </c>
      <c r="O7" s="93">
        <f>SUM('1:2'!O7)</f>
        <v>0</v>
      </c>
      <c r="P7" s="93">
        <f>SUM('1:2'!P7)</f>
        <v>0</v>
      </c>
      <c r="Q7" s="93">
        <f>SUM('1:2'!Q7)</f>
        <v>0</v>
      </c>
      <c r="R7" s="93">
        <f>SUM('1:2'!R7)</f>
        <v>0</v>
      </c>
      <c r="S7" s="93">
        <f>SUM('1:2'!S7)</f>
        <v>0</v>
      </c>
      <c r="T7" s="93">
        <f>SUM('1:2'!T7)</f>
        <v>0</v>
      </c>
      <c r="U7" s="93">
        <f>SUM('1:2'!U7)</f>
        <v>0</v>
      </c>
      <c r="V7" s="205">
        <f t="shared" ref="V7:V27" si="2">SUM(X7:AA7)</f>
        <v>0</v>
      </c>
      <c r="W7" s="33" t="str">
        <f t="shared" ref="W7:W16" si="3">IF(ISERROR(V7/G7),"",V7/G7)</f>
        <v/>
      </c>
      <c r="X7" s="93">
        <f>SUM('1:2'!X7)</f>
        <v>0</v>
      </c>
      <c r="Y7" s="93">
        <f>SUM('1:2'!Y7)</f>
        <v>0</v>
      </c>
      <c r="Z7" s="93">
        <f>SUM('1:2'!Z7)</f>
        <v>0</v>
      </c>
      <c r="AA7" s="93">
        <f>SUM('1:2'!AA7)</f>
        <v>0</v>
      </c>
      <c r="AB7" s="371">
        <v>0.65</v>
      </c>
      <c r="AC7" s="269">
        <f>AB7*G7</f>
        <v>0</v>
      </c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 ht="17.25">
      <c r="A8" s="316"/>
      <c r="B8" s="62" t="s">
        <v>54</v>
      </c>
      <c r="C8" s="16" t="s">
        <v>53</v>
      </c>
      <c r="D8" s="17">
        <v>5.03</v>
      </c>
      <c r="E8" s="17"/>
      <c r="F8" s="6"/>
      <c r="G8" s="93">
        <f>SUM('1:2'!G8)</f>
        <v>0</v>
      </c>
      <c r="H8" s="95">
        <f t="shared" si="0"/>
        <v>0</v>
      </c>
      <c r="I8" s="93">
        <f>SUM('1:2'!I8)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87">
        <v>19</v>
      </c>
      <c r="M8" s="36">
        <f t="shared" si="1"/>
        <v>0</v>
      </c>
      <c r="N8" s="93">
        <f>SUM('1:2'!N8)</f>
        <v>0</v>
      </c>
      <c r="O8" s="93">
        <f>SUM('1:2'!O8)</f>
        <v>0</v>
      </c>
      <c r="P8" s="93">
        <f>SUM('1:2'!P8)</f>
        <v>0</v>
      </c>
      <c r="Q8" s="93">
        <f>SUM('1:2'!Q8)</f>
        <v>0</v>
      </c>
      <c r="R8" s="93">
        <f>SUM('1:2'!R8)</f>
        <v>0</v>
      </c>
      <c r="S8" s="93">
        <f>SUM('1:2'!S8)</f>
        <v>0</v>
      </c>
      <c r="T8" s="93">
        <f>SUM('1:2'!T8)</f>
        <v>0</v>
      </c>
      <c r="U8" s="93">
        <f>SUM('1:2'!U8)</f>
        <v>0</v>
      </c>
      <c r="V8" s="205">
        <f t="shared" si="2"/>
        <v>0</v>
      </c>
      <c r="W8" s="33" t="str">
        <f t="shared" si="3"/>
        <v/>
      </c>
      <c r="X8" s="93">
        <f>SUM('1:2'!X8)</f>
        <v>0</v>
      </c>
      <c r="Y8" s="93">
        <f>SUM('1:2'!Y8)</f>
        <v>0</v>
      </c>
      <c r="Z8" s="93">
        <f>SUM('1:2'!Z8)</f>
        <v>0</v>
      </c>
      <c r="AA8" s="93">
        <f>SUM('1:2'!AA8)</f>
        <v>0</v>
      </c>
      <c r="AB8" s="358">
        <v>0.48</v>
      </c>
      <c r="AC8" s="269">
        <f t="shared" ref="AC8:AC71" si="4">AB8*G8</f>
        <v>0</v>
      </c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 ht="17.25">
      <c r="A9" s="317"/>
      <c r="B9" s="62" t="s">
        <v>54</v>
      </c>
      <c r="C9" s="16" t="s">
        <v>55</v>
      </c>
      <c r="D9" s="17">
        <v>5.03</v>
      </c>
      <c r="E9" s="17"/>
      <c r="F9" s="6"/>
      <c r="G9" s="93">
        <f>SUM('1:2'!G9)</f>
        <v>0</v>
      </c>
      <c r="H9" s="95">
        <f t="shared" si="0"/>
        <v>0</v>
      </c>
      <c r="I9" s="93">
        <f>SUM('1:2'!I9)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87">
        <v>19</v>
      </c>
      <c r="M9" s="36">
        <f t="shared" si="1"/>
        <v>0</v>
      </c>
      <c r="N9" s="93">
        <f>SUM('1:2'!N9)</f>
        <v>0</v>
      </c>
      <c r="O9" s="93">
        <f>SUM('1:2'!O9)</f>
        <v>0</v>
      </c>
      <c r="P9" s="93">
        <f>SUM('1:2'!P9)</f>
        <v>0</v>
      </c>
      <c r="Q9" s="93">
        <f>SUM('1:2'!Q9)</f>
        <v>0</v>
      </c>
      <c r="R9" s="93">
        <f>SUM('1:2'!R9)</f>
        <v>0</v>
      </c>
      <c r="S9" s="93">
        <f>SUM('1:2'!S9)</f>
        <v>0</v>
      </c>
      <c r="T9" s="93">
        <f>SUM('1:2'!T9)</f>
        <v>0</v>
      </c>
      <c r="U9" s="93">
        <f>SUM('1:2'!U9)</f>
        <v>0</v>
      </c>
      <c r="V9" s="205">
        <f t="shared" si="2"/>
        <v>0</v>
      </c>
      <c r="W9" s="33" t="str">
        <f t="shared" si="3"/>
        <v/>
      </c>
      <c r="X9" s="93">
        <f>SUM('1:2'!X9)</f>
        <v>0</v>
      </c>
      <c r="Y9" s="93">
        <f>SUM('1:2'!Y9)</f>
        <v>0</v>
      </c>
      <c r="Z9" s="93">
        <f>SUM('1:2'!Z9)</f>
        <v>0</v>
      </c>
      <c r="AA9" s="93">
        <f>SUM('1:2'!AA9)</f>
        <v>0</v>
      </c>
      <c r="AB9" s="358">
        <v>0.43</v>
      </c>
      <c r="AC9" s="269">
        <f t="shared" si="4"/>
        <v>0</v>
      </c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 ht="15.75">
      <c r="A10" s="315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93">
        <f>SUM('1:2'!G10)</f>
        <v>504</v>
      </c>
      <c r="H10" s="95">
        <f t="shared" si="0"/>
        <v>2535.1200000000003</v>
      </c>
      <c r="I10" s="93">
        <f>SUM('1:2'!I10)</f>
        <v>36</v>
      </c>
      <c r="J10" s="31">
        <f t="array" ref="J10">IF(ISERROR(G10/I10),"",G10/I10)</f>
        <v>14</v>
      </c>
      <c r="K10" s="35">
        <f t="array" ref="K10">IF(ISERROR(G10/L10),"",G10/L10)</f>
        <v>26.526315789473685</v>
      </c>
      <c r="L10" s="87">
        <v>19</v>
      </c>
      <c r="M10" s="36">
        <f t="shared" si="1"/>
        <v>9.473684210526315</v>
      </c>
      <c r="N10" s="93">
        <f>SUM('1:2'!N10)</f>
        <v>0</v>
      </c>
      <c r="O10" s="93">
        <f>SUM('1:2'!O10)</f>
        <v>0</v>
      </c>
      <c r="P10" s="93">
        <f>SUM('1:2'!P10)</f>
        <v>0</v>
      </c>
      <c r="Q10" s="93">
        <f>SUM('1:2'!Q10)</f>
        <v>0</v>
      </c>
      <c r="R10" s="93">
        <f>SUM('1:2'!R10)</f>
        <v>0</v>
      </c>
      <c r="S10" s="93">
        <f>SUM('1:2'!S10)</f>
        <v>0</v>
      </c>
      <c r="T10" s="93">
        <f>SUM('1:2'!T10)</f>
        <v>0</v>
      </c>
      <c r="U10" s="93">
        <f>SUM('1:2'!U10)</f>
        <v>0</v>
      </c>
      <c r="V10" s="205">
        <f t="shared" si="2"/>
        <v>0</v>
      </c>
      <c r="W10" s="33">
        <f t="shared" si="3"/>
        <v>0</v>
      </c>
      <c r="X10" s="93">
        <f>SUM('1:2'!X10)</f>
        <v>0</v>
      </c>
      <c r="Y10" s="93">
        <f>SUM('1:2'!Y10)</f>
        <v>0</v>
      </c>
      <c r="Z10" s="93">
        <f>SUM('1:2'!Z10)</f>
        <v>0</v>
      </c>
      <c r="AA10" s="93">
        <f>SUM('1:2'!AA10)</f>
        <v>0</v>
      </c>
      <c r="AB10" s="358">
        <v>0.55000000000000004</v>
      </c>
      <c r="AC10" s="269">
        <f t="shared" si="4"/>
        <v>277.20000000000005</v>
      </c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 ht="15.75">
      <c r="A11" s="315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93">
        <f>SUM('1:2'!G11)</f>
        <v>258</v>
      </c>
      <c r="H11" s="95">
        <f t="shared" si="0"/>
        <v>1297.74</v>
      </c>
      <c r="I11" s="93">
        <f>SUM('1:2'!I11)</f>
        <v>24</v>
      </c>
      <c r="J11" s="31">
        <f t="array" ref="J11">IF(ISERROR(G11/I11),"",G11/I11)</f>
        <v>10.75</v>
      </c>
      <c r="K11" s="35">
        <f t="array" ref="K11">IF(ISERROR(G11/L11),"",G11/L11)</f>
        <v>12.9</v>
      </c>
      <c r="L11" s="87">
        <v>20</v>
      </c>
      <c r="M11" s="36">
        <f t="shared" si="1"/>
        <v>11.1</v>
      </c>
      <c r="N11" s="93">
        <f>SUM('1:2'!N11)</f>
        <v>0</v>
      </c>
      <c r="O11" s="93">
        <f>SUM('1:2'!O11)</f>
        <v>0</v>
      </c>
      <c r="P11" s="93">
        <f>SUM('1:2'!P11)</f>
        <v>0</v>
      </c>
      <c r="Q11" s="93">
        <f>SUM('1:2'!Q11)</f>
        <v>0</v>
      </c>
      <c r="R11" s="93">
        <f>SUM('1:2'!R11)</f>
        <v>0</v>
      </c>
      <c r="S11" s="93">
        <f>SUM('1:2'!S11)</f>
        <v>0</v>
      </c>
      <c r="T11" s="93">
        <f>SUM('1:2'!T11)</f>
        <v>0</v>
      </c>
      <c r="U11" s="93">
        <f>SUM('1:2'!U11)</f>
        <v>0</v>
      </c>
      <c r="V11" s="205">
        <f t="shared" si="2"/>
        <v>0</v>
      </c>
      <c r="W11" s="33">
        <f t="shared" si="3"/>
        <v>0</v>
      </c>
      <c r="X11" s="93">
        <f>SUM('1:2'!X11)</f>
        <v>0</v>
      </c>
      <c r="Y11" s="93">
        <f>SUM('1:2'!Y11)</f>
        <v>0</v>
      </c>
      <c r="Z11" s="93">
        <f>SUM('1:2'!Z11)</f>
        <v>0</v>
      </c>
      <c r="AA11" s="93">
        <f>SUM('1:2'!AA11)</f>
        <v>0</v>
      </c>
      <c r="AB11" s="358">
        <v>0.52</v>
      </c>
      <c r="AC11" s="269">
        <f t="shared" si="4"/>
        <v>134.16</v>
      </c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 ht="15.75">
      <c r="A12" s="315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93">
        <f>SUM('1:2'!G12)</f>
        <v>0</v>
      </c>
      <c r="H12" s="95">
        <f t="shared" si="0"/>
        <v>0</v>
      </c>
      <c r="I12" s="93">
        <f>SUM('1:2'!I12)</f>
        <v>0</v>
      </c>
      <c r="J12" s="31" t="str">
        <f t="array" ref="J12">IF(ISERROR(G12/I12),"",G12/I12)</f>
        <v/>
      </c>
      <c r="K12" s="35">
        <f t="array" ref="K12">IF(ISERROR(G12/L12),"",G12/L12)</f>
        <v>0</v>
      </c>
      <c r="L12" s="87">
        <v>19</v>
      </c>
      <c r="M12" s="36">
        <f t="shared" si="1"/>
        <v>0</v>
      </c>
      <c r="N12" s="93">
        <f>SUM('1:2'!N12)</f>
        <v>0</v>
      </c>
      <c r="O12" s="93">
        <f>SUM('1:2'!O12)</f>
        <v>0</v>
      </c>
      <c r="P12" s="93">
        <f>SUM('1:2'!P12)</f>
        <v>0</v>
      </c>
      <c r="Q12" s="93">
        <f>SUM('1:2'!Q12)</f>
        <v>0</v>
      </c>
      <c r="R12" s="93">
        <f>SUM('1:2'!R12)</f>
        <v>0</v>
      </c>
      <c r="S12" s="93">
        <f>SUM('1:2'!S12)</f>
        <v>0</v>
      </c>
      <c r="T12" s="93">
        <f>SUM('1:2'!T12)</f>
        <v>0</v>
      </c>
      <c r="U12" s="93">
        <f>SUM('1:2'!U12)</f>
        <v>0</v>
      </c>
      <c r="V12" s="205">
        <f t="shared" si="2"/>
        <v>0</v>
      </c>
      <c r="W12" s="33" t="str">
        <f t="shared" si="3"/>
        <v/>
      </c>
      <c r="X12" s="93">
        <f>SUM('1:2'!X12)</f>
        <v>0</v>
      </c>
      <c r="Y12" s="93">
        <f>SUM('1:2'!Y12)</f>
        <v>0</v>
      </c>
      <c r="Z12" s="93">
        <f>SUM('1:2'!Z12)</f>
        <v>0</v>
      </c>
      <c r="AA12" s="93">
        <f>SUM('1:2'!AA12)</f>
        <v>0</v>
      </c>
      <c r="AB12" s="358">
        <v>0.55000000000000004</v>
      </c>
      <c r="AC12" s="269">
        <f t="shared" si="4"/>
        <v>0</v>
      </c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 ht="15.75">
      <c r="A13" s="332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93">
        <f>SUM('1:2'!G13)</f>
        <v>0</v>
      </c>
      <c r="H13" s="95">
        <f t="shared" si="0"/>
        <v>0</v>
      </c>
      <c r="I13" s="93">
        <f>SUM('1:2'!I13)</f>
        <v>0</v>
      </c>
      <c r="J13" s="31" t="str">
        <f t="array" ref="J13">IF(ISERROR(G13/I13),"",G13/I13)</f>
        <v/>
      </c>
      <c r="K13" s="35">
        <f t="array" ref="K13">IF(ISERROR(G13/L13),"",G13/L13)</f>
        <v>0</v>
      </c>
      <c r="L13" s="87">
        <v>3</v>
      </c>
      <c r="M13" s="36">
        <f t="shared" si="1"/>
        <v>0</v>
      </c>
      <c r="N13" s="93">
        <f>SUM('1:2'!N13)</f>
        <v>0</v>
      </c>
      <c r="O13" s="93">
        <f>SUM('1:2'!O13)</f>
        <v>0</v>
      </c>
      <c r="P13" s="93">
        <f>SUM('1:2'!P13)</f>
        <v>0</v>
      </c>
      <c r="Q13" s="93">
        <f>SUM('1:2'!Q13)</f>
        <v>0</v>
      </c>
      <c r="R13" s="93">
        <f>SUM('1:2'!R13)</f>
        <v>0</v>
      </c>
      <c r="S13" s="93">
        <f>SUM('1:2'!S13)</f>
        <v>0</v>
      </c>
      <c r="T13" s="93">
        <f>SUM('1:2'!T13)</f>
        <v>0</v>
      </c>
      <c r="U13" s="93">
        <f>SUM('1:2'!U13)</f>
        <v>0</v>
      </c>
      <c r="V13" s="205">
        <f t="shared" si="2"/>
        <v>0</v>
      </c>
      <c r="W13" s="33" t="str">
        <f t="shared" si="3"/>
        <v/>
      </c>
      <c r="X13" s="93">
        <f>SUM('1:2'!X13)</f>
        <v>0</v>
      </c>
      <c r="Y13" s="93">
        <f>SUM('1:2'!Y13)</f>
        <v>0</v>
      </c>
      <c r="Z13" s="93">
        <f>SUM('1:2'!Z13)</f>
        <v>0</v>
      </c>
      <c r="AA13" s="93">
        <f>SUM('1:2'!AA13)</f>
        <v>0</v>
      </c>
      <c r="AB13" s="358">
        <v>0.45</v>
      </c>
      <c r="AC13" s="269">
        <f t="shared" si="4"/>
        <v>0</v>
      </c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 ht="15.75">
      <c r="A14" s="302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93">
        <f>SUM('1:2'!G14)</f>
        <v>0</v>
      </c>
      <c r="H14" s="95">
        <f t="shared" si="0"/>
        <v>0</v>
      </c>
      <c r="I14" s="93">
        <f>SUM('1:2'!I14)</f>
        <v>0</v>
      </c>
      <c r="J14" s="31" t="str">
        <f t="array" ref="J14">IF(ISERROR(G14/I14),"",G14/I14)</f>
        <v/>
      </c>
      <c r="K14" s="35">
        <f t="array" ref="K14">IF(ISERROR(G14/L14),"",G14/L14)</f>
        <v>0</v>
      </c>
      <c r="L14" s="87">
        <v>3</v>
      </c>
      <c r="M14" s="36">
        <f t="shared" si="1"/>
        <v>0</v>
      </c>
      <c r="N14" s="93">
        <f>SUM('1:2'!N14)</f>
        <v>0</v>
      </c>
      <c r="O14" s="93">
        <f>SUM('1:2'!O14)</f>
        <v>0</v>
      </c>
      <c r="P14" s="93">
        <f>SUM('1:2'!P14)</f>
        <v>0</v>
      </c>
      <c r="Q14" s="93">
        <f>SUM('1:2'!Q14)</f>
        <v>0</v>
      </c>
      <c r="R14" s="93">
        <f>SUM('1:2'!R14)</f>
        <v>0</v>
      </c>
      <c r="S14" s="93">
        <f>SUM('1:2'!S14)</f>
        <v>0</v>
      </c>
      <c r="T14" s="93">
        <f>SUM('1:2'!T14)</f>
        <v>0</v>
      </c>
      <c r="U14" s="93">
        <f>SUM('1:2'!U14)</f>
        <v>0</v>
      </c>
      <c r="V14" s="205">
        <f t="shared" si="2"/>
        <v>0</v>
      </c>
      <c r="W14" s="33" t="str">
        <f t="shared" si="3"/>
        <v/>
      </c>
      <c r="X14" s="93">
        <f>SUM('1:2'!X14)</f>
        <v>0</v>
      </c>
      <c r="Y14" s="93">
        <f>SUM('1:2'!Y14)</f>
        <v>0</v>
      </c>
      <c r="Z14" s="93">
        <f>SUM('1:2'!Z14)</f>
        <v>0</v>
      </c>
      <c r="AA14" s="93">
        <f>SUM('1:2'!AA14)</f>
        <v>0</v>
      </c>
      <c r="AB14" s="358">
        <v>0.45</v>
      </c>
      <c r="AC14" s="269">
        <f t="shared" si="4"/>
        <v>0</v>
      </c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 ht="17.25">
      <c r="A15" s="316">
        <v>30200006</v>
      </c>
      <c r="B15" s="62" t="s">
        <v>62</v>
      </c>
      <c r="C15" s="16" t="s">
        <v>63</v>
      </c>
      <c r="D15" s="17">
        <v>5.04</v>
      </c>
      <c r="E15" s="17"/>
      <c r="F15" s="79"/>
      <c r="G15" s="93">
        <f>SUM('1:2'!G15)</f>
        <v>0</v>
      </c>
      <c r="H15" s="95">
        <f t="shared" si="0"/>
        <v>0</v>
      </c>
      <c r="I15" s="93">
        <f>SUM('1:2'!I15)</f>
        <v>0</v>
      </c>
      <c r="J15" s="31" t="str">
        <f t="array" ref="J15">IF(ISERROR(G15/I15),"",G15/I15)</f>
        <v/>
      </c>
      <c r="K15" s="35">
        <f t="array" ref="K15">IF(ISERROR(G15/L15),"",G15/L15)</f>
        <v>0</v>
      </c>
      <c r="L15" s="87">
        <v>17</v>
      </c>
      <c r="M15" s="36">
        <f t="shared" si="1"/>
        <v>0</v>
      </c>
      <c r="N15" s="93">
        <f>SUM('1:2'!N15)</f>
        <v>0</v>
      </c>
      <c r="O15" s="93">
        <f>SUM('1:2'!O15)</f>
        <v>0</v>
      </c>
      <c r="P15" s="93">
        <f>SUM('1:2'!P15)</f>
        <v>0</v>
      </c>
      <c r="Q15" s="93">
        <f>SUM('1:2'!Q15)</f>
        <v>0</v>
      </c>
      <c r="R15" s="93">
        <f>SUM('1:2'!R15)</f>
        <v>0</v>
      </c>
      <c r="S15" s="93">
        <f>SUM('1:2'!S15)</f>
        <v>0</v>
      </c>
      <c r="T15" s="93">
        <f>SUM('1:2'!T15)</f>
        <v>0</v>
      </c>
      <c r="U15" s="93">
        <f>SUM('1:2'!U15)</f>
        <v>0</v>
      </c>
      <c r="V15" s="205">
        <f t="shared" si="2"/>
        <v>0</v>
      </c>
      <c r="W15" s="33" t="str">
        <f t="shared" si="3"/>
        <v/>
      </c>
      <c r="X15" s="93">
        <f>SUM('1:2'!X15)</f>
        <v>0</v>
      </c>
      <c r="Y15" s="93">
        <f>SUM('1:2'!Y15)</f>
        <v>0</v>
      </c>
      <c r="Z15" s="93">
        <f>SUM('1:2'!Z15)</f>
        <v>0</v>
      </c>
      <c r="AA15" s="93">
        <f>SUM('1:2'!AA15)</f>
        <v>0</v>
      </c>
      <c r="AB15" s="358">
        <v>0.61</v>
      </c>
      <c r="AC15" s="269">
        <f t="shared" si="4"/>
        <v>0</v>
      </c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 ht="17.25">
      <c r="A16" s="316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93">
        <f>SUM('1:2'!G16)</f>
        <v>140</v>
      </c>
      <c r="H16" s="95">
        <f t="shared" si="0"/>
        <v>705.6</v>
      </c>
      <c r="I16" s="93">
        <f>SUM('1:2'!I16)</f>
        <v>10</v>
      </c>
      <c r="J16" s="31">
        <f t="array" ref="J16">IF(ISERROR(G16/I16),"",G16/I16)</f>
        <v>14</v>
      </c>
      <c r="K16" s="35">
        <f t="array" ref="K16">IF(ISERROR(G16/L16),"",G16/L16)</f>
        <v>8.235294117647058</v>
      </c>
      <c r="L16" s="87">
        <v>17</v>
      </c>
      <c r="M16" s="36">
        <f t="shared" si="1"/>
        <v>1.764705882352942</v>
      </c>
      <c r="N16" s="93">
        <f>SUM('1:2'!N16)</f>
        <v>0</v>
      </c>
      <c r="O16" s="93">
        <f>SUM('1:2'!O16)</f>
        <v>0</v>
      </c>
      <c r="P16" s="93">
        <f>SUM('1:2'!P16)</f>
        <v>0</v>
      </c>
      <c r="Q16" s="93">
        <f>SUM('1:2'!Q16)</f>
        <v>0</v>
      </c>
      <c r="R16" s="93">
        <f>SUM('1:2'!R16)</f>
        <v>0</v>
      </c>
      <c r="S16" s="93">
        <f>SUM('1:2'!S16)</f>
        <v>0</v>
      </c>
      <c r="T16" s="93">
        <f>SUM('1:2'!T16)</f>
        <v>0</v>
      </c>
      <c r="U16" s="93">
        <f>SUM('1:2'!U16)</f>
        <v>0</v>
      </c>
      <c r="V16" s="205">
        <f t="shared" si="2"/>
        <v>0</v>
      </c>
      <c r="W16" s="33">
        <f t="shared" si="3"/>
        <v>0</v>
      </c>
      <c r="X16" s="93">
        <f>SUM('1:2'!X16)</f>
        <v>0</v>
      </c>
      <c r="Y16" s="93">
        <f>SUM('1:2'!Y16)</f>
        <v>0</v>
      </c>
      <c r="Z16" s="93">
        <f>SUM('1:2'!Z16)</f>
        <v>0</v>
      </c>
      <c r="AA16" s="93">
        <f>SUM('1:2'!AA16)</f>
        <v>0</v>
      </c>
      <c r="AB16" s="358">
        <v>0.61</v>
      </c>
      <c r="AC16" s="269">
        <f t="shared" si="4"/>
        <v>85.399999999999991</v>
      </c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 ht="17.25">
      <c r="A17" s="318">
        <v>30100063</v>
      </c>
      <c r="B17" s="192" t="s">
        <v>485</v>
      </c>
      <c r="C17" s="16" t="s">
        <v>172</v>
      </c>
      <c r="D17" s="17"/>
      <c r="E17" s="17"/>
      <c r="F17" s="6"/>
      <c r="G17" s="93">
        <f>SUM('1:2'!G17)</f>
        <v>0</v>
      </c>
      <c r="H17" s="95">
        <f t="shared" si="0"/>
        <v>0</v>
      </c>
      <c r="I17" s="93">
        <f>SUM('1:2'!I17)</f>
        <v>0</v>
      </c>
      <c r="J17" s="31" t="str">
        <f t="array" ref="J17">IF(ISERROR(G17/I17),"",G17/I17)</f>
        <v/>
      </c>
      <c r="K17" s="35">
        <f t="array" ref="K17">IF(ISERROR(G17/L17),"",G17/L17)</f>
        <v>0</v>
      </c>
      <c r="L17" s="87">
        <v>17</v>
      </c>
      <c r="M17" s="36">
        <f>IF(ISERROR(I17-K17),"",I17-K17)</f>
        <v>0</v>
      </c>
      <c r="N17" s="93">
        <f>SUM('1:2'!N17)</f>
        <v>0</v>
      </c>
      <c r="O17" s="93">
        <f>SUM('1:2'!O17)</f>
        <v>0</v>
      </c>
      <c r="P17" s="93">
        <f>SUM('1:2'!P17)</f>
        <v>0</v>
      </c>
      <c r="Q17" s="93">
        <f>SUM('1:2'!Q17)</f>
        <v>0</v>
      </c>
      <c r="R17" s="93">
        <f>SUM('1:2'!R17)</f>
        <v>0</v>
      </c>
      <c r="S17" s="93">
        <f>SUM('1:2'!S17)</f>
        <v>0</v>
      </c>
      <c r="T17" s="93">
        <f>SUM('1:2'!T17)</f>
        <v>0</v>
      </c>
      <c r="U17" s="93">
        <f>SUM('1:2'!U17)</f>
        <v>0</v>
      </c>
      <c r="V17" s="205">
        <f t="shared" si="2"/>
        <v>0</v>
      </c>
      <c r="W17" s="33" t="str">
        <f>IF(ISERROR(V17/G17),"",V17/G17)</f>
        <v/>
      </c>
      <c r="X17" s="93">
        <f>SUM('1:2'!X17)</f>
        <v>0</v>
      </c>
      <c r="Y17" s="93">
        <f>SUM('1:2'!Y17)</f>
        <v>0</v>
      </c>
      <c r="Z17" s="93">
        <f>SUM('1:2'!Z17)</f>
        <v>0</v>
      </c>
      <c r="AA17" s="93">
        <f>SUM('1:2'!AA17)</f>
        <v>0</v>
      </c>
      <c r="AB17" s="358">
        <v>0.43</v>
      </c>
      <c r="AC17" s="269">
        <f t="shared" si="4"/>
        <v>0</v>
      </c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 ht="15.75">
      <c r="A18" s="302">
        <v>30100061</v>
      </c>
      <c r="B18" s="62" t="s">
        <v>171</v>
      </c>
      <c r="C18" s="16" t="s">
        <v>173</v>
      </c>
      <c r="D18" s="17"/>
      <c r="E18" s="17"/>
      <c r="F18" s="6"/>
      <c r="G18" s="93">
        <f>SUM('1:2'!G18)</f>
        <v>0</v>
      </c>
      <c r="H18" s="95">
        <f t="shared" si="0"/>
        <v>0</v>
      </c>
      <c r="I18" s="93">
        <f>SUM('1:2'!I18)</f>
        <v>0</v>
      </c>
      <c r="J18" s="31" t="str">
        <f t="array" ref="J18">IF(ISERROR(G18/I18),"",G18/I18)</f>
        <v/>
      </c>
      <c r="K18" s="35">
        <f t="array" ref="K18">IF(ISERROR(G18/L18),"",G18/L18)</f>
        <v>0</v>
      </c>
      <c r="L18" s="87">
        <v>17</v>
      </c>
      <c r="M18" s="36">
        <f>IF(ISERROR(I18-K18),"",I18-K18)</f>
        <v>0</v>
      </c>
      <c r="N18" s="93">
        <f>SUM('1:2'!N18)</f>
        <v>0</v>
      </c>
      <c r="O18" s="93">
        <f>SUM('1:2'!O18)</f>
        <v>0</v>
      </c>
      <c r="P18" s="93">
        <f>SUM('1:2'!P18)</f>
        <v>0</v>
      </c>
      <c r="Q18" s="93">
        <f>SUM('1:2'!Q18)</f>
        <v>0</v>
      </c>
      <c r="R18" s="93">
        <f>SUM('1:2'!R18)</f>
        <v>0</v>
      </c>
      <c r="S18" s="93">
        <f>SUM('1:2'!S18)</f>
        <v>0</v>
      </c>
      <c r="T18" s="93">
        <f>SUM('1:2'!T18)</f>
        <v>0</v>
      </c>
      <c r="U18" s="93">
        <f>SUM('1:2'!U18)</f>
        <v>0</v>
      </c>
      <c r="V18" s="205">
        <f t="shared" si="2"/>
        <v>0</v>
      </c>
      <c r="W18" s="33" t="str">
        <f>IF(ISERROR(V18/G18),"",V18/G18)</f>
        <v/>
      </c>
      <c r="X18" s="93">
        <f>SUM('1:2'!X18)</f>
        <v>0</v>
      </c>
      <c r="Y18" s="93">
        <f>SUM('1:2'!Y18)</f>
        <v>0</v>
      </c>
      <c r="Z18" s="93">
        <f>SUM('1:2'!Z18)</f>
        <v>0</v>
      </c>
      <c r="AA18" s="93">
        <f>SUM('1:2'!AA18)</f>
        <v>0</v>
      </c>
      <c r="AB18" s="358">
        <v>0.43</v>
      </c>
      <c r="AC18" s="269">
        <f t="shared" si="4"/>
        <v>0</v>
      </c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 ht="17.25">
      <c r="A19" s="316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93">
        <f>SUM('1:2'!G19)</f>
        <v>704</v>
      </c>
      <c r="H19" s="95">
        <f t="shared" si="0"/>
        <v>3562.24</v>
      </c>
      <c r="I19" s="93">
        <f>SUM('1:2'!I19)</f>
        <v>42.5</v>
      </c>
      <c r="J19" s="31">
        <f t="array" ref="J19">IF(ISERROR(G19/I19),"",G19/I19)</f>
        <v>16.564705882352943</v>
      </c>
      <c r="K19" s="35">
        <f t="array" ref="K19">IF(ISERROR(G19/L19),"",G19/L19)</f>
        <v>37.05263157894737</v>
      </c>
      <c r="L19" s="87">
        <v>19</v>
      </c>
      <c r="M19" s="36">
        <f t="shared" ref="M19:M21" si="5">IF(ISERROR(I19-K19),"",I19-K19)</f>
        <v>5.4473684210526301</v>
      </c>
      <c r="N19" s="93">
        <f>SUM('1:2'!N19)</f>
        <v>0</v>
      </c>
      <c r="O19" s="93">
        <f>SUM('1:2'!O19)</f>
        <v>0</v>
      </c>
      <c r="P19" s="93">
        <f>SUM('1:2'!P19)</f>
        <v>0</v>
      </c>
      <c r="Q19" s="93">
        <f>SUM('1:2'!Q19)</f>
        <v>0</v>
      </c>
      <c r="R19" s="93">
        <f>SUM('1:2'!R19)</f>
        <v>0</v>
      </c>
      <c r="S19" s="93">
        <f>SUM('1:2'!S19)</f>
        <v>0</v>
      </c>
      <c r="T19" s="93">
        <f>SUM('1:2'!T19)</f>
        <v>0</v>
      </c>
      <c r="U19" s="93">
        <f>SUM('1:2'!U19)</f>
        <v>0</v>
      </c>
      <c r="V19" s="205">
        <f t="shared" si="2"/>
        <v>0</v>
      </c>
      <c r="W19" s="33">
        <f t="shared" ref="W19:W21" si="6">IF(ISERROR(V19/G19),"",V19/G19)</f>
        <v>0</v>
      </c>
      <c r="X19" s="93">
        <f>SUM('1:2'!X19)</f>
        <v>0</v>
      </c>
      <c r="Y19" s="93">
        <f>SUM('1:2'!Y19)</f>
        <v>0</v>
      </c>
      <c r="Z19" s="93">
        <f>SUM('1:2'!Z19)</f>
        <v>0</v>
      </c>
      <c r="AA19" s="93">
        <f>SUM('1:2'!AA19)</f>
        <v>0</v>
      </c>
      <c r="AB19" s="358">
        <v>0.55000000000000004</v>
      </c>
      <c r="AC19" s="269">
        <f t="shared" si="4"/>
        <v>387.20000000000005</v>
      </c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 ht="17.25">
      <c r="A20" s="316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93">
        <f>SUM('1:2'!G20)</f>
        <v>490</v>
      </c>
      <c r="H20" s="95">
        <f t="shared" si="0"/>
        <v>2494.1</v>
      </c>
      <c r="I20" s="93">
        <f>SUM('1:2'!I20)</f>
        <v>27.5</v>
      </c>
      <c r="J20" s="31">
        <f t="array" ref="J20">IF(ISERROR(G20/I20),"",G20/I20)</f>
        <v>17.818181818181817</v>
      </c>
      <c r="K20" s="35">
        <f t="array" ref="K20">IF(ISERROR(G20/L20),"",G20/L20)</f>
        <v>21.304347826086957</v>
      </c>
      <c r="L20" s="87">
        <v>23</v>
      </c>
      <c r="M20" s="36">
        <f t="shared" si="5"/>
        <v>6.195652173913043</v>
      </c>
      <c r="N20" s="93">
        <f>SUM('1:2'!N20)</f>
        <v>0</v>
      </c>
      <c r="O20" s="93">
        <f>SUM('1:2'!O20)</f>
        <v>0</v>
      </c>
      <c r="P20" s="93">
        <f>SUM('1:2'!P20)</f>
        <v>0</v>
      </c>
      <c r="Q20" s="93">
        <f>SUM('1:2'!Q20)</f>
        <v>0</v>
      </c>
      <c r="R20" s="93">
        <f>SUM('1:2'!R20)</f>
        <v>0</v>
      </c>
      <c r="S20" s="93">
        <f>SUM('1:2'!S20)</f>
        <v>0</v>
      </c>
      <c r="T20" s="93">
        <f>SUM('1:2'!T20)</f>
        <v>0</v>
      </c>
      <c r="U20" s="93">
        <f>SUM('1:2'!U20)</f>
        <v>0</v>
      </c>
      <c r="V20" s="205">
        <f t="shared" si="2"/>
        <v>0</v>
      </c>
      <c r="W20" s="33">
        <f t="shared" si="6"/>
        <v>0</v>
      </c>
      <c r="X20" s="93">
        <f>SUM('1:2'!X20)</f>
        <v>0</v>
      </c>
      <c r="Y20" s="93">
        <f>SUM('1:2'!Y20)</f>
        <v>0</v>
      </c>
      <c r="Z20" s="93">
        <f>SUM('1:2'!Z20)</f>
        <v>0</v>
      </c>
      <c r="AA20" s="93">
        <f>SUM('1:2'!AA20)</f>
        <v>0</v>
      </c>
      <c r="AB20" s="358">
        <v>0.45</v>
      </c>
      <c r="AC20" s="269">
        <f t="shared" si="4"/>
        <v>220.5</v>
      </c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 ht="17.25">
      <c r="A21" s="316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93">
        <f>SUM('1:2'!G21)</f>
        <v>1190</v>
      </c>
      <c r="H21" s="95">
        <f t="shared" si="0"/>
        <v>6057.0999999999995</v>
      </c>
      <c r="I21" s="93">
        <f>SUM('1:2'!I21)</f>
        <v>72.5</v>
      </c>
      <c r="J21" s="31">
        <f t="array" ref="J21">IF(ISERROR(G21/I21),"",G21/I21)</f>
        <v>16.413793103448278</v>
      </c>
      <c r="K21" s="35">
        <f t="array" ref="K21">IF(ISERROR(G21/L21),"",G21/L21)</f>
        <v>51.739130434782609</v>
      </c>
      <c r="L21" s="87">
        <v>23</v>
      </c>
      <c r="M21" s="36">
        <f t="shared" si="5"/>
        <v>20.760869565217391</v>
      </c>
      <c r="N21" s="93">
        <f>SUM('1:2'!N21)</f>
        <v>0</v>
      </c>
      <c r="O21" s="93">
        <f>SUM('1:2'!O21)</f>
        <v>0</v>
      </c>
      <c r="P21" s="93">
        <f>SUM('1:2'!P21)</f>
        <v>0</v>
      </c>
      <c r="Q21" s="93">
        <f>SUM('1:2'!Q21)</f>
        <v>0</v>
      </c>
      <c r="R21" s="93">
        <f>SUM('1:2'!R21)</f>
        <v>0</v>
      </c>
      <c r="S21" s="93">
        <f>SUM('1:2'!S21)</f>
        <v>0</v>
      </c>
      <c r="T21" s="93">
        <f>SUM('1:2'!T21)</f>
        <v>0</v>
      </c>
      <c r="U21" s="93">
        <f>SUM('1:2'!U21)</f>
        <v>0</v>
      </c>
      <c r="V21" s="205">
        <f t="shared" si="2"/>
        <v>0</v>
      </c>
      <c r="W21" s="33">
        <f t="shared" si="6"/>
        <v>0</v>
      </c>
      <c r="X21" s="93">
        <f>SUM('1:2'!X21)</f>
        <v>0</v>
      </c>
      <c r="Y21" s="93">
        <f>SUM('1:2'!Y21)</f>
        <v>0</v>
      </c>
      <c r="Z21" s="93">
        <f>SUM('1:2'!Z21)</f>
        <v>0</v>
      </c>
      <c r="AA21" s="93">
        <f>SUM('1:2'!AA21)</f>
        <v>0</v>
      </c>
      <c r="AB21" s="358">
        <v>0.45</v>
      </c>
      <c r="AC21" s="269">
        <f t="shared" si="4"/>
        <v>535.5</v>
      </c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 ht="17.25">
      <c r="A22" s="316">
        <v>30100003</v>
      </c>
      <c r="B22" s="64" t="s">
        <v>161</v>
      </c>
      <c r="C22" s="242" t="s">
        <v>64</v>
      </c>
      <c r="D22" s="17">
        <v>4.8</v>
      </c>
      <c r="E22" s="17"/>
      <c r="F22" s="6"/>
      <c r="G22" s="93">
        <f>SUM('1:2'!G22)</f>
        <v>0</v>
      </c>
      <c r="H22" s="95">
        <f t="shared" si="0"/>
        <v>0</v>
      </c>
      <c r="I22" s="93">
        <f>SUM('1:2'!I22)</f>
        <v>0</v>
      </c>
      <c r="J22" s="31"/>
      <c r="K22" s="35">
        <f t="array" ref="K22">IF(ISERROR(G22/L22),"",G22/L22)</f>
        <v>0</v>
      </c>
      <c r="L22" s="87">
        <v>4</v>
      </c>
      <c r="M22" s="36">
        <f>IF(ISERROR(I22-K22),"",I22-K22)</f>
        <v>0</v>
      </c>
      <c r="N22" s="93">
        <f>SUM('1:2'!N22)</f>
        <v>0</v>
      </c>
      <c r="O22" s="93">
        <f>SUM('1:2'!O22)</f>
        <v>0</v>
      </c>
      <c r="P22" s="93">
        <f>SUM('1:2'!P22)</f>
        <v>0</v>
      </c>
      <c r="Q22" s="93">
        <f>SUM('1:2'!Q22)</f>
        <v>0</v>
      </c>
      <c r="R22" s="93">
        <f>SUM('1:2'!R22)</f>
        <v>0</v>
      </c>
      <c r="S22" s="93">
        <f>SUM('1:2'!S22)</f>
        <v>0</v>
      </c>
      <c r="T22" s="93">
        <f>SUM('1:2'!T22)</f>
        <v>0</v>
      </c>
      <c r="U22" s="93">
        <f>SUM('1:2'!U22)</f>
        <v>0</v>
      </c>
      <c r="V22" s="205">
        <f t="shared" si="2"/>
        <v>0</v>
      </c>
      <c r="W22" s="33"/>
      <c r="X22" s="93">
        <f>SUM('1:2'!X22)</f>
        <v>0</v>
      </c>
      <c r="Y22" s="93">
        <f>SUM('1:2'!Y22)</f>
        <v>0</v>
      </c>
      <c r="Z22" s="93">
        <f>SUM('1:2'!Z22)</f>
        <v>0</v>
      </c>
      <c r="AA22" s="93">
        <f>SUM('1:2'!AA22)</f>
        <v>0</v>
      </c>
      <c r="AB22" s="358">
        <v>0.95</v>
      </c>
      <c r="AC22" s="269">
        <f t="shared" si="4"/>
        <v>0</v>
      </c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 ht="17.25">
      <c r="A23" s="316">
        <v>30100004</v>
      </c>
      <c r="B23" s="64" t="s">
        <v>161</v>
      </c>
      <c r="C23" s="242" t="s">
        <v>61</v>
      </c>
      <c r="D23" s="17">
        <v>4.8</v>
      </c>
      <c r="E23" s="17"/>
      <c r="F23" s="6"/>
      <c r="G23" s="93">
        <f>SUM('1:2'!G23)</f>
        <v>0</v>
      </c>
      <c r="H23" s="95">
        <f t="shared" si="0"/>
        <v>0</v>
      </c>
      <c r="I23" s="93">
        <f>SUM('1:2'!I23)</f>
        <v>0</v>
      </c>
      <c r="J23" s="31"/>
      <c r="K23" s="35">
        <f t="array" ref="K23">IF(ISERROR(G23/L23),"",G23/L23)</f>
        <v>0</v>
      </c>
      <c r="L23" s="87">
        <v>4</v>
      </c>
      <c r="M23" s="36">
        <f>IF(ISERROR(I23-K23),"",I23-K23)</f>
        <v>0</v>
      </c>
      <c r="N23" s="93">
        <f>SUM('1:2'!N23)</f>
        <v>0</v>
      </c>
      <c r="O23" s="93">
        <f>SUM('1:2'!O23)</f>
        <v>0</v>
      </c>
      <c r="P23" s="93">
        <f>SUM('1:2'!P23)</f>
        <v>0</v>
      </c>
      <c r="Q23" s="93">
        <f>SUM('1:2'!Q23)</f>
        <v>0</v>
      </c>
      <c r="R23" s="93">
        <f>SUM('1:2'!R23)</f>
        <v>0</v>
      </c>
      <c r="S23" s="93">
        <f>SUM('1:2'!S23)</f>
        <v>0</v>
      </c>
      <c r="T23" s="93">
        <f>SUM('1:2'!T23)</f>
        <v>0</v>
      </c>
      <c r="U23" s="93">
        <f>SUM('1:2'!U23)</f>
        <v>0</v>
      </c>
      <c r="V23" s="205">
        <f t="shared" si="2"/>
        <v>0</v>
      </c>
      <c r="W23" s="33"/>
      <c r="X23" s="93">
        <f>SUM('1:2'!X23)</f>
        <v>0</v>
      </c>
      <c r="Y23" s="93">
        <f>SUM('1:2'!Y23)</f>
        <v>0</v>
      </c>
      <c r="Z23" s="93">
        <f>SUM('1:2'!Z23)</f>
        <v>0</v>
      </c>
      <c r="AA23" s="93">
        <f>SUM('1:2'!AA23)</f>
        <v>0</v>
      </c>
      <c r="AB23" s="358">
        <v>0.95</v>
      </c>
      <c r="AC23" s="269">
        <f t="shared" si="4"/>
        <v>0</v>
      </c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 ht="17.25">
      <c r="A24" s="316">
        <v>30100006</v>
      </c>
      <c r="B24" s="64" t="s">
        <v>161</v>
      </c>
      <c r="C24" s="242" t="s">
        <v>53</v>
      </c>
      <c r="D24" s="17">
        <v>4.8</v>
      </c>
      <c r="E24" s="17"/>
      <c r="F24" s="6"/>
      <c r="G24" s="93">
        <f>SUM('1:2'!G24)</f>
        <v>0</v>
      </c>
      <c r="H24" s="95">
        <f t="shared" si="0"/>
        <v>0</v>
      </c>
      <c r="I24" s="93">
        <f>SUM('1:2'!I24)</f>
        <v>0</v>
      </c>
      <c r="J24" s="31"/>
      <c r="K24" s="35">
        <f t="array" ref="K24">IF(ISERROR(G24/L24),"",G24/L24)</f>
        <v>0</v>
      </c>
      <c r="L24" s="87">
        <v>4</v>
      </c>
      <c r="M24" s="36">
        <f>IF(ISERROR(I24-K24),"",I24-K24)</f>
        <v>0</v>
      </c>
      <c r="N24" s="93">
        <f>SUM('1:2'!N24)</f>
        <v>0</v>
      </c>
      <c r="O24" s="93">
        <f>SUM('1:2'!O24)</f>
        <v>0</v>
      </c>
      <c r="P24" s="93">
        <f>SUM('1:2'!P24)</f>
        <v>0</v>
      </c>
      <c r="Q24" s="93">
        <f>SUM('1:2'!Q24)</f>
        <v>0</v>
      </c>
      <c r="R24" s="93">
        <f>SUM('1:2'!R24)</f>
        <v>0</v>
      </c>
      <c r="S24" s="93">
        <f>SUM('1:2'!S24)</f>
        <v>0</v>
      </c>
      <c r="T24" s="93">
        <f>SUM('1:2'!T24)</f>
        <v>0</v>
      </c>
      <c r="U24" s="93">
        <f>SUM('1:2'!U24)</f>
        <v>0</v>
      </c>
      <c r="V24" s="205">
        <f t="shared" si="2"/>
        <v>0</v>
      </c>
      <c r="W24" s="33"/>
      <c r="X24" s="93">
        <f>SUM('1:2'!X24)</f>
        <v>0</v>
      </c>
      <c r="Y24" s="93">
        <f>SUM('1:2'!Y24)</f>
        <v>0</v>
      </c>
      <c r="Z24" s="93">
        <f>SUM('1:2'!Z24)</f>
        <v>0</v>
      </c>
      <c r="AA24" s="93">
        <f>SUM('1:2'!AA24)</f>
        <v>0</v>
      </c>
      <c r="AB24" s="358">
        <v>0.95</v>
      </c>
      <c r="AC24" s="269">
        <f t="shared" si="4"/>
        <v>0</v>
      </c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 ht="17.25">
      <c r="A25" s="316">
        <v>30100005</v>
      </c>
      <c r="B25" s="64" t="s">
        <v>161</v>
      </c>
      <c r="C25" s="242" t="s">
        <v>73</v>
      </c>
      <c r="D25" s="17">
        <v>4.8</v>
      </c>
      <c r="E25" s="17"/>
      <c r="F25" s="6"/>
      <c r="G25" s="93">
        <f>SUM('1:2'!G25)</f>
        <v>0</v>
      </c>
      <c r="H25" s="95">
        <f>D25*G25</f>
        <v>0</v>
      </c>
      <c r="I25" s="93">
        <f>SUM('1:2'!I25)</f>
        <v>0</v>
      </c>
      <c r="J25" s="31"/>
      <c r="K25" s="35">
        <f t="array" ref="K25">IF(ISERROR(G25/L25),"",G25/L25)</f>
        <v>0</v>
      </c>
      <c r="L25" s="87">
        <v>4</v>
      </c>
      <c r="M25" s="36">
        <f>IF(ISERROR(I25-K25),"",I25-K25)</f>
        <v>0</v>
      </c>
      <c r="N25" s="93">
        <f>SUM('1:2'!N25)</f>
        <v>0</v>
      </c>
      <c r="O25" s="93">
        <f>SUM('1:2'!O25)</f>
        <v>0</v>
      </c>
      <c r="P25" s="93">
        <f>SUM('1:2'!P25)</f>
        <v>0</v>
      </c>
      <c r="Q25" s="93">
        <f>SUM('1:2'!Q25)</f>
        <v>0</v>
      </c>
      <c r="R25" s="93">
        <f>SUM('1:2'!R25)</f>
        <v>0</v>
      </c>
      <c r="S25" s="93">
        <f>SUM('1:2'!S25)</f>
        <v>0</v>
      </c>
      <c r="T25" s="93">
        <f>SUM('1:2'!T25)</f>
        <v>0</v>
      </c>
      <c r="U25" s="93">
        <f>SUM('1:2'!U25)</f>
        <v>0</v>
      </c>
      <c r="V25" s="205">
        <f t="shared" si="2"/>
        <v>0</v>
      </c>
      <c r="W25" s="33"/>
      <c r="X25" s="93">
        <f>SUM('1:2'!X25)</f>
        <v>0</v>
      </c>
      <c r="Y25" s="93">
        <f>SUM('1:2'!Y25)</f>
        <v>0</v>
      </c>
      <c r="Z25" s="93">
        <f>SUM('1:2'!Z25)</f>
        <v>0</v>
      </c>
      <c r="AA25" s="93">
        <f>SUM('1:2'!AA25)</f>
        <v>0</v>
      </c>
      <c r="AB25" s="358">
        <v>0.95</v>
      </c>
      <c r="AC25" s="269">
        <f t="shared" si="4"/>
        <v>0</v>
      </c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 ht="17.25">
      <c r="A26" s="316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93">
        <f>SUM('1:2'!G26)</f>
        <v>0</v>
      </c>
      <c r="H26" s="95">
        <f t="shared" ref="H26:H27" si="7">D26*G26</f>
        <v>0</v>
      </c>
      <c r="I26" s="93">
        <f>SUM('1:2'!I26)</f>
        <v>0</v>
      </c>
      <c r="J26" s="31" t="str">
        <f t="array" ref="J26">IF(ISERROR(G26/I26),"",G26/I26)</f>
        <v/>
      </c>
      <c r="K26" s="35">
        <f t="array" ref="K26">IF(ISERROR(G26/L26),"",G26/L26)</f>
        <v>0</v>
      </c>
      <c r="L26" s="87">
        <v>23.5</v>
      </c>
      <c r="M26" s="36">
        <f t="shared" ref="M26:M27" si="8">IF(ISERROR(I26-K26),"",I26-K26)</f>
        <v>0</v>
      </c>
      <c r="N26" s="93">
        <f>SUM('1:2'!N26)</f>
        <v>0</v>
      </c>
      <c r="O26" s="93">
        <f>SUM('1:2'!O26)</f>
        <v>0</v>
      </c>
      <c r="P26" s="93">
        <f>SUM('1:2'!P26)</f>
        <v>0</v>
      </c>
      <c r="Q26" s="93">
        <f>SUM('1:2'!Q26)</f>
        <v>0</v>
      </c>
      <c r="R26" s="93">
        <f>SUM('1:2'!R26)</f>
        <v>0</v>
      </c>
      <c r="S26" s="93">
        <f>SUM('1:2'!S26)</f>
        <v>0</v>
      </c>
      <c r="T26" s="93">
        <f>SUM('1:2'!T26)</f>
        <v>0</v>
      </c>
      <c r="U26" s="93">
        <f>SUM('1:2'!U26)</f>
        <v>0</v>
      </c>
      <c r="V26" s="205">
        <f t="shared" si="2"/>
        <v>0</v>
      </c>
      <c r="W26" s="33" t="str">
        <f t="shared" ref="W26:W27" si="9">IF(ISERROR(V26/G26),"",V26/G26)</f>
        <v/>
      </c>
      <c r="X26" s="93">
        <f>SUM('1:2'!X26)</f>
        <v>0</v>
      </c>
      <c r="Y26" s="93">
        <f>SUM('1:2'!Y26)</f>
        <v>0</v>
      </c>
      <c r="Z26" s="93">
        <f>SUM('1:2'!Z26)</f>
        <v>0</v>
      </c>
      <c r="AA26" s="93">
        <f>SUM('1:2'!AA26)</f>
        <v>0</v>
      </c>
      <c r="AB26" s="358">
        <v>0.44</v>
      </c>
      <c r="AC26" s="269">
        <f t="shared" si="4"/>
        <v>0</v>
      </c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 ht="15.75">
      <c r="A27" s="299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93">
        <f>SUM('1:2'!G27)</f>
        <v>0</v>
      </c>
      <c r="H27" s="95">
        <f t="shared" si="7"/>
        <v>0</v>
      </c>
      <c r="I27" s="93">
        <f>SUM('1:2'!I27)</f>
        <v>0</v>
      </c>
      <c r="J27" s="31" t="str">
        <f t="array" ref="J27">IF(ISERROR(G27/I27),"",G27/I27)</f>
        <v/>
      </c>
      <c r="K27" s="35">
        <f t="array" ref="K27">IF(ISERROR(G27/L27),"",G27/L27)</f>
        <v>0</v>
      </c>
      <c r="L27" s="87">
        <v>23.5</v>
      </c>
      <c r="M27" s="36">
        <f t="shared" si="8"/>
        <v>0</v>
      </c>
      <c r="N27" s="93">
        <f>SUM('1:2'!N27)</f>
        <v>0</v>
      </c>
      <c r="O27" s="93">
        <f>SUM('1:2'!O27)</f>
        <v>0</v>
      </c>
      <c r="P27" s="93">
        <f>SUM('1:2'!P27)</f>
        <v>0</v>
      </c>
      <c r="Q27" s="93">
        <f>SUM('1:2'!Q27)</f>
        <v>0</v>
      </c>
      <c r="R27" s="93">
        <f>SUM('1:2'!R27)</f>
        <v>0</v>
      </c>
      <c r="S27" s="93">
        <f>SUM('1:2'!S27)</f>
        <v>0</v>
      </c>
      <c r="T27" s="93">
        <f>SUM('1:2'!T27)</f>
        <v>0</v>
      </c>
      <c r="U27" s="93">
        <f>SUM('1:2'!U27)</f>
        <v>0</v>
      </c>
      <c r="V27" s="205">
        <f t="shared" si="2"/>
        <v>0</v>
      </c>
      <c r="W27" s="33" t="str">
        <f t="shared" si="9"/>
        <v/>
      </c>
      <c r="X27" s="93">
        <f>SUM('1:2'!X27)</f>
        <v>0</v>
      </c>
      <c r="Y27" s="93">
        <f>SUM('1:2'!Y27)</f>
        <v>0</v>
      </c>
      <c r="Z27" s="93">
        <f>SUM('1:2'!Z27)</f>
        <v>0</v>
      </c>
      <c r="AA27" s="93">
        <f>SUM('1:2'!AA27)</f>
        <v>0</v>
      </c>
      <c r="AB27" s="358">
        <v>0.44</v>
      </c>
      <c r="AC27" s="269">
        <f t="shared" si="4"/>
        <v>0</v>
      </c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 ht="15.75">
      <c r="A28" s="697" t="s">
        <v>70</v>
      </c>
      <c r="B28" s="698"/>
      <c r="C28" s="31" t="s">
        <v>71</v>
      </c>
      <c r="D28" s="30"/>
      <c r="E28" s="30"/>
      <c r="F28" s="30"/>
      <c r="G28" s="94">
        <f>SUM(G7:G27)</f>
        <v>3286</v>
      </c>
      <c r="H28" s="30">
        <f>SUM(H7:H27)</f>
        <v>16651.900000000001</v>
      </c>
      <c r="I28" s="30">
        <f>SUM(I7:I27)</f>
        <v>212.5</v>
      </c>
      <c r="J28" s="31">
        <f t="array" ref="J28">IF(ISERROR(G28/I28),"",G28/I28)</f>
        <v>15.463529411764705</v>
      </c>
      <c r="K28" s="30">
        <f>SUM(K7:K27)</f>
        <v>157.75771974693768</v>
      </c>
      <c r="L28" s="98"/>
      <c r="M28" s="89">
        <f t="shared" ref="M28:AA28" si="10">SUM(M7:M27)</f>
        <v>54.742280253062319</v>
      </c>
      <c r="N28" s="30">
        <f t="shared" si="10"/>
        <v>0</v>
      </c>
      <c r="O28" s="34">
        <f t="shared" si="10"/>
        <v>0</v>
      </c>
      <c r="P28" s="34">
        <f t="shared" si="10"/>
        <v>0</v>
      </c>
      <c r="Q28" s="34">
        <f t="shared" si="10"/>
        <v>0</v>
      </c>
      <c r="R28" s="34">
        <f t="shared" si="10"/>
        <v>0</v>
      </c>
      <c r="S28" s="34">
        <f t="shared" si="10"/>
        <v>0</v>
      </c>
      <c r="T28" s="34">
        <f t="shared" si="10"/>
        <v>0</v>
      </c>
      <c r="U28" s="34">
        <f t="shared" si="10"/>
        <v>0</v>
      </c>
      <c r="V28" s="206">
        <f t="shared" si="10"/>
        <v>0</v>
      </c>
      <c r="W28" s="33">
        <f t="shared" si="10"/>
        <v>0</v>
      </c>
      <c r="X28" s="92">
        <f t="shared" si="10"/>
        <v>0</v>
      </c>
      <c r="Y28" s="92">
        <f t="shared" si="10"/>
        <v>0</v>
      </c>
      <c r="Z28" s="92">
        <f t="shared" si="10"/>
        <v>0</v>
      </c>
      <c r="AA28" s="92">
        <f t="shared" si="10"/>
        <v>0</v>
      </c>
      <c r="AB28" s="87"/>
      <c r="AC28" s="91">
        <f>SUM(AC7:AC27)</f>
        <v>1639.96</v>
      </c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</row>
    <row r="29" spans="1:106" ht="17.25" customHeight="1">
      <c r="A29" s="316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93">
        <f>SUM('1:2'!G29)</f>
        <v>0</v>
      </c>
      <c r="H29" s="246">
        <f t="shared" ref="H29:H85" si="11">D29*G29</f>
        <v>0</v>
      </c>
      <c r="I29" s="93">
        <f>SUM('1:2'!I29)</f>
        <v>0</v>
      </c>
      <c r="J29" s="31" t="str">
        <f t="array" ref="J29">IF(ISERROR(G29/I29),"",G29/I29)</f>
        <v/>
      </c>
      <c r="K29" s="35">
        <f t="array" ref="K29">IF(ISERROR(G29/L29),"",G29/L29)</f>
        <v>0</v>
      </c>
      <c r="L29" s="87">
        <v>52</v>
      </c>
      <c r="M29" s="36">
        <f t="shared" ref="M29" si="12">IF(ISERROR(I29-K29),"",I29-K29)</f>
        <v>0</v>
      </c>
      <c r="N29" s="93">
        <f>SUM('1:2'!N29)</f>
        <v>0</v>
      </c>
      <c r="O29" s="93">
        <f>SUM('1:2'!O29)</f>
        <v>0</v>
      </c>
      <c r="P29" s="93">
        <f>SUM('1:2'!P29)</f>
        <v>0</v>
      </c>
      <c r="Q29" s="93">
        <f>SUM('1:2'!Q29)</f>
        <v>0</v>
      </c>
      <c r="R29" s="93">
        <f>SUM('1:2'!R29)</f>
        <v>0</v>
      </c>
      <c r="S29" s="93">
        <f>SUM('1:2'!S29)</f>
        <v>0</v>
      </c>
      <c r="T29" s="93">
        <f>SUM('1:2'!T29)</f>
        <v>0</v>
      </c>
      <c r="U29" s="93">
        <f>SUM('1:2'!U29)</f>
        <v>0</v>
      </c>
      <c r="V29" s="206">
        <f t="shared" ref="V29" si="13">SUM(X29:AA29)</f>
        <v>0</v>
      </c>
      <c r="W29" s="33" t="str">
        <f t="shared" ref="W29" si="14">IF(ISERROR(V29/G29),"",V29/G29)</f>
        <v/>
      </c>
      <c r="X29" s="93">
        <f>SUM('1:2'!X29)</f>
        <v>0</v>
      </c>
      <c r="Y29" s="93">
        <f>SUM('1:2'!Y29)</f>
        <v>0</v>
      </c>
      <c r="Z29" s="93">
        <f>SUM('1:2'!Z29)</f>
        <v>0</v>
      </c>
      <c r="AA29" s="93">
        <f>SUM('1:2'!AA29)</f>
        <v>0</v>
      </c>
      <c r="AB29" s="358">
        <v>0.19</v>
      </c>
      <c r="AC29" s="269">
        <f t="shared" si="4"/>
        <v>0</v>
      </c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316">
        <v>30100011</v>
      </c>
      <c r="B30" s="190" t="s">
        <v>453</v>
      </c>
      <c r="C30" s="187" t="s">
        <v>427</v>
      </c>
      <c r="D30" s="17">
        <v>5.03</v>
      </c>
      <c r="E30" s="17"/>
      <c r="F30" s="6"/>
      <c r="G30" s="93">
        <f>SUM('1:2'!G30)</f>
        <v>0</v>
      </c>
      <c r="H30" s="246">
        <f t="shared" si="11"/>
        <v>0</v>
      </c>
      <c r="I30" s="93"/>
      <c r="J30" s="31"/>
      <c r="K30" s="35">
        <f t="array" ref="K30">IF(ISERROR(G30/L30),"",G30/L30)</f>
        <v>0</v>
      </c>
      <c r="L30" s="87">
        <v>52</v>
      </c>
      <c r="M30" s="36"/>
      <c r="N30" s="93"/>
      <c r="O30" s="93"/>
      <c r="P30" s="93"/>
      <c r="Q30" s="93"/>
      <c r="R30" s="93"/>
      <c r="S30" s="93"/>
      <c r="T30" s="93"/>
      <c r="U30" s="93"/>
      <c r="V30" s="206"/>
      <c r="W30" s="33"/>
      <c r="X30" s="93"/>
      <c r="Y30" s="93"/>
      <c r="Z30" s="93"/>
      <c r="AA30" s="93"/>
      <c r="AB30" s="358">
        <v>0.19</v>
      </c>
      <c r="AC30" s="269">
        <f t="shared" si="4"/>
        <v>0</v>
      </c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 ht="17.25">
      <c r="A31" s="316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93">
        <f>SUM('1:2'!G31)</f>
        <v>0</v>
      </c>
      <c r="H31" s="246">
        <f t="shared" si="11"/>
        <v>0</v>
      </c>
      <c r="I31" s="93">
        <f>SUM('1:2'!I31)</f>
        <v>0</v>
      </c>
      <c r="J31" s="31" t="str">
        <f t="array" ref="J31">IF(ISERROR(G31/I31),"",G31/I31)</f>
        <v/>
      </c>
      <c r="K31" s="35">
        <f t="array" ref="K31">IF(ISERROR(G31/L31),"",G31/L31)</f>
        <v>0</v>
      </c>
      <c r="L31" s="87">
        <v>52</v>
      </c>
      <c r="M31" s="36">
        <f t="shared" ref="M31:M33" si="15">IF(ISERROR(I31-K31),"",I31-K31)</f>
        <v>0</v>
      </c>
      <c r="N31" s="93">
        <f>SUM('1:2'!N31)</f>
        <v>0</v>
      </c>
      <c r="O31" s="93">
        <f>SUM('1:2'!O31)</f>
        <v>0</v>
      </c>
      <c r="P31" s="93">
        <f>SUM('1:2'!P31)</f>
        <v>0</v>
      </c>
      <c r="Q31" s="93">
        <f>SUM('1:2'!Q31)</f>
        <v>0</v>
      </c>
      <c r="R31" s="93">
        <f>SUM('1:2'!R31)</f>
        <v>0</v>
      </c>
      <c r="S31" s="93">
        <f>SUM('1:2'!S31)</f>
        <v>0</v>
      </c>
      <c r="T31" s="93">
        <f>SUM('1:2'!T31)</f>
        <v>0</v>
      </c>
      <c r="U31" s="93">
        <f>SUM('1:2'!U31)</f>
        <v>0</v>
      </c>
      <c r="V31" s="206">
        <f t="shared" ref="V31:V33" si="16">SUM(X31:AA31)</f>
        <v>0</v>
      </c>
      <c r="W31" s="33" t="str">
        <f t="shared" ref="W31:W33" si="17">IF(ISERROR(V31/G31),"",V31/G31)</f>
        <v/>
      </c>
      <c r="X31" s="93">
        <f>SUM('1:2'!X31)</f>
        <v>0</v>
      </c>
      <c r="Y31" s="93">
        <f>SUM('1:2'!Y31)</f>
        <v>0</v>
      </c>
      <c r="Z31" s="93">
        <f>SUM('1:2'!Z31)</f>
        <v>0</v>
      </c>
      <c r="AA31" s="93">
        <f>SUM('1:2'!AA31)</f>
        <v>0</v>
      </c>
      <c r="AB31" s="358">
        <v>0.19</v>
      </c>
      <c r="AC31" s="269">
        <f t="shared" si="4"/>
        <v>0</v>
      </c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 ht="17.25">
      <c r="A32" s="316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93">
        <f>SUM('1:2'!G32)</f>
        <v>0</v>
      </c>
      <c r="H32" s="246">
        <f t="shared" si="11"/>
        <v>0</v>
      </c>
      <c r="I32" s="93">
        <f>SUM('1:2'!I32)</f>
        <v>0</v>
      </c>
      <c r="J32" s="31" t="str">
        <f t="array" ref="J32">IF(ISERROR(G32/I32),"",G32/I32)</f>
        <v/>
      </c>
      <c r="K32" s="35">
        <f t="array" ref="K32">IF(ISERROR(G32/L32),"",G32/L32)</f>
        <v>0</v>
      </c>
      <c r="L32" s="87">
        <v>52</v>
      </c>
      <c r="M32" s="36">
        <f t="shared" si="15"/>
        <v>0</v>
      </c>
      <c r="N32" s="93">
        <f>SUM('1:2'!N32)</f>
        <v>0</v>
      </c>
      <c r="O32" s="93">
        <f>SUM('1:2'!O32)</f>
        <v>0</v>
      </c>
      <c r="P32" s="93">
        <f>SUM('1:2'!P32)</f>
        <v>0</v>
      </c>
      <c r="Q32" s="93">
        <f>SUM('1:2'!Q32)</f>
        <v>0</v>
      </c>
      <c r="R32" s="93">
        <f>SUM('1:2'!R32)</f>
        <v>0</v>
      </c>
      <c r="S32" s="93">
        <f>SUM('1:2'!S32)</f>
        <v>0</v>
      </c>
      <c r="T32" s="93">
        <f>SUM('1:2'!T32)</f>
        <v>0</v>
      </c>
      <c r="U32" s="93">
        <f>SUM('1:2'!U32)</f>
        <v>0</v>
      </c>
      <c r="V32" s="206">
        <f t="shared" si="16"/>
        <v>0</v>
      </c>
      <c r="W32" s="33" t="str">
        <f t="shared" si="17"/>
        <v/>
      </c>
      <c r="X32" s="93">
        <f>SUM('1:2'!X32)</f>
        <v>0</v>
      </c>
      <c r="Y32" s="93">
        <f>SUM('1:2'!Y32)</f>
        <v>0</v>
      </c>
      <c r="Z32" s="93">
        <f>SUM('1:2'!Z32)</f>
        <v>0</v>
      </c>
      <c r="AA32" s="93">
        <f>SUM('1:2'!AA32)</f>
        <v>0</v>
      </c>
      <c r="AB32" s="358">
        <v>0.19</v>
      </c>
      <c r="AC32" s="269">
        <f t="shared" si="4"/>
        <v>0</v>
      </c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 ht="17.25">
      <c r="A33" s="316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93">
        <f>SUM('1:2'!G33)</f>
        <v>0</v>
      </c>
      <c r="H33" s="246">
        <f t="shared" si="11"/>
        <v>0</v>
      </c>
      <c r="I33" s="93">
        <f>SUM('1:2'!I33)</f>
        <v>0</v>
      </c>
      <c r="J33" s="31" t="str">
        <f t="array" ref="J33">IF(ISERROR(G33/I33),"",G33/I33)</f>
        <v/>
      </c>
      <c r="K33" s="35">
        <f t="array" ref="K33">IF(ISERROR(G33/L33),"",G33/L33)</f>
        <v>0</v>
      </c>
      <c r="L33" s="87">
        <v>52</v>
      </c>
      <c r="M33" s="36">
        <f t="shared" si="15"/>
        <v>0</v>
      </c>
      <c r="N33" s="93">
        <f>SUM('1:2'!N33)</f>
        <v>0</v>
      </c>
      <c r="O33" s="93">
        <f>SUM('1:2'!O33)</f>
        <v>0</v>
      </c>
      <c r="P33" s="93">
        <f>SUM('1:2'!P33)</f>
        <v>0</v>
      </c>
      <c r="Q33" s="93">
        <f>SUM('1:2'!Q33)</f>
        <v>0</v>
      </c>
      <c r="R33" s="93">
        <f>SUM('1:2'!R33)</f>
        <v>0</v>
      </c>
      <c r="S33" s="93">
        <f>SUM('1:2'!S33)</f>
        <v>0</v>
      </c>
      <c r="T33" s="93">
        <f>SUM('1:2'!T33)</f>
        <v>0</v>
      </c>
      <c r="U33" s="93">
        <f>SUM('1:2'!U33)</f>
        <v>0</v>
      </c>
      <c r="V33" s="206">
        <f t="shared" si="16"/>
        <v>0</v>
      </c>
      <c r="W33" s="33" t="str">
        <f t="shared" si="17"/>
        <v/>
      </c>
      <c r="X33" s="93">
        <f>SUM('1:2'!X33)</f>
        <v>0</v>
      </c>
      <c r="Y33" s="93">
        <f>SUM('1:2'!Y33)</f>
        <v>0</v>
      </c>
      <c r="Z33" s="93">
        <f>SUM('1:2'!Z33)</f>
        <v>0</v>
      </c>
      <c r="AA33" s="93">
        <f>SUM('1:2'!AA33)</f>
        <v>0</v>
      </c>
      <c r="AB33" s="358">
        <v>0.19</v>
      </c>
      <c r="AC33" s="269">
        <f t="shared" si="4"/>
        <v>0</v>
      </c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 ht="17.25">
      <c r="A34" s="316">
        <v>30100016</v>
      </c>
      <c r="B34" s="291" t="s">
        <v>454</v>
      </c>
      <c r="C34" s="187" t="s">
        <v>415</v>
      </c>
      <c r="D34" s="17"/>
      <c r="E34" s="17"/>
      <c r="F34" s="6"/>
      <c r="G34" s="93">
        <f>SUM('1:2'!G34)</f>
        <v>0</v>
      </c>
      <c r="H34" s="246">
        <f t="shared" si="11"/>
        <v>0</v>
      </c>
      <c r="I34" s="93">
        <f>SUM('1:2'!I34)</f>
        <v>0</v>
      </c>
      <c r="J34" s="31"/>
      <c r="K34" s="35"/>
      <c r="L34" s="87">
        <v>52</v>
      </c>
      <c r="M34" s="36"/>
      <c r="N34" s="93"/>
      <c r="O34" s="93"/>
      <c r="P34" s="93"/>
      <c r="Q34" s="93"/>
      <c r="R34" s="93"/>
      <c r="S34" s="93"/>
      <c r="T34" s="93"/>
      <c r="U34" s="93"/>
      <c r="V34" s="206"/>
      <c r="W34" s="33"/>
      <c r="X34" s="93"/>
      <c r="Y34" s="93"/>
      <c r="Z34" s="93"/>
      <c r="AA34" s="93"/>
      <c r="AB34" s="358">
        <v>0.19</v>
      </c>
      <c r="AC34" s="269">
        <f t="shared" si="4"/>
        <v>0</v>
      </c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 ht="17.25">
      <c r="A35" s="316">
        <v>30100017</v>
      </c>
      <c r="B35" s="291" t="s">
        <v>454</v>
      </c>
      <c r="C35" s="187" t="s">
        <v>416</v>
      </c>
      <c r="D35" s="17"/>
      <c r="E35" s="17"/>
      <c r="F35" s="6"/>
      <c r="G35" s="93">
        <f>SUM('1:2'!G35)</f>
        <v>0</v>
      </c>
      <c r="H35" s="246">
        <f t="shared" si="11"/>
        <v>0</v>
      </c>
      <c r="I35" s="93">
        <f>SUM('1:2'!I35)</f>
        <v>0</v>
      </c>
      <c r="J35" s="31"/>
      <c r="K35" s="35"/>
      <c r="L35" s="87">
        <v>52</v>
      </c>
      <c r="M35" s="36"/>
      <c r="N35" s="93"/>
      <c r="O35" s="93"/>
      <c r="P35" s="93"/>
      <c r="Q35" s="93"/>
      <c r="R35" s="93"/>
      <c r="S35" s="93"/>
      <c r="T35" s="93"/>
      <c r="U35" s="93"/>
      <c r="V35" s="206"/>
      <c r="W35" s="33"/>
      <c r="X35" s="93"/>
      <c r="Y35" s="93"/>
      <c r="Z35" s="93"/>
      <c r="AA35" s="93"/>
      <c r="AB35" s="358">
        <v>0.19</v>
      </c>
      <c r="AC35" s="269">
        <f t="shared" si="4"/>
        <v>0</v>
      </c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 ht="17.25">
      <c r="A36" s="316">
        <v>30100015</v>
      </c>
      <c r="B36" s="291" t="s">
        <v>454</v>
      </c>
      <c r="C36" s="187" t="s">
        <v>61</v>
      </c>
      <c r="D36" s="17"/>
      <c r="E36" s="17"/>
      <c r="F36" s="6"/>
      <c r="G36" s="93">
        <f>SUM('1:2'!G36)</f>
        <v>0</v>
      </c>
      <c r="H36" s="246">
        <f t="shared" si="11"/>
        <v>0</v>
      </c>
      <c r="I36" s="93">
        <f>SUM('1:2'!I36)</f>
        <v>0</v>
      </c>
      <c r="J36" s="31"/>
      <c r="K36" s="35"/>
      <c r="L36" s="87">
        <v>52</v>
      </c>
      <c r="M36" s="36"/>
      <c r="N36" s="93"/>
      <c r="O36" s="93"/>
      <c r="P36" s="93"/>
      <c r="Q36" s="93"/>
      <c r="R36" s="93"/>
      <c r="S36" s="93"/>
      <c r="T36" s="93"/>
      <c r="U36" s="93"/>
      <c r="V36" s="206"/>
      <c r="W36" s="33"/>
      <c r="X36" s="93"/>
      <c r="Y36" s="93"/>
      <c r="Z36" s="93"/>
      <c r="AA36" s="93"/>
      <c r="AB36" s="358">
        <v>0.19</v>
      </c>
      <c r="AC36" s="269">
        <f t="shared" si="4"/>
        <v>0</v>
      </c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 ht="17.25">
      <c r="A37" s="316">
        <v>30100027</v>
      </c>
      <c r="B37" s="61" t="s">
        <v>78</v>
      </c>
      <c r="C37" s="16" t="s">
        <v>53</v>
      </c>
      <c r="D37" s="17">
        <v>5.08</v>
      </c>
      <c r="E37" s="17"/>
      <c r="F37" s="6"/>
      <c r="G37" s="93">
        <f>SUM('1:2'!G37)</f>
        <v>633</v>
      </c>
      <c r="H37" s="246">
        <f t="shared" si="11"/>
        <v>3215.64</v>
      </c>
      <c r="I37" s="93">
        <f>SUM('1:2'!I37)</f>
        <v>33</v>
      </c>
      <c r="J37" s="31">
        <f t="array" ref="J37">IF(ISERROR(G37/I37),"",G37/I37)</f>
        <v>19.181818181818183</v>
      </c>
      <c r="K37" s="35">
        <f t="array" ref="K37">IF(ISERROR(G37/L37),"",G37/L37)</f>
        <v>30.142857142857142</v>
      </c>
      <c r="L37" s="87">
        <v>21</v>
      </c>
      <c r="M37" s="36">
        <f t="shared" ref="M37:M66" si="18">IF(ISERROR(I37-K37),"",I37-K37)</f>
        <v>2.8571428571428577</v>
      </c>
      <c r="N37" s="93">
        <f>SUM('1:2'!N37)</f>
        <v>0</v>
      </c>
      <c r="O37" s="93">
        <f>SUM('1:2'!O37)</f>
        <v>0</v>
      </c>
      <c r="P37" s="93">
        <f>SUM('1:2'!P37)</f>
        <v>0</v>
      </c>
      <c r="Q37" s="93">
        <f>SUM('1:2'!Q37)</f>
        <v>0</v>
      </c>
      <c r="R37" s="93">
        <f>SUM('1:2'!R37)</f>
        <v>0</v>
      </c>
      <c r="S37" s="93">
        <f>SUM('1:2'!S37)</f>
        <v>0</v>
      </c>
      <c r="T37" s="93">
        <f>SUM('1:2'!T37)</f>
        <v>0</v>
      </c>
      <c r="U37" s="93">
        <f>SUM('1:2'!U37)</f>
        <v>0</v>
      </c>
      <c r="V37" s="206">
        <f t="shared" ref="V37:V48" si="19">SUM(X37:AA37)</f>
        <v>0</v>
      </c>
      <c r="W37" s="33">
        <f t="shared" ref="W37:W48" si="20">IF(ISERROR(V37/G37),"",V37/G37)</f>
        <v>0</v>
      </c>
      <c r="X37" s="93">
        <f>SUM('1:2'!X37)</f>
        <v>0</v>
      </c>
      <c r="Y37" s="93">
        <f>SUM('1:2'!Y37)</f>
        <v>0</v>
      </c>
      <c r="Z37" s="93">
        <f>SUM('1:2'!Z37)</f>
        <v>0</v>
      </c>
      <c r="AA37" s="93">
        <f>SUM('1:2'!AA37)</f>
        <v>0</v>
      </c>
      <c r="AB37" s="358">
        <v>0.49</v>
      </c>
      <c r="AC37" s="269">
        <f t="shared" si="4"/>
        <v>310.17</v>
      </c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 ht="17.25">
      <c r="A38" s="316">
        <v>30100023</v>
      </c>
      <c r="B38" s="61" t="s">
        <v>78</v>
      </c>
      <c r="C38" s="16" t="s">
        <v>74</v>
      </c>
      <c r="D38" s="17">
        <v>5.08</v>
      </c>
      <c r="E38" s="17"/>
      <c r="F38" s="6"/>
      <c r="G38" s="93">
        <f>SUM('1:2'!G38)</f>
        <v>648</v>
      </c>
      <c r="H38" s="246">
        <f t="shared" si="11"/>
        <v>3291.84</v>
      </c>
      <c r="I38" s="93">
        <f>SUM('1:2'!I38)</f>
        <v>33</v>
      </c>
      <c r="J38" s="31">
        <f t="array" ref="J38">IF(ISERROR(G38/I38),"",G38/I38)</f>
        <v>19.636363636363637</v>
      </c>
      <c r="K38" s="35">
        <f t="array" ref="K38">IF(ISERROR(G38/L38),"",G38/L38)</f>
        <v>30.857142857142858</v>
      </c>
      <c r="L38" s="87">
        <v>21</v>
      </c>
      <c r="M38" s="36">
        <f t="shared" si="18"/>
        <v>2.1428571428571423</v>
      </c>
      <c r="N38" s="93">
        <f>SUM('1:2'!N38)</f>
        <v>0</v>
      </c>
      <c r="O38" s="93">
        <f>SUM('1:2'!O38)</f>
        <v>0</v>
      </c>
      <c r="P38" s="93">
        <f>SUM('1:2'!P38)</f>
        <v>0</v>
      </c>
      <c r="Q38" s="93">
        <f>SUM('1:2'!Q38)</f>
        <v>0</v>
      </c>
      <c r="R38" s="93">
        <f>SUM('1:2'!R38)</f>
        <v>0</v>
      </c>
      <c r="S38" s="93">
        <f>SUM('1:2'!S38)</f>
        <v>0</v>
      </c>
      <c r="T38" s="93">
        <f>SUM('1:2'!T38)</f>
        <v>0</v>
      </c>
      <c r="U38" s="93">
        <f>SUM('1:2'!U38)</f>
        <v>0</v>
      </c>
      <c r="V38" s="206">
        <f t="shared" si="19"/>
        <v>0</v>
      </c>
      <c r="W38" s="33">
        <f t="shared" si="20"/>
        <v>0</v>
      </c>
      <c r="X38" s="93">
        <f>SUM('1:2'!X38)</f>
        <v>0</v>
      </c>
      <c r="Y38" s="93">
        <f>SUM('1:2'!Y38)</f>
        <v>0</v>
      </c>
      <c r="Z38" s="93">
        <f>SUM('1:2'!Z38)</f>
        <v>0</v>
      </c>
      <c r="AA38" s="93">
        <f>SUM('1:2'!AA38)</f>
        <v>0</v>
      </c>
      <c r="AB38" s="358">
        <v>0.49</v>
      </c>
      <c r="AC38" s="269">
        <f t="shared" si="4"/>
        <v>317.52</v>
      </c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 ht="17.25">
      <c r="A39" s="316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93">
        <f>SUM('1:2'!G39)</f>
        <v>0</v>
      </c>
      <c r="H39" s="246">
        <f t="shared" si="11"/>
        <v>0</v>
      </c>
      <c r="I39" s="93">
        <f>SUM('1:2'!I39)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87">
        <v>21</v>
      </c>
      <c r="M39" s="36">
        <f t="shared" si="18"/>
        <v>0</v>
      </c>
      <c r="N39" s="93">
        <f>SUM('1:2'!N39)</f>
        <v>0</v>
      </c>
      <c r="O39" s="93">
        <f>SUM('1:2'!O39)</f>
        <v>0</v>
      </c>
      <c r="P39" s="93">
        <f>SUM('1:2'!P39)</f>
        <v>0</v>
      </c>
      <c r="Q39" s="93">
        <f>SUM('1:2'!Q39)</f>
        <v>0</v>
      </c>
      <c r="R39" s="93">
        <f>SUM('1:2'!R39)</f>
        <v>0</v>
      </c>
      <c r="S39" s="93">
        <f>SUM('1:2'!S39)</f>
        <v>0</v>
      </c>
      <c r="T39" s="93">
        <f>SUM('1:2'!T39)</f>
        <v>0</v>
      </c>
      <c r="U39" s="93">
        <f>SUM('1:2'!U39)</f>
        <v>0</v>
      </c>
      <c r="V39" s="206">
        <f t="shared" si="19"/>
        <v>0</v>
      </c>
      <c r="W39" s="33" t="str">
        <f t="shared" si="20"/>
        <v/>
      </c>
      <c r="X39" s="93">
        <f>SUM('1:2'!X39)</f>
        <v>0</v>
      </c>
      <c r="Y39" s="93">
        <f>SUM('1:2'!Y39)</f>
        <v>0</v>
      </c>
      <c r="Z39" s="93">
        <f>SUM('1:2'!Z39)</f>
        <v>0</v>
      </c>
      <c r="AA39" s="93">
        <f>SUM('1:2'!AA39)</f>
        <v>0</v>
      </c>
      <c r="AB39" s="358">
        <v>0.49</v>
      </c>
      <c r="AC39" s="269">
        <f t="shared" si="4"/>
        <v>0</v>
      </c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 ht="17.25">
      <c r="A40" s="316">
        <v>30100022</v>
      </c>
      <c r="B40" s="61" t="s">
        <v>78</v>
      </c>
      <c r="C40" s="16" t="s">
        <v>60</v>
      </c>
      <c r="D40" s="17">
        <v>5.08</v>
      </c>
      <c r="E40" s="17"/>
      <c r="F40" s="6"/>
      <c r="G40" s="93">
        <f>SUM('1:2'!G40)</f>
        <v>0</v>
      </c>
      <c r="H40" s="246">
        <f t="shared" si="11"/>
        <v>0</v>
      </c>
      <c r="I40" s="93">
        <f>SUM('1:2'!I40)</f>
        <v>0</v>
      </c>
      <c r="J40" s="31" t="str">
        <f t="array" ref="J40">IF(ISERROR(G40/I40),"",G40/I40)</f>
        <v/>
      </c>
      <c r="K40" s="35">
        <f t="array" ref="K40">IF(ISERROR(G40/L40),"",G40/L40)</f>
        <v>0</v>
      </c>
      <c r="L40" s="87">
        <v>21</v>
      </c>
      <c r="M40" s="36">
        <f t="shared" si="18"/>
        <v>0</v>
      </c>
      <c r="N40" s="93">
        <f>SUM('1:2'!N40)</f>
        <v>0</v>
      </c>
      <c r="O40" s="93">
        <f>SUM('1:2'!O40)</f>
        <v>0</v>
      </c>
      <c r="P40" s="93">
        <f>SUM('1:2'!P40)</f>
        <v>0</v>
      </c>
      <c r="Q40" s="93">
        <f>SUM('1:2'!Q40)</f>
        <v>0</v>
      </c>
      <c r="R40" s="93">
        <f>SUM('1:2'!R40)</f>
        <v>0</v>
      </c>
      <c r="S40" s="93">
        <f>SUM('1:2'!S40)</f>
        <v>0</v>
      </c>
      <c r="T40" s="93">
        <f>SUM('1:2'!T40)</f>
        <v>0</v>
      </c>
      <c r="U40" s="93">
        <f>SUM('1:2'!U40)</f>
        <v>0</v>
      </c>
      <c r="V40" s="206">
        <f t="shared" si="19"/>
        <v>0</v>
      </c>
      <c r="W40" s="33" t="str">
        <f t="shared" si="20"/>
        <v/>
      </c>
      <c r="X40" s="93">
        <f>SUM('1:2'!X40)</f>
        <v>0</v>
      </c>
      <c r="Y40" s="93">
        <f>SUM('1:2'!Y40)</f>
        <v>0</v>
      </c>
      <c r="Z40" s="93">
        <f>SUM('1:2'!Z40)</f>
        <v>0</v>
      </c>
      <c r="AA40" s="93">
        <f>SUM('1:2'!AA40)</f>
        <v>0</v>
      </c>
      <c r="AB40" s="358">
        <v>0.49</v>
      </c>
      <c r="AC40" s="269">
        <f t="shared" si="4"/>
        <v>0</v>
      </c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 ht="17.25">
      <c r="A41" s="316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93">
        <f>SUM('1:2'!G41)</f>
        <v>0</v>
      </c>
      <c r="H41" s="246">
        <f t="shared" si="11"/>
        <v>0</v>
      </c>
      <c r="I41" s="93">
        <f>SUM('1:2'!I41)</f>
        <v>0</v>
      </c>
      <c r="J41" s="31" t="str">
        <f t="array" ref="J41">IF(ISERROR(G41/I41),"",G41/I41)</f>
        <v/>
      </c>
      <c r="K41" s="35">
        <f t="array" ref="K41">IF(ISERROR(G41/L41),"",G41/L41)</f>
        <v>0</v>
      </c>
      <c r="L41" s="87">
        <v>21</v>
      </c>
      <c r="M41" s="36">
        <f t="shared" si="18"/>
        <v>0</v>
      </c>
      <c r="N41" s="93">
        <f>SUM('1:2'!N41)</f>
        <v>0</v>
      </c>
      <c r="O41" s="93">
        <f>SUM('1:2'!O41)</f>
        <v>0</v>
      </c>
      <c r="P41" s="93">
        <f>SUM('1:2'!P41)</f>
        <v>0</v>
      </c>
      <c r="Q41" s="93">
        <f>SUM('1:2'!Q41)</f>
        <v>0</v>
      </c>
      <c r="R41" s="93">
        <f>SUM('1:2'!R41)</f>
        <v>0</v>
      </c>
      <c r="S41" s="93">
        <f>SUM('1:2'!S41)</f>
        <v>0</v>
      </c>
      <c r="T41" s="93">
        <f>SUM('1:2'!T41)</f>
        <v>0</v>
      </c>
      <c r="U41" s="93">
        <f>SUM('1:2'!U41)</f>
        <v>0</v>
      </c>
      <c r="V41" s="206">
        <f t="shared" si="19"/>
        <v>0</v>
      </c>
      <c r="W41" s="33" t="str">
        <f t="shared" si="20"/>
        <v/>
      </c>
      <c r="X41" s="93">
        <f>SUM('1:2'!X41)</f>
        <v>0</v>
      </c>
      <c r="Y41" s="93">
        <f>SUM('1:2'!Y41)</f>
        <v>0</v>
      </c>
      <c r="Z41" s="93">
        <f>SUM('1:2'!Z41)</f>
        <v>0</v>
      </c>
      <c r="AA41" s="93">
        <f>SUM('1:2'!AA41)</f>
        <v>0</v>
      </c>
      <c r="AB41" s="358">
        <v>0.49</v>
      </c>
      <c r="AC41" s="269">
        <f t="shared" si="4"/>
        <v>0</v>
      </c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 ht="17.25">
      <c r="A42" s="316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93">
        <f>SUM('1:2'!G42)</f>
        <v>0</v>
      </c>
      <c r="H42" s="246">
        <f t="shared" si="11"/>
        <v>0</v>
      </c>
      <c r="I42" s="93">
        <f>SUM('1:2'!I42)</f>
        <v>0</v>
      </c>
      <c r="J42" s="31" t="str">
        <f t="array" ref="J42">IF(ISERROR(G42/I42),"",G42/I42)</f>
        <v/>
      </c>
      <c r="K42" s="35">
        <f t="array" ref="K42">IF(ISERROR(G42/L42),"",G42/L42)</f>
        <v>0</v>
      </c>
      <c r="L42" s="87">
        <v>21</v>
      </c>
      <c r="M42" s="36">
        <f t="shared" si="18"/>
        <v>0</v>
      </c>
      <c r="N42" s="93">
        <f>SUM('1:2'!N42)</f>
        <v>0</v>
      </c>
      <c r="O42" s="93">
        <f>SUM('1:2'!O42)</f>
        <v>0</v>
      </c>
      <c r="P42" s="93">
        <f>SUM('1:2'!P42)</f>
        <v>0</v>
      </c>
      <c r="Q42" s="93">
        <f>SUM('1:2'!Q42)</f>
        <v>0</v>
      </c>
      <c r="R42" s="93">
        <f>SUM('1:2'!R42)</f>
        <v>0</v>
      </c>
      <c r="S42" s="93">
        <f>SUM('1:2'!S42)</f>
        <v>0</v>
      </c>
      <c r="T42" s="93">
        <f>SUM('1:2'!T42)</f>
        <v>0</v>
      </c>
      <c r="U42" s="93">
        <f>SUM('1:2'!U42)</f>
        <v>0</v>
      </c>
      <c r="V42" s="206">
        <f t="shared" si="19"/>
        <v>0</v>
      </c>
      <c r="W42" s="33" t="str">
        <f t="shared" si="20"/>
        <v/>
      </c>
      <c r="X42" s="93">
        <f>SUM('1:2'!X42)</f>
        <v>0</v>
      </c>
      <c r="Y42" s="93">
        <f>SUM('1:2'!Y42)</f>
        <v>0</v>
      </c>
      <c r="Z42" s="93">
        <f>SUM('1:2'!Z42)</f>
        <v>0</v>
      </c>
      <c r="AA42" s="93">
        <f>SUM('1:2'!AA42)</f>
        <v>0</v>
      </c>
      <c r="AB42" s="358">
        <v>0.49</v>
      </c>
      <c r="AC42" s="269">
        <f t="shared" si="4"/>
        <v>0</v>
      </c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 ht="17.25">
      <c r="A43" s="316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93">
        <f>SUM('1:2'!G43)</f>
        <v>0</v>
      </c>
      <c r="H43" s="246">
        <f t="shared" si="11"/>
        <v>0</v>
      </c>
      <c r="I43" s="93">
        <f>SUM('1:2'!I43)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87">
        <v>21</v>
      </c>
      <c r="M43" s="36">
        <f t="shared" si="18"/>
        <v>0</v>
      </c>
      <c r="N43" s="93">
        <f>SUM('1:2'!N43)</f>
        <v>0</v>
      </c>
      <c r="O43" s="93">
        <f>SUM('1:2'!O43)</f>
        <v>0</v>
      </c>
      <c r="P43" s="93">
        <f>SUM('1:2'!P43)</f>
        <v>0</v>
      </c>
      <c r="Q43" s="93">
        <f>SUM('1:2'!Q43)</f>
        <v>0</v>
      </c>
      <c r="R43" s="93">
        <f>SUM('1:2'!R43)</f>
        <v>0</v>
      </c>
      <c r="S43" s="93">
        <f>SUM('1:2'!S43)</f>
        <v>0</v>
      </c>
      <c r="T43" s="93">
        <f>SUM('1:2'!T43)</f>
        <v>0</v>
      </c>
      <c r="U43" s="93">
        <f>SUM('1:2'!U43)</f>
        <v>0</v>
      </c>
      <c r="V43" s="206">
        <f t="shared" si="19"/>
        <v>0</v>
      </c>
      <c r="W43" s="33" t="str">
        <f t="shared" si="20"/>
        <v/>
      </c>
      <c r="X43" s="93">
        <f>SUM('1:2'!X43)</f>
        <v>0</v>
      </c>
      <c r="Y43" s="93">
        <f>SUM('1:2'!Y43)</f>
        <v>0</v>
      </c>
      <c r="Z43" s="93">
        <f>SUM('1:2'!Z43)</f>
        <v>0</v>
      </c>
      <c r="AA43" s="93">
        <f>SUM('1:2'!AA43)</f>
        <v>0</v>
      </c>
      <c r="AB43" s="358">
        <v>0.49</v>
      </c>
      <c r="AC43" s="269">
        <f t="shared" si="4"/>
        <v>0</v>
      </c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 ht="17.25">
      <c r="A44" s="316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93">
        <f>SUM('1:2'!G44)</f>
        <v>0</v>
      </c>
      <c r="H44" s="246">
        <f t="shared" si="11"/>
        <v>0</v>
      </c>
      <c r="I44" s="93">
        <f>SUM('1:2'!I44)</f>
        <v>0</v>
      </c>
      <c r="J44" s="31" t="str">
        <f t="array" ref="J44">IF(ISERROR(G44/I44),"",G44/I44)</f>
        <v/>
      </c>
      <c r="K44" s="35">
        <f t="array" ref="K44">IF(ISERROR(G44/L44),"",G44/L44)</f>
        <v>0</v>
      </c>
      <c r="L44" s="87">
        <v>21</v>
      </c>
      <c r="M44" s="36">
        <f t="shared" si="18"/>
        <v>0</v>
      </c>
      <c r="N44" s="93">
        <f>SUM('1:2'!N44)</f>
        <v>0</v>
      </c>
      <c r="O44" s="93">
        <f>SUM('1:2'!O44)</f>
        <v>0</v>
      </c>
      <c r="P44" s="93">
        <f>SUM('1:2'!P44)</f>
        <v>0</v>
      </c>
      <c r="Q44" s="93">
        <f>SUM('1:2'!Q44)</f>
        <v>0</v>
      </c>
      <c r="R44" s="93">
        <f>SUM('1:2'!R44)</f>
        <v>0</v>
      </c>
      <c r="S44" s="93">
        <f>SUM('1:2'!S44)</f>
        <v>0</v>
      </c>
      <c r="T44" s="93">
        <f>SUM('1:2'!T44)</f>
        <v>0</v>
      </c>
      <c r="U44" s="93">
        <f>SUM('1:2'!U44)</f>
        <v>0</v>
      </c>
      <c r="V44" s="206">
        <f t="shared" si="19"/>
        <v>0</v>
      </c>
      <c r="W44" s="33" t="str">
        <f t="shared" si="20"/>
        <v/>
      </c>
      <c r="X44" s="93">
        <f>SUM('1:2'!X44)</f>
        <v>0</v>
      </c>
      <c r="Y44" s="93">
        <f>SUM('1:2'!Y44)</f>
        <v>0</v>
      </c>
      <c r="Z44" s="93">
        <f>SUM('1:2'!Z44)</f>
        <v>0</v>
      </c>
      <c r="AA44" s="93">
        <f>SUM('1:2'!AA44)</f>
        <v>0</v>
      </c>
      <c r="AB44" s="358">
        <v>0.49</v>
      </c>
      <c r="AC44" s="269">
        <f t="shared" si="4"/>
        <v>0</v>
      </c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 ht="17.25">
      <c r="A45" s="316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93">
        <f>SUM('1:2'!G45)</f>
        <v>423</v>
      </c>
      <c r="H45" s="246">
        <f t="shared" si="11"/>
        <v>2127.69</v>
      </c>
      <c r="I45" s="93">
        <f>SUM('1:2'!I45)</f>
        <v>6</v>
      </c>
      <c r="J45" s="31">
        <f t="array" ref="J45">IF(ISERROR(G45/I45),"",G45/I45)</f>
        <v>70.5</v>
      </c>
      <c r="K45" s="35">
        <f t="array" ref="K45">IF(ISERROR(G45/L45),"",G45/L45)</f>
        <v>7.5535714285714288</v>
      </c>
      <c r="L45" s="87">
        <v>56</v>
      </c>
      <c r="M45" s="36">
        <f t="shared" si="18"/>
        <v>-1.5535714285714288</v>
      </c>
      <c r="N45" s="93">
        <f>SUM('1:2'!N45)</f>
        <v>0</v>
      </c>
      <c r="O45" s="93">
        <f>SUM('1:2'!O45)</f>
        <v>0</v>
      </c>
      <c r="P45" s="93">
        <f>SUM('1:2'!P45)</f>
        <v>0</v>
      </c>
      <c r="Q45" s="93">
        <f>SUM('1:2'!Q45)</f>
        <v>0</v>
      </c>
      <c r="R45" s="93">
        <f>SUM('1:2'!R45)</f>
        <v>0</v>
      </c>
      <c r="S45" s="93">
        <f>SUM('1:2'!S45)</f>
        <v>0</v>
      </c>
      <c r="T45" s="93">
        <f>SUM('1:2'!T45)</f>
        <v>0</v>
      </c>
      <c r="U45" s="93">
        <f>SUM('1:2'!U45)</f>
        <v>0</v>
      </c>
      <c r="V45" s="206">
        <f t="shared" si="19"/>
        <v>0</v>
      </c>
      <c r="W45" s="33">
        <f t="shared" si="20"/>
        <v>0</v>
      </c>
      <c r="X45" s="93">
        <f>SUM('1:2'!X45)</f>
        <v>0</v>
      </c>
      <c r="Y45" s="93">
        <f>SUM('1:2'!Y45)</f>
        <v>0</v>
      </c>
      <c r="Z45" s="93">
        <f>SUM('1:2'!Z45)</f>
        <v>0</v>
      </c>
      <c r="AA45" s="93">
        <f>SUM('1:2'!AA45)</f>
        <v>0</v>
      </c>
      <c r="AB45" s="358">
        <v>0.18</v>
      </c>
      <c r="AC45" s="269">
        <f t="shared" si="4"/>
        <v>76.14</v>
      </c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 ht="17.25">
      <c r="A46" s="316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93">
        <f>SUM('1:2'!G46)</f>
        <v>1649</v>
      </c>
      <c r="H46" s="246">
        <f t="shared" si="11"/>
        <v>8294.4700000000012</v>
      </c>
      <c r="I46" s="93">
        <f>SUM('1:2'!I46)</f>
        <v>22</v>
      </c>
      <c r="J46" s="31">
        <f t="array" ref="J46">IF(ISERROR(G46/I46),"",G46/I46)</f>
        <v>74.954545454545453</v>
      </c>
      <c r="K46" s="35">
        <f t="array" ref="K46">IF(ISERROR(G46/L46),"",G46/L46)</f>
        <v>29.446428571428573</v>
      </c>
      <c r="L46" s="87">
        <v>56</v>
      </c>
      <c r="M46" s="36">
        <f t="shared" si="18"/>
        <v>-7.446428571428573</v>
      </c>
      <c r="N46" s="93">
        <f>SUM('1:2'!N46)</f>
        <v>0</v>
      </c>
      <c r="O46" s="93">
        <f>SUM('1:2'!O46)</f>
        <v>0</v>
      </c>
      <c r="P46" s="93">
        <f>SUM('1:2'!P46)</f>
        <v>0</v>
      </c>
      <c r="Q46" s="93">
        <f>SUM('1:2'!Q46)</f>
        <v>0</v>
      </c>
      <c r="R46" s="93">
        <f>SUM('1:2'!R46)</f>
        <v>0</v>
      </c>
      <c r="S46" s="93">
        <f>SUM('1:2'!S46)</f>
        <v>0</v>
      </c>
      <c r="T46" s="93">
        <f>SUM('1:2'!T46)</f>
        <v>0</v>
      </c>
      <c r="U46" s="93">
        <f>SUM('1:2'!U46)</f>
        <v>0</v>
      </c>
      <c r="V46" s="206">
        <f t="shared" si="19"/>
        <v>0</v>
      </c>
      <c r="W46" s="33">
        <f t="shared" si="20"/>
        <v>0</v>
      </c>
      <c r="X46" s="93">
        <f>SUM('1:2'!X46)</f>
        <v>0</v>
      </c>
      <c r="Y46" s="93">
        <f>SUM('1:2'!Y46)</f>
        <v>0</v>
      </c>
      <c r="Z46" s="93">
        <f>SUM('1:2'!Z46)</f>
        <v>0</v>
      </c>
      <c r="AA46" s="93">
        <f>SUM('1:2'!AA46)</f>
        <v>0</v>
      </c>
      <c r="AB46" s="358">
        <v>0.18</v>
      </c>
      <c r="AC46" s="269">
        <f t="shared" si="4"/>
        <v>296.82</v>
      </c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 ht="17.25">
      <c r="A47" s="316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93">
        <f>SUM('1:2'!G47)</f>
        <v>0</v>
      </c>
      <c r="H47" s="246">
        <f t="shared" si="11"/>
        <v>0</v>
      </c>
      <c r="I47" s="93">
        <f>SUM('1:2'!I47)</f>
        <v>0</v>
      </c>
      <c r="J47" s="31" t="str">
        <f t="array" ref="J47">IF(ISERROR(G47/I47),"",G47/I47)</f>
        <v/>
      </c>
      <c r="K47" s="35">
        <f t="array" ref="K47">IF(ISERROR(G47/L47),"",G47/L47)</f>
        <v>0</v>
      </c>
      <c r="L47" s="87">
        <v>56</v>
      </c>
      <c r="M47" s="36">
        <f t="shared" si="18"/>
        <v>0</v>
      </c>
      <c r="N47" s="93">
        <f>SUM('1:2'!N47)</f>
        <v>0</v>
      </c>
      <c r="O47" s="93">
        <f>SUM('1:2'!O47)</f>
        <v>0</v>
      </c>
      <c r="P47" s="93">
        <f>SUM('1:2'!P47)</f>
        <v>0</v>
      </c>
      <c r="Q47" s="93">
        <f>SUM('1:2'!Q47)</f>
        <v>0</v>
      </c>
      <c r="R47" s="93">
        <f>SUM('1:2'!R47)</f>
        <v>0</v>
      </c>
      <c r="S47" s="93">
        <f>SUM('1:2'!S47)</f>
        <v>0</v>
      </c>
      <c r="T47" s="93">
        <f>SUM('1:2'!T47)</f>
        <v>0</v>
      </c>
      <c r="U47" s="93">
        <f>SUM('1:2'!U47)</f>
        <v>0</v>
      </c>
      <c r="V47" s="206">
        <f t="shared" si="19"/>
        <v>0</v>
      </c>
      <c r="W47" s="33" t="str">
        <f t="shared" si="20"/>
        <v/>
      </c>
      <c r="X47" s="93">
        <f>SUM('1:2'!X47)</f>
        <v>0</v>
      </c>
      <c r="Y47" s="93">
        <f>SUM('1:2'!Y47)</f>
        <v>0</v>
      </c>
      <c r="Z47" s="93">
        <f>SUM('1:2'!Z47)</f>
        <v>0</v>
      </c>
      <c r="AA47" s="93">
        <f>SUM('1:2'!AA47)</f>
        <v>0</v>
      </c>
      <c r="AB47" s="358">
        <v>0.18</v>
      </c>
      <c r="AC47" s="269">
        <f t="shared" si="4"/>
        <v>0</v>
      </c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 ht="17.25">
      <c r="A48" s="316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93">
        <f>SUM('1:2'!G48)</f>
        <v>897</v>
      </c>
      <c r="H48" s="246">
        <f t="shared" si="11"/>
        <v>4511.91</v>
      </c>
      <c r="I48" s="93">
        <f>SUM('1:2'!I48)</f>
        <v>11</v>
      </c>
      <c r="J48" s="31">
        <f t="array" ref="J48">IF(ISERROR(G48/I48),"",G48/I48)</f>
        <v>81.545454545454547</v>
      </c>
      <c r="K48" s="35">
        <f t="array" ref="K48">IF(ISERROR(G48/L48),"",G48/L48)</f>
        <v>16.017857142857142</v>
      </c>
      <c r="L48" s="87">
        <v>56</v>
      </c>
      <c r="M48" s="36">
        <f t="shared" si="18"/>
        <v>-5.0178571428571423</v>
      </c>
      <c r="N48" s="93">
        <f>SUM('1:2'!N48)</f>
        <v>0</v>
      </c>
      <c r="O48" s="93">
        <f>SUM('1:2'!O48)</f>
        <v>0</v>
      </c>
      <c r="P48" s="93">
        <f>SUM('1:2'!P48)</f>
        <v>0</v>
      </c>
      <c r="Q48" s="93">
        <f>SUM('1:2'!Q48)</f>
        <v>0</v>
      </c>
      <c r="R48" s="93">
        <f>SUM('1:2'!R48)</f>
        <v>0</v>
      </c>
      <c r="S48" s="93">
        <f>SUM('1:2'!S48)</f>
        <v>0</v>
      </c>
      <c r="T48" s="93">
        <f>SUM('1:2'!T48)</f>
        <v>0</v>
      </c>
      <c r="U48" s="93">
        <f>SUM('1:2'!U48)</f>
        <v>0</v>
      </c>
      <c r="V48" s="206">
        <f t="shared" si="19"/>
        <v>0</v>
      </c>
      <c r="W48" s="33">
        <f t="shared" si="20"/>
        <v>0</v>
      </c>
      <c r="X48" s="93">
        <f>SUM('1:2'!X48)</f>
        <v>0</v>
      </c>
      <c r="Y48" s="93">
        <f>SUM('1:2'!Y48)</f>
        <v>0</v>
      </c>
      <c r="Z48" s="93">
        <f>SUM('1:2'!Z48)</f>
        <v>0</v>
      </c>
      <c r="AA48" s="93">
        <f>SUM('1:2'!AA48)</f>
        <v>0</v>
      </c>
      <c r="AB48" s="358">
        <v>0.18</v>
      </c>
      <c r="AC48" s="269">
        <f t="shared" si="4"/>
        <v>161.46</v>
      </c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 ht="17.25">
      <c r="A49" s="316">
        <v>30100019</v>
      </c>
      <c r="B49" s="61" t="s">
        <v>385</v>
      </c>
      <c r="C49" s="16" t="s">
        <v>386</v>
      </c>
      <c r="D49" s="17">
        <v>5.03</v>
      </c>
      <c r="E49" s="17"/>
      <c r="F49" s="6"/>
      <c r="G49" s="93">
        <f>SUM('1:2'!G49)</f>
        <v>0</v>
      </c>
      <c r="H49" s="246">
        <f t="shared" si="11"/>
        <v>0</v>
      </c>
      <c r="I49" s="93">
        <f>SUM('1:2'!I49)</f>
        <v>0</v>
      </c>
      <c r="J49" s="31"/>
      <c r="K49" s="35">
        <f t="array" ref="K49">IF(ISERROR(G49/L49),"",G49/L49)</f>
        <v>0</v>
      </c>
      <c r="L49" s="87">
        <v>54</v>
      </c>
      <c r="M49" s="36">
        <f t="shared" si="18"/>
        <v>0</v>
      </c>
      <c r="N49" s="93">
        <f>SUM('1:2'!N49)</f>
        <v>0</v>
      </c>
      <c r="O49" s="93">
        <f>SUM('1:2'!O49)</f>
        <v>0</v>
      </c>
      <c r="P49" s="93">
        <f>SUM('1:2'!P49)</f>
        <v>0</v>
      </c>
      <c r="Q49" s="93">
        <f>SUM('1:2'!Q49)</f>
        <v>0</v>
      </c>
      <c r="R49" s="93">
        <f>SUM('1:2'!R49)</f>
        <v>0</v>
      </c>
      <c r="S49" s="93">
        <f>SUM('1:2'!S49)</f>
        <v>0</v>
      </c>
      <c r="T49" s="93">
        <f>SUM('1:2'!T49)</f>
        <v>0</v>
      </c>
      <c r="U49" s="93">
        <f>SUM('1:2'!U49)</f>
        <v>0</v>
      </c>
      <c r="V49" s="206"/>
      <c r="W49" s="33"/>
      <c r="X49" s="93">
        <f>SUM('1:2'!X49)</f>
        <v>0</v>
      </c>
      <c r="Y49" s="93">
        <f>SUM('1:2'!Y49)</f>
        <v>0</v>
      </c>
      <c r="Z49" s="93">
        <f>SUM('1:2'!Z49)</f>
        <v>0</v>
      </c>
      <c r="AA49" s="93">
        <f>SUM('1:2'!AA49)</f>
        <v>0</v>
      </c>
      <c r="AB49" s="358">
        <v>0.19</v>
      </c>
      <c r="AC49" s="269">
        <f t="shared" si="4"/>
        <v>0</v>
      </c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 ht="17.25">
      <c r="A50" s="316">
        <v>30100020</v>
      </c>
      <c r="B50" s="61" t="s">
        <v>385</v>
      </c>
      <c r="C50" s="16" t="s">
        <v>387</v>
      </c>
      <c r="D50" s="17">
        <v>5.03</v>
      </c>
      <c r="E50" s="17"/>
      <c r="F50" s="6"/>
      <c r="G50" s="93">
        <f>SUM('1:2'!G50)</f>
        <v>0</v>
      </c>
      <c r="H50" s="246">
        <f t="shared" si="11"/>
        <v>0</v>
      </c>
      <c r="I50" s="93">
        <f>SUM('1:2'!I50)</f>
        <v>0</v>
      </c>
      <c r="J50" s="31"/>
      <c r="K50" s="35">
        <f t="array" ref="K50">IF(ISERROR(G50/L50),"",G50/L50)</f>
        <v>0</v>
      </c>
      <c r="L50" s="87">
        <v>54</v>
      </c>
      <c r="M50" s="36">
        <f t="shared" si="18"/>
        <v>0</v>
      </c>
      <c r="N50" s="93">
        <f>SUM('1:2'!N50)</f>
        <v>0</v>
      </c>
      <c r="O50" s="93">
        <f>SUM('1:2'!O50)</f>
        <v>0</v>
      </c>
      <c r="P50" s="93">
        <f>SUM('1:2'!P50)</f>
        <v>0</v>
      </c>
      <c r="Q50" s="93">
        <f>SUM('1:2'!Q50)</f>
        <v>0</v>
      </c>
      <c r="R50" s="93">
        <f>SUM('1:2'!R50)</f>
        <v>0</v>
      </c>
      <c r="S50" s="93">
        <f>SUM('1:2'!S50)</f>
        <v>0</v>
      </c>
      <c r="T50" s="93">
        <f>SUM('1:2'!T50)</f>
        <v>0</v>
      </c>
      <c r="U50" s="93">
        <f>SUM('1:2'!U50)</f>
        <v>0</v>
      </c>
      <c r="V50" s="206"/>
      <c r="W50" s="33"/>
      <c r="X50" s="93">
        <f>SUM('1:2'!X50)</f>
        <v>0</v>
      </c>
      <c r="Y50" s="93">
        <f>SUM('1:2'!Y50)</f>
        <v>0</v>
      </c>
      <c r="Z50" s="93">
        <f>SUM('1:2'!Z50)</f>
        <v>0</v>
      </c>
      <c r="AA50" s="93">
        <f>SUM('1:2'!AA50)</f>
        <v>0</v>
      </c>
      <c r="AB50" s="358">
        <v>0.19</v>
      </c>
      <c r="AC50" s="269">
        <f t="shared" si="4"/>
        <v>0</v>
      </c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 ht="17.25">
      <c r="A51" s="316">
        <v>30100021</v>
      </c>
      <c r="B51" s="190" t="s">
        <v>455</v>
      </c>
      <c r="C51" s="16" t="s">
        <v>389</v>
      </c>
      <c r="D51" s="17">
        <v>5.03</v>
      </c>
      <c r="E51" s="17"/>
      <c r="F51" s="6"/>
      <c r="G51" s="93">
        <f>SUM('1:2'!G51)</f>
        <v>0</v>
      </c>
      <c r="H51" s="246">
        <f t="shared" si="11"/>
        <v>0</v>
      </c>
      <c r="I51" s="93">
        <f>SUM('1:2'!I51)</f>
        <v>0</v>
      </c>
      <c r="J51" s="31"/>
      <c r="K51" s="35">
        <f t="array" ref="K51">IF(ISERROR(G51/L51),"",G51/L51)</f>
        <v>0</v>
      </c>
      <c r="L51" s="87">
        <v>54</v>
      </c>
      <c r="M51" s="36">
        <f t="shared" si="18"/>
        <v>0</v>
      </c>
      <c r="N51" s="93">
        <f>SUM('1:2'!N51)</f>
        <v>0</v>
      </c>
      <c r="O51" s="93">
        <f>SUM('1:2'!O51)</f>
        <v>0</v>
      </c>
      <c r="P51" s="93">
        <f>SUM('1:2'!P51)</f>
        <v>0</v>
      </c>
      <c r="Q51" s="93">
        <f>SUM('1:2'!Q51)</f>
        <v>0</v>
      </c>
      <c r="R51" s="93">
        <f>SUM('1:2'!R51)</f>
        <v>0</v>
      </c>
      <c r="S51" s="93">
        <f>SUM('1:2'!S51)</f>
        <v>0</v>
      </c>
      <c r="T51" s="93">
        <f>SUM('1:2'!T51)</f>
        <v>0</v>
      </c>
      <c r="U51" s="93">
        <f>SUM('1:2'!U51)</f>
        <v>0</v>
      </c>
      <c r="V51" s="206"/>
      <c r="W51" s="33"/>
      <c r="X51" s="93">
        <f>SUM('1:2'!X51)</f>
        <v>0</v>
      </c>
      <c r="Y51" s="93">
        <f>SUM('1:2'!Y51)</f>
        <v>0</v>
      </c>
      <c r="Z51" s="93">
        <f>SUM('1:2'!Z51)</f>
        <v>0</v>
      </c>
      <c r="AA51" s="93">
        <f>SUM('1:2'!AA51)</f>
        <v>0</v>
      </c>
      <c r="AB51" s="358">
        <v>0.19</v>
      </c>
      <c r="AC51" s="269">
        <f t="shared" si="4"/>
        <v>0</v>
      </c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 ht="17.25">
      <c r="A52" s="316">
        <v>30100018</v>
      </c>
      <c r="B52" s="190" t="s">
        <v>455</v>
      </c>
      <c r="C52" s="16" t="s">
        <v>391</v>
      </c>
      <c r="D52" s="17">
        <v>5.03</v>
      </c>
      <c r="E52" s="17"/>
      <c r="F52" s="6"/>
      <c r="G52" s="93">
        <f>SUM('1:2'!G52)</f>
        <v>0</v>
      </c>
      <c r="H52" s="246">
        <f t="shared" si="11"/>
        <v>0</v>
      </c>
      <c r="I52" s="93">
        <f>SUM('1:2'!I52)</f>
        <v>0</v>
      </c>
      <c r="J52" s="31"/>
      <c r="K52" s="35">
        <f t="array" ref="K52">IF(ISERROR(G52/L52),"",G52/L52)</f>
        <v>0</v>
      </c>
      <c r="L52" s="87">
        <v>54</v>
      </c>
      <c r="M52" s="36">
        <f t="shared" si="18"/>
        <v>0</v>
      </c>
      <c r="N52" s="93">
        <f>SUM('1:2'!N52)</f>
        <v>0</v>
      </c>
      <c r="O52" s="93">
        <f>SUM('1:2'!O52)</f>
        <v>0</v>
      </c>
      <c r="P52" s="93">
        <f>SUM('1:2'!P52)</f>
        <v>0</v>
      </c>
      <c r="Q52" s="93">
        <f>SUM('1:2'!Q52)</f>
        <v>0</v>
      </c>
      <c r="R52" s="93">
        <f>SUM('1:2'!R52)</f>
        <v>0</v>
      </c>
      <c r="S52" s="93">
        <f>SUM('1:2'!S52)</f>
        <v>0</v>
      </c>
      <c r="T52" s="93">
        <f>SUM('1:2'!T52)</f>
        <v>0</v>
      </c>
      <c r="U52" s="93">
        <f>SUM('1:2'!U52)</f>
        <v>0</v>
      </c>
      <c r="V52" s="206"/>
      <c r="W52" s="33"/>
      <c r="X52" s="93">
        <f>SUM('1:2'!X52)</f>
        <v>0</v>
      </c>
      <c r="Y52" s="93">
        <f>SUM('1:2'!Y52)</f>
        <v>0</v>
      </c>
      <c r="Z52" s="93">
        <f>SUM('1:2'!Z52)</f>
        <v>0</v>
      </c>
      <c r="AA52" s="93">
        <f>SUM('1:2'!AA52)</f>
        <v>0</v>
      </c>
      <c r="AB52" s="358">
        <v>0.19</v>
      </c>
      <c r="AC52" s="269">
        <f t="shared" si="4"/>
        <v>0</v>
      </c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 ht="17.25">
      <c r="A53" s="319">
        <v>30700007</v>
      </c>
      <c r="B53" s="190" t="s">
        <v>456</v>
      </c>
      <c r="C53" s="187" t="s">
        <v>364</v>
      </c>
      <c r="D53" s="17">
        <v>5.03</v>
      </c>
      <c r="E53" s="17"/>
      <c r="F53" s="6"/>
      <c r="G53" s="93">
        <f>SUM('1:2'!G53)</f>
        <v>0</v>
      </c>
      <c r="H53" s="246">
        <f t="shared" si="11"/>
        <v>0</v>
      </c>
      <c r="I53" s="93">
        <f>SUM('1:2'!I53)</f>
        <v>0</v>
      </c>
      <c r="J53" s="31"/>
      <c r="K53" s="35">
        <f t="array" ref="K53">IF(ISERROR(G53/L53),"",G53/L53)</f>
        <v>0</v>
      </c>
      <c r="L53" s="87">
        <v>3</v>
      </c>
      <c r="M53" s="36">
        <f t="shared" si="18"/>
        <v>0</v>
      </c>
      <c r="N53" s="93">
        <f>SUM('1:2'!N53)</f>
        <v>0</v>
      </c>
      <c r="O53" s="93">
        <f>SUM('1:2'!O53)</f>
        <v>0</v>
      </c>
      <c r="P53" s="93">
        <f>SUM('1:2'!P53)</f>
        <v>0</v>
      </c>
      <c r="Q53" s="93">
        <f>SUM('1:2'!Q53)</f>
        <v>0</v>
      </c>
      <c r="R53" s="93">
        <f>SUM('1:2'!R53)</f>
        <v>0</v>
      </c>
      <c r="S53" s="93">
        <f>SUM('1:2'!S53)</f>
        <v>0</v>
      </c>
      <c r="T53" s="93">
        <f>SUM('1:2'!T53)</f>
        <v>0</v>
      </c>
      <c r="U53" s="93">
        <f>SUM('1:2'!U53)</f>
        <v>0</v>
      </c>
      <c r="V53" s="206"/>
      <c r="W53" s="33"/>
      <c r="X53" s="93">
        <f>SUM('1:2'!X53)</f>
        <v>0</v>
      </c>
      <c r="Y53" s="93">
        <f>SUM('1:2'!Y53)</f>
        <v>0</v>
      </c>
      <c r="Z53" s="93">
        <f>SUM('1:2'!Z53)</f>
        <v>0</v>
      </c>
      <c r="AA53" s="93">
        <f>SUM('1:2'!AA53)</f>
        <v>0</v>
      </c>
      <c r="AB53" s="361">
        <v>0.94</v>
      </c>
      <c r="AC53" s="269">
        <f t="shared" si="4"/>
        <v>0</v>
      </c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 ht="17.25">
      <c r="A54" s="319">
        <v>30700006</v>
      </c>
      <c r="B54" s="190" t="s">
        <v>456</v>
      </c>
      <c r="C54" s="187" t="s">
        <v>365</v>
      </c>
      <c r="D54" s="17">
        <v>5.03</v>
      </c>
      <c r="E54" s="17"/>
      <c r="F54" s="6"/>
      <c r="G54" s="93">
        <f>SUM('1:2'!G54)</f>
        <v>0</v>
      </c>
      <c r="H54" s="246">
        <f t="shared" si="11"/>
        <v>0</v>
      </c>
      <c r="I54" s="93">
        <f>SUM('1:2'!I54)</f>
        <v>0</v>
      </c>
      <c r="J54" s="31"/>
      <c r="K54" s="35">
        <f t="array" ref="K54">IF(ISERROR(G54/L54),"",G54/L54)</f>
        <v>0</v>
      </c>
      <c r="L54" s="87">
        <v>3</v>
      </c>
      <c r="M54" s="36">
        <f t="shared" si="18"/>
        <v>0</v>
      </c>
      <c r="N54" s="93">
        <f>SUM('1:2'!N54)</f>
        <v>0</v>
      </c>
      <c r="O54" s="93">
        <f>SUM('1:2'!O54)</f>
        <v>0</v>
      </c>
      <c r="P54" s="93">
        <f>SUM('1:2'!P54)</f>
        <v>0</v>
      </c>
      <c r="Q54" s="93">
        <f>SUM('1:2'!Q54)</f>
        <v>0</v>
      </c>
      <c r="R54" s="93">
        <f>SUM('1:2'!R54)</f>
        <v>0</v>
      </c>
      <c r="S54" s="93">
        <f>SUM('1:2'!S54)</f>
        <v>0</v>
      </c>
      <c r="T54" s="93">
        <f>SUM('1:2'!T54)</f>
        <v>0</v>
      </c>
      <c r="U54" s="93">
        <f>SUM('1:2'!U54)</f>
        <v>0</v>
      </c>
      <c r="V54" s="206"/>
      <c r="W54" s="33"/>
      <c r="X54" s="93">
        <f>SUM('1:2'!X54)</f>
        <v>0</v>
      </c>
      <c r="Y54" s="93">
        <f>SUM('1:2'!Y54)</f>
        <v>0</v>
      </c>
      <c r="Z54" s="93">
        <f>SUM('1:2'!Z54)</f>
        <v>0</v>
      </c>
      <c r="AA54" s="93">
        <f>SUM('1:2'!AA54)</f>
        <v>0</v>
      </c>
      <c r="AB54" s="361">
        <v>0.94</v>
      </c>
      <c r="AC54" s="269">
        <f t="shared" si="4"/>
        <v>0</v>
      </c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 ht="17.25">
      <c r="A55" s="319">
        <v>30700008</v>
      </c>
      <c r="B55" s="190" t="s">
        <v>456</v>
      </c>
      <c r="C55" s="187" t="s">
        <v>366</v>
      </c>
      <c r="D55" s="17">
        <v>5.03</v>
      </c>
      <c r="E55" s="17"/>
      <c r="F55" s="6"/>
      <c r="G55" s="93">
        <f>SUM('1:2'!G55)</f>
        <v>0</v>
      </c>
      <c r="H55" s="246">
        <f t="shared" si="11"/>
        <v>0</v>
      </c>
      <c r="I55" s="93">
        <f>SUM('1:2'!I55)</f>
        <v>0</v>
      </c>
      <c r="J55" s="31"/>
      <c r="K55" s="35">
        <f t="array" ref="K55">IF(ISERROR(G55/L55),"",G55/L55)</f>
        <v>0</v>
      </c>
      <c r="L55" s="87">
        <v>3</v>
      </c>
      <c r="M55" s="36">
        <f t="shared" si="18"/>
        <v>0</v>
      </c>
      <c r="N55" s="93">
        <f>SUM('1:2'!N55)</f>
        <v>0</v>
      </c>
      <c r="O55" s="93">
        <f>SUM('1:2'!O55)</f>
        <v>0</v>
      </c>
      <c r="P55" s="93">
        <f>SUM('1:2'!P55)</f>
        <v>0</v>
      </c>
      <c r="Q55" s="93">
        <f>SUM('1:2'!Q55)</f>
        <v>0</v>
      </c>
      <c r="R55" s="93">
        <f>SUM('1:2'!R55)</f>
        <v>0</v>
      </c>
      <c r="S55" s="93">
        <f>SUM('1:2'!S55)</f>
        <v>0</v>
      </c>
      <c r="T55" s="93">
        <f>SUM('1:2'!T55)</f>
        <v>0</v>
      </c>
      <c r="U55" s="93">
        <f>SUM('1:2'!U55)</f>
        <v>0</v>
      </c>
      <c r="V55" s="206"/>
      <c r="W55" s="33"/>
      <c r="X55" s="93">
        <f>SUM('1:2'!X55)</f>
        <v>0</v>
      </c>
      <c r="Y55" s="93">
        <f>SUM('1:2'!Y55)</f>
        <v>0</v>
      </c>
      <c r="Z55" s="93">
        <f>SUM('1:2'!Z55)</f>
        <v>0</v>
      </c>
      <c r="AA55" s="93">
        <f>SUM('1:2'!AA55)</f>
        <v>0</v>
      </c>
      <c r="AB55" s="361">
        <v>0.94</v>
      </c>
      <c r="AC55" s="269">
        <f t="shared" si="4"/>
        <v>0</v>
      </c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 ht="17.25">
      <c r="A56" s="319">
        <v>30700009</v>
      </c>
      <c r="B56" s="190" t="s">
        <v>456</v>
      </c>
      <c r="C56" s="187" t="s">
        <v>367</v>
      </c>
      <c r="D56" s="17">
        <v>5.03</v>
      </c>
      <c r="E56" s="17"/>
      <c r="F56" s="6"/>
      <c r="G56" s="93">
        <f>SUM('1:2'!G56)</f>
        <v>0</v>
      </c>
      <c r="H56" s="246">
        <f t="shared" si="11"/>
        <v>0</v>
      </c>
      <c r="I56" s="93">
        <f>SUM('1:2'!I56)</f>
        <v>0</v>
      </c>
      <c r="J56" s="31"/>
      <c r="K56" s="35">
        <f t="array" ref="K56">IF(ISERROR(G56/L56),"",G56/L56)</f>
        <v>0</v>
      </c>
      <c r="L56" s="87">
        <v>3</v>
      </c>
      <c r="M56" s="36">
        <f t="shared" si="18"/>
        <v>0</v>
      </c>
      <c r="N56" s="93">
        <f>SUM('1:2'!N56)</f>
        <v>0</v>
      </c>
      <c r="O56" s="93">
        <f>SUM('1:2'!O56)</f>
        <v>0</v>
      </c>
      <c r="P56" s="93">
        <f>SUM('1:2'!P56)</f>
        <v>0</v>
      </c>
      <c r="Q56" s="93">
        <f>SUM('1:2'!Q56)</f>
        <v>0</v>
      </c>
      <c r="R56" s="93">
        <f>SUM('1:2'!R56)</f>
        <v>0</v>
      </c>
      <c r="S56" s="93">
        <f>SUM('1:2'!S56)</f>
        <v>0</v>
      </c>
      <c r="T56" s="93">
        <f>SUM('1:2'!T56)</f>
        <v>0</v>
      </c>
      <c r="U56" s="93">
        <f>SUM('1:2'!U56)</f>
        <v>0</v>
      </c>
      <c r="V56" s="206"/>
      <c r="W56" s="33"/>
      <c r="X56" s="93">
        <f>SUM('1:2'!X56)</f>
        <v>0</v>
      </c>
      <c r="Y56" s="93">
        <f>SUM('1:2'!Y56)</f>
        <v>0</v>
      </c>
      <c r="Z56" s="93">
        <f>SUM('1:2'!Z56)</f>
        <v>0</v>
      </c>
      <c r="AA56" s="93">
        <f>SUM('1:2'!AA56)</f>
        <v>0</v>
      </c>
      <c r="AB56" s="361">
        <v>0.94</v>
      </c>
      <c r="AC56" s="269">
        <f t="shared" si="4"/>
        <v>0</v>
      </c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 ht="17.25">
      <c r="A57" s="316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93">
        <f>SUM('1:2'!G57)</f>
        <v>0</v>
      </c>
      <c r="H57" s="246">
        <f t="shared" si="11"/>
        <v>0</v>
      </c>
      <c r="I57" s="93">
        <f>SUM('1:2'!I57)</f>
        <v>0</v>
      </c>
      <c r="J57" s="31" t="str">
        <f t="array" ref="J57">IF(ISERROR(G57/I57),"",G57/I57)</f>
        <v/>
      </c>
      <c r="K57" s="35">
        <f t="array" ref="K57">IF(ISERROR(G57/L57),"",G57/L57)</f>
        <v>0</v>
      </c>
      <c r="L57" s="87">
        <v>40</v>
      </c>
      <c r="M57" s="36">
        <f t="shared" si="18"/>
        <v>0</v>
      </c>
      <c r="N57" s="93">
        <f>SUM('1:2'!N57)</f>
        <v>0</v>
      </c>
      <c r="O57" s="93">
        <f>SUM('1:2'!O57)</f>
        <v>0</v>
      </c>
      <c r="P57" s="93">
        <f>SUM('1:2'!P57)</f>
        <v>0</v>
      </c>
      <c r="Q57" s="93">
        <f>SUM('1:2'!Q57)</f>
        <v>0</v>
      </c>
      <c r="R57" s="93">
        <f>SUM('1:2'!R57)</f>
        <v>0</v>
      </c>
      <c r="S57" s="93">
        <f>SUM('1:2'!S57)</f>
        <v>0</v>
      </c>
      <c r="T57" s="93">
        <f>SUM('1:2'!T57)</f>
        <v>0</v>
      </c>
      <c r="U57" s="93">
        <f>SUM('1:2'!U57)</f>
        <v>0</v>
      </c>
      <c r="V57" s="206">
        <f t="shared" ref="V57:V66" si="21">SUM(X57:AA57)</f>
        <v>0</v>
      </c>
      <c r="W57" s="33" t="str">
        <f t="shared" ref="W57:W66" si="22">IF(ISERROR(V57/G57),"",V57/G57)</f>
        <v/>
      </c>
      <c r="X57" s="93">
        <f>SUM('1:2'!X57)</f>
        <v>0</v>
      </c>
      <c r="Y57" s="93">
        <f>SUM('1:2'!Y57)</f>
        <v>0</v>
      </c>
      <c r="Z57" s="93">
        <f>SUM('1:2'!Z57)</f>
        <v>0</v>
      </c>
      <c r="AA57" s="93">
        <f>SUM('1:2'!AA57)</f>
        <v>0</v>
      </c>
      <c r="AB57" s="358">
        <v>0.19</v>
      </c>
      <c r="AC57" s="269">
        <f t="shared" si="4"/>
        <v>0</v>
      </c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 ht="17.25">
      <c r="A58" s="316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93">
        <f>SUM('1:2'!G58)</f>
        <v>0</v>
      </c>
      <c r="H58" s="246">
        <f t="shared" si="11"/>
        <v>0</v>
      </c>
      <c r="I58" s="93">
        <f>SUM('1:2'!I58)</f>
        <v>0</v>
      </c>
      <c r="J58" s="31" t="str">
        <f t="array" ref="J58">IF(ISERROR(G58/I58),"",G58/I58)</f>
        <v/>
      </c>
      <c r="K58" s="35">
        <f t="array" ref="K58">IF(ISERROR(G58/L58),"",G58/L58)</f>
        <v>0</v>
      </c>
      <c r="L58" s="87">
        <v>40</v>
      </c>
      <c r="M58" s="36">
        <f t="shared" si="18"/>
        <v>0</v>
      </c>
      <c r="N58" s="93">
        <f>SUM('1:2'!N58)</f>
        <v>0</v>
      </c>
      <c r="O58" s="93">
        <f>SUM('1:2'!O58)</f>
        <v>0</v>
      </c>
      <c r="P58" s="93">
        <f>SUM('1:2'!P58)</f>
        <v>0</v>
      </c>
      <c r="Q58" s="93">
        <f>SUM('1:2'!Q58)</f>
        <v>0</v>
      </c>
      <c r="R58" s="93">
        <f>SUM('1:2'!R58)</f>
        <v>0</v>
      </c>
      <c r="S58" s="93">
        <f>SUM('1:2'!S58)</f>
        <v>0</v>
      </c>
      <c r="T58" s="93">
        <f>SUM('1:2'!T58)</f>
        <v>0</v>
      </c>
      <c r="U58" s="93">
        <f>SUM('1:2'!U58)</f>
        <v>0</v>
      </c>
      <c r="V58" s="206">
        <f t="shared" si="21"/>
        <v>0</v>
      </c>
      <c r="W58" s="33" t="str">
        <f t="shared" si="22"/>
        <v/>
      </c>
      <c r="X58" s="93">
        <f>SUM('1:2'!X58)</f>
        <v>0</v>
      </c>
      <c r="Y58" s="93">
        <f>SUM('1:2'!Y58)</f>
        <v>0</v>
      </c>
      <c r="Z58" s="93">
        <f>SUM('1:2'!Z58)</f>
        <v>0</v>
      </c>
      <c r="AA58" s="93">
        <f>SUM('1:2'!AA58)</f>
        <v>0</v>
      </c>
      <c r="AB58" s="358">
        <v>0.19</v>
      </c>
      <c r="AC58" s="269">
        <f t="shared" si="4"/>
        <v>0</v>
      </c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 ht="17.25">
      <c r="A59" s="316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93">
        <f>SUM('1:2'!G59)</f>
        <v>0</v>
      </c>
      <c r="H59" s="246">
        <f t="shared" si="11"/>
        <v>0</v>
      </c>
      <c r="I59" s="93">
        <f>SUM('1:2'!I59)</f>
        <v>0</v>
      </c>
      <c r="J59" s="31" t="str">
        <f t="array" ref="J59">IF(ISERROR(G59/I59),"",G59/I59)</f>
        <v/>
      </c>
      <c r="K59" s="35">
        <f t="array" ref="K59">IF(ISERROR(G59/L59),"",G59/L59)</f>
        <v>0</v>
      </c>
      <c r="L59" s="87">
        <v>40</v>
      </c>
      <c r="M59" s="36">
        <f t="shared" si="18"/>
        <v>0</v>
      </c>
      <c r="N59" s="93">
        <f>SUM('1:2'!N59)</f>
        <v>0</v>
      </c>
      <c r="O59" s="93">
        <f>SUM('1:2'!O59)</f>
        <v>0</v>
      </c>
      <c r="P59" s="93">
        <f>SUM('1:2'!P59)</f>
        <v>0</v>
      </c>
      <c r="Q59" s="93">
        <f>SUM('1:2'!Q59)</f>
        <v>0</v>
      </c>
      <c r="R59" s="93">
        <f>SUM('1:2'!R59)</f>
        <v>0</v>
      </c>
      <c r="S59" s="93">
        <f>SUM('1:2'!S59)</f>
        <v>0</v>
      </c>
      <c r="T59" s="93">
        <f>SUM('1:2'!T59)</f>
        <v>0</v>
      </c>
      <c r="U59" s="93">
        <f>SUM('1:2'!U59)</f>
        <v>0</v>
      </c>
      <c r="V59" s="206">
        <f t="shared" si="21"/>
        <v>0</v>
      </c>
      <c r="W59" s="33" t="str">
        <f t="shared" si="22"/>
        <v/>
      </c>
      <c r="X59" s="93">
        <f>SUM('1:2'!X59)</f>
        <v>0</v>
      </c>
      <c r="Y59" s="93">
        <f>SUM('1:2'!Y59)</f>
        <v>0</v>
      </c>
      <c r="Z59" s="93">
        <f>SUM('1:2'!Z59)</f>
        <v>0</v>
      </c>
      <c r="AA59" s="93">
        <f>SUM('1:2'!AA59)</f>
        <v>0</v>
      </c>
      <c r="AB59" s="358">
        <v>0.19</v>
      </c>
      <c r="AC59" s="269">
        <f t="shared" si="4"/>
        <v>0</v>
      </c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 ht="17.25">
      <c r="A60" s="316">
        <v>30100040</v>
      </c>
      <c r="B60" s="62" t="s">
        <v>81</v>
      </c>
      <c r="C60" s="16" t="s">
        <v>82</v>
      </c>
      <c r="D60" s="17">
        <v>5.03</v>
      </c>
      <c r="E60" s="17"/>
      <c r="F60" s="6"/>
      <c r="G60" s="93">
        <f>SUM('1:2'!G60)</f>
        <v>0</v>
      </c>
      <c r="H60" s="246">
        <f t="shared" si="11"/>
        <v>0</v>
      </c>
      <c r="I60" s="93">
        <f>SUM('1:2'!I60)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87">
        <v>50</v>
      </c>
      <c r="M60" s="36">
        <f t="shared" si="18"/>
        <v>0</v>
      </c>
      <c r="N60" s="93">
        <f>SUM('1:2'!N60)</f>
        <v>0</v>
      </c>
      <c r="O60" s="93">
        <f>SUM('1:2'!O60)</f>
        <v>0</v>
      </c>
      <c r="P60" s="93">
        <f>SUM('1:2'!P60)</f>
        <v>0</v>
      </c>
      <c r="Q60" s="93">
        <f>SUM('1:2'!Q60)</f>
        <v>0</v>
      </c>
      <c r="R60" s="93">
        <f>SUM('1:2'!R60)</f>
        <v>0</v>
      </c>
      <c r="S60" s="93">
        <f>SUM('1:2'!S60)</f>
        <v>0</v>
      </c>
      <c r="T60" s="93">
        <f>SUM('1:2'!T60)</f>
        <v>0</v>
      </c>
      <c r="U60" s="93">
        <f>SUM('1:2'!U60)</f>
        <v>0</v>
      </c>
      <c r="V60" s="206">
        <f t="shared" si="21"/>
        <v>0</v>
      </c>
      <c r="W60" s="33" t="str">
        <f t="shared" si="22"/>
        <v/>
      </c>
      <c r="X60" s="93">
        <f>SUM('1:2'!X60)</f>
        <v>0</v>
      </c>
      <c r="Y60" s="93">
        <f>SUM('1:2'!Y60)</f>
        <v>0</v>
      </c>
      <c r="Z60" s="93">
        <f>SUM('1:2'!Z60)</f>
        <v>0</v>
      </c>
      <c r="AA60" s="93">
        <f>SUM('1:2'!AA60)</f>
        <v>0</v>
      </c>
      <c r="AB60" s="358">
        <v>0.21</v>
      </c>
      <c r="AC60" s="269">
        <f t="shared" si="4"/>
        <v>0</v>
      </c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 ht="17.25">
      <c r="A61" s="316">
        <v>30100039</v>
      </c>
      <c r="B61" s="62" t="s">
        <v>81</v>
      </c>
      <c r="C61" s="16" t="s">
        <v>60</v>
      </c>
      <c r="D61" s="17">
        <v>5.03</v>
      </c>
      <c r="E61" s="17"/>
      <c r="F61" s="6"/>
      <c r="G61" s="93">
        <f>SUM('1:2'!G61)</f>
        <v>0</v>
      </c>
      <c r="H61" s="246">
        <f t="shared" si="11"/>
        <v>0</v>
      </c>
      <c r="I61" s="93">
        <f>SUM('1:2'!I61)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87">
        <v>50</v>
      </c>
      <c r="M61" s="36">
        <f t="shared" si="18"/>
        <v>0</v>
      </c>
      <c r="N61" s="93">
        <f>SUM('1:2'!N61)</f>
        <v>0</v>
      </c>
      <c r="O61" s="93">
        <f>SUM('1:2'!O61)</f>
        <v>0</v>
      </c>
      <c r="P61" s="93">
        <f>SUM('1:2'!P61)</f>
        <v>0</v>
      </c>
      <c r="Q61" s="93">
        <f>SUM('1:2'!Q61)</f>
        <v>0</v>
      </c>
      <c r="R61" s="93">
        <f>SUM('1:2'!R61)</f>
        <v>0</v>
      </c>
      <c r="S61" s="93">
        <f>SUM('1:2'!S61)</f>
        <v>0</v>
      </c>
      <c r="T61" s="93">
        <f>SUM('1:2'!T61)</f>
        <v>0</v>
      </c>
      <c r="U61" s="93">
        <f>SUM('1:2'!U61)</f>
        <v>0</v>
      </c>
      <c r="V61" s="206">
        <f t="shared" si="21"/>
        <v>0</v>
      </c>
      <c r="W61" s="33" t="str">
        <f t="shared" si="22"/>
        <v/>
      </c>
      <c r="X61" s="93">
        <f>SUM('1:2'!X61)</f>
        <v>0</v>
      </c>
      <c r="Y61" s="93">
        <f>SUM('1:2'!Y61)</f>
        <v>0</v>
      </c>
      <c r="Z61" s="93">
        <f>SUM('1:2'!Z61)</f>
        <v>0</v>
      </c>
      <c r="AA61" s="93">
        <f>SUM('1:2'!AA61)</f>
        <v>0</v>
      </c>
      <c r="AB61" s="358">
        <v>0.21</v>
      </c>
      <c r="AC61" s="269">
        <f t="shared" si="4"/>
        <v>0</v>
      </c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 ht="17.25">
      <c r="A62" s="316">
        <v>30100042</v>
      </c>
      <c r="B62" s="62" t="s">
        <v>81</v>
      </c>
      <c r="C62" s="16" t="s">
        <v>61</v>
      </c>
      <c r="D62" s="17">
        <v>5.03</v>
      </c>
      <c r="E62" s="17"/>
      <c r="F62" s="6"/>
      <c r="G62" s="93">
        <f>SUM('1:2'!G62)</f>
        <v>0</v>
      </c>
      <c r="H62" s="246">
        <f t="shared" si="11"/>
        <v>0</v>
      </c>
      <c r="I62" s="93">
        <f>SUM('1:2'!I62)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87">
        <v>50</v>
      </c>
      <c r="M62" s="36">
        <f t="shared" si="18"/>
        <v>0</v>
      </c>
      <c r="N62" s="93">
        <f>SUM('1:2'!N62)</f>
        <v>0</v>
      </c>
      <c r="O62" s="93">
        <f>SUM('1:2'!O62)</f>
        <v>0</v>
      </c>
      <c r="P62" s="93">
        <f>SUM('1:2'!P62)</f>
        <v>0</v>
      </c>
      <c r="Q62" s="93">
        <f>SUM('1:2'!Q62)</f>
        <v>0</v>
      </c>
      <c r="R62" s="93">
        <f>SUM('1:2'!R62)</f>
        <v>0</v>
      </c>
      <c r="S62" s="93">
        <f>SUM('1:2'!S62)</f>
        <v>0</v>
      </c>
      <c r="T62" s="93">
        <f>SUM('1:2'!T62)</f>
        <v>0</v>
      </c>
      <c r="U62" s="93">
        <f>SUM('1:2'!U62)</f>
        <v>0</v>
      </c>
      <c r="V62" s="206">
        <f t="shared" si="21"/>
        <v>0</v>
      </c>
      <c r="W62" s="33" t="str">
        <f t="shared" si="22"/>
        <v/>
      </c>
      <c r="X62" s="93">
        <f>SUM('1:2'!X62)</f>
        <v>0</v>
      </c>
      <c r="Y62" s="93">
        <f>SUM('1:2'!Y62)</f>
        <v>0</v>
      </c>
      <c r="Z62" s="93">
        <f>SUM('1:2'!Z62)</f>
        <v>0</v>
      </c>
      <c r="AA62" s="93">
        <f>SUM('1:2'!AA62)</f>
        <v>0</v>
      </c>
      <c r="AB62" s="358">
        <v>0.21</v>
      </c>
      <c r="AC62" s="269">
        <f t="shared" si="4"/>
        <v>0</v>
      </c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 ht="17.25">
      <c r="A63" s="316">
        <v>30100041</v>
      </c>
      <c r="B63" s="62" t="s">
        <v>81</v>
      </c>
      <c r="C63" s="16" t="s">
        <v>65</v>
      </c>
      <c r="D63" s="17">
        <v>5.03</v>
      </c>
      <c r="E63" s="17"/>
      <c r="F63" s="6"/>
      <c r="G63" s="93">
        <f>SUM('1:2'!G63)</f>
        <v>0</v>
      </c>
      <c r="H63" s="246">
        <f t="shared" si="11"/>
        <v>0</v>
      </c>
      <c r="I63" s="93">
        <f>SUM('1:2'!I63)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87">
        <v>50</v>
      </c>
      <c r="M63" s="36">
        <f t="shared" si="18"/>
        <v>0</v>
      </c>
      <c r="N63" s="93">
        <f>SUM('1:2'!N63)</f>
        <v>0</v>
      </c>
      <c r="O63" s="93">
        <f>SUM('1:2'!O63)</f>
        <v>0</v>
      </c>
      <c r="P63" s="93">
        <f>SUM('1:2'!P63)</f>
        <v>0</v>
      </c>
      <c r="Q63" s="93">
        <f>SUM('1:2'!Q63)</f>
        <v>0</v>
      </c>
      <c r="R63" s="93">
        <f>SUM('1:2'!R63)</f>
        <v>0</v>
      </c>
      <c r="S63" s="93">
        <f>SUM('1:2'!S63)</f>
        <v>0</v>
      </c>
      <c r="T63" s="93">
        <f>SUM('1:2'!T63)</f>
        <v>0</v>
      </c>
      <c r="U63" s="93">
        <f>SUM('1:2'!U63)</f>
        <v>0</v>
      </c>
      <c r="V63" s="206">
        <f t="shared" si="21"/>
        <v>0</v>
      </c>
      <c r="W63" s="33" t="str">
        <f t="shared" si="22"/>
        <v/>
      </c>
      <c r="X63" s="93">
        <f>SUM('1:2'!X63)</f>
        <v>0</v>
      </c>
      <c r="Y63" s="93">
        <f>SUM('1:2'!Y63)</f>
        <v>0</v>
      </c>
      <c r="Z63" s="93">
        <f>SUM('1:2'!Z63)</f>
        <v>0</v>
      </c>
      <c r="AA63" s="93">
        <f>SUM('1:2'!AA63)</f>
        <v>0</v>
      </c>
      <c r="AB63" s="358">
        <v>0.21</v>
      </c>
      <c r="AC63" s="269">
        <f t="shared" si="4"/>
        <v>0</v>
      </c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 ht="17.25">
      <c r="A64" s="316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93">
        <f>SUM('1:2'!G64)</f>
        <v>0</v>
      </c>
      <c r="H64" s="246">
        <f t="shared" si="11"/>
        <v>0</v>
      </c>
      <c r="I64" s="93">
        <f>SUM('1:2'!I64)</f>
        <v>0</v>
      </c>
      <c r="J64" s="31" t="str">
        <f t="array" ref="J64">IF(ISERROR(G64/I64),"",G64/I64)</f>
        <v/>
      </c>
      <c r="K64" s="35">
        <f t="array" ref="K64">IF(ISERROR(G64/L64),"",G64/L64)</f>
        <v>0</v>
      </c>
      <c r="L64" s="87">
        <v>50</v>
      </c>
      <c r="M64" s="36">
        <f t="shared" si="18"/>
        <v>0</v>
      </c>
      <c r="N64" s="93">
        <f>SUM('1:2'!N64)</f>
        <v>0</v>
      </c>
      <c r="O64" s="93">
        <f>SUM('1:2'!O64)</f>
        <v>0</v>
      </c>
      <c r="P64" s="93">
        <f>SUM('1:2'!P64)</f>
        <v>0</v>
      </c>
      <c r="Q64" s="93">
        <f>SUM('1:2'!Q64)</f>
        <v>0</v>
      </c>
      <c r="R64" s="93">
        <f>SUM('1:2'!R64)</f>
        <v>0</v>
      </c>
      <c r="S64" s="93">
        <f>SUM('1:2'!S64)</f>
        <v>0</v>
      </c>
      <c r="T64" s="93">
        <f>SUM('1:2'!T64)</f>
        <v>0</v>
      </c>
      <c r="U64" s="93">
        <f>SUM('1:2'!U64)</f>
        <v>0</v>
      </c>
      <c r="V64" s="206">
        <f t="shared" si="21"/>
        <v>0</v>
      </c>
      <c r="W64" s="33" t="str">
        <f t="shared" si="22"/>
        <v/>
      </c>
      <c r="X64" s="93">
        <f>SUM('1:2'!X64)</f>
        <v>0</v>
      </c>
      <c r="Y64" s="93">
        <f>SUM('1:2'!Y64)</f>
        <v>0</v>
      </c>
      <c r="Z64" s="93">
        <f>SUM('1:2'!Z64)</f>
        <v>0</v>
      </c>
      <c r="AA64" s="93">
        <f>SUM('1:2'!AA64)</f>
        <v>0</v>
      </c>
      <c r="AB64" s="358">
        <v>0.21</v>
      </c>
      <c r="AC64" s="269">
        <f t="shared" si="4"/>
        <v>0</v>
      </c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 ht="17.25">
      <c r="A65" s="316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93">
        <f>SUM('1:2'!G65)</f>
        <v>0</v>
      </c>
      <c r="H65" s="246">
        <f t="shared" si="11"/>
        <v>0</v>
      </c>
      <c r="I65" s="93">
        <f>SUM('1:2'!I65)</f>
        <v>0</v>
      </c>
      <c r="J65" s="31" t="str">
        <f t="array" ref="J65">IF(ISERROR(G65/I65),"",G65/I65)</f>
        <v/>
      </c>
      <c r="K65" s="35">
        <f t="array" ref="K65">IF(ISERROR(G65/L65),"",G65/L65)</f>
        <v>0</v>
      </c>
      <c r="L65" s="87">
        <v>50</v>
      </c>
      <c r="M65" s="36">
        <f t="shared" si="18"/>
        <v>0</v>
      </c>
      <c r="N65" s="93">
        <f>SUM('1:2'!N65)</f>
        <v>0</v>
      </c>
      <c r="O65" s="93">
        <f>SUM('1:2'!O65)</f>
        <v>0</v>
      </c>
      <c r="P65" s="93">
        <f>SUM('1:2'!P65)</f>
        <v>0</v>
      </c>
      <c r="Q65" s="93">
        <f>SUM('1:2'!Q65)</f>
        <v>0</v>
      </c>
      <c r="R65" s="93">
        <f>SUM('1:2'!R65)</f>
        <v>0</v>
      </c>
      <c r="S65" s="93">
        <f>SUM('1:2'!S65)</f>
        <v>0</v>
      </c>
      <c r="T65" s="93">
        <f>SUM('1:2'!T65)</f>
        <v>0</v>
      </c>
      <c r="U65" s="93">
        <f>SUM('1:2'!U65)</f>
        <v>0</v>
      </c>
      <c r="V65" s="206">
        <f t="shared" si="21"/>
        <v>0</v>
      </c>
      <c r="W65" s="33" t="str">
        <f t="shared" si="22"/>
        <v/>
      </c>
      <c r="X65" s="93">
        <f>SUM('1:2'!X65)</f>
        <v>0</v>
      </c>
      <c r="Y65" s="93">
        <f>SUM('1:2'!Y65)</f>
        <v>0</v>
      </c>
      <c r="Z65" s="93">
        <f>SUM('1:2'!Z65)</f>
        <v>0</v>
      </c>
      <c r="AA65" s="93">
        <f>SUM('1:2'!AA65)</f>
        <v>0</v>
      </c>
      <c r="AB65" s="358">
        <v>0.21</v>
      </c>
      <c r="AC65" s="269">
        <f t="shared" si="4"/>
        <v>0</v>
      </c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 ht="17.25">
      <c r="A66" s="316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93">
        <f>SUM('1:2'!G66)</f>
        <v>0</v>
      </c>
      <c r="H66" s="246">
        <f t="shared" si="11"/>
        <v>0</v>
      </c>
      <c r="I66" s="93">
        <f>SUM('1:2'!I66)</f>
        <v>0</v>
      </c>
      <c r="J66" s="31" t="str">
        <f t="array" ref="J66">IF(ISERROR(G66/I66),"",G66/I66)</f>
        <v/>
      </c>
      <c r="K66" s="35">
        <f t="array" ref="K66">IF(ISERROR(G66/L66),"",G66/L66)</f>
        <v>0</v>
      </c>
      <c r="L66" s="87">
        <v>50</v>
      </c>
      <c r="M66" s="36">
        <f t="shared" si="18"/>
        <v>0</v>
      </c>
      <c r="N66" s="93">
        <f>SUM('1:2'!N66)</f>
        <v>0</v>
      </c>
      <c r="O66" s="93">
        <f>SUM('1:2'!O66)</f>
        <v>0</v>
      </c>
      <c r="P66" s="93">
        <f>SUM('1:2'!P66)</f>
        <v>0</v>
      </c>
      <c r="Q66" s="93">
        <f>SUM('1:2'!Q66)</f>
        <v>0</v>
      </c>
      <c r="R66" s="93">
        <f>SUM('1:2'!R66)</f>
        <v>0</v>
      </c>
      <c r="S66" s="93">
        <f>SUM('1:2'!S66)</f>
        <v>0</v>
      </c>
      <c r="T66" s="93">
        <f>SUM('1:2'!T66)</f>
        <v>0</v>
      </c>
      <c r="U66" s="93">
        <f>SUM('1:2'!U66)</f>
        <v>0</v>
      </c>
      <c r="V66" s="206">
        <f t="shared" si="21"/>
        <v>0</v>
      </c>
      <c r="W66" s="33" t="str">
        <f t="shared" si="22"/>
        <v/>
      </c>
      <c r="X66" s="93">
        <f>SUM('1:2'!X66)</f>
        <v>0</v>
      </c>
      <c r="Y66" s="93">
        <f>SUM('1:2'!Y66)</f>
        <v>0</v>
      </c>
      <c r="Z66" s="93">
        <f>SUM('1:2'!Z66)</f>
        <v>0</v>
      </c>
      <c r="AA66" s="93">
        <f>SUM('1:2'!AA66)</f>
        <v>0</v>
      </c>
      <c r="AB66" s="358">
        <v>0.21</v>
      </c>
      <c r="AC66" s="269">
        <f t="shared" si="4"/>
        <v>0</v>
      </c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 ht="17.25">
      <c r="A67" s="316">
        <v>30100043</v>
      </c>
      <c r="B67" s="62" t="s">
        <v>450</v>
      </c>
      <c r="C67" s="297" t="s">
        <v>451</v>
      </c>
      <c r="D67" s="17">
        <v>5.03</v>
      </c>
      <c r="E67" s="17"/>
      <c r="F67" s="6"/>
      <c r="G67" s="93">
        <f>SUM('1:2'!G67)</f>
        <v>0</v>
      </c>
      <c r="H67" s="246">
        <f t="shared" si="11"/>
        <v>0</v>
      </c>
      <c r="I67" s="93"/>
      <c r="J67" s="31"/>
      <c r="K67" s="35">
        <f t="array" ref="K67">IF(ISERROR(G67/L67),"",G67/L67)</f>
        <v>0</v>
      </c>
      <c r="L67" s="87">
        <v>50</v>
      </c>
      <c r="M67" s="36"/>
      <c r="N67" s="93"/>
      <c r="O67" s="93"/>
      <c r="P67" s="93"/>
      <c r="Q67" s="93"/>
      <c r="R67" s="93"/>
      <c r="S67" s="93"/>
      <c r="T67" s="93"/>
      <c r="U67" s="93"/>
      <c r="V67" s="206"/>
      <c r="W67" s="33"/>
      <c r="X67" s="93"/>
      <c r="Y67" s="93"/>
      <c r="Z67" s="93"/>
      <c r="AA67" s="93"/>
      <c r="AB67" s="358">
        <v>0.21</v>
      </c>
      <c r="AC67" s="269">
        <f t="shared" si="4"/>
        <v>0</v>
      </c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 ht="17.25">
      <c r="A68" s="316">
        <v>30100064</v>
      </c>
      <c r="B68" s="192" t="s">
        <v>486</v>
      </c>
      <c r="C68" s="187" t="s">
        <v>398</v>
      </c>
      <c r="D68" s="17">
        <v>5</v>
      </c>
      <c r="E68" s="17"/>
      <c r="F68" s="6"/>
      <c r="G68" s="93">
        <f>SUM('1:2'!G68)</f>
        <v>185</v>
      </c>
      <c r="H68" s="246">
        <f t="shared" si="11"/>
        <v>925</v>
      </c>
      <c r="I68" s="93">
        <f>SUM('1:2'!I68)</f>
        <v>5</v>
      </c>
      <c r="J68" s="31"/>
      <c r="K68" s="35">
        <f t="array" ref="K68">IF(ISERROR(G68/L68),"",G68/L68)</f>
        <v>3.7</v>
      </c>
      <c r="L68" s="87">
        <v>50</v>
      </c>
      <c r="M68" s="36"/>
      <c r="N68" s="93">
        <f>SUM('1:2'!N68)</f>
        <v>0</v>
      </c>
      <c r="O68" s="93">
        <f>SUM('1:2'!O68)</f>
        <v>0</v>
      </c>
      <c r="P68" s="93">
        <f>SUM('1:2'!P68)</f>
        <v>0</v>
      </c>
      <c r="Q68" s="93">
        <f>SUM('1:2'!Q68)</f>
        <v>0</v>
      </c>
      <c r="R68" s="93">
        <f>SUM('1:2'!R68)</f>
        <v>0</v>
      </c>
      <c r="S68" s="93">
        <f>SUM('1:2'!S68)</f>
        <v>0</v>
      </c>
      <c r="T68" s="93">
        <f>SUM('1:2'!T68)</f>
        <v>0</v>
      </c>
      <c r="U68" s="93">
        <f>SUM('1:2'!U68)</f>
        <v>0</v>
      </c>
      <c r="V68" s="206"/>
      <c r="W68" s="33"/>
      <c r="X68" s="93">
        <f>SUM('1:2'!X68)</f>
        <v>0</v>
      </c>
      <c r="Y68" s="93">
        <f>SUM('1:2'!Y68)</f>
        <v>0</v>
      </c>
      <c r="Z68" s="93">
        <f>SUM('1:2'!Z68)</f>
        <v>0</v>
      </c>
      <c r="AA68" s="93">
        <f>SUM('1:2'!AA68)</f>
        <v>0</v>
      </c>
      <c r="AB68" s="361">
        <v>0.21</v>
      </c>
      <c r="AC68" s="269">
        <f t="shared" si="4"/>
        <v>38.85</v>
      </c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 ht="17.25">
      <c r="A69" s="316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93">
        <f>SUM('1:2'!G69)</f>
        <v>85</v>
      </c>
      <c r="H69" s="246">
        <f t="shared" si="11"/>
        <v>427.55</v>
      </c>
      <c r="I69" s="93">
        <f>SUM('1:2'!I69)</f>
        <v>4</v>
      </c>
      <c r="J69" s="31">
        <f t="array" ref="J69">IF(ISERROR(G69/I69),"",G69/I69)</f>
        <v>21.25</v>
      </c>
      <c r="K69" s="35">
        <f t="array" ref="K69">IF(ISERROR(G69/L69),"",G69/L69)</f>
        <v>3.9534883720930232</v>
      </c>
      <c r="L69" s="87">
        <v>21.5</v>
      </c>
      <c r="M69" s="36">
        <f t="shared" ref="M69:M70" si="23">IF(ISERROR(I69-K69),"",I69-K69)</f>
        <v>4.6511627906976827E-2</v>
      </c>
      <c r="N69" s="93">
        <f>SUM('1:2'!N69)</f>
        <v>0</v>
      </c>
      <c r="O69" s="93">
        <f>SUM('1:2'!O69)</f>
        <v>0</v>
      </c>
      <c r="P69" s="93">
        <f>SUM('1:2'!P69)</f>
        <v>0</v>
      </c>
      <c r="Q69" s="93">
        <f>SUM('1:2'!Q69)</f>
        <v>0</v>
      </c>
      <c r="R69" s="93">
        <f>SUM('1:2'!R69)</f>
        <v>0</v>
      </c>
      <c r="S69" s="93">
        <f>SUM('1:2'!S69)</f>
        <v>0</v>
      </c>
      <c r="T69" s="93">
        <f>SUM('1:2'!T69)</f>
        <v>0</v>
      </c>
      <c r="U69" s="93">
        <f>SUM('1:2'!U69)</f>
        <v>0</v>
      </c>
      <c r="V69" s="206">
        <f t="shared" ref="V69:V70" si="24">SUM(X69:AA69)</f>
        <v>0</v>
      </c>
      <c r="W69" s="33">
        <f t="shared" ref="W69:W70" si="25">IF(ISERROR(V69/G69),"",V69/G69)</f>
        <v>0</v>
      </c>
      <c r="X69" s="93">
        <f>SUM('1:2'!X69)</f>
        <v>0</v>
      </c>
      <c r="Y69" s="93">
        <f>SUM('1:2'!Y69)</f>
        <v>0</v>
      </c>
      <c r="Z69" s="93">
        <f>SUM('1:2'!Z69)</f>
        <v>0</v>
      </c>
      <c r="AA69" s="93">
        <f>SUM('1:2'!AA69)</f>
        <v>0</v>
      </c>
      <c r="AB69" s="358">
        <v>0.49</v>
      </c>
      <c r="AC69" s="269">
        <f t="shared" si="4"/>
        <v>41.65</v>
      </c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 ht="17.25">
      <c r="A70" s="316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93">
        <f>SUM('1:2'!G70)</f>
        <v>0</v>
      </c>
      <c r="H70" s="246">
        <f t="shared" si="11"/>
        <v>0</v>
      </c>
      <c r="I70" s="93">
        <f>SUM('1:2'!I70)</f>
        <v>0</v>
      </c>
      <c r="J70" s="31" t="str">
        <f t="array" ref="J70">IF(ISERROR(G70/I70),"",G70/I70)</f>
        <v/>
      </c>
      <c r="K70" s="35">
        <f t="array" ref="K70">IF(ISERROR(G70/L70),"",G70/L70)</f>
        <v>0</v>
      </c>
      <c r="L70" s="87">
        <v>21.5</v>
      </c>
      <c r="M70" s="36">
        <f t="shared" si="23"/>
        <v>0</v>
      </c>
      <c r="N70" s="93">
        <f>SUM('1:2'!N70)</f>
        <v>0</v>
      </c>
      <c r="O70" s="93">
        <f>SUM('1:2'!O70)</f>
        <v>0</v>
      </c>
      <c r="P70" s="93">
        <f>SUM('1:2'!P70)</f>
        <v>0</v>
      </c>
      <c r="Q70" s="93">
        <f>SUM('1:2'!Q70)</f>
        <v>0</v>
      </c>
      <c r="R70" s="93">
        <f>SUM('1:2'!R70)</f>
        <v>0</v>
      </c>
      <c r="S70" s="93">
        <f>SUM('1:2'!S70)</f>
        <v>0</v>
      </c>
      <c r="T70" s="93">
        <f>SUM('1:2'!T70)</f>
        <v>0</v>
      </c>
      <c r="U70" s="93">
        <f>SUM('1:2'!U70)</f>
        <v>0</v>
      </c>
      <c r="V70" s="206">
        <f t="shared" si="24"/>
        <v>0</v>
      </c>
      <c r="W70" s="33" t="str">
        <f t="shared" si="25"/>
        <v/>
      </c>
      <c r="X70" s="93">
        <f>SUM('1:2'!X70)</f>
        <v>0</v>
      </c>
      <c r="Y70" s="93">
        <f>SUM('1:2'!Y70)</f>
        <v>0</v>
      </c>
      <c r="Z70" s="93">
        <f>SUM('1:2'!Z70)</f>
        <v>0</v>
      </c>
      <c r="AA70" s="93">
        <f>SUM('1:2'!AA70)</f>
        <v>0</v>
      </c>
      <c r="AB70" s="358">
        <v>0.49</v>
      </c>
      <c r="AC70" s="269">
        <f t="shared" si="4"/>
        <v>0</v>
      </c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 ht="17.25">
      <c r="A71" s="316"/>
      <c r="B71" s="192" t="s">
        <v>487</v>
      </c>
      <c r="C71" s="187" t="s">
        <v>361</v>
      </c>
      <c r="D71" s="17"/>
      <c r="E71" s="17"/>
      <c r="F71" s="6"/>
      <c r="G71" s="93">
        <f>SUM('1:2'!G71)</f>
        <v>0</v>
      </c>
      <c r="H71" s="246">
        <f t="shared" si="11"/>
        <v>0</v>
      </c>
      <c r="I71" s="93">
        <f>SUM('1:2'!I71)</f>
        <v>0</v>
      </c>
      <c r="J71" s="31"/>
      <c r="K71" s="35"/>
      <c r="L71" s="87"/>
      <c r="M71" s="36"/>
      <c r="N71" s="93">
        <f>SUM('1:2'!N71)</f>
        <v>0</v>
      </c>
      <c r="O71" s="93">
        <f>SUM('1:2'!O71)</f>
        <v>0</v>
      </c>
      <c r="P71" s="93">
        <f>SUM('1:2'!P71)</f>
        <v>0</v>
      </c>
      <c r="Q71" s="93">
        <f>SUM('1:2'!Q71)</f>
        <v>0</v>
      </c>
      <c r="R71" s="93">
        <f>SUM('1:2'!R71)</f>
        <v>0</v>
      </c>
      <c r="S71" s="93">
        <f>SUM('1:2'!S71)</f>
        <v>0</v>
      </c>
      <c r="T71" s="93">
        <f>SUM('1:2'!T71)</f>
        <v>0</v>
      </c>
      <c r="U71" s="93">
        <f>SUM('1:2'!U71)</f>
        <v>0</v>
      </c>
      <c r="V71" s="206"/>
      <c r="W71" s="33"/>
      <c r="X71" s="93">
        <f>SUM('1:2'!X71)</f>
        <v>0</v>
      </c>
      <c r="Y71" s="93">
        <f>SUM('1:2'!Y71)</f>
        <v>0</v>
      </c>
      <c r="Z71" s="93">
        <f>SUM('1:2'!Z71)</f>
        <v>0</v>
      </c>
      <c r="AA71" s="93">
        <f>SUM('1:2'!AA71)</f>
        <v>0</v>
      </c>
      <c r="AB71" s="358"/>
      <c r="AC71" s="269">
        <f t="shared" si="4"/>
        <v>0</v>
      </c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 ht="17.25">
      <c r="A72" s="316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93">
        <f>SUM('1:2'!G72)</f>
        <v>0</v>
      </c>
      <c r="H72" s="246">
        <f t="shared" si="11"/>
        <v>0</v>
      </c>
      <c r="I72" s="93">
        <f>SUM('1:2'!I72)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87"/>
      <c r="M72" s="36" t="str">
        <f t="shared" ref="M72:M79" si="26">IF(ISERROR(I72-K72),"",I72-K72)</f>
        <v/>
      </c>
      <c r="N72" s="93">
        <f>SUM('1:2'!N72)</f>
        <v>0</v>
      </c>
      <c r="O72" s="93">
        <f>SUM('1:2'!O72)</f>
        <v>0</v>
      </c>
      <c r="P72" s="93">
        <f>SUM('1:2'!P72)</f>
        <v>0</v>
      </c>
      <c r="Q72" s="93">
        <f>SUM('1:2'!Q72)</f>
        <v>0</v>
      </c>
      <c r="R72" s="93">
        <f>SUM('1:2'!R72)</f>
        <v>0</v>
      </c>
      <c r="S72" s="93">
        <f>SUM('1:2'!S72)</f>
        <v>0</v>
      </c>
      <c r="T72" s="93">
        <f>SUM('1:2'!T72)</f>
        <v>0</v>
      </c>
      <c r="U72" s="93">
        <f>SUM('1:2'!U72)</f>
        <v>0</v>
      </c>
      <c r="V72" s="206">
        <f t="shared" ref="V72:V75" si="27">SUM(X72:AA72)</f>
        <v>0</v>
      </c>
      <c r="W72" s="33" t="str">
        <f t="shared" ref="W72:W75" si="28">IF(ISERROR(V72/G72),"",V72/G72)</f>
        <v/>
      </c>
      <c r="X72" s="93">
        <f>SUM('1:2'!X72)</f>
        <v>0</v>
      </c>
      <c r="Y72" s="93">
        <f>SUM('1:2'!Y72)</f>
        <v>0</v>
      </c>
      <c r="Z72" s="93">
        <f>SUM('1:2'!Z72)</f>
        <v>0</v>
      </c>
      <c r="AA72" s="93">
        <f>SUM('1:2'!AA72)</f>
        <v>0</v>
      </c>
      <c r="AB72" s="358">
        <v>0.43</v>
      </c>
      <c r="AC72" s="269">
        <f t="shared" ref="AC72:AC135" si="29">AB72*G72</f>
        <v>0</v>
      </c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 ht="17.25">
      <c r="A73" s="316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93">
        <f>SUM('1:2'!G73)</f>
        <v>0</v>
      </c>
      <c r="H73" s="246">
        <f t="shared" si="11"/>
        <v>0</v>
      </c>
      <c r="I73" s="93">
        <f>SUM('1:2'!I73)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87"/>
      <c r="M73" s="36" t="str">
        <f t="shared" si="26"/>
        <v/>
      </c>
      <c r="N73" s="93">
        <f>SUM('1:2'!N73)</f>
        <v>0</v>
      </c>
      <c r="O73" s="93">
        <f>SUM('1:2'!O73)</f>
        <v>0</v>
      </c>
      <c r="P73" s="93">
        <f>SUM('1:2'!P73)</f>
        <v>0</v>
      </c>
      <c r="Q73" s="93">
        <f>SUM('1:2'!Q73)</f>
        <v>0</v>
      </c>
      <c r="R73" s="93">
        <f>SUM('1:2'!R73)</f>
        <v>0</v>
      </c>
      <c r="S73" s="93">
        <f>SUM('1:2'!S73)</f>
        <v>0</v>
      </c>
      <c r="T73" s="93">
        <f>SUM('1:2'!T73)</f>
        <v>0</v>
      </c>
      <c r="U73" s="93">
        <f>SUM('1:2'!U73)</f>
        <v>0</v>
      </c>
      <c r="V73" s="206">
        <f t="shared" si="27"/>
        <v>0</v>
      </c>
      <c r="W73" s="33" t="str">
        <f t="shared" si="28"/>
        <v/>
      </c>
      <c r="X73" s="93">
        <f>SUM('1:2'!X73)</f>
        <v>0</v>
      </c>
      <c r="Y73" s="93">
        <f>SUM('1:2'!Y73)</f>
        <v>0</v>
      </c>
      <c r="Z73" s="93">
        <f>SUM('1:2'!Z73)</f>
        <v>0</v>
      </c>
      <c r="AA73" s="93">
        <f>SUM('1:2'!AA73)</f>
        <v>0</v>
      </c>
      <c r="AB73" s="358">
        <v>0.43</v>
      </c>
      <c r="AC73" s="269">
        <f t="shared" si="29"/>
        <v>0</v>
      </c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316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93">
        <f>SUM('1:2'!G74)</f>
        <v>0</v>
      </c>
      <c r="H74" s="246">
        <f t="shared" si="11"/>
        <v>0</v>
      </c>
      <c r="I74" s="93">
        <f>SUM('1:2'!I74)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87"/>
      <c r="M74" s="36" t="str">
        <f t="shared" si="26"/>
        <v/>
      </c>
      <c r="N74" s="93">
        <f>SUM('1:2'!N74)</f>
        <v>0</v>
      </c>
      <c r="O74" s="93">
        <f>SUM('1:2'!O74)</f>
        <v>0</v>
      </c>
      <c r="P74" s="93">
        <f>SUM('1:2'!P74)</f>
        <v>0</v>
      </c>
      <c r="Q74" s="93">
        <f>SUM('1:2'!Q74)</f>
        <v>0</v>
      </c>
      <c r="R74" s="93">
        <f>SUM('1:2'!R74)</f>
        <v>0</v>
      </c>
      <c r="S74" s="93">
        <f>SUM('1:2'!S74)</f>
        <v>0</v>
      </c>
      <c r="T74" s="93">
        <f>SUM('1:2'!T74)</f>
        <v>0</v>
      </c>
      <c r="U74" s="93">
        <f>SUM('1:2'!U74)</f>
        <v>0</v>
      </c>
      <c r="V74" s="206">
        <f t="shared" si="27"/>
        <v>0</v>
      </c>
      <c r="W74" s="33" t="str">
        <f t="shared" si="28"/>
        <v/>
      </c>
      <c r="X74" s="93">
        <f>SUM('1:2'!X74)</f>
        <v>0</v>
      </c>
      <c r="Y74" s="93">
        <f>SUM('1:2'!Y74)</f>
        <v>0</v>
      </c>
      <c r="Z74" s="93">
        <f>SUM('1:2'!Z74)</f>
        <v>0</v>
      </c>
      <c r="AA74" s="93">
        <f>SUM('1:2'!AA74)</f>
        <v>0</v>
      </c>
      <c r="AB74" s="358">
        <v>0.43</v>
      </c>
      <c r="AC74" s="269">
        <f t="shared" si="29"/>
        <v>0</v>
      </c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 ht="17.25">
      <c r="A75" s="316">
        <v>30100058</v>
      </c>
      <c r="B75" s="189" t="s">
        <v>489</v>
      </c>
      <c r="C75" s="16" t="s">
        <v>61</v>
      </c>
      <c r="D75" s="17">
        <v>5.0599999999999996</v>
      </c>
      <c r="E75" s="17"/>
      <c r="F75" s="6"/>
      <c r="G75" s="93">
        <f>SUM('1:2'!G75)</f>
        <v>0</v>
      </c>
      <c r="H75" s="246">
        <f t="shared" si="11"/>
        <v>0</v>
      </c>
      <c r="I75" s="93">
        <f>SUM('1:2'!I75)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87"/>
      <c r="M75" s="36" t="str">
        <f t="shared" si="26"/>
        <v/>
      </c>
      <c r="N75" s="93">
        <f>SUM('1:2'!N75)</f>
        <v>0</v>
      </c>
      <c r="O75" s="93">
        <f>SUM('1:2'!O75)</f>
        <v>0</v>
      </c>
      <c r="P75" s="93">
        <f>SUM('1:2'!P75)</f>
        <v>0</v>
      </c>
      <c r="Q75" s="93">
        <f>SUM('1:2'!Q75)</f>
        <v>0</v>
      </c>
      <c r="R75" s="93">
        <f>SUM('1:2'!R75)</f>
        <v>0</v>
      </c>
      <c r="S75" s="93">
        <f>SUM('1:2'!S75)</f>
        <v>0</v>
      </c>
      <c r="T75" s="93">
        <f>SUM('1:2'!T75)</f>
        <v>0</v>
      </c>
      <c r="U75" s="93">
        <f>SUM('1:2'!U75)</f>
        <v>0</v>
      </c>
      <c r="V75" s="206">
        <f t="shared" si="27"/>
        <v>0</v>
      </c>
      <c r="W75" s="33" t="str">
        <f t="shared" si="28"/>
        <v/>
      </c>
      <c r="X75" s="93">
        <f>SUM('1:2'!X75)</f>
        <v>0</v>
      </c>
      <c r="Y75" s="93">
        <f>SUM('1:2'!Y75)</f>
        <v>0</v>
      </c>
      <c r="Z75" s="93">
        <f>SUM('1:2'!Z75)</f>
        <v>0</v>
      </c>
      <c r="AA75" s="93">
        <f>SUM('1:2'!AA75)</f>
        <v>0</v>
      </c>
      <c r="AB75" s="358">
        <v>0.43</v>
      </c>
      <c r="AC75" s="269">
        <f t="shared" si="29"/>
        <v>0</v>
      </c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 ht="17.25">
      <c r="A76" s="318">
        <v>30600013</v>
      </c>
      <c r="B76" s="197" t="s">
        <v>377</v>
      </c>
      <c r="C76" s="187" t="s">
        <v>374</v>
      </c>
      <c r="D76" s="17"/>
      <c r="E76" s="17"/>
      <c r="F76" s="6"/>
      <c r="G76" s="93">
        <f>SUM('1:2'!G76)</f>
        <v>0</v>
      </c>
      <c r="H76" s="246">
        <f t="shared" si="11"/>
        <v>0</v>
      </c>
      <c r="I76" s="93">
        <f>SUM('1:2'!I76)</f>
        <v>0</v>
      </c>
      <c r="J76" s="31"/>
      <c r="K76" s="35">
        <f t="array" ref="K76">IF(ISERROR(G76/L76),"",G76/L76)</f>
        <v>0</v>
      </c>
      <c r="L76" s="87">
        <v>24</v>
      </c>
      <c r="M76" s="36">
        <f t="shared" si="26"/>
        <v>0</v>
      </c>
      <c r="N76" s="93">
        <f>SUM('1:2'!N76)</f>
        <v>0</v>
      </c>
      <c r="O76" s="93">
        <f>SUM('1:2'!O76)</f>
        <v>0</v>
      </c>
      <c r="P76" s="93">
        <f>SUM('1:2'!P76)</f>
        <v>0</v>
      </c>
      <c r="Q76" s="93">
        <f>SUM('1:2'!Q76)</f>
        <v>0</v>
      </c>
      <c r="R76" s="93">
        <f>SUM('1:2'!R76)</f>
        <v>0</v>
      </c>
      <c r="S76" s="93">
        <f>SUM('1:2'!S76)</f>
        <v>0</v>
      </c>
      <c r="T76" s="93">
        <f>SUM('1:2'!T76)</f>
        <v>0</v>
      </c>
      <c r="U76" s="93">
        <f>SUM('1:2'!U76)</f>
        <v>0</v>
      </c>
      <c r="V76" s="206"/>
      <c r="W76" s="33"/>
      <c r="X76" s="93">
        <f>SUM('1:2'!X76)</f>
        <v>0</v>
      </c>
      <c r="Y76" s="93">
        <f>SUM('1:2'!Y76)</f>
        <v>0</v>
      </c>
      <c r="Z76" s="93">
        <f>SUM('1:2'!Z76)</f>
        <v>0</v>
      </c>
      <c r="AA76" s="93">
        <f>SUM('1:2'!AA76)</f>
        <v>0</v>
      </c>
      <c r="AB76" s="358">
        <v>0.43</v>
      </c>
      <c r="AC76" s="269">
        <f t="shared" si="29"/>
        <v>0</v>
      </c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 ht="17.25">
      <c r="A77" s="318">
        <v>30600014</v>
      </c>
      <c r="B77" s="197" t="s">
        <v>377</v>
      </c>
      <c r="C77" s="187" t="s">
        <v>369</v>
      </c>
      <c r="D77" s="17"/>
      <c r="E77" s="17"/>
      <c r="F77" s="6"/>
      <c r="G77" s="93">
        <f>SUM('1:2'!G77)</f>
        <v>0</v>
      </c>
      <c r="H77" s="246">
        <f t="shared" si="11"/>
        <v>0</v>
      </c>
      <c r="I77" s="93">
        <f>SUM('1:2'!I77)</f>
        <v>0</v>
      </c>
      <c r="J77" s="31"/>
      <c r="K77" s="35">
        <f t="array" ref="K77">IF(ISERROR(G77/L77),"",G77/L77)</f>
        <v>0</v>
      </c>
      <c r="L77" s="87">
        <v>24</v>
      </c>
      <c r="M77" s="36">
        <f t="shared" si="26"/>
        <v>0</v>
      </c>
      <c r="N77" s="93">
        <f>SUM('1:2'!N77)</f>
        <v>0</v>
      </c>
      <c r="O77" s="93">
        <f>SUM('1:2'!O77)</f>
        <v>0</v>
      </c>
      <c r="P77" s="93">
        <f>SUM('1:2'!P77)</f>
        <v>0</v>
      </c>
      <c r="Q77" s="93">
        <f>SUM('1:2'!Q77)</f>
        <v>0</v>
      </c>
      <c r="R77" s="93">
        <f>SUM('1:2'!R77)</f>
        <v>0</v>
      </c>
      <c r="S77" s="93">
        <f>SUM('1:2'!S77)</f>
        <v>0</v>
      </c>
      <c r="T77" s="93">
        <f>SUM('1:2'!T77)</f>
        <v>0</v>
      </c>
      <c r="U77" s="93">
        <f>SUM('1:2'!U77)</f>
        <v>0</v>
      </c>
      <c r="V77" s="206"/>
      <c r="W77" s="33"/>
      <c r="X77" s="93">
        <f>SUM('1:2'!X77)</f>
        <v>0</v>
      </c>
      <c r="Y77" s="93">
        <f>SUM('1:2'!Y77)</f>
        <v>0</v>
      </c>
      <c r="Z77" s="93">
        <f>SUM('1:2'!Z77)</f>
        <v>0</v>
      </c>
      <c r="AA77" s="93">
        <f>SUM('1:2'!AA77)</f>
        <v>0</v>
      </c>
      <c r="AB77" s="358">
        <v>0.43</v>
      </c>
      <c r="AC77" s="269">
        <f t="shared" si="29"/>
        <v>0</v>
      </c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 ht="17.25">
      <c r="A78" s="318">
        <v>30600012</v>
      </c>
      <c r="B78" s="197" t="s">
        <v>377</v>
      </c>
      <c r="C78" s="187" t="s">
        <v>370</v>
      </c>
      <c r="D78" s="17"/>
      <c r="E78" s="17"/>
      <c r="F78" s="6"/>
      <c r="G78" s="93">
        <f>SUM('1:2'!G78)</f>
        <v>0</v>
      </c>
      <c r="H78" s="246">
        <f t="shared" si="11"/>
        <v>0</v>
      </c>
      <c r="I78" s="93">
        <f>SUM('1:2'!I78)</f>
        <v>0</v>
      </c>
      <c r="J78" s="31"/>
      <c r="K78" s="35">
        <f t="array" ref="K78">IF(ISERROR(G78/L78),"",G78/L78)</f>
        <v>0</v>
      </c>
      <c r="L78" s="87">
        <v>24</v>
      </c>
      <c r="M78" s="36">
        <f t="shared" si="26"/>
        <v>0</v>
      </c>
      <c r="N78" s="93">
        <f>SUM('1:2'!N78)</f>
        <v>0</v>
      </c>
      <c r="O78" s="93">
        <f>SUM('1:2'!O78)</f>
        <v>0</v>
      </c>
      <c r="P78" s="93">
        <f>SUM('1:2'!P78)</f>
        <v>0</v>
      </c>
      <c r="Q78" s="93">
        <f>SUM('1:2'!Q78)</f>
        <v>0</v>
      </c>
      <c r="R78" s="93">
        <f>SUM('1:2'!R78)</f>
        <v>0</v>
      </c>
      <c r="S78" s="93">
        <f>SUM('1:2'!S78)</f>
        <v>0</v>
      </c>
      <c r="T78" s="93">
        <f>SUM('1:2'!T78)</f>
        <v>0</v>
      </c>
      <c r="U78" s="93">
        <f>SUM('1:2'!U78)</f>
        <v>0</v>
      </c>
      <c r="V78" s="206"/>
      <c r="W78" s="33"/>
      <c r="X78" s="93">
        <f>SUM('1:2'!X78)</f>
        <v>0</v>
      </c>
      <c r="Y78" s="93">
        <f>SUM('1:2'!Y78)</f>
        <v>0</v>
      </c>
      <c r="Z78" s="93">
        <f>SUM('1:2'!Z78)</f>
        <v>0</v>
      </c>
      <c r="AA78" s="93">
        <f>SUM('1:2'!AA78)</f>
        <v>0</v>
      </c>
      <c r="AB78" s="358">
        <v>0.43</v>
      </c>
      <c r="AC78" s="269">
        <f t="shared" si="29"/>
        <v>0</v>
      </c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 ht="17.25">
      <c r="A79" s="318">
        <v>30600011</v>
      </c>
      <c r="B79" s="197" t="s">
        <v>377</v>
      </c>
      <c r="C79" s="187" t="s">
        <v>371</v>
      </c>
      <c r="D79" s="17"/>
      <c r="E79" s="17"/>
      <c r="F79" s="6"/>
      <c r="G79" s="93">
        <f>SUM('1:2'!G79)</f>
        <v>0</v>
      </c>
      <c r="H79" s="246">
        <f t="shared" si="11"/>
        <v>0</v>
      </c>
      <c r="I79" s="93">
        <f>SUM('1:2'!I79)</f>
        <v>0</v>
      </c>
      <c r="J79" s="31"/>
      <c r="K79" s="35">
        <f t="array" ref="K79">IF(ISERROR(G79/L79),"",G79/L79)</f>
        <v>0</v>
      </c>
      <c r="L79" s="87">
        <v>24</v>
      </c>
      <c r="M79" s="36">
        <f t="shared" si="26"/>
        <v>0</v>
      </c>
      <c r="N79" s="93">
        <f>SUM('1:2'!N79)</f>
        <v>0</v>
      </c>
      <c r="O79" s="93">
        <f>SUM('1:2'!O79)</f>
        <v>0</v>
      </c>
      <c r="P79" s="93">
        <f>SUM('1:2'!P79)</f>
        <v>0</v>
      </c>
      <c r="Q79" s="93">
        <f>SUM('1:2'!Q79)</f>
        <v>0</v>
      </c>
      <c r="R79" s="93">
        <f>SUM('1:2'!R79)</f>
        <v>0</v>
      </c>
      <c r="S79" s="93">
        <f>SUM('1:2'!S79)</f>
        <v>0</v>
      </c>
      <c r="T79" s="93">
        <f>SUM('1:2'!T79)</f>
        <v>0</v>
      </c>
      <c r="U79" s="93">
        <f>SUM('1:2'!U79)</f>
        <v>0</v>
      </c>
      <c r="V79" s="206"/>
      <c r="W79" s="33"/>
      <c r="X79" s="93">
        <f>SUM('1:2'!X79)</f>
        <v>0</v>
      </c>
      <c r="Y79" s="93">
        <f>SUM('1:2'!Y79)</f>
        <v>0</v>
      </c>
      <c r="Z79" s="93">
        <f>SUM('1:2'!Z79)</f>
        <v>0</v>
      </c>
      <c r="AA79" s="93">
        <f>SUM('1:2'!AA79)</f>
        <v>0</v>
      </c>
      <c r="AB79" s="358">
        <v>0.43</v>
      </c>
      <c r="AC79" s="269">
        <f t="shared" si="29"/>
        <v>0</v>
      </c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 ht="17.25">
      <c r="A80" s="318">
        <v>30300002</v>
      </c>
      <c r="B80" s="197" t="s">
        <v>407</v>
      </c>
      <c r="C80" s="187" t="s">
        <v>408</v>
      </c>
      <c r="D80" s="17"/>
      <c r="E80" s="17"/>
      <c r="F80" s="6"/>
      <c r="G80" s="93">
        <f>SUM('1:2'!G80)</f>
        <v>0</v>
      </c>
      <c r="H80" s="246">
        <f t="shared" si="11"/>
        <v>0</v>
      </c>
      <c r="I80" s="93">
        <f>SUM('1:2'!I80)</f>
        <v>0</v>
      </c>
      <c r="J80" s="31"/>
      <c r="K80" s="35"/>
      <c r="L80" s="87">
        <v>4</v>
      </c>
      <c r="M80" s="36"/>
      <c r="N80" s="93">
        <f>SUM('1:2'!N80)</f>
        <v>0</v>
      </c>
      <c r="O80" s="93"/>
      <c r="P80" s="93"/>
      <c r="Q80" s="93"/>
      <c r="R80" s="93"/>
      <c r="S80" s="93"/>
      <c r="T80" s="93"/>
      <c r="U80" s="93"/>
      <c r="V80" s="206"/>
      <c r="W80" s="33"/>
      <c r="X80" s="93"/>
      <c r="Y80" s="93"/>
      <c r="Z80" s="93"/>
      <c r="AA80" s="93"/>
      <c r="AB80" s="361">
        <v>0.69</v>
      </c>
      <c r="AC80" s="269">
        <f t="shared" si="29"/>
        <v>0</v>
      </c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 ht="17.25">
      <c r="A81" s="318">
        <v>30300001</v>
      </c>
      <c r="B81" s="197" t="s">
        <v>407</v>
      </c>
      <c r="C81" s="187" t="s">
        <v>409</v>
      </c>
      <c r="D81" s="17"/>
      <c r="E81" s="17"/>
      <c r="F81" s="6"/>
      <c r="G81" s="93">
        <f>SUM('1:2'!G81)</f>
        <v>0</v>
      </c>
      <c r="H81" s="246">
        <f t="shared" si="11"/>
        <v>0</v>
      </c>
      <c r="I81" s="93">
        <f>SUM('1:2'!I81)</f>
        <v>0</v>
      </c>
      <c r="J81" s="31"/>
      <c r="K81" s="35"/>
      <c r="L81" s="87">
        <v>4</v>
      </c>
      <c r="M81" s="36"/>
      <c r="N81" s="93">
        <f>SUM('1:2'!N81)</f>
        <v>0</v>
      </c>
      <c r="O81" s="93"/>
      <c r="P81" s="93"/>
      <c r="Q81" s="93"/>
      <c r="R81" s="93"/>
      <c r="S81" s="93"/>
      <c r="T81" s="93"/>
      <c r="U81" s="93"/>
      <c r="V81" s="206"/>
      <c r="W81" s="33"/>
      <c r="X81" s="93"/>
      <c r="Y81" s="93"/>
      <c r="Z81" s="93"/>
      <c r="AA81" s="93"/>
      <c r="AB81" s="361">
        <v>0.69</v>
      </c>
      <c r="AC81" s="269">
        <f t="shared" si="29"/>
        <v>0</v>
      </c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 ht="17.25">
      <c r="A82" s="318">
        <v>30300003</v>
      </c>
      <c r="B82" s="197" t="s">
        <v>407</v>
      </c>
      <c r="C82" s="187" t="s">
        <v>410</v>
      </c>
      <c r="D82" s="17"/>
      <c r="E82" s="17"/>
      <c r="F82" s="6"/>
      <c r="G82" s="93">
        <f>SUM('1:2'!G82)</f>
        <v>0</v>
      </c>
      <c r="H82" s="246">
        <f t="shared" si="11"/>
        <v>0</v>
      </c>
      <c r="I82" s="93">
        <f>SUM('1:2'!I82)</f>
        <v>0</v>
      </c>
      <c r="J82" s="31"/>
      <c r="K82" s="35"/>
      <c r="L82" s="87">
        <v>4</v>
      </c>
      <c r="M82" s="36"/>
      <c r="N82" s="93">
        <f>SUM('1:2'!N82)</f>
        <v>0</v>
      </c>
      <c r="O82" s="93"/>
      <c r="P82" s="93"/>
      <c r="Q82" s="93"/>
      <c r="R82" s="93"/>
      <c r="S82" s="93"/>
      <c r="T82" s="93"/>
      <c r="U82" s="93"/>
      <c r="V82" s="206"/>
      <c r="W82" s="33"/>
      <c r="X82" s="93"/>
      <c r="Y82" s="93"/>
      <c r="Z82" s="93"/>
      <c r="AA82" s="93"/>
      <c r="AB82" s="361">
        <v>0.69</v>
      </c>
      <c r="AC82" s="269">
        <f t="shared" si="29"/>
        <v>0</v>
      </c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 ht="17.25">
      <c r="A83" s="318">
        <v>30300005</v>
      </c>
      <c r="B83" s="63" t="s">
        <v>362</v>
      </c>
      <c r="C83" s="16" t="s">
        <v>337</v>
      </c>
      <c r="D83" s="17"/>
      <c r="E83" s="17"/>
      <c r="F83" s="6"/>
      <c r="G83" s="93">
        <f>SUM('1:2'!G83)</f>
        <v>0</v>
      </c>
      <c r="H83" s="246">
        <f t="shared" si="11"/>
        <v>0</v>
      </c>
      <c r="I83" s="93">
        <f>SUM('1:2'!I83)</f>
        <v>0</v>
      </c>
      <c r="J83" s="31"/>
      <c r="K83" s="35"/>
      <c r="L83" s="87">
        <v>4</v>
      </c>
      <c r="M83" s="36"/>
      <c r="N83" s="93">
        <f>SUM('1:2'!N83)</f>
        <v>0</v>
      </c>
      <c r="O83" s="93">
        <f>SUM('1:2'!O83)</f>
        <v>0</v>
      </c>
      <c r="P83" s="93">
        <f>SUM('1:2'!P83)</f>
        <v>0</v>
      </c>
      <c r="Q83" s="93">
        <f>SUM('1:2'!Q83)</f>
        <v>0</v>
      </c>
      <c r="R83" s="93">
        <f>SUM('1:2'!R83)</f>
        <v>0</v>
      </c>
      <c r="S83" s="93">
        <f>SUM('1:2'!S83)</f>
        <v>0</v>
      </c>
      <c r="T83" s="93">
        <f>SUM('1:2'!T83)</f>
        <v>0</v>
      </c>
      <c r="U83" s="93">
        <f>SUM('1:2'!U83)</f>
        <v>0</v>
      </c>
      <c r="V83" s="206"/>
      <c r="W83" s="33"/>
      <c r="X83" s="93">
        <f>SUM('1:2'!X83)</f>
        <v>0</v>
      </c>
      <c r="Y83" s="93">
        <f>SUM('1:2'!Y83)</f>
        <v>0</v>
      </c>
      <c r="Z83" s="93">
        <f>SUM('1:2'!Z83)</f>
        <v>0</v>
      </c>
      <c r="AA83" s="93">
        <f>SUM('1:2'!AA83)</f>
        <v>0</v>
      </c>
      <c r="AB83" s="358">
        <v>0.95</v>
      </c>
      <c r="AC83" s="269">
        <f t="shared" si="29"/>
        <v>0</v>
      </c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 ht="17.25">
      <c r="A84" s="318">
        <v>30300004</v>
      </c>
      <c r="B84" s="63" t="s">
        <v>362</v>
      </c>
      <c r="C84" s="16" t="s">
        <v>339</v>
      </c>
      <c r="D84" s="17"/>
      <c r="E84" s="17"/>
      <c r="F84" s="6"/>
      <c r="G84" s="93">
        <f>SUM('1:2'!G84)</f>
        <v>0</v>
      </c>
      <c r="H84" s="246">
        <f t="shared" si="11"/>
        <v>0</v>
      </c>
      <c r="I84" s="93">
        <f>SUM('1:2'!I84)</f>
        <v>0</v>
      </c>
      <c r="J84" s="31"/>
      <c r="K84" s="35"/>
      <c r="L84" s="87">
        <v>4</v>
      </c>
      <c r="M84" s="36"/>
      <c r="N84" s="93">
        <f>SUM('1:2'!N84)</f>
        <v>0</v>
      </c>
      <c r="O84" s="93">
        <f>SUM('1:2'!O84)</f>
        <v>0</v>
      </c>
      <c r="P84" s="93">
        <f>SUM('1:2'!P84)</f>
        <v>0</v>
      </c>
      <c r="Q84" s="93">
        <f>SUM('1:2'!Q84)</f>
        <v>0</v>
      </c>
      <c r="R84" s="93">
        <f>SUM('1:2'!R84)</f>
        <v>0</v>
      </c>
      <c r="S84" s="93">
        <f>SUM('1:2'!S84)</f>
        <v>0</v>
      </c>
      <c r="T84" s="93">
        <f>SUM('1:2'!T84)</f>
        <v>0</v>
      </c>
      <c r="U84" s="93">
        <f>SUM('1:2'!U84)</f>
        <v>0</v>
      </c>
      <c r="V84" s="206"/>
      <c r="W84" s="33"/>
      <c r="X84" s="93">
        <f>SUM('1:2'!X84)</f>
        <v>0</v>
      </c>
      <c r="Y84" s="93">
        <f>SUM('1:2'!Y84)</f>
        <v>0</v>
      </c>
      <c r="Z84" s="93">
        <f>SUM('1:2'!Z84)</f>
        <v>0</v>
      </c>
      <c r="AA84" s="93">
        <f>SUM('1:2'!AA84)</f>
        <v>0</v>
      </c>
      <c r="AB84" s="358">
        <v>0.95</v>
      </c>
      <c r="AC84" s="269">
        <f t="shared" si="29"/>
        <v>0</v>
      </c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 ht="17.25">
      <c r="A85" s="318">
        <v>30300006</v>
      </c>
      <c r="B85" s="63" t="s">
        <v>362</v>
      </c>
      <c r="C85" s="16" t="s">
        <v>341</v>
      </c>
      <c r="D85" s="17"/>
      <c r="E85" s="17"/>
      <c r="F85" s="6"/>
      <c r="G85" s="93">
        <f>SUM('1:2'!G85)</f>
        <v>0</v>
      </c>
      <c r="H85" s="246">
        <f t="shared" si="11"/>
        <v>0</v>
      </c>
      <c r="I85" s="93">
        <f>SUM('1:2'!I85)</f>
        <v>0</v>
      </c>
      <c r="J85" s="31"/>
      <c r="K85" s="35"/>
      <c r="L85" s="87">
        <v>4</v>
      </c>
      <c r="M85" s="36"/>
      <c r="N85" s="93">
        <f>SUM('1:2'!N85)</f>
        <v>0</v>
      </c>
      <c r="O85" s="93">
        <f>SUM('1:2'!O85)</f>
        <v>0</v>
      </c>
      <c r="P85" s="93">
        <f>SUM('1:2'!P85)</f>
        <v>0</v>
      </c>
      <c r="Q85" s="93">
        <f>SUM('1:2'!Q85)</f>
        <v>0</v>
      </c>
      <c r="R85" s="93">
        <f>SUM('1:2'!R85)</f>
        <v>0</v>
      </c>
      <c r="S85" s="93">
        <f>SUM('1:2'!S85)</f>
        <v>0</v>
      </c>
      <c r="T85" s="93">
        <f>SUM('1:2'!T85)</f>
        <v>0</v>
      </c>
      <c r="U85" s="93">
        <f>SUM('1:2'!U85)</f>
        <v>0</v>
      </c>
      <c r="V85" s="206"/>
      <c r="W85" s="33"/>
      <c r="X85" s="93">
        <f>SUM('1:2'!X85)</f>
        <v>0</v>
      </c>
      <c r="Y85" s="93">
        <f>SUM('1:2'!Y85)</f>
        <v>0</v>
      </c>
      <c r="Z85" s="93">
        <f>SUM('1:2'!Z85)</f>
        <v>0</v>
      </c>
      <c r="AA85" s="93">
        <f>SUM('1:2'!AA85)</f>
        <v>0</v>
      </c>
      <c r="AB85" s="358">
        <v>0.95</v>
      </c>
      <c r="AC85" s="269">
        <f t="shared" si="29"/>
        <v>0</v>
      </c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 ht="15.75">
      <c r="A86" s="699" t="s">
        <v>86</v>
      </c>
      <c r="B86" s="699"/>
      <c r="C86" s="243" t="s">
        <v>71</v>
      </c>
      <c r="D86" s="20"/>
      <c r="E86" s="20"/>
      <c r="F86" s="32"/>
      <c r="G86" s="94">
        <f>SUM(G29:G85)</f>
        <v>4520</v>
      </c>
      <c r="H86" s="30">
        <f>SUM(H29:H85)</f>
        <v>22794.1</v>
      </c>
      <c r="I86" s="30">
        <f>SUM(I29:I85)</f>
        <v>114</v>
      </c>
      <c r="J86" s="31">
        <f t="array" ref="J86">IF(ISERROR(G86/I86),"",G86/I86)</f>
        <v>39.649122807017541</v>
      </c>
      <c r="K86" s="30">
        <f>SUM(K29:K85)</f>
        <v>121.67134551495016</v>
      </c>
      <c r="L86" s="98"/>
      <c r="M86" s="89">
        <f t="shared" ref="M86:V86" si="30">SUM(M29:M85)</f>
        <v>-8.9713455149501673</v>
      </c>
      <c r="N86" s="30">
        <f t="shared" si="30"/>
        <v>0</v>
      </c>
      <c r="O86" s="91">
        <f t="shared" si="30"/>
        <v>0</v>
      </c>
      <c r="P86" s="91">
        <f t="shared" si="30"/>
        <v>0</v>
      </c>
      <c r="Q86" s="91">
        <f t="shared" si="30"/>
        <v>0</v>
      </c>
      <c r="R86" s="91">
        <f t="shared" si="30"/>
        <v>0</v>
      </c>
      <c r="S86" s="92">
        <f t="shared" si="30"/>
        <v>0</v>
      </c>
      <c r="T86" s="91">
        <f t="shared" si="30"/>
        <v>0</v>
      </c>
      <c r="U86" s="91">
        <f t="shared" si="30"/>
        <v>0</v>
      </c>
      <c r="V86" s="206">
        <f t="shared" si="30"/>
        <v>0</v>
      </c>
      <c r="W86" s="33">
        <f t="shared" ref="W86:W93" si="31">IF(ISERROR(V86/G86),"",V86/G86)</f>
        <v>0</v>
      </c>
      <c r="X86" s="92">
        <f>SUM(X29:X85)</f>
        <v>0</v>
      </c>
      <c r="Y86" s="92">
        <f>SUM(Y29:Y85)</f>
        <v>0</v>
      </c>
      <c r="Z86" s="92">
        <f>SUM(Z29:Z85)</f>
        <v>0</v>
      </c>
      <c r="AA86" s="92">
        <f>SUM(AA29:AA85)</f>
        <v>0</v>
      </c>
      <c r="AB86" s="358"/>
      <c r="AC86" s="91">
        <f>SUM(AC29:AC85)</f>
        <v>1242.6100000000001</v>
      </c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 ht="17.25">
      <c r="A87" s="320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93">
        <f>SUM('1:2'!G87)</f>
        <v>0</v>
      </c>
      <c r="H87" s="93">
        <f>SUM('1:2'!H87)</f>
        <v>0</v>
      </c>
      <c r="I87" s="93">
        <f>SUM('1:2'!I87)</f>
        <v>0</v>
      </c>
      <c r="J87" s="31" t="str">
        <f>IF(ISERROR(G87/I87),"",G87/I87)</f>
        <v/>
      </c>
      <c r="K87" s="35">
        <f t="array" ref="K87">IF(ISERROR(G87/L87),"",G87/L87)</f>
        <v>0</v>
      </c>
      <c r="L87" s="87">
        <v>8.8000000000000007</v>
      </c>
      <c r="M87" s="36">
        <f t="shared" ref="M87:M94" si="32">IF(ISERROR(I87-K87),"",I87-K87)</f>
        <v>0</v>
      </c>
      <c r="N87" s="93">
        <f>SUM('1:2'!N87)</f>
        <v>0</v>
      </c>
      <c r="O87" s="93">
        <f>SUM('1:2'!O87)</f>
        <v>0</v>
      </c>
      <c r="P87" s="93">
        <f>SUM('1:2'!P87)</f>
        <v>0</v>
      </c>
      <c r="Q87" s="93">
        <f>SUM('1:2'!Q87)</f>
        <v>0</v>
      </c>
      <c r="R87" s="93">
        <f>SUM('1:2'!R87)</f>
        <v>0</v>
      </c>
      <c r="S87" s="93">
        <f>SUM('1:2'!S87)</f>
        <v>0</v>
      </c>
      <c r="T87" s="93">
        <f>SUM('1:2'!T87)</f>
        <v>0</v>
      </c>
      <c r="U87" s="93">
        <f>SUM('1:2'!U87)</f>
        <v>0</v>
      </c>
      <c r="V87" s="206">
        <f t="shared" ref="V87:V93" si="33">SUM(X87:AA87)</f>
        <v>0</v>
      </c>
      <c r="W87" s="33" t="str">
        <f t="shared" si="31"/>
        <v/>
      </c>
      <c r="X87" s="93">
        <f>SUM('1:2'!X87)</f>
        <v>0</v>
      </c>
      <c r="Y87" s="93">
        <f>SUM('1:2'!Y87)</f>
        <v>0</v>
      </c>
      <c r="Z87" s="93">
        <f>SUM('1:2'!Z87)</f>
        <v>0</v>
      </c>
      <c r="AA87" s="93">
        <f>SUM('1:2'!AA87)</f>
        <v>0</v>
      </c>
      <c r="AB87" s="358">
        <v>1.18</v>
      </c>
      <c r="AC87" s="269">
        <f t="shared" si="29"/>
        <v>0</v>
      </c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 ht="17.25">
      <c r="A88" s="320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93">
        <f>SUM('1:2'!G88)</f>
        <v>0</v>
      </c>
      <c r="H88" s="93">
        <f>SUM('1:2'!H88)</f>
        <v>0</v>
      </c>
      <c r="I88" s="93">
        <f>SUM('1:2'!I88)</f>
        <v>0</v>
      </c>
      <c r="J88" s="31" t="str">
        <f t="array" ref="J88">IF(ISERROR(G88/I88),"",G88/I88)</f>
        <v/>
      </c>
      <c r="K88" s="35">
        <f t="array" ref="K88">IF(ISERROR(G88/L88),"",G88/L88)</f>
        <v>0</v>
      </c>
      <c r="L88" s="87">
        <v>8.8000000000000007</v>
      </c>
      <c r="M88" s="36">
        <f t="shared" si="32"/>
        <v>0</v>
      </c>
      <c r="N88" s="93">
        <f>SUM('1:2'!N88)</f>
        <v>0</v>
      </c>
      <c r="O88" s="93">
        <f>SUM('1:2'!O88)</f>
        <v>0</v>
      </c>
      <c r="P88" s="93">
        <f>SUM('1:2'!P88)</f>
        <v>0</v>
      </c>
      <c r="Q88" s="93">
        <f>SUM('1:2'!Q88)</f>
        <v>0</v>
      </c>
      <c r="R88" s="93">
        <f>SUM('1:2'!R88)</f>
        <v>0</v>
      </c>
      <c r="S88" s="93">
        <f>SUM('1:2'!S88)</f>
        <v>0</v>
      </c>
      <c r="T88" s="93">
        <f>SUM('1:2'!T88)</f>
        <v>0</v>
      </c>
      <c r="U88" s="93">
        <f>SUM('1:2'!U88)</f>
        <v>0</v>
      </c>
      <c r="V88" s="206">
        <f t="shared" si="33"/>
        <v>0</v>
      </c>
      <c r="W88" s="33" t="str">
        <f t="shared" si="31"/>
        <v/>
      </c>
      <c r="X88" s="93">
        <f>SUM('1:2'!X88)</f>
        <v>0</v>
      </c>
      <c r="Y88" s="93">
        <f>SUM('1:2'!Y88)</f>
        <v>0</v>
      </c>
      <c r="Z88" s="93">
        <f>SUM('1:2'!Z88)</f>
        <v>0</v>
      </c>
      <c r="AA88" s="93">
        <f>SUM('1:2'!AA88)</f>
        <v>0</v>
      </c>
      <c r="AB88" s="358">
        <v>1.18</v>
      </c>
      <c r="AC88" s="269">
        <f t="shared" si="29"/>
        <v>0</v>
      </c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 ht="17.25">
      <c r="A89" s="320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93">
        <f>SUM('1:2'!G89)</f>
        <v>0</v>
      </c>
      <c r="H89" s="93">
        <f>SUM('1:2'!H89)</f>
        <v>0</v>
      </c>
      <c r="I89" s="93">
        <f>SUM('1:2'!I89)</f>
        <v>0</v>
      </c>
      <c r="J89" s="31" t="str">
        <f t="array" ref="J89">IF(ISERROR(G89/I89),"",G89/I89)</f>
        <v/>
      </c>
      <c r="K89" s="35">
        <f t="array" ref="K89">IF(ISERROR(G89/L89),"",G89/L89)</f>
        <v>0</v>
      </c>
      <c r="L89" s="87">
        <v>8.8000000000000007</v>
      </c>
      <c r="M89" s="36">
        <f t="shared" si="32"/>
        <v>0</v>
      </c>
      <c r="N89" s="93">
        <f>SUM('1:2'!N89)</f>
        <v>0</v>
      </c>
      <c r="O89" s="93">
        <f>SUM('1:2'!O89)</f>
        <v>0</v>
      </c>
      <c r="P89" s="93">
        <f>SUM('1:2'!P89)</f>
        <v>0</v>
      </c>
      <c r="Q89" s="93">
        <f>SUM('1:2'!Q89)</f>
        <v>0</v>
      </c>
      <c r="R89" s="93">
        <f>SUM('1:2'!R89)</f>
        <v>0</v>
      </c>
      <c r="S89" s="93">
        <f>SUM('1:2'!S89)</f>
        <v>0</v>
      </c>
      <c r="T89" s="93">
        <f>SUM('1:2'!T89)</f>
        <v>0</v>
      </c>
      <c r="U89" s="93">
        <f>SUM('1:2'!U89)</f>
        <v>0</v>
      </c>
      <c r="V89" s="206">
        <f t="shared" si="33"/>
        <v>0</v>
      </c>
      <c r="W89" s="33" t="str">
        <f t="shared" si="31"/>
        <v/>
      </c>
      <c r="X89" s="93">
        <f>SUM('1:2'!X89)</f>
        <v>0</v>
      </c>
      <c r="Y89" s="93">
        <f>SUM('1:2'!Y89)</f>
        <v>0</v>
      </c>
      <c r="Z89" s="93">
        <f>SUM('1:2'!Z89)</f>
        <v>0</v>
      </c>
      <c r="AA89" s="93">
        <f>SUM('1:2'!AA89)</f>
        <v>0</v>
      </c>
      <c r="AB89" s="358">
        <v>1.18</v>
      </c>
      <c r="AC89" s="269">
        <f t="shared" si="29"/>
        <v>0</v>
      </c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 ht="17.25">
      <c r="A90" s="320">
        <v>30400014</v>
      </c>
      <c r="B90" s="215" t="s">
        <v>513</v>
      </c>
      <c r="C90" s="16" t="s">
        <v>53</v>
      </c>
      <c r="D90" s="17">
        <v>5.03</v>
      </c>
      <c r="E90" s="17"/>
      <c r="F90" s="6"/>
      <c r="G90" s="93">
        <f>SUM('1:2'!G90)</f>
        <v>0</v>
      </c>
      <c r="H90" s="93">
        <f>SUM('1:2'!H90)</f>
        <v>0</v>
      </c>
      <c r="I90" s="93">
        <f>SUM('1:2'!I90)</f>
        <v>0</v>
      </c>
      <c r="J90" s="31" t="str">
        <f t="array" ref="J90">IF(ISERROR(G90/I90),"",G90/I90)</f>
        <v/>
      </c>
      <c r="K90" s="35">
        <f t="array" ref="K90">IF(ISERROR(G90/L90),"",G90/L90)</f>
        <v>0</v>
      </c>
      <c r="L90" s="87">
        <v>9.3000000000000007</v>
      </c>
      <c r="M90" s="36">
        <f t="shared" si="32"/>
        <v>0</v>
      </c>
      <c r="N90" s="93">
        <f>SUM('1:2'!N90)</f>
        <v>0</v>
      </c>
      <c r="O90" s="93">
        <f>SUM('1:2'!O90)</f>
        <v>0</v>
      </c>
      <c r="P90" s="93">
        <f>SUM('1:2'!P90)</f>
        <v>0</v>
      </c>
      <c r="Q90" s="93">
        <f>SUM('1:2'!Q90)</f>
        <v>0</v>
      </c>
      <c r="R90" s="93">
        <f>SUM('1:2'!R90)</f>
        <v>0</v>
      </c>
      <c r="S90" s="93">
        <f>SUM('1:2'!S90)</f>
        <v>0</v>
      </c>
      <c r="T90" s="93">
        <f>SUM('1:2'!T90)</f>
        <v>0</v>
      </c>
      <c r="U90" s="93">
        <f>SUM('1:2'!U90)</f>
        <v>0</v>
      </c>
      <c r="V90" s="206">
        <f t="shared" si="33"/>
        <v>0</v>
      </c>
      <c r="W90" s="33" t="str">
        <f t="shared" si="31"/>
        <v/>
      </c>
      <c r="X90" s="93">
        <f>SUM('1:2'!X90)</f>
        <v>0</v>
      </c>
      <c r="Y90" s="93">
        <f>SUM('1:2'!Y90)</f>
        <v>0</v>
      </c>
      <c r="Z90" s="93">
        <f>SUM('1:2'!Z90)</f>
        <v>0</v>
      </c>
      <c r="AA90" s="93">
        <f>SUM('1:2'!AA90)</f>
        <v>0</v>
      </c>
      <c r="AB90" s="358">
        <v>1.1100000000000001</v>
      </c>
      <c r="AC90" s="269">
        <f t="shared" si="29"/>
        <v>0</v>
      </c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 ht="17.25">
      <c r="A91" s="320">
        <v>30400013</v>
      </c>
      <c r="B91" s="215" t="s">
        <v>474</v>
      </c>
      <c r="C91" s="16" t="s">
        <v>72</v>
      </c>
      <c r="D91" s="17">
        <v>5.03</v>
      </c>
      <c r="E91" s="17"/>
      <c r="F91" s="6"/>
      <c r="G91" s="93">
        <f>SUM('1:2'!G91)</f>
        <v>15</v>
      </c>
      <c r="H91" s="93">
        <f>SUM('1:2'!H91)</f>
        <v>75.45</v>
      </c>
      <c r="I91" s="93">
        <f>SUM('1:2'!I91)</f>
        <v>2</v>
      </c>
      <c r="J91" s="31">
        <f t="array" ref="J91">IF(ISERROR(G91/I91),"",G91/I91)</f>
        <v>7.5</v>
      </c>
      <c r="K91" s="35">
        <f t="array" ref="K91">IF(ISERROR(G91/L91),"",G91/L91)</f>
        <v>1.6129032258064515</v>
      </c>
      <c r="L91" s="87">
        <v>9.3000000000000007</v>
      </c>
      <c r="M91" s="36">
        <f t="shared" si="32"/>
        <v>0.38709677419354849</v>
      </c>
      <c r="N91" s="93">
        <f>SUM('1:2'!N91)</f>
        <v>0</v>
      </c>
      <c r="O91" s="93">
        <f>SUM('1:2'!O91)</f>
        <v>0</v>
      </c>
      <c r="P91" s="93">
        <f>SUM('1:2'!P91)</f>
        <v>0</v>
      </c>
      <c r="Q91" s="93">
        <f>SUM('1:2'!Q91)</f>
        <v>0</v>
      </c>
      <c r="R91" s="93">
        <f>SUM('1:2'!R91)</f>
        <v>0</v>
      </c>
      <c r="S91" s="93">
        <f>SUM('1:2'!S91)</f>
        <v>0</v>
      </c>
      <c r="T91" s="93">
        <f>SUM('1:2'!T91)</f>
        <v>0</v>
      </c>
      <c r="U91" s="93">
        <f>SUM('1:2'!U91)</f>
        <v>0</v>
      </c>
      <c r="V91" s="206">
        <f t="shared" si="33"/>
        <v>0</v>
      </c>
      <c r="W91" s="33">
        <f t="shared" si="31"/>
        <v>0</v>
      </c>
      <c r="X91" s="93">
        <f>SUM('1:2'!X91)</f>
        <v>0</v>
      </c>
      <c r="Y91" s="93">
        <f>SUM('1:2'!Y91)</f>
        <v>0</v>
      </c>
      <c r="Z91" s="93">
        <f>SUM('1:2'!Z91)</f>
        <v>0</v>
      </c>
      <c r="AA91" s="93">
        <f>SUM('1:2'!AA91)</f>
        <v>0</v>
      </c>
      <c r="AB91" s="358">
        <v>1.1100000000000001</v>
      </c>
      <c r="AC91" s="269">
        <f t="shared" si="29"/>
        <v>16.650000000000002</v>
      </c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 ht="17.25">
      <c r="A92" s="320">
        <v>30400016</v>
      </c>
      <c r="B92" s="215" t="s">
        <v>513</v>
      </c>
      <c r="C92" s="16" t="s">
        <v>60</v>
      </c>
      <c r="D92" s="17">
        <v>5.03</v>
      </c>
      <c r="E92" s="17"/>
      <c r="F92" s="6"/>
      <c r="G92" s="93">
        <f>SUM('1:2'!G92)</f>
        <v>436</v>
      </c>
      <c r="H92" s="93">
        <f>SUM('1:2'!H92)</f>
        <v>2193.08</v>
      </c>
      <c r="I92" s="93">
        <f>SUM('1:2'!I92)</f>
        <v>44</v>
      </c>
      <c r="J92" s="31">
        <f t="array" ref="J92">IF(ISERROR(G92/I92),"",G92/I92)</f>
        <v>9.9090909090909083</v>
      </c>
      <c r="K92" s="35">
        <f t="array" ref="K92">IF(ISERROR(G92/L92),"",G92/L92)</f>
        <v>46.881720430107521</v>
      </c>
      <c r="L92" s="87">
        <v>9.3000000000000007</v>
      </c>
      <c r="M92" s="36">
        <f t="shared" si="32"/>
        <v>-2.8817204301075208</v>
      </c>
      <c r="N92" s="93">
        <f>SUM('1:2'!N92)</f>
        <v>0</v>
      </c>
      <c r="O92" s="93">
        <f>SUM('1:2'!O92)</f>
        <v>0</v>
      </c>
      <c r="P92" s="93">
        <f>SUM('1:2'!P92)</f>
        <v>0</v>
      </c>
      <c r="Q92" s="93">
        <f>SUM('1:2'!Q92)</f>
        <v>0</v>
      </c>
      <c r="R92" s="93">
        <f>SUM('1:2'!R92)</f>
        <v>0</v>
      </c>
      <c r="S92" s="93">
        <f>SUM('1:2'!S92)</f>
        <v>0</v>
      </c>
      <c r="T92" s="93">
        <f>SUM('1:2'!T92)</f>
        <v>0</v>
      </c>
      <c r="U92" s="93">
        <f>SUM('1:2'!U92)</f>
        <v>0</v>
      </c>
      <c r="V92" s="206">
        <f t="shared" si="33"/>
        <v>0</v>
      </c>
      <c r="W92" s="33">
        <f t="shared" si="31"/>
        <v>0</v>
      </c>
      <c r="X92" s="93">
        <f>SUM('1:2'!X92)</f>
        <v>0</v>
      </c>
      <c r="Y92" s="93">
        <f>SUM('1:2'!Y92)</f>
        <v>0</v>
      </c>
      <c r="Z92" s="93">
        <f>SUM('1:2'!Z92)</f>
        <v>0</v>
      </c>
      <c r="AA92" s="93">
        <f>SUM('1:2'!AA92)</f>
        <v>0</v>
      </c>
      <c r="AB92" s="358">
        <v>1.1100000000000001</v>
      </c>
      <c r="AC92" s="269">
        <f t="shared" si="29"/>
        <v>483.96000000000004</v>
      </c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 ht="17.25">
      <c r="A93" s="320">
        <v>30400017</v>
      </c>
      <c r="B93" s="215" t="s">
        <v>513</v>
      </c>
      <c r="C93" s="16" t="s">
        <v>66</v>
      </c>
      <c r="D93" s="17">
        <v>5.03</v>
      </c>
      <c r="E93" s="17"/>
      <c r="F93" s="6"/>
      <c r="G93" s="93">
        <f>SUM('1:2'!G93)</f>
        <v>0</v>
      </c>
      <c r="H93" s="93">
        <f>SUM('1:2'!H93)</f>
        <v>0</v>
      </c>
      <c r="I93" s="93">
        <f>SUM('1:2'!I93)</f>
        <v>0</v>
      </c>
      <c r="J93" s="31" t="str">
        <f t="array" ref="J93">IF(ISERROR(G93/I93),"",G93/I93)</f>
        <v/>
      </c>
      <c r="K93" s="35">
        <f t="array" ref="K93">IF(ISERROR(G93/L93),"",G93/L93)</f>
        <v>0</v>
      </c>
      <c r="L93" s="87">
        <v>9.3000000000000007</v>
      </c>
      <c r="M93" s="36">
        <f t="shared" si="32"/>
        <v>0</v>
      </c>
      <c r="N93" s="93">
        <f>SUM('1:2'!N93)</f>
        <v>0</v>
      </c>
      <c r="O93" s="93">
        <f>SUM('1:2'!O93)</f>
        <v>0</v>
      </c>
      <c r="P93" s="93">
        <f>SUM('1:2'!P93)</f>
        <v>0</v>
      </c>
      <c r="Q93" s="93">
        <f>SUM('1:2'!Q93)</f>
        <v>0</v>
      </c>
      <c r="R93" s="93">
        <f>SUM('1:2'!R93)</f>
        <v>0</v>
      </c>
      <c r="S93" s="93">
        <f>SUM('1:2'!S93)</f>
        <v>0</v>
      </c>
      <c r="T93" s="93">
        <f>SUM('1:2'!T93)</f>
        <v>0</v>
      </c>
      <c r="U93" s="93">
        <f>SUM('1:2'!U93)</f>
        <v>0</v>
      </c>
      <c r="V93" s="206">
        <f t="shared" si="33"/>
        <v>0</v>
      </c>
      <c r="W93" s="33" t="str">
        <f t="shared" si="31"/>
        <v/>
      </c>
      <c r="X93" s="93">
        <f>SUM('1:2'!X93)</f>
        <v>0</v>
      </c>
      <c r="Y93" s="93">
        <f>SUM('1:2'!Y93)</f>
        <v>0</v>
      </c>
      <c r="Z93" s="93">
        <f>SUM('1:2'!Z93)</f>
        <v>0</v>
      </c>
      <c r="AA93" s="93">
        <f>SUM('1:2'!AA93)</f>
        <v>0</v>
      </c>
      <c r="AB93" s="358">
        <v>1.1100000000000001</v>
      </c>
      <c r="AC93" s="269">
        <f t="shared" si="29"/>
        <v>0</v>
      </c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 ht="17.25">
      <c r="A94" s="320">
        <v>30400015</v>
      </c>
      <c r="B94" s="65" t="s">
        <v>512</v>
      </c>
      <c r="C94" s="16" t="s">
        <v>177</v>
      </c>
      <c r="D94" s="17">
        <v>5.03</v>
      </c>
      <c r="E94" s="17"/>
      <c r="F94" s="6"/>
      <c r="G94" s="93">
        <f>SUM('1:2'!G94)</f>
        <v>81</v>
      </c>
      <c r="H94" s="93">
        <f>SUM('1:2'!H94)</f>
        <v>407.43</v>
      </c>
      <c r="I94" s="93">
        <f>SUM('1:2'!I94)</f>
        <v>11</v>
      </c>
      <c r="J94" s="31"/>
      <c r="K94" s="35">
        <f t="array" ref="K94">IF(ISERROR(G94/L94),"",G94/L94)</f>
        <v>8.7096774193548381</v>
      </c>
      <c r="L94" s="87">
        <v>9.3000000000000007</v>
      </c>
      <c r="M94" s="36">
        <f t="shared" si="32"/>
        <v>2.2903225806451619</v>
      </c>
      <c r="N94" s="93">
        <f>SUM('1:2'!N94)</f>
        <v>0</v>
      </c>
      <c r="O94" s="93">
        <f>SUM('1:2'!O94)</f>
        <v>0</v>
      </c>
      <c r="P94" s="93">
        <f>SUM('1:2'!P94)</f>
        <v>0</v>
      </c>
      <c r="Q94" s="93">
        <f>SUM('1:2'!Q94)</f>
        <v>0</v>
      </c>
      <c r="R94" s="93">
        <f>SUM('1:2'!R94)</f>
        <v>0</v>
      </c>
      <c r="S94" s="93">
        <f>SUM('1:2'!S94)</f>
        <v>0</v>
      </c>
      <c r="T94" s="93">
        <f>SUM('1:2'!T94)</f>
        <v>0</v>
      </c>
      <c r="U94" s="93">
        <f>SUM('1:2'!U94)</f>
        <v>0</v>
      </c>
      <c r="V94" s="207"/>
      <c r="W94" s="33"/>
      <c r="X94" s="93">
        <f>SUM('1:2'!X94)</f>
        <v>0</v>
      </c>
      <c r="Y94" s="93">
        <f>SUM('1:2'!Y94)</f>
        <v>0</v>
      </c>
      <c r="Z94" s="93">
        <f>SUM('1:2'!Z94)</f>
        <v>0</v>
      </c>
      <c r="AA94" s="93">
        <f>SUM('1:2'!AA94)</f>
        <v>0</v>
      </c>
      <c r="AB94" s="358">
        <v>0.84</v>
      </c>
      <c r="AC94" s="269">
        <f t="shared" si="29"/>
        <v>68.039999999999992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 ht="17.25">
      <c r="A95" s="321">
        <v>30600004</v>
      </c>
      <c r="B95" s="65" t="s">
        <v>162</v>
      </c>
      <c r="C95" s="16" t="s">
        <v>53</v>
      </c>
      <c r="D95" s="17">
        <v>5.03</v>
      </c>
      <c r="E95" s="17"/>
      <c r="F95" s="6"/>
      <c r="G95" s="93">
        <f>SUM('1:2'!G95)</f>
        <v>0</v>
      </c>
      <c r="H95" s="93">
        <f>SUM('1:2'!H95)</f>
        <v>0</v>
      </c>
      <c r="I95" s="93">
        <f>SUM('1:2'!I95)</f>
        <v>0</v>
      </c>
      <c r="J95" s="31" t="str">
        <f t="array" ref="J95">IF(ISERROR(G95/I95),"",G95/I95)</f>
        <v/>
      </c>
      <c r="K95" s="35">
        <f t="array" ref="K95">IF(ISERROR(G95/L95),"",G95/L95)</f>
        <v>0</v>
      </c>
      <c r="L95" s="87">
        <v>8</v>
      </c>
      <c r="M95" s="36">
        <f>IF(ISERROR(I95-K95),"",I95-K95)</f>
        <v>0</v>
      </c>
      <c r="N95" s="93">
        <f>SUM('1:2'!N95)</f>
        <v>0</v>
      </c>
      <c r="O95" s="93">
        <f>SUM('1:2'!O95)</f>
        <v>0</v>
      </c>
      <c r="P95" s="93">
        <f>SUM('1:2'!P95)</f>
        <v>0</v>
      </c>
      <c r="Q95" s="93">
        <f>SUM('1:2'!Q95)</f>
        <v>0</v>
      </c>
      <c r="R95" s="93">
        <f>SUM('1:2'!R95)</f>
        <v>0</v>
      </c>
      <c r="S95" s="93">
        <f>SUM('1:2'!S95)</f>
        <v>0</v>
      </c>
      <c r="T95" s="93">
        <f>SUM('1:2'!T95)</f>
        <v>0</v>
      </c>
      <c r="U95" s="93">
        <f>SUM('1:2'!U95)</f>
        <v>0</v>
      </c>
      <c r="V95" s="207">
        <f>SUM(X95:AA95)</f>
        <v>0</v>
      </c>
      <c r="W95" s="33" t="str">
        <f>IF(ISERROR(V95/G95),"",V95/G95)</f>
        <v/>
      </c>
      <c r="X95" s="93">
        <f>SUM('1:2'!X95)</f>
        <v>0</v>
      </c>
      <c r="Y95" s="93">
        <f>SUM('1:2'!Y95)</f>
        <v>0</v>
      </c>
      <c r="Z95" s="93">
        <f>SUM('1:2'!Z95)</f>
        <v>0</v>
      </c>
      <c r="AA95" s="93">
        <f>SUM('1:2'!AA95)</f>
        <v>0</v>
      </c>
      <c r="AB95" s="358">
        <v>1.06</v>
      </c>
      <c r="AC95" s="269">
        <f t="shared" si="29"/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 ht="17.25">
      <c r="A96" s="321">
        <v>30600001</v>
      </c>
      <c r="B96" s="65" t="s">
        <v>162</v>
      </c>
      <c r="C96" s="16" t="s">
        <v>55</v>
      </c>
      <c r="D96" s="17">
        <v>5.03</v>
      </c>
      <c r="E96" s="17"/>
      <c r="F96" s="6"/>
      <c r="G96" s="93">
        <f>SUM('1:2'!G96)</f>
        <v>0</v>
      </c>
      <c r="H96" s="93">
        <f>SUM('1:2'!H96)</f>
        <v>0</v>
      </c>
      <c r="I96" s="93">
        <f>SUM('1:2'!I96)</f>
        <v>0</v>
      </c>
      <c r="J96" s="31" t="str">
        <f t="array" ref="J96">IF(ISERROR(G96/I96),"",G96/I96)</f>
        <v/>
      </c>
      <c r="K96" s="35">
        <f t="array" ref="K96">IF(ISERROR(G96/L96),"",G96/L96)</f>
        <v>0</v>
      </c>
      <c r="L96" s="87">
        <v>8</v>
      </c>
      <c r="M96" s="36">
        <f>IF(ISERROR(I96-K96),"",I96-K96)</f>
        <v>0</v>
      </c>
      <c r="N96" s="93">
        <f>SUM('1:2'!N96)</f>
        <v>0</v>
      </c>
      <c r="O96" s="93">
        <f>SUM('1:2'!O96)</f>
        <v>0</v>
      </c>
      <c r="P96" s="93">
        <f>SUM('1:2'!P96)</f>
        <v>0</v>
      </c>
      <c r="Q96" s="93">
        <f>SUM('1:2'!Q96)</f>
        <v>0</v>
      </c>
      <c r="R96" s="93">
        <f>SUM('1:2'!R96)</f>
        <v>0</v>
      </c>
      <c r="S96" s="93">
        <f>SUM('1:2'!S96)</f>
        <v>0</v>
      </c>
      <c r="T96" s="93">
        <f>SUM('1:2'!T96)</f>
        <v>0</v>
      </c>
      <c r="U96" s="93">
        <f>SUM('1:2'!U96)</f>
        <v>0</v>
      </c>
      <c r="V96" s="207">
        <f>SUM(X96:AA96)</f>
        <v>0</v>
      </c>
      <c r="W96" s="33" t="str">
        <f>IF(ISERROR(V96/G96),"",V96/G96)</f>
        <v/>
      </c>
      <c r="X96" s="93">
        <f>SUM('1:2'!X96)</f>
        <v>0</v>
      </c>
      <c r="Y96" s="93">
        <f>SUM('1:2'!Y96)</f>
        <v>0</v>
      </c>
      <c r="Z96" s="93">
        <f>SUM('1:2'!Z96)</f>
        <v>0</v>
      </c>
      <c r="AA96" s="93">
        <f>SUM('1:2'!AA96)</f>
        <v>0</v>
      </c>
      <c r="AB96" s="358">
        <v>1.06</v>
      </c>
      <c r="AC96" s="269">
        <f t="shared" si="29"/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 ht="17.25">
      <c r="A97" s="321">
        <v>30600002</v>
      </c>
      <c r="B97" s="65" t="s">
        <v>162</v>
      </c>
      <c r="C97" s="16" t="s">
        <v>60</v>
      </c>
      <c r="D97" s="17">
        <v>5.03</v>
      </c>
      <c r="E97" s="17"/>
      <c r="F97" s="6"/>
      <c r="G97" s="93">
        <f>SUM('1:2'!G97)</f>
        <v>0</v>
      </c>
      <c r="H97" s="93">
        <f>SUM('1:2'!H97)</f>
        <v>0</v>
      </c>
      <c r="I97" s="93">
        <f>SUM('1:2'!I97)</f>
        <v>0</v>
      </c>
      <c r="J97" s="31" t="str">
        <f t="array" ref="J97">IF(ISERROR(G97/I97),"",G97/I97)</f>
        <v/>
      </c>
      <c r="K97" s="35">
        <f t="array" ref="K97">IF(ISERROR(G97/L97),"",G97/L97)</f>
        <v>0</v>
      </c>
      <c r="L97" s="87">
        <v>8</v>
      </c>
      <c r="M97" s="36">
        <f>IF(ISERROR(I97-K97),"",I97-K97)</f>
        <v>0</v>
      </c>
      <c r="N97" s="93">
        <f>SUM('1:2'!N97)</f>
        <v>0</v>
      </c>
      <c r="O97" s="93">
        <f>SUM('1:2'!O97)</f>
        <v>0</v>
      </c>
      <c r="P97" s="93">
        <f>SUM('1:2'!P97)</f>
        <v>0</v>
      </c>
      <c r="Q97" s="93">
        <f>SUM('1:2'!Q97)</f>
        <v>0</v>
      </c>
      <c r="R97" s="93">
        <f>SUM('1:2'!R97)</f>
        <v>0</v>
      </c>
      <c r="S97" s="93">
        <f>SUM('1:2'!S97)</f>
        <v>0</v>
      </c>
      <c r="T97" s="93">
        <f>SUM('1:2'!T97)</f>
        <v>0</v>
      </c>
      <c r="U97" s="93">
        <f>SUM('1:2'!U97)</f>
        <v>0</v>
      </c>
      <c r="V97" s="207">
        <f>SUM(X97:AA97)</f>
        <v>0</v>
      </c>
      <c r="W97" s="33" t="str">
        <f>IF(ISERROR(V97/G97),"",V97/G97)</f>
        <v/>
      </c>
      <c r="X97" s="93">
        <f>SUM('1:2'!X97)</f>
        <v>0</v>
      </c>
      <c r="Y97" s="93">
        <f>SUM('1:2'!Y97)</f>
        <v>0</v>
      </c>
      <c r="Z97" s="93">
        <f>SUM('1:2'!Z97)</f>
        <v>0</v>
      </c>
      <c r="AA97" s="93">
        <f>SUM('1:2'!AA97)</f>
        <v>0</v>
      </c>
      <c r="AB97" s="358">
        <v>1.06</v>
      </c>
      <c r="AC97" s="269">
        <f t="shared" si="29"/>
        <v>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 ht="17.25">
      <c r="A98" s="321">
        <v>30600003</v>
      </c>
      <c r="B98" s="65" t="s">
        <v>162</v>
      </c>
      <c r="C98" s="195" t="s">
        <v>89</v>
      </c>
      <c r="D98" s="17">
        <v>5.03</v>
      </c>
      <c r="E98" s="17"/>
      <c r="F98" s="6"/>
      <c r="G98" s="93">
        <f>SUM('1:2'!G98)</f>
        <v>0</v>
      </c>
      <c r="H98" s="93">
        <f>SUM('1:2'!H98)</f>
        <v>0</v>
      </c>
      <c r="I98" s="93">
        <f>SUM('1:2'!I98)</f>
        <v>0</v>
      </c>
      <c r="J98" s="31" t="str">
        <f t="array" ref="J98">IF(ISERROR(G98/I98),"",G98/I98)</f>
        <v/>
      </c>
      <c r="K98" s="35">
        <f t="array" ref="K98">IF(ISERROR(G98/L98),"",G98/L98)</f>
        <v>0</v>
      </c>
      <c r="L98" s="87">
        <v>8</v>
      </c>
      <c r="M98" s="36">
        <f>IF(ISERROR(I98-K98),"",I98-K98)</f>
        <v>0</v>
      </c>
      <c r="N98" s="93">
        <f>SUM('1:2'!N98)</f>
        <v>0</v>
      </c>
      <c r="O98" s="93">
        <f>SUM('1:2'!O98)</f>
        <v>0</v>
      </c>
      <c r="P98" s="93">
        <f>SUM('1:2'!P98)</f>
        <v>0</v>
      </c>
      <c r="Q98" s="93">
        <f>SUM('1:2'!Q98)</f>
        <v>0</v>
      </c>
      <c r="R98" s="93">
        <f>SUM('1:2'!R98)</f>
        <v>0</v>
      </c>
      <c r="S98" s="93">
        <f>SUM('1:2'!S98)</f>
        <v>0</v>
      </c>
      <c r="T98" s="93">
        <f>SUM('1:2'!T98)</f>
        <v>0</v>
      </c>
      <c r="U98" s="93">
        <f>SUM('1:2'!U98)</f>
        <v>0</v>
      </c>
      <c r="V98" s="207">
        <f>SUM(X98:AA98)</f>
        <v>0</v>
      </c>
      <c r="W98" s="33" t="str">
        <f>IF(ISERROR(V98/G98),"",V98/G98)</f>
        <v/>
      </c>
      <c r="X98" s="93">
        <f>SUM('1:2'!X98)</f>
        <v>0</v>
      </c>
      <c r="Y98" s="93">
        <f>SUM('1:2'!Y98)</f>
        <v>0</v>
      </c>
      <c r="Z98" s="93">
        <f>SUM('1:2'!Z98)</f>
        <v>0</v>
      </c>
      <c r="AA98" s="93">
        <f>SUM('1:2'!AA98)</f>
        <v>0</v>
      </c>
      <c r="AB98" s="358">
        <v>1.06</v>
      </c>
      <c r="AC98" s="269">
        <f t="shared" si="29"/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 ht="17.25">
      <c r="A99" s="321">
        <v>30400030</v>
      </c>
      <c r="B99" s="215" t="s">
        <v>491</v>
      </c>
      <c r="C99" s="16" t="s">
        <v>53</v>
      </c>
      <c r="D99" s="17">
        <v>5.03</v>
      </c>
      <c r="E99" s="17"/>
      <c r="F99" s="6"/>
      <c r="G99" s="93">
        <f>SUM('1:2'!G99)</f>
        <v>0</v>
      </c>
      <c r="H99" s="93">
        <f>SUM('1:2'!H99)</f>
        <v>0</v>
      </c>
      <c r="I99" s="93">
        <f>SUM('1:2'!I99)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87">
        <v>10</v>
      </c>
      <c r="M99" s="36">
        <f t="shared" ref="M99:M114" si="34">IF(ISERROR(I99-K99),"",I99-K99)</f>
        <v>0</v>
      </c>
      <c r="N99" s="93">
        <f>SUM('1:2'!N99)</f>
        <v>0</v>
      </c>
      <c r="O99" s="93">
        <f>SUM('1:2'!O99)</f>
        <v>0</v>
      </c>
      <c r="P99" s="93">
        <f>SUM('1:2'!P99)</f>
        <v>0</v>
      </c>
      <c r="Q99" s="93">
        <f>SUM('1:2'!Q99)</f>
        <v>0</v>
      </c>
      <c r="R99" s="93">
        <f>SUM('1:2'!R99)</f>
        <v>0</v>
      </c>
      <c r="S99" s="93">
        <f>SUM('1:2'!S99)</f>
        <v>0</v>
      </c>
      <c r="T99" s="93">
        <f>SUM('1:2'!T99)</f>
        <v>0</v>
      </c>
      <c r="U99" s="93">
        <f>SUM('1:2'!U99)</f>
        <v>0</v>
      </c>
      <c r="V99" s="206">
        <f t="shared" ref="V99:V106" si="35">SUM(X99:AA99)</f>
        <v>0</v>
      </c>
      <c r="W99" s="33" t="str">
        <f t="shared" ref="W99:W106" si="36">IF(ISERROR(V99/G99),"",V99/G99)</f>
        <v/>
      </c>
      <c r="X99" s="93">
        <f>SUM('1:2'!X99)</f>
        <v>0</v>
      </c>
      <c r="Y99" s="93">
        <f>SUM('1:2'!Y99)</f>
        <v>0</v>
      </c>
      <c r="Z99" s="93">
        <f>SUM('1:2'!Z99)</f>
        <v>0</v>
      </c>
      <c r="AA99" s="93">
        <f>SUM('1:2'!AA99)</f>
        <v>0</v>
      </c>
      <c r="AB99" s="358">
        <v>1.04</v>
      </c>
      <c r="AC99" s="269">
        <f t="shared" si="29"/>
        <v>0</v>
      </c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 ht="17.25">
      <c r="A100" s="321"/>
      <c r="B100" s="65" t="s">
        <v>88</v>
      </c>
      <c r="C100" s="16" t="s">
        <v>72</v>
      </c>
      <c r="D100" s="17">
        <v>5.03</v>
      </c>
      <c r="E100" s="17"/>
      <c r="F100" s="6"/>
      <c r="G100" s="93">
        <f>SUM('1:2'!G100)</f>
        <v>0</v>
      </c>
      <c r="H100" s="93">
        <f>SUM('1:2'!H100)</f>
        <v>0</v>
      </c>
      <c r="I100" s="93">
        <f>SUM('1:2'!I100)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87"/>
      <c r="M100" s="36" t="str">
        <f t="shared" si="34"/>
        <v/>
      </c>
      <c r="N100" s="93">
        <f>SUM('1:2'!N100)</f>
        <v>0</v>
      </c>
      <c r="O100" s="93">
        <f>SUM('1:2'!O100)</f>
        <v>0</v>
      </c>
      <c r="P100" s="93">
        <f>SUM('1:2'!P100)</f>
        <v>0</v>
      </c>
      <c r="Q100" s="93">
        <f>SUM('1:2'!Q100)</f>
        <v>0</v>
      </c>
      <c r="R100" s="93">
        <f>SUM('1:2'!R100)</f>
        <v>0</v>
      </c>
      <c r="S100" s="93">
        <f>SUM('1:2'!S100)</f>
        <v>0</v>
      </c>
      <c r="T100" s="93">
        <f>SUM('1:2'!T100)</f>
        <v>0</v>
      </c>
      <c r="U100" s="93">
        <f>SUM('1:2'!U100)</f>
        <v>0</v>
      </c>
      <c r="V100" s="206">
        <f t="shared" si="35"/>
        <v>0</v>
      </c>
      <c r="W100" s="33" t="str">
        <f t="shared" si="36"/>
        <v/>
      </c>
      <c r="X100" s="93">
        <f>SUM('1:2'!X100)</f>
        <v>0</v>
      </c>
      <c r="Y100" s="93">
        <f>SUM('1:2'!Y100)</f>
        <v>0</v>
      </c>
      <c r="Z100" s="93">
        <f>SUM('1:2'!Z100)</f>
        <v>0</v>
      </c>
      <c r="AA100" s="93">
        <f>SUM('1:2'!AA100)</f>
        <v>0</v>
      </c>
      <c r="AB100" s="358">
        <v>1.04</v>
      </c>
      <c r="AC100" s="269">
        <f t="shared" si="29"/>
        <v>0</v>
      </c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 ht="17.25">
      <c r="A101" s="321"/>
      <c r="B101" s="65" t="s">
        <v>88</v>
      </c>
      <c r="C101" s="16" t="s">
        <v>60</v>
      </c>
      <c r="D101" s="17">
        <v>5.03</v>
      </c>
      <c r="E101" s="17"/>
      <c r="F101" s="6"/>
      <c r="G101" s="93">
        <f>SUM('1:2'!G101)</f>
        <v>0</v>
      </c>
      <c r="H101" s="93">
        <f>SUM('1:2'!H101)</f>
        <v>0</v>
      </c>
      <c r="I101" s="93">
        <f>SUM('1:2'!I101)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87"/>
      <c r="M101" s="36" t="str">
        <f t="shared" si="34"/>
        <v/>
      </c>
      <c r="N101" s="93">
        <f>SUM('1:2'!N101)</f>
        <v>0</v>
      </c>
      <c r="O101" s="93">
        <f>SUM('1:2'!O101)</f>
        <v>0</v>
      </c>
      <c r="P101" s="93">
        <f>SUM('1:2'!P101)</f>
        <v>0</v>
      </c>
      <c r="Q101" s="93">
        <f>SUM('1:2'!Q101)</f>
        <v>0</v>
      </c>
      <c r="R101" s="93">
        <f>SUM('1:2'!R101)</f>
        <v>0</v>
      </c>
      <c r="S101" s="93">
        <f>SUM('1:2'!S101)</f>
        <v>0</v>
      </c>
      <c r="T101" s="93">
        <f>SUM('1:2'!T101)</f>
        <v>0</v>
      </c>
      <c r="U101" s="93">
        <f>SUM('1:2'!U101)</f>
        <v>0</v>
      </c>
      <c r="V101" s="206">
        <f t="shared" si="35"/>
        <v>0</v>
      </c>
      <c r="W101" s="33" t="str">
        <f t="shared" si="36"/>
        <v/>
      </c>
      <c r="X101" s="93">
        <f>SUM('1:2'!X101)</f>
        <v>0</v>
      </c>
      <c r="Y101" s="93">
        <f>SUM('1:2'!Y101)</f>
        <v>0</v>
      </c>
      <c r="Z101" s="93">
        <f>SUM('1:2'!Z101)</f>
        <v>0</v>
      </c>
      <c r="AA101" s="93">
        <f>SUM('1:2'!AA101)</f>
        <v>0</v>
      </c>
      <c r="AB101" s="358">
        <v>1.04</v>
      </c>
      <c r="AC101" s="269">
        <f t="shared" si="29"/>
        <v>0</v>
      </c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 ht="17.25">
      <c r="A102" s="321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93">
        <f>SUM('1:2'!G102)</f>
        <v>0</v>
      </c>
      <c r="H102" s="93">
        <f>SUM('1:2'!H102)</f>
        <v>0</v>
      </c>
      <c r="I102" s="93">
        <f>SUM('1:2'!I102)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87"/>
      <c r="M102" s="36" t="str">
        <f t="shared" si="34"/>
        <v/>
      </c>
      <c r="N102" s="93">
        <f>SUM('1:2'!N102)</f>
        <v>0</v>
      </c>
      <c r="O102" s="93">
        <f>SUM('1:2'!O102)</f>
        <v>0</v>
      </c>
      <c r="P102" s="93">
        <f>SUM('1:2'!P102)</f>
        <v>0</v>
      </c>
      <c r="Q102" s="93">
        <f>SUM('1:2'!Q102)</f>
        <v>0</v>
      </c>
      <c r="R102" s="93">
        <f>SUM('1:2'!R102)</f>
        <v>0</v>
      </c>
      <c r="S102" s="93">
        <f>SUM('1:2'!S102)</f>
        <v>0</v>
      </c>
      <c r="T102" s="93">
        <f>SUM('1:2'!T102)</f>
        <v>0</v>
      </c>
      <c r="U102" s="93">
        <f>SUM('1:2'!U102)</f>
        <v>0</v>
      </c>
      <c r="V102" s="206">
        <f t="shared" si="35"/>
        <v>0</v>
      </c>
      <c r="W102" s="33" t="str">
        <f t="shared" si="36"/>
        <v/>
      </c>
      <c r="X102" s="93">
        <f>SUM('1:2'!X102)</f>
        <v>0</v>
      </c>
      <c r="Y102" s="93">
        <f>SUM('1:2'!Y102)</f>
        <v>0</v>
      </c>
      <c r="Z102" s="93">
        <f>SUM('1:2'!Z102)</f>
        <v>0</v>
      </c>
      <c r="AA102" s="93">
        <f>SUM('1:2'!AA102)</f>
        <v>0</v>
      </c>
      <c r="AB102" s="358">
        <v>1.04</v>
      </c>
      <c r="AC102" s="269">
        <f t="shared" si="29"/>
        <v>0</v>
      </c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 ht="17.25">
      <c r="A103" s="321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93">
        <f>SUM('1:2'!G103)</f>
        <v>0</v>
      </c>
      <c r="H103" s="93">
        <f>SUM('1:2'!H103)</f>
        <v>0</v>
      </c>
      <c r="I103" s="93">
        <f>SUM('1:2'!I103)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87">
        <v>6</v>
      </c>
      <c r="M103" s="36">
        <f t="shared" si="34"/>
        <v>0</v>
      </c>
      <c r="N103" s="93">
        <f>SUM('1:2'!N103)</f>
        <v>0</v>
      </c>
      <c r="O103" s="93">
        <f>SUM('1:2'!O103)</f>
        <v>0</v>
      </c>
      <c r="P103" s="93">
        <f>SUM('1:2'!P103)</f>
        <v>0</v>
      </c>
      <c r="Q103" s="93">
        <f>SUM('1:2'!Q103)</f>
        <v>0</v>
      </c>
      <c r="R103" s="93">
        <f>SUM('1:2'!R103)</f>
        <v>0</v>
      </c>
      <c r="S103" s="93">
        <f>SUM('1:2'!S103)</f>
        <v>0</v>
      </c>
      <c r="T103" s="93">
        <f>SUM('1:2'!T103)</f>
        <v>0</v>
      </c>
      <c r="U103" s="93">
        <f>SUM('1:2'!U103)</f>
        <v>0</v>
      </c>
      <c r="V103" s="206">
        <f t="shared" si="35"/>
        <v>0</v>
      </c>
      <c r="W103" s="33" t="str">
        <f t="shared" si="36"/>
        <v/>
      </c>
      <c r="X103" s="93">
        <f>SUM('1:2'!X103)</f>
        <v>0</v>
      </c>
      <c r="Y103" s="93">
        <f>SUM('1:2'!Y103)</f>
        <v>0</v>
      </c>
      <c r="Z103" s="93">
        <f>SUM('1:2'!Z103)</f>
        <v>0</v>
      </c>
      <c r="AA103" s="93">
        <f>SUM('1:2'!AA103)</f>
        <v>0</v>
      </c>
      <c r="AB103" s="358">
        <v>1.29</v>
      </c>
      <c r="AC103" s="269">
        <f t="shared" si="29"/>
        <v>0</v>
      </c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 ht="17.25">
      <c r="A104" s="321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93">
        <f>SUM('1:2'!G104)</f>
        <v>0</v>
      </c>
      <c r="H104" s="93">
        <f>SUM('1:2'!H104)</f>
        <v>0</v>
      </c>
      <c r="I104" s="93">
        <f>SUM('1:2'!I104)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87">
        <v>6</v>
      </c>
      <c r="M104" s="36">
        <f t="shared" si="34"/>
        <v>0</v>
      </c>
      <c r="N104" s="93">
        <f>SUM('1:2'!N104)</f>
        <v>0</v>
      </c>
      <c r="O104" s="93">
        <f>SUM('1:2'!O104)</f>
        <v>0</v>
      </c>
      <c r="P104" s="93">
        <f>SUM('1:2'!P104)</f>
        <v>0</v>
      </c>
      <c r="Q104" s="93">
        <f>SUM('1:2'!Q104)</f>
        <v>0</v>
      </c>
      <c r="R104" s="93">
        <f>SUM('1:2'!R104)</f>
        <v>0</v>
      </c>
      <c r="S104" s="93">
        <f>SUM('1:2'!S104)</f>
        <v>0</v>
      </c>
      <c r="T104" s="93">
        <f>SUM('1:2'!T104)</f>
        <v>0</v>
      </c>
      <c r="U104" s="93">
        <f>SUM('1:2'!U104)</f>
        <v>0</v>
      </c>
      <c r="V104" s="206">
        <f t="shared" si="35"/>
        <v>0</v>
      </c>
      <c r="W104" s="33" t="str">
        <f t="shared" si="36"/>
        <v/>
      </c>
      <c r="X104" s="93">
        <f>SUM('1:2'!X104)</f>
        <v>0</v>
      </c>
      <c r="Y104" s="93">
        <f>SUM('1:2'!Y104)</f>
        <v>0</v>
      </c>
      <c r="Z104" s="93">
        <f>SUM('1:2'!Z104)</f>
        <v>0</v>
      </c>
      <c r="AA104" s="93">
        <f>SUM('1:2'!AA104)</f>
        <v>0</v>
      </c>
      <c r="AB104" s="358">
        <v>1.29</v>
      </c>
      <c r="AC104" s="269">
        <f t="shared" si="29"/>
        <v>0</v>
      </c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 ht="17.25">
      <c r="A105" s="321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93">
        <f>SUM('1:2'!G105)</f>
        <v>0</v>
      </c>
      <c r="H105" s="93">
        <f>SUM('1:2'!H105)</f>
        <v>0</v>
      </c>
      <c r="I105" s="93">
        <f>SUM('1:2'!I105)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87">
        <v>6</v>
      </c>
      <c r="M105" s="36">
        <f t="shared" si="34"/>
        <v>0</v>
      </c>
      <c r="N105" s="93">
        <f>SUM('1:2'!N105)</f>
        <v>0</v>
      </c>
      <c r="O105" s="93">
        <f>SUM('1:2'!O105)</f>
        <v>0</v>
      </c>
      <c r="P105" s="93">
        <f>SUM('1:2'!P105)</f>
        <v>0</v>
      </c>
      <c r="Q105" s="93">
        <f>SUM('1:2'!Q105)</f>
        <v>0</v>
      </c>
      <c r="R105" s="93">
        <f>SUM('1:2'!R105)</f>
        <v>0</v>
      </c>
      <c r="S105" s="93">
        <f>SUM('1:2'!S105)</f>
        <v>0</v>
      </c>
      <c r="T105" s="93">
        <f>SUM('1:2'!T105)</f>
        <v>0</v>
      </c>
      <c r="U105" s="93">
        <f>SUM('1:2'!U105)</f>
        <v>0</v>
      </c>
      <c r="V105" s="206">
        <f t="shared" si="35"/>
        <v>0</v>
      </c>
      <c r="W105" s="33" t="str">
        <f t="shared" si="36"/>
        <v/>
      </c>
      <c r="X105" s="93">
        <f>SUM('1:2'!X105)</f>
        <v>0</v>
      </c>
      <c r="Y105" s="93">
        <f>SUM('1:2'!Y105)</f>
        <v>0</v>
      </c>
      <c r="Z105" s="93">
        <f>SUM('1:2'!Z105)</f>
        <v>0</v>
      </c>
      <c r="AA105" s="93">
        <f>SUM('1:2'!AA105)</f>
        <v>0</v>
      </c>
      <c r="AB105" s="358">
        <v>1.29</v>
      </c>
      <c r="AC105" s="269">
        <f t="shared" si="29"/>
        <v>0</v>
      </c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 ht="17.25">
      <c r="A106" s="321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93">
        <f>SUM('1:2'!G106)</f>
        <v>0</v>
      </c>
      <c r="H106" s="93">
        <f>SUM('1:2'!H106)</f>
        <v>0</v>
      </c>
      <c r="I106" s="93">
        <f>SUM('1:2'!I106)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87">
        <v>6</v>
      </c>
      <c r="M106" s="36">
        <f t="shared" si="34"/>
        <v>0</v>
      </c>
      <c r="N106" s="93">
        <f>SUM('1:2'!N106)</f>
        <v>0</v>
      </c>
      <c r="O106" s="93">
        <f>SUM('1:2'!O106)</f>
        <v>0</v>
      </c>
      <c r="P106" s="93">
        <f>SUM('1:2'!P106)</f>
        <v>0</v>
      </c>
      <c r="Q106" s="93">
        <f>SUM('1:2'!Q106)</f>
        <v>0</v>
      </c>
      <c r="R106" s="93">
        <f>SUM('1:2'!R106)</f>
        <v>0</v>
      </c>
      <c r="S106" s="93">
        <f>SUM('1:2'!S106)</f>
        <v>0</v>
      </c>
      <c r="T106" s="93">
        <f>SUM('1:2'!T106)</f>
        <v>0</v>
      </c>
      <c r="U106" s="93">
        <f>SUM('1:2'!U106)</f>
        <v>0</v>
      </c>
      <c r="V106" s="206">
        <f t="shared" si="35"/>
        <v>0</v>
      </c>
      <c r="W106" s="33" t="str">
        <f t="shared" si="36"/>
        <v/>
      </c>
      <c r="X106" s="93">
        <f>SUM('1:2'!X106)</f>
        <v>0</v>
      </c>
      <c r="Y106" s="93">
        <f>SUM('1:2'!Y106)</f>
        <v>0</v>
      </c>
      <c r="Z106" s="93">
        <f>SUM('1:2'!Z106)</f>
        <v>0</v>
      </c>
      <c r="AA106" s="93">
        <f>SUM('1:2'!AA106)</f>
        <v>0</v>
      </c>
      <c r="AB106" s="358">
        <v>1.29</v>
      </c>
      <c r="AC106" s="269">
        <f t="shared" si="29"/>
        <v>0</v>
      </c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 ht="17.25">
      <c r="A107" s="320">
        <v>30400026</v>
      </c>
      <c r="B107" s="190" t="s">
        <v>457</v>
      </c>
      <c r="C107" s="187" t="s">
        <v>395</v>
      </c>
      <c r="D107" s="17">
        <v>5</v>
      </c>
      <c r="E107" s="17"/>
      <c r="F107" s="6"/>
      <c r="G107" s="93">
        <f>SUM('1:2'!G107)</f>
        <v>0</v>
      </c>
      <c r="H107" s="93">
        <f>SUM('1:2'!H107)</f>
        <v>0</v>
      </c>
      <c r="I107" s="93">
        <f>SUM('1:2'!I107)</f>
        <v>0</v>
      </c>
      <c r="J107" s="31"/>
      <c r="K107" s="35">
        <f t="array" ref="K107">IF(ISERROR(G107/L107),"",G107/L107)</f>
        <v>0</v>
      </c>
      <c r="L107" s="87">
        <v>5</v>
      </c>
      <c r="M107" s="36">
        <f t="shared" si="34"/>
        <v>0</v>
      </c>
      <c r="N107" s="93">
        <f>SUM('1:2'!N107)</f>
        <v>0</v>
      </c>
      <c r="O107" s="93">
        <f>SUM('1:2'!O107)</f>
        <v>0</v>
      </c>
      <c r="P107" s="93">
        <f>SUM('1:2'!P107)</f>
        <v>0</v>
      </c>
      <c r="Q107" s="93">
        <f>SUM('1:2'!Q107)</f>
        <v>0</v>
      </c>
      <c r="R107" s="93">
        <f>SUM('1:2'!R107)</f>
        <v>0</v>
      </c>
      <c r="S107" s="93">
        <f>SUM('1:2'!S107)</f>
        <v>0</v>
      </c>
      <c r="T107" s="93">
        <f>SUM('1:2'!T107)</f>
        <v>0</v>
      </c>
      <c r="U107" s="93">
        <f>SUM('1:2'!U107)</f>
        <v>0</v>
      </c>
      <c r="V107" s="206"/>
      <c r="W107" s="33"/>
      <c r="X107" s="93">
        <f>SUM('1:2'!X107)</f>
        <v>0</v>
      </c>
      <c r="Y107" s="93">
        <f>SUM('1:2'!Y107)</f>
        <v>0</v>
      </c>
      <c r="Z107" s="93">
        <f>SUM('1:2'!Z107)</f>
        <v>0</v>
      </c>
      <c r="AA107" s="93">
        <f>SUM('1:2'!AA107)</f>
        <v>0</v>
      </c>
      <c r="AB107" s="358">
        <v>2.0699999999999998</v>
      </c>
      <c r="AC107" s="269">
        <f t="shared" si="29"/>
        <v>0</v>
      </c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 ht="17.25">
      <c r="A108" s="320">
        <v>30400028</v>
      </c>
      <c r="B108" s="190" t="s">
        <v>457</v>
      </c>
      <c r="C108" s="187" t="s">
        <v>402</v>
      </c>
      <c r="D108" s="17">
        <v>5</v>
      </c>
      <c r="E108" s="17"/>
      <c r="F108" s="6"/>
      <c r="G108" s="93">
        <f>SUM('1:2'!G108)</f>
        <v>0</v>
      </c>
      <c r="H108" s="93">
        <f>SUM('1:2'!H108)</f>
        <v>0</v>
      </c>
      <c r="I108" s="93">
        <f>SUM('1:2'!I108)</f>
        <v>0</v>
      </c>
      <c r="J108" s="31"/>
      <c r="K108" s="35">
        <f t="array" ref="K108">IF(ISERROR(G108/L108),"",G108/L108)</f>
        <v>0</v>
      </c>
      <c r="L108" s="87">
        <v>5</v>
      </c>
      <c r="M108" s="36">
        <f t="shared" si="34"/>
        <v>0</v>
      </c>
      <c r="N108" s="93">
        <f>SUM('1:2'!N108)</f>
        <v>0</v>
      </c>
      <c r="O108" s="93">
        <f>SUM('1:2'!O108)</f>
        <v>0</v>
      </c>
      <c r="P108" s="93">
        <f>SUM('1:2'!P108)</f>
        <v>0</v>
      </c>
      <c r="Q108" s="93">
        <f>SUM('1:2'!Q108)</f>
        <v>0</v>
      </c>
      <c r="R108" s="93">
        <f>SUM('1:2'!R108)</f>
        <v>0</v>
      </c>
      <c r="S108" s="93">
        <f>SUM('1:2'!S108)</f>
        <v>0</v>
      </c>
      <c r="T108" s="93">
        <f>SUM('1:2'!T108)</f>
        <v>0</v>
      </c>
      <c r="U108" s="93">
        <f>SUM('1:2'!U108)</f>
        <v>0</v>
      </c>
      <c r="V108" s="206"/>
      <c r="W108" s="33"/>
      <c r="X108" s="93">
        <f>SUM('1:2'!X108)</f>
        <v>0</v>
      </c>
      <c r="Y108" s="93">
        <f>SUM('1:2'!Y108)</f>
        <v>0</v>
      </c>
      <c r="Z108" s="93">
        <f>SUM('1:2'!Z108)</f>
        <v>0</v>
      </c>
      <c r="AA108" s="93">
        <f>SUM('1:2'!AA108)</f>
        <v>0</v>
      </c>
      <c r="AB108" s="358">
        <v>2.0699999999999998</v>
      </c>
      <c r="AC108" s="269">
        <f t="shared" si="29"/>
        <v>0</v>
      </c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 ht="17.25">
      <c r="A109" s="320">
        <v>30400027</v>
      </c>
      <c r="B109" s="190" t="s">
        <v>458</v>
      </c>
      <c r="C109" s="187" t="s">
        <v>405</v>
      </c>
      <c r="D109" s="17">
        <v>5</v>
      </c>
      <c r="E109" s="17"/>
      <c r="F109" s="6"/>
      <c r="G109" s="93">
        <f>SUM('1:2'!G109)</f>
        <v>0</v>
      </c>
      <c r="H109" s="93">
        <f>SUM('1:2'!H109)</f>
        <v>0</v>
      </c>
      <c r="I109" s="93">
        <f>SUM('1:2'!I109)</f>
        <v>0</v>
      </c>
      <c r="J109" s="31"/>
      <c r="K109" s="35">
        <f t="array" ref="K109">IF(ISERROR(G109/L109),"",G109/L109)</f>
        <v>0</v>
      </c>
      <c r="L109" s="87">
        <v>5</v>
      </c>
      <c r="M109" s="36">
        <f t="shared" si="34"/>
        <v>0</v>
      </c>
      <c r="N109" s="93">
        <f>SUM('1:2'!N109)</f>
        <v>0</v>
      </c>
      <c r="O109" s="93">
        <f>SUM('1:2'!O109)</f>
        <v>0</v>
      </c>
      <c r="P109" s="93">
        <f>SUM('1:2'!P109)</f>
        <v>0</v>
      </c>
      <c r="Q109" s="93">
        <f>SUM('1:2'!Q109)</f>
        <v>0</v>
      </c>
      <c r="R109" s="93">
        <f>SUM('1:2'!R109)</f>
        <v>0</v>
      </c>
      <c r="S109" s="93">
        <f>SUM('1:2'!S109)</f>
        <v>0</v>
      </c>
      <c r="T109" s="93">
        <f>SUM('1:2'!T109)</f>
        <v>0</v>
      </c>
      <c r="U109" s="93">
        <f>SUM('1:2'!U109)</f>
        <v>0</v>
      </c>
      <c r="V109" s="206"/>
      <c r="W109" s="33"/>
      <c r="X109" s="93">
        <f>SUM('1:2'!X109)</f>
        <v>0</v>
      </c>
      <c r="Y109" s="93">
        <f>SUM('1:2'!Y109)</f>
        <v>0</v>
      </c>
      <c r="Z109" s="93">
        <f>SUM('1:2'!Z109)</f>
        <v>0</v>
      </c>
      <c r="AA109" s="93">
        <f>SUM('1:2'!AA109)</f>
        <v>0</v>
      </c>
      <c r="AB109" s="358">
        <v>2.0699999999999998</v>
      </c>
      <c r="AC109" s="269">
        <f t="shared" si="29"/>
        <v>0</v>
      </c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 ht="17.25">
      <c r="A110" s="320"/>
      <c r="B110" s="190" t="s">
        <v>493</v>
      </c>
      <c r="C110" s="187" t="s">
        <v>372</v>
      </c>
      <c r="D110" s="17">
        <v>5</v>
      </c>
      <c r="E110" s="17"/>
      <c r="F110" s="6"/>
      <c r="G110" s="93">
        <f>SUM('1:2'!G110)</f>
        <v>0</v>
      </c>
      <c r="H110" s="93">
        <f>SUM('1:2'!H110)</f>
        <v>0</v>
      </c>
      <c r="I110" s="93">
        <f>SUM('1:2'!I110)</f>
        <v>0</v>
      </c>
      <c r="J110" s="31"/>
      <c r="K110" s="35">
        <f t="array" ref="K110">IF(ISERROR(G110/L110),"",G110/L110)</f>
        <v>0</v>
      </c>
      <c r="L110" s="87">
        <v>5</v>
      </c>
      <c r="M110" s="36">
        <f t="shared" si="34"/>
        <v>0</v>
      </c>
      <c r="N110" s="93">
        <f>SUM('1:2'!N110)</f>
        <v>0</v>
      </c>
      <c r="O110" s="93">
        <f>SUM('1:2'!O110)</f>
        <v>0</v>
      </c>
      <c r="P110" s="93">
        <f>SUM('1:2'!P110)</f>
        <v>0</v>
      </c>
      <c r="Q110" s="93">
        <f>SUM('1:2'!Q110)</f>
        <v>0</v>
      </c>
      <c r="R110" s="93">
        <f>SUM('1:2'!R110)</f>
        <v>0</v>
      </c>
      <c r="S110" s="93">
        <f>SUM('1:2'!S110)</f>
        <v>0</v>
      </c>
      <c r="T110" s="93">
        <f>SUM('1:2'!T110)</f>
        <v>0</v>
      </c>
      <c r="U110" s="93">
        <f>SUM('1:2'!U110)</f>
        <v>0</v>
      </c>
      <c r="V110" s="206"/>
      <c r="W110" s="33"/>
      <c r="X110" s="93">
        <f>SUM('1:2'!X110)</f>
        <v>0</v>
      </c>
      <c r="Y110" s="93">
        <f>SUM('1:2'!Y110)</f>
        <v>0</v>
      </c>
      <c r="Z110" s="93">
        <f>SUM('1:2'!Z110)</f>
        <v>0</v>
      </c>
      <c r="AA110" s="93">
        <f>SUM('1:2'!AA110)</f>
        <v>0</v>
      </c>
      <c r="AB110" s="358">
        <v>2.0699999999999998</v>
      </c>
      <c r="AC110" s="269">
        <f t="shared" si="29"/>
        <v>0</v>
      </c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 ht="17.25">
      <c r="A111" s="320">
        <v>30600009</v>
      </c>
      <c r="B111" s="61" t="s">
        <v>343</v>
      </c>
      <c r="C111" s="16" t="s">
        <v>345</v>
      </c>
      <c r="D111" s="17">
        <v>5</v>
      </c>
      <c r="E111" s="17"/>
      <c r="F111" s="6"/>
      <c r="G111" s="93">
        <f>SUM('1:2'!G111)</f>
        <v>0</v>
      </c>
      <c r="H111" s="93">
        <f>SUM('1:2'!H111)</f>
        <v>0</v>
      </c>
      <c r="I111" s="93">
        <f>SUM('1:2'!I111)</f>
        <v>0</v>
      </c>
      <c r="J111" s="31"/>
      <c r="K111" s="35">
        <f t="array" ref="K111">IF(ISERROR(G111/L111),"",G111/L111)</f>
        <v>0</v>
      </c>
      <c r="L111" s="87">
        <v>5</v>
      </c>
      <c r="M111" s="36">
        <f t="shared" si="34"/>
        <v>0</v>
      </c>
      <c r="N111" s="93">
        <f>SUM('1:2'!N111)</f>
        <v>0</v>
      </c>
      <c r="O111" s="93">
        <f>SUM('1:2'!O111)</f>
        <v>0</v>
      </c>
      <c r="P111" s="93">
        <f>SUM('1:2'!P111)</f>
        <v>0</v>
      </c>
      <c r="Q111" s="93">
        <f>SUM('1:2'!Q111)</f>
        <v>0</v>
      </c>
      <c r="R111" s="93">
        <f>SUM('1:2'!R111)</f>
        <v>0</v>
      </c>
      <c r="S111" s="93">
        <f>SUM('1:2'!S111)</f>
        <v>0</v>
      </c>
      <c r="T111" s="93">
        <f>SUM('1:2'!T111)</f>
        <v>0</v>
      </c>
      <c r="U111" s="93">
        <f>SUM('1:2'!U111)</f>
        <v>0</v>
      </c>
      <c r="V111" s="206"/>
      <c r="W111" s="33"/>
      <c r="X111" s="93">
        <f>SUM('1:2'!X111)</f>
        <v>0</v>
      </c>
      <c r="Y111" s="93">
        <f>SUM('1:2'!Y111)</f>
        <v>0</v>
      </c>
      <c r="Z111" s="93">
        <f>SUM('1:2'!Z111)</f>
        <v>0</v>
      </c>
      <c r="AA111" s="93">
        <f>SUM('1:2'!AA111)</f>
        <v>0</v>
      </c>
      <c r="AB111" s="358">
        <v>2.0699999999999998</v>
      </c>
      <c r="AC111" s="269">
        <f t="shared" si="29"/>
        <v>0</v>
      </c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 ht="17.25">
      <c r="A112" s="320">
        <v>30600010</v>
      </c>
      <c r="B112" s="61" t="s">
        <v>343</v>
      </c>
      <c r="C112" s="16" t="s">
        <v>347</v>
      </c>
      <c r="D112" s="17">
        <v>5</v>
      </c>
      <c r="E112" s="17"/>
      <c r="F112" s="6"/>
      <c r="G112" s="93">
        <f>SUM('1:2'!G112)</f>
        <v>0</v>
      </c>
      <c r="H112" s="93">
        <f>SUM('1:2'!H112)</f>
        <v>0</v>
      </c>
      <c r="I112" s="93">
        <f>SUM('1:2'!I112)</f>
        <v>0</v>
      </c>
      <c r="J112" s="31"/>
      <c r="K112" s="35">
        <f t="array" ref="K112">IF(ISERROR(G112/L112),"",G112/L112)</f>
        <v>0</v>
      </c>
      <c r="L112" s="87">
        <v>5</v>
      </c>
      <c r="M112" s="36">
        <f t="shared" si="34"/>
        <v>0</v>
      </c>
      <c r="N112" s="93">
        <f>SUM('1:2'!N112)</f>
        <v>0</v>
      </c>
      <c r="O112" s="93">
        <f>SUM('1:2'!O112)</f>
        <v>0</v>
      </c>
      <c r="P112" s="93">
        <f>SUM('1:2'!P112)</f>
        <v>0</v>
      </c>
      <c r="Q112" s="93">
        <f>SUM('1:2'!Q112)</f>
        <v>0</v>
      </c>
      <c r="R112" s="93">
        <f>SUM('1:2'!R112)</f>
        <v>0</v>
      </c>
      <c r="S112" s="93">
        <f>SUM('1:2'!S112)</f>
        <v>0</v>
      </c>
      <c r="T112" s="93">
        <f>SUM('1:2'!T112)</f>
        <v>0</v>
      </c>
      <c r="U112" s="93">
        <f>SUM('1:2'!U112)</f>
        <v>0</v>
      </c>
      <c r="V112" s="206"/>
      <c r="W112" s="33"/>
      <c r="X112" s="93">
        <f>SUM('1:2'!X112)</f>
        <v>0</v>
      </c>
      <c r="Y112" s="93">
        <f>SUM('1:2'!Y112)</f>
        <v>0</v>
      </c>
      <c r="Z112" s="93">
        <f>SUM('1:2'!Z112)</f>
        <v>0</v>
      </c>
      <c r="AA112" s="93">
        <f>SUM('1:2'!AA112)</f>
        <v>0</v>
      </c>
      <c r="AB112" s="358">
        <v>2.0699999999999998</v>
      </c>
      <c r="AC112" s="269">
        <f t="shared" si="29"/>
        <v>0</v>
      </c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 ht="17.25">
      <c r="A113" s="320">
        <v>30400001</v>
      </c>
      <c r="B113" s="65" t="s">
        <v>514</v>
      </c>
      <c r="C113" s="16" t="s">
        <v>61</v>
      </c>
      <c r="D113" s="17">
        <v>5.0599999999999996</v>
      </c>
      <c r="E113" s="17"/>
      <c r="F113" s="6"/>
      <c r="G113" s="93">
        <f>SUM('1:2'!G113)</f>
        <v>0</v>
      </c>
      <c r="H113" s="93">
        <f>SUM('1:2'!H113)</f>
        <v>0</v>
      </c>
      <c r="I113" s="93">
        <f>SUM('1:2'!I113)</f>
        <v>0</v>
      </c>
      <c r="J113" s="31" t="str">
        <f t="array" ref="J113">IF(ISERROR(G113/I113),"",G113/I113)</f>
        <v/>
      </c>
      <c r="K113" s="35">
        <f t="array" ref="K113">IF(ISERROR(G113/L113),"",G113/L113)</f>
        <v>0</v>
      </c>
      <c r="L113" s="87">
        <v>15.5</v>
      </c>
      <c r="M113" s="36">
        <f t="shared" si="34"/>
        <v>0</v>
      </c>
      <c r="N113" s="93">
        <f>SUM('1:2'!N113)</f>
        <v>0</v>
      </c>
      <c r="O113" s="93">
        <f>SUM('1:2'!O113)</f>
        <v>0</v>
      </c>
      <c r="P113" s="93">
        <f>SUM('1:2'!P113)</f>
        <v>0</v>
      </c>
      <c r="Q113" s="93">
        <f>SUM('1:2'!Q113)</f>
        <v>0</v>
      </c>
      <c r="R113" s="93">
        <f>SUM('1:2'!R113)</f>
        <v>0</v>
      </c>
      <c r="S113" s="93">
        <f>SUM('1:2'!S113)</f>
        <v>0</v>
      </c>
      <c r="T113" s="93">
        <f>SUM('1:2'!T113)</f>
        <v>0</v>
      </c>
      <c r="U113" s="93">
        <f>SUM('1:2'!U113)</f>
        <v>0</v>
      </c>
      <c r="V113" s="206">
        <f t="shared" ref="V113:V114" si="37">SUM(X113:AA113)</f>
        <v>0</v>
      </c>
      <c r="W113" s="33" t="str">
        <f t="shared" ref="W113:W114" si="38">IF(ISERROR(V113/G113),"",V113/G113)</f>
        <v/>
      </c>
      <c r="X113" s="93">
        <f>SUM('1:2'!X113)</f>
        <v>0</v>
      </c>
      <c r="Y113" s="93">
        <f>SUM('1:2'!Y113)</f>
        <v>0</v>
      </c>
      <c r="Z113" s="93">
        <f>SUM('1:2'!Z113)</f>
        <v>0</v>
      </c>
      <c r="AA113" s="93">
        <f>SUM('1:2'!AA113)</f>
        <v>0</v>
      </c>
      <c r="AB113" s="358">
        <v>0.67</v>
      </c>
      <c r="AC113" s="269">
        <f t="shared" si="29"/>
        <v>0</v>
      </c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 ht="17.25">
      <c r="A114" s="320">
        <v>30400002</v>
      </c>
      <c r="B114" s="65" t="s">
        <v>514</v>
      </c>
      <c r="C114" s="16" t="s">
        <v>72</v>
      </c>
      <c r="D114" s="17">
        <v>5.0599999999999996</v>
      </c>
      <c r="E114" s="17"/>
      <c r="F114" s="6"/>
      <c r="G114" s="93">
        <f>SUM('1:2'!G114)</f>
        <v>0</v>
      </c>
      <c r="H114" s="93">
        <f>SUM('1:2'!H114)</f>
        <v>0</v>
      </c>
      <c r="I114" s="93">
        <f>SUM('1:2'!I114)</f>
        <v>0</v>
      </c>
      <c r="J114" s="31" t="str">
        <f t="array" ref="J114">IF(ISERROR(G114/I114),"",G114/I114)</f>
        <v/>
      </c>
      <c r="K114" s="35">
        <f t="array" ref="K114">IF(ISERROR(G114/L114),"",G114/L114)</f>
        <v>0</v>
      </c>
      <c r="L114" s="87">
        <v>15.5</v>
      </c>
      <c r="M114" s="36">
        <f t="shared" si="34"/>
        <v>0</v>
      </c>
      <c r="N114" s="93">
        <f>SUM('1:2'!N114)</f>
        <v>0</v>
      </c>
      <c r="O114" s="93">
        <f>SUM('1:2'!O114)</f>
        <v>0</v>
      </c>
      <c r="P114" s="93">
        <f>SUM('1:2'!P114)</f>
        <v>0</v>
      </c>
      <c r="Q114" s="93">
        <f>SUM('1:2'!Q114)</f>
        <v>0</v>
      </c>
      <c r="R114" s="93">
        <f>SUM('1:2'!R114)</f>
        <v>0</v>
      </c>
      <c r="S114" s="93">
        <f>SUM('1:2'!S114)</f>
        <v>0</v>
      </c>
      <c r="T114" s="93">
        <f>SUM('1:2'!T114)</f>
        <v>0</v>
      </c>
      <c r="U114" s="93">
        <f>SUM('1:2'!U114)</f>
        <v>0</v>
      </c>
      <c r="V114" s="206">
        <f t="shared" si="37"/>
        <v>0</v>
      </c>
      <c r="W114" s="33" t="str">
        <f t="shared" si="38"/>
        <v/>
      </c>
      <c r="X114" s="93">
        <f>SUM('1:2'!X114)</f>
        <v>0</v>
      </c>
      <c r="Y114" s="93">
        <f>SUM('1:2'!Y114)</f>
        <v>0</v>
      </c>
      <c r="Z114" s="93">
        <f>SUM('1:2'!Z114)</f>
        <v>0</v>
      </c>
      <c r="AA114" s="93">
        <f>SUM('1:2'!AA114)</f>
        <v>0</v>
      </c>
      <c r="AB114" s="358">
        <v>0.67</v>
      </c>
      <c r="AC114" s="269">
        <f t="shared" si="29"/>
        <v>0</v>
      </c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 ht="17.25">
      <c r="A115" s="320">
        <v>30400004</v>
      </c>
      <c r="B115" s="215" t="s">
        <v>459</v>
      </c>
      <c r="C115" s="187" t="s">
        <v>73</v>
      </c>
      <c r="D115" s="17"/>
      <c r="E115" s="17"/>
      <c r="F115" s="6"/>
      <c r="G115" s="93">
        <f>SUM('1:2'!G115)</f>
        <v>652</v>
      </c>
      <c r="H115" s="93">
        <f>SUM('1:2'!H115)</f>
        <v>3260</v>
      </c>
      <c r="I115" s="93">
        <f>SUM('1:2'!I115)</f>
        <v>28.5</v>
      </c>
      <c r="J115" s="31"/>
      <c r="K115" s="35">
        <f t="array" ref="K115">IF(ISERROR(G115/L115),"",G115/L115)</f>
        <v>27.166666666666668</v>
      </c>
      <c r="L115" s="87">
        <v>24</v>
      </c>
      <c r="M115" s="36"/>
      <c r="N115" s="93"/>
      <c r="O115" s="93"/>
      <c r="P115" s="93"/>
      <c r="Q115" s="93"/>
      <c r="R115" s="93"/>
      <c r="S115" s="93"/>
      <c r="T115" s="93"/>
      <c r="U115" s="93"/>
      <c r="V115" s="206"/>
      <c r="W115" s="33"/>
      <c r="X115" s="93"/>
      <c r="Y115" s="93"/>
      <c r="Z115" s="93"/>
      <c r="AA115" s="93"/>
      <c r="AB115" s="358">
        <v>1.73</v>
      </c>
      <c r="AC115" s="269">
        <f t="shared" si="29"/>
        <v>1127.96</v>
      </c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 ht="17.25">
      <c r="A116" s="320">
        <v>30400003</v>
      </c>
      <c r="B116" s="215" t="s">
        <v>459</v>
      </c>
      <c r="C116" s="187" t="s">
        <v>60</v>
      </c>
      <c r="D116" s="17"/>
      <c r="E116" s="17"/>
      <c r="F116" s="6"/>
      <c r="G116" s="93">
        <f>SUM('1:2'!G116)</f>
        <v>0</v>
      </c>
      <c r="H116" s="93">
        <f>SUM('1:2'!H116)</f>
        <v>0</v>
      </c>
      <c r="I116" s="93">
        <f>SUM('1:2'!I116)</f>
        <v>0</v>
      </c>
      <c r="J116" s="31"/>
      <c r="K116" s="35">
        <f t="array" ref="K116">IF(ISERROR(G116/L116),"",G116/L116)</f>
        <v>0</v>
      </c>
      <c r="L116" s="87">
        <v>24</v>
      </c>
      <c r="M116" s="36"/>
      <c r="N116" s="93"/>
      <c r="O116" s="93"/>
      <c r="P116" s="93"/>
      <c r="Q116" s="93"/>
      <c r="R116" s="93"/>
      <c r="S116" s="93"/>
      <c r="T116" s="93"/>
      <c r="U116" s="93"/>
      <c r="V116" s="206"/>
      <c r="W116" s="33"/>
      <c r="X116" s="93"/>
      <c r="Y116" s="93"/>
      <c r="Z116" s="93"/>
      <c r="AA116" s="93"/>
      <c r="AB116" s="358">
        <v>1.73</v>
      </c>
      <c r="AC116" s="269">
        <f t="shared" si="29"/>
        <v>0</v>
      </c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 ht="17.25">
      <c r="A117" s="320">
        <v>30400005</v>
      </c>
      <c r="B117" s="215" t="s">
        <v>459</v>
      </c>
      <c r="C117" s="187" t="s">
        <v>422</v>
      </c>
      <c r="D117" s="17"/>
      <c r="E117" s="17"/>
      <c r="F117" s="6"/>
      <c r="G117" s="93">
        <f>SUM('1:2'!G117)</f>
        <v>269</v>
      </c>
      <c r="H117" s="93">
        <f>SUM('1:2'!H117)</f>
        <v>1345</v>
      </c>
      <c r="I117" s="93">
        <f>SUM('1:2'!I117)</f>
        <v>18.5</v>
      </c>
      <c r="J117" s="31"/>
      <c r="K117" s="35">
        <f t="array" ref="K117">IF(ISERROR(G117/L117),"",G117/L117)</f>
        <v>11.208333333333334</v>
      </c>
      <c r="L117" s="87">
        <v>24</v>
      </c>
      <c r="M117" s="36"/>
      <c r="N117" s="93"/>
      <c r="O117" s="93"/>
      <c r="P117" s="93"/>
      <c r="Q117" s="93"/>
      <c r="R117" s="93"/>
      <c r="S117" s="93"/>
      <c r="T117" s="93"/>
      <c r="U117" s="93"/>
      <c r="V117" s="206"/>
      <c r="W117" s="33"/>
      <c r="X117" s="93"/>
      <c r="Y117" s="93"/>
      <c r="Z117" s="93"/>
      <c r="AA117" s="93"/>
      <c r="AB117" s="358">
        <v>1.73</v>
      </c>
      <c r="AC117" s="269">
        <f t="shared" si="29"/>
        <v>465.37</v>
      </c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 ht="17.25">
      <c r="A118" s="320">
        <v>30400007</v>
      </c>
      <c r="B118" s="65" t="s">
        <v>91</v>
      </c>
      <c r="C118" s="16" t="s">
        <v>74</v>
      </c>
      <c r="D118" s="17">
        <v>5.07</v>
      </c>
      <c r="E118" s="17"/>
      <c r="F118" s="6"/>
      <c r="G118" s="93">
        <f>SUM('1:2'!G118)</f>
        <v>0</v>
      </c>
      <c r="H118" s="93">
        <f>SUM('1:2'!H118)</f>
        <v>0</v>
      </c>
      <c r="I118" s="93">
        <f>SUM('1:2'!I118)</f>
        <v>0</v>
      </c>
      <c r="J118" s="31" t="str">
        <f t="array" ref="J118">IF(ISERROR(G118/I118),"",G118/I118)</f>
        <v/>
      </c>
      <c r="K118" s="35">
        <f t="array" ref="K118">IF(ISERROR(G118/L118),"",G118/L118)</f>
        <v>0</v>
      </c>
      <c r="L118" s="87">
        <v>9</v>
      </c>
      <c r="M118" s="36">
        <f t="shared" ref="M118:M120" si="39">IF(ISERROR(I118-K118),"",I118-K118)</f>
        <v>0</v>
      </c>
      <c r="N118" s="93">
        <f>SUM('1:2'!N118)</f>
        <v>0</v>
      </c>
      <c r="O118" s="93">
        <f>SUM('1:2'!O118)</f>
        <v>0</v>
      </c>
      <c r="P118" s="93">
        <f>SUM('1:2'!P118)</f>
        <v>0</v>
      </c>
      <c r="Q118" s="93">
        <f>SUM('1:2'!Q118)</f>
        <v>0</v>
      </c>
      <c r="R118" s="93">
        <f>SUM('1:2'!R118)</f>
        <v>0</v>
      </c>
      <c r="S118" s="93">
        <f>SUM('1:2'!S118)</f>
        <v>0</v>
      </c>
      <c r="T118" s="93">
        <f>SUM('1:2'!T118)</f>
        <v>0</v>
      </c>
      <c r="U118" s="93">
        <f>SUM('1:2'!U118)</f>
        <v>0</v>
      </c>
      <c r="V118" s="206">
        <f t="shared" ref="V118:V120" si="40">SUM(X118:AA118)</f>
        <v>0</v>
      </c>
      <c r="W118" s="33" t="str">
        <f t="shared" ref="W118" si="41">IF(ISERROR(V118/G118),"",V118/G118)</f>
        <v/>
      </c>
      <c r="X118" s="93">
        <f>SUM('1:2'!X118)</f>
        <v>0</v>
      </c>
      <c r="Y118" s="93">
        <f>SUM('1:2'!Y118)</f>
        <v>0</v>
      </c>
      <c r="Z118" s="93">
        <f>SUM('1:2'!Z118)</f>
        <v>0</v>
      </c>
      <c r="AA118" s="93">
        <f>SUM('1:2'!AA118)</f>
        <v>0</v>
      </c>
      <c r="AB118" s="358">
        <v>1.22</v>
      </c>
      <c r="AC118" s="269">
        <f t="shared" si="29"/>
        <v>0</v>
      </c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 ht="17.25">
      <c r="A119" s="320">
        <v>30400006</v>
      </c>
      <c r="B119" s="65" t="s">
        <v>91</v>
      </c>
      <c r="C119" s="16" t="s">
        <v>53</v>
      </c>
      <c r="D119" s="17">
        <v>5.07</v>
      </c>
      <c r="E119" s="17"/>
      <c r="F119" s="6"/>
      <c r="G119" s="93">
        <f>SUM('1:2'!G119)</f>
        <v>0</v>
      </c>
      <c r="H119" s="93">
        <f>SUM('1:2'!H119)</f>
        <v>0</v>
      </c>
      <c r="I119" s="93">
        <f>SUM('1:2'!I119)</f>
        <v>0</v>
      </c>
      <c r="J119" s="31" t="str">
        <f t="array" ref="J119">IF(ISERROR(G119/I119),"",G119/I119)</f>
        <v/>
      </c>
      <c r="K119" s="35">
        <f t="array" ref="K119">IF(ISERROR(G119/L119),"",G119/L119)</f>
        <v>0</v>
      </c>
      <c r="L119" s="87">
        <v>9</v>
      </c>
      <c r="M119" s="36">
        <f t="shared" si="39"/>
        <v>0</v>
      </c>
      <c r="N119" s="93">
        <f>SUM('1:2'!N119)</f>
        <v>0</v>
      </c>
      <c r="O119" s="93">
        <f>SUM('1:2'!O119)</f>
        <v>0</v>
      </c>
      <c r="P119" s="93">
        <f>SUM('1:2'!P119)</f>
        <v>0</v>
      </c>
      <c r="Q119" s="93">
        <f>SUM('1:2'!Q119)</f>
        <v>0</v>
      </c>
      <c r="R119" s="93">
        <f>SUM('1:2'!R119)</f>
        <v>0</v>
      </c>
      <c r="S119" s="93">
        <f>SUM('1:2'!S119)</f>
        <v>0</v>
      </c>
      <c r="T119" s="93">
        <f>SUM('1:2'!T119)</f>
        <v>0</v>
      </c>
      <c r="U119" s="93">
        <f>SUM('1:2'!U119)</f>
        <v>0</v>
      </c>
      <c r="V119" s="206">
        <f t="shared" si="40"/>
        <v>0</v>
      </c>
      <c r="W119" s="33" t="str">
        <f>IF(ISERROR(V119/G119),"",V119/G119)</f>
        <v/>
      </c>
      <c r="X119" s="93">
        <f>SUM('1:2'!X119)</f>
        <v>0</v>
      </c>
      <c r="Y119" s="93">
        <f>SUM('1:2'!Y119)</f>
        <v>0</v>
      </c>
      <c r="Z119" s="93">
        <f>SUM('1:2'!Z119)</f>
        <v>0</v>
      </c>
      <c r="AA119" s="93">
        <f>SUM('1:2'!AA119)</f>
        <v>0</v>
      </c>
      <c r="AB119" s="358">
        <v>1.22</v>
      </c>
      <c r="AC119" s="269">
        <f t="shared" si="29"/>
        <v>0</v>
      </c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 ht="17.25">
      <c r="A120" s="320">
        <v>30400006</v>
      </c>
      <c r="B120" s="65" t="s">
        <v>91</v>
      </c>
      <c r="C120" s="16" t="s">
        <v>60</v>
      </c>
      <c r="D120" s="17">
        <v>5.0599999999999996</v>
      </c>
      <c r="E120" s="17"/>
      <c r="F120" s="53"/>
      <c r="G120" s="93">
        <f>SUM('1:2'!G120)</f>
        <v>0</v>
      </c>
      <c r="H120" s="93">
        <f>SUM('1:2'!H120)</f>
        <v>0</v>
      </c>
      <c r="I120" s="93">
        <f>SUM('1:2'!I120)</f>
        <v>0</v>
      </c>
      <c r="J120" s="31" t="str">
        <f t="array" ref="J120">IF(ISERROR(G120/I120),"",G120/I120)</f>
        <v/>
      </c>
      <c r="K120" s="246">
        <f t="array" ref="K120">IF(ISERROR(G120/L120),"",G120/L120)</f>
        <v>0</v>
      </c>
      <c r="L120" s="87">
        <v>9</v>
      </c>
      <c r="M120" s="36">
        <f t="shared" si="39"/>
        <v>0</v>
      </c>
      <c r="N120" s="93">
        <f>SUM('1:2'!N120)</f>
        <v>0</v>
      </c>
      <c r="O120" s="93">
        <f>SUM('1:2'!O120)</f>
        <v>0</v>
      </c>
      <c r="P120" s="93">
        <f>SUM('1:2'!P120)</f>
        <v>0</v>
      </c>
      <c r="Q120" s="93">
        <f>SUM('1:2'!Q120)</f>
        <v>0</v>
      </c>
      <c r="R120" s="93">
        <f>SUM('1:2'!R120)</f>
        <v>0</v>
      </c>
      <c r="S120" s="93">
        <f>SUM('1:2'!S120)</f>
        <v>0</v>
      </c>
      <c r="T120" s="93">
        <f>SUM('1:2'!T120)</f>
        <v>0</v>
      </c>
      <c r="U120" s="93">
        <f>SUM('1:2'!U120)</f>
        <v>0</v>
      </c>
      <c r="V120" s="206">
        <f t="shared" si="40"/>
        <v>0</v>
      </c>
      <c r="W120" s="33" t="str">
        <f>IF(ISERROR(V120/G120),"",V120/G120)</f>
        <v/>
      </c>
      <c r="X120" s="93">
        <f>SUM('1:2'!X120)</f>
        <v>0</v>
      </c>
      <c r="Y120" s="93">
        <f>SUM('1:2'!Y120)</f>
        <v>0</v>
      </c>
      <c r="Z120" s="93">
        <f>SUM('1:2'!Z120)</f>
        <v>0</v>
      </c>
      <c r="AA120" s="93">
        <f>SUM('1:2'!AA120)</f>
        <v>0</v>
      </c>
      <c r="AB120" s="358">
        <v>1.22</v>
      </c>
      <c r="AC120" s="269">
        <f t="shared" si="29"/>
        <v>0</v>
      </c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 ht="15.75">
      <c r="A121" s="691" t="s">
        <v>92</v>
      </c>
      <c r="B121" s="692"/>
      <c r="C121" s="243" t="s">
        <v>71</v>
      </c>
      <c r="D121" s="20"/>
      <c r="E121" s="20"/>
      <c r="F121" s="32"/>
      <c r="G121" s="99">
        <f>SUM(G87:G120)</f>
        <v>1453</v>
      </c>
      <c r="H121" s="30">
        <f>SUM(H87:H120)</f>
        <v>7280.9599999999991</v>
      </c>
      <c r="I121" s="30">
        <f>SUM(I87:I120)</f>
        <v>104</v>
      </c>
      <c r="J121" s="31">
        <f t="array" ref="J121">IF(ISERROR(G121/I121),"",G121/I121)</f>
        <v>13.971153846153847</v>
      </c>
      <c r="K121" s="30">
        <f>SUM(K87:K120)</f>
        <v>95.579301075268802</v>
      </c>
      <c r="L121" s="98"/>
      <c r="M121" s="89">
        <f t="shared" ref="M121:V121" si="42">SUM(M87:M120)</f>
        <v>-0.20430107526881036</v>
      </c>
      <c r="N121" s="30">
        <f t="shared" si="42"/>
        <v>0</v>
      </c>
      <c r="O121" s="91">
        <f t="shared" si="42"/>
        <v>0</v>
      </c>
      <c r="P121" s="91">
        <f t="shared" si="42"/>
        <v>0</v>
      </c>
      <c r="Q121" s="91">
        <f t="shared" si="42"/>
        <v>0</v>
      </c>
      <c r="R121" s="91">
        <f t="shared" si="42"/>
        <v>0</v>
      </c>
      <c r="S121" s="92">
        <f t="shared" si="42"/>
        <v>0</v>
      </c>
      <c r="T121" s="91">
        <f t="shared" si="42"/>
        <v>0</v>
      </c>
      <c r="U121" s="91">
        <f t="shared" si="42"/>
        <v>0</v>
      </c>
      <c r="V121" s="206">
        <f t="shared" si="42"/>
        <v>0</v>
      </c>
      <c r="W121" s="33">
        <f t="shared" ref="W121:W152" si="43">IF(ISERROR(V121/G121),"",V121/G121)</f>
        <v>0</v>
      </c>
      <c r="X121" s="92">
        <f>SUM(X87:X120)</f>
        <v>0</v>
      </c>
      <c r="Y121" s="92">
        <f>SUM(Y87:Y120)</f>
        <v>0</v>
      </c>
      <c r="Z121" s="92">
        <f>SUM(Z87:Z120)</f>
        <v>0</v>
      </c>
      <c r="AA121" s="92">
        <f>SUM(AA87:AA120)</f>
        <v>0</v>
      </c>
      <c r="AB121" s="358"/>
      <c r="AC121" s="270">
        <f>SUM(AC87:AC120)</f>
        <v>2161.98</v>
      </c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 ht="17.25">
      <c r="A122" s="320">
        <v>30100038</v>
      </c>
      <c r="B122" s="62" t="s">
        <v>93</v>
      </c>
      <c r="C122" s="16" t="s">
        <v>94</v>
      </c>
      <c r="D122" s="17">
        <v>5.03</v>
      </c>
      <c r="E122" s="17"/>
      <c r="F122" s="6"/>
      <c r="G122" s="93">
        <f>SUM('1:2'!G122)</f>
        <v>0</v>
      </c>
      <c r="H122" s="93">
        <f>SUM('1:2'!H122)</f>
        <v>0</v>
      </c>
      <c r="I122" s="93">
        <f>SUM('1:2'!I122)</f>
        <v>0</v>
      </c>
      <c r="J122" s="31" t="str">
        <f t="array" ref="J122">IF(ISERROR(G122/I122),"",G122/I122)</f>
        <v/>
      </c>
      <c r="K122" s="35">
        <f t="array" ref="K122">IF(ISERROR(G122/L122),"",G122/L122)</f>
        <v>0</v>
      </c>
      <c r="L122" s="87">
        <v>25</v>
      </c>
      <c r="M122" s="36">
        <f t="shared" ref="M122:M136" si="44">IF(ISERROR(I122-K122),"",I122-K122)</f>
        <v>0</v>
      </c>
      <c r="N122" s="93">
        <f>SUM('1:2'!N122)</f>
        <v>0</v>
      </c>
      <c r="O122" s="93">
        <f>SUM('1:2'!O122)</f>
        <v>0</v>
      </c>
      <c r="P122" s="93">
        <f>SUM('1:2'!P122)</f>
        <v>0</v>
      </c>
      <c r="Q122" s="93">
        <f>SUM('1:2'!Q122)</f>
        <v>0</v>
      </c>
      <c r="R122" s="93">
        <f>SUM('1:2'!R122)</f>
        <v>0</v>
      </c>
      <c r="S122" s="93">
        <f>SUM('1:2'!S122)</f>
        <v>0</v>
      </c>
      <c r="T122" s="93">
        <f>SUM('1:2'!T122)</f>
        <v>0</v>
      </c>
      <c r="U122" s="93">
        <f>SUM('1:2'!U122)</f>
        <v>0</v>
      </c>
      <c r="V122" s="206">
        <f t="shared" ref="V122:V136" si="45">SUM(X122:AA122)</f>
        <v>0</v>
      </c>
      <c r="W122" s="33" t="str">
        <f t="shared" si="43"/>
        <v/>
      </c>
      <c r="X122" s="93">
        <f>SUM('1:2'!X122)</f>
        <v>0</v>
      </c>
      <c r="Y122" s="93">
        <f>SUM('1:2'!Y122)</f>
        <v>0</v>
      </c>
      <c r="Z122" s="93">
        <f>SUM('1:2'!Z122)</f>
        <v>0</v>
      </c>
      <c r="AA122" s="93">
        <f>SUM('1:2'!AA122)</f>
        <v>0</v>
      </c>
      <c r="AB122" s="358">
        <v>0.41</v>
      </c>
      <c r="AC122" s="269">
        <f t="shared" si="29"/>
        <v>0</v>
      </c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 ht="17.25">
      <c r="A123" s="320">
        <v>30100037</v>
      </c>
      <c r="B123" s="62" t="s">
        <v>93</v>
      </c>
      <c r="C123" s="16" t="s">
        <v>74</v>
      </c>
      <c r="D123" s="17">
        <v>5.03</v>
      </c>
      <c r="E123" s="17"/>
      <c r="F123" s="6"/>
      <c r="G123" s="93">
        <f>SUM('1:2'!G123)</f>
        <v>0</v>
      </c>
      <c r="H123" s="93">
        <f>SUM('1:2'!H123)</f>
        <v>0</v>
      </c>
      <c r="I123" s="93">
        <f>SUM('1:2'!I123)</f>
        <v>0</v>
      </c>
      <c r="J123" s="31" t="str">
        <f t="array" ref="J123">IF(ISERROR(G123/I123),"",G123/I123)</f>
        <v/>
      </c>
      <c r="K123" s="35">
        <f t="array" ref="K123">IF(ISERROR(G123/L123),"",G123/L123)</f>
        <v>0</v>
      </c>
      <c r="L123" s="87">
        <v>25</v>
      </c>
      <c r="M123" s="36">
        <f t="shared" si="44"/>
        <v>0</v>
      </c>
      <c r="N123" s="93">
        <f>SUM('1:2'!N123)</f>
        <v>0</v>
      </c>
      <c r="O123" s="93">
        <f>SUM('1:2'!O123)</f>
        <v>0</v>
      </c>
      <c r="P123" s="93">
        <f>SUM('1:2'!P123)</f>
        <v>0</v>
      </c>
      <c r="Q123" s="93">
        <f>SUM('1:2'!Q123)</f>
        <v>0</v>
      </c>
      <c r="R123" s="93">
        <f>SUM('1:2'!R123)</f>
        <v>0</v>
      </c>
      <c r="S123" s="93">
        <f>SUM('1:2'!S123)</f>
        <v>0</v>
      </c>
      <c r="T123" s="93">
        <f>SUM('1:2'!T123)</f>
        <v>0</v>
      </c>
      <c r="U123" s="93">
        <f>SUM('1:2'!U123)</f>
        <v>0</v>
      </c>
      <c r="V123" s="206">
        <f t="shared" si="45"/>
        <v>0</v>
      </c>
      <c r="W123" s="33" t="str">
        <f t="shared" si="43"/>
        <v/>
      </c>
      <c r="X123" s="93">
        <f>SUM('1:2'!X123)</f>
        <v>0</v>
      </c>
      <c r="Y123" s="93">
        <f>SUM('1:2'!Y123)</f>
        <v>0</v>
      </c>
      <c r="Z123" s="93">
        <f>SUM('1:2'!Z123)</f>
        <v>0</v>
      </c>
      <c r="AA123" s="93">
        <f>SUM('1:2'!AA123)</f>
        <v>0</v>
      </c>
      <c r="AB123" s="358">
        <v>0.41</v>
      </c>
      <c r="AC123" s="269">
        <f t="shared" si="29"/>
        <v>0</v>
      </c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 ht="17.25">
      <c r="A124" s="320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93">
        <f>SUM('1:2'!G124)</f>
        <v>0</v>
      </c>
      <c r="H124" s="93">
        <f>SUM('1:2'!H124)</f>
        <v>0</v>
      </c>
      <c r="I124" s="93">
        <f>SUM('1:2'!I124)</f>
        <v>0</v>
      </c>
      <c r="J124" s="31" t="str">
        <f t="array" ref="J124">IF(ISERROR(G124/I124),"",G124/I124)</f>
        <v/>
      </c>
      <c r="K124" s="35">
        <f t="array" ref="K124">IF(ISERROR(G124/L124),"",G124/L124)</f>
        <v>0</v>
      </c>
      <c r="L124" s="87">
        <v>20</v>
      </c>
      <c r="M124" s="36">
        <f t="shared" si="44"/>
        <v>0</v>
      </c>
      <c r="N124" s="93">
        <f>SUM('1:2'!N124)</f>
        <v>0</v>
      </c>
      <c r="O124" s="93">
        <f>SUM('1:2'!O124)</f>
        <v>0</v>
      </c>
      <c r="P124" s="93">
        <f>SUM('1:2'!P124)</f>
        <v>0</v>
      </c>
      <c r="Q124" s="93">
        <f>SUM('1:2'!Q124)</f>
        <v>0</v>
      </c>
      <c r="R124" s="93">
        <f>SUM('1:2'!R124)</f>
        <v>0</v>
      </c>
      <c r="S124" s="93">
        <f>SUM('1:2'!S124)</f>
        <v>0</v>
      </c>
      <c r="T124" s="93">
        <f>SUM('1:2'!T124)</f>
        <v>0</v>
      </c>
      <c r="U124" s="93">
        <f>SUM('1:2'!U124)</f>
        <v>0</v>
      </c>
      <c r="V124" s="206">
        <f t="shared" si="45"/>
        <v>0</v>
      </c>
      <c r="W124" s="33" t="str">
        <f t="shared" si="43"/>
        <v/>
      </c>
      <c r="X124" s="93">
        <f>SUM('1:2'!X124)</f>
        <v>0</v>
      </c>
      <c r="Y124" s="93">
        <f>SUM('1:2'!Y124)</f>
        <v>0</v>
      </c>
      <c r="Z124" s="93">
        <f>SUM('1:2'!Z124)</f>
        <v>0</v>
      </c>
      <c r="AA124" s="93">
        <f>SUM('1:2'!AA124)</f>
        <v>0</v>
      </c>
      <c r="AB124" s="358">
        <v>0.52</v>
      </c>
      <c r="AC124" s="269">
        <f t="shared" si="29"/>
        <v>0</v>
      </c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 ht="17.25">
      <c r="A125" s="320"/>
      <c r="B125" s="189" t="s">
        <v>495</v>
      </c>
      <c r="C125" s="16" t="s">
        <v>82</v>
      </c>
      <c r="D125" s="17">
        <v>5.03</v>
      </c>
      <c r="E125" s="17"/>
      <c r="F125" s="6"/>
      <c r="G125" s="93">
        <f>SUM('1:2'!G125)</f>
        <v>0</v>
      </c>
      <c r="H125" s="93">
        <f>SUM('1:2'!H125)</f>
        <v>0</v>
      </c>
      <c r="I125" s="93">
        <f>SUM('1:2'!I125)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87">
        <v>4</v>
      </c>
      <c r="M125" s="36">
        <f t="shared" si="44"/>
        <v>0</v>
      </c>
      <c r="N125" s="93">
        <f>SUM('1:2'!N125)</f>
        <v>0</v>
      </c>
      <c r="O125" s="93">
        <f>SUM('1:2'!O125)</f>
        <v>0</v>
      </c>
      <c r="P125" s="93">
        <f>SUM('1:2'!P125)</f>
        <v>0</v>
      </c>
      <c r="Q125" s="93">
        <f>SUM('1:2'!Q125)</f>
        <v>0</v>
      </c>
      <c r="R125" s="93">
        <f>SUM('1:2'!R125)</f>
        <v>0</v>
      </c>
      <c r="S125" s="93">
        <f>SUM('1:2'!S125)</f>
        <v>0</v>
      </c>
      <c r="T125" s="93">
        <f>SUM('1:2'!T125)</f>
        <v>0</v>
      </c>
      <c r="U125" s="93">
        <f>SUM('1:2'!U125)</f>
        <v>0</v>
      </c>
      <c r="V125" s="206">
        <f t="shared" si="45"/>
        <v>0</v>
      </c>
      <c r="W125" s="33" t="str">
        <f t="shared" si="43"/>
        <v/>
      </c>
      <c r="X125" s="93">
        <f>SUM('1:2'!X125)</f>
        <v>0</v>
      </c>
      <c r="Y125" s="93">
        <f>SUM('1:2'!Y125)</f>
        <v>0</v>
      </c>
      <c r="Z125" s="93">
        <f>SUM('1:2'!Z125)</f>
        <v>0</v>
      </c>
      <c r="AA125" s="93">
        <f>SUM('1:2'!AA125)</f>
        <v>0</v>
      </c>
      <c r="AB125" s="358">
        <v>0.59</v>
      </c>
      <c r="AC125" s="269">
        <f t="shared" si="29"/>
        <v>0</v>
      </c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 ht="15.75">
      <c r="A126" s="299">
        <v>30100054</v>
      </c>
      <c r="B126" s="63" t="s">
        <v>95</v>
      </c>
      <c r="C126" s="247" t="s">
        <v>72</v>
      </c>
      <c r="D126" s="17">
        <v>5.03</v>
      </c>
      <c r="E126" s="17"/>
      <c r="F126" s="6"/>
      <c r="G126" s="93">
        <f>SUM('1:2'!G126)</f>
        <v>0</v>
      </c>
      <c r="H126" s="93">
        <f>SUM('1:2'!H126)</f>
        <v>0</v>
      </c>
      <c r="I126" s="93">
        <f>SUM('1:2'!I126)</f>
        <v>0</v>
      </c>
      <c r="J126" s="31" t="str">
        <f t="array" ref="J126">IF(ISERROR(G126/I126),"",G126/I126)</f>
        <v/>
      </c>
      <c r="K126" s="35">
        <f t="array" ref="K126">IF(ISERROR(G126/L126),"",G126/L126)</f>
        <v>0</v>
      </c>
      <c r="L126" s="87">
        <v>4</v>
      </c>
      <c r="M126" s="36">
        <f t="shared" si="44"/>
        <v>0</v>
      </c>
      <c r="N126" s="93">
        <f>SUM('1:2'!N126)</f>
        <v>0</v>
      </c>
      <c r="O126" s="93">
        <f>SUM('1:2'!O126)</f>
        <v>0</v>
      </c>
      <c r="P126" s="93">
        <f>SUM('1:2'!P126)</f>
        <v>0</v>
      </c>
      <c r="Q126" s="93">
        <f>SUM('1:2'!Q126)</f>
        <v>0</v>
      </c>
      <c r="R126" s="93">
        <f>SUM('1:2'!R126)</f>
        <v>0</v>
      </c>
      <c r="S126" s="93">
        <f>SUM('1:2'!S126)</f>
        <v>0</v>
      </c>
      <c r="T126" s="93">
        <f>SUM('1:2'!T126)</f>
        <v>0</v>
      </c>
      <c r="U126" s="93">
        <f>SUM('1:2'!U126)</f>
        <v>0</v>
      </c>
      <c r="V126" s="206">
        <f t="shared" si="45"/>
        <v>0</v>
      </c>
      <c r="W126" s="33" t="str">
        <f t="shared" si="43"/>
        <v/>
      </c>
      <c r="X126" s="93">
        <f>SUM('1:2'!X126)</f>
        <v>0</v>
      </c>
      <c r="Y126" s="93">
        <f>SUM('1:2'!Y126)</f>
        <v>0</v>
      </c>
      <c r="Z126" s="93">
        <f>SUM('1:2'!Z126)</f>
        <v>0</v>
      </c>
      <c r="AA126" s="93">
        <f>SUM('1:2'!AA126)</f>
        <v>0</v>
      </c>
      <c r="AB126" s="358">
        <v>0.59</v>
      </c>
      <c r="AC126" s="269">
        <f t="shared" si="29"/>
        <v>0</v>
      </c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 ht="15.75">
      <c r="A127" s="299">
        <v>30100053</v>
      </c>
      <c r="B127" s="63" t="s">
        <v>95</v>
      </c>
      <c r="C127" s="16" t="s">
        <v>73</v>
      </c>
      <c r="D127" s="17">
        <v>5.03</v>
      </c>
      <c r="E127" s="17"/>
      <c r="F127" s="6"/>
      <c r="G127" s="93">
        <f>SUM('1:2'!G127)</f>
        <v>0</v>
      </c>
      <c r="H127" s="93">
        <f>SUM('1:2'!H127)</f>
        <v>0</v>
      </c>
      <c r="I127" s="93">
        <f>SUM('1:2'!I127)</f>
        <v>0</v>
      </c>
      <c r="J127" s="31" t="str">
        <f t="array" ref="J127">IF(ISERROR(G127/I127),"",G127/I127)</f>
        <v/>
      </c>
      <c r="K127" s="35">
        <f t="array" ref="K127">IF(ISERROR(G127/L127),"",G127/L127)</f>
        <v>0</v>
      </c>
      <c r="L127" s="87">
        <v>4</v>
      </c>
      <c r="M127" s="36">
        <f t="shared" si="44"/>
        <v>0</v>
      </c>
      <c r="N127" s="93">
        <f>SUM('1:2'!N127)</f>
        <v>0</v>
      </c>
      <c r="O127" s="93">
        <f>SUM('1:2'!O127)</f>
        <v>0</v>
      </c>
      <c r="P127" s="93">
        <f>SUM('1:2'!P127)</f>
        <v>0</v>
      </c>
      <c r="Q127" s="93">
        <f>SUM('1:2'!Q127)</f>
        <v>0</v>
      </c>
      <c r="R127" s="93">
        <f>SUM('1:2'!R127)</f>
        <v>0</v>
      </c>
      <c r="S127" s="93">
        <f>SUM('1:2'!S127)</f>
        <v>0</v>
      </c>
      <c r="T127" s="93">
        <f>SUM('1:2'!T127)</f>
        <v>0</v>
      </c>
      <c r="U127" s="93">
        <f>SUM('1:2'!U127)</f>
        <v>0</v>
      </c>
      <c r="V127" s="206">
        <f t="shared" si="45"/>
        <v>0</v>
      </c>
      <c r="W127" s="33" t="str">
        <f t="shared" si="43"/>
        <v/>
      </c>
      <c r="X127" s="93">
        <f>SUM('1:2'!X127)</f>
        <v>0</v>
      </c>
      <c r="Y127" s="93">
        <f>SUM('1:2'!Y127)</f>
        <v>0</v>
      </c>
      <c r="Z127" s="93">
        <f>SUM('1:2'!Z127)</f>
        <v>0</v>
      </c>
      <c r="AA127" s="93">
        <f>SUM('1:2'!AA127)</f>
        <v>0</v>
      </c>
      <c r="AB127" s="358">
        <v>0.59</v>
      </c>
      <c r="AC127" s="269">
        <f t="shared" si="29"/>
        <v>0</v>
      </c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 ht="17.25">
      <c r="A128" s="320"/>
      <c r="B128" s="63" t="s">
        <v>95</v>
      </c>
      <c r="C128" s="16" t="s">
        <v>60</v>
      </c>
      <c r="D128" s="17">
        <v>5.03</v>
      </c>
      <c r="E128" s="17"/>
      <c r="F128" s="6"/>
      <c r="G128" s="93">
        <f>SUM('1:2'!G128)</f>
        <v>0</v>
      </c>
      <c r="H128" s="93">
        <f>SUM('1:2'!H128)</f>
        <v>0</v>
      </c>
      <c r="I128" s="93">
        <f>SUM('1:2'!I128)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87">
        <v>4</v>
      </c>
      <c r="M128" s="36">
        <f t="shared" si="44"/>
        <v>0</v>
      </c>
      <c r="N128" s="93">
        <f>SUM('1:2'!N128)</f>
        <v>0</v>
      </c>
      <c r="O128" s="93">
        <f>SUM('1:2'!O128)</f>
        <v>0</v>
      </c>
      <c r="P128" s="93">
        <f>SUM('1:2'!P128)</f>
        <v>0</v>
      </c>
      <c r="Q128" s="93">
        <f>SUM('1:2'!Q128)</f>
        <v>0</v>
      </c>
      <c r="R128" s="93">
        <f>SUM('1:2'!R128)</f>
        <v>0</v>
      </c>
      <c r="S128" s="93">
        <f>SUM('1:2'!S128)</f>
        <v>0</v>
      </c>
      <c r="T128" s="93">
        <f>SUM('1:2'!T128)</f>
        <v>0</v>
      </c>
      <c r="U128" s="93">
        <f>SUM('1:2'!U128)</f>
        <v>0</v>
      </c>
      <c r="V128" s="206">
        <f t="shared" si="45"/>
        <v>0</v>
      </c>
      <c r="W128" s="33" t="str">
        <f t="shared" si="43"/>
        <v/>
      </c>
      <c r="X128" s="93">
        <f>SUM('1:2'!X128)</f>
        <v>0</v>
      </c>
      <c r="Y128" s="93">
        <f>SUM('1:2'!Y128)</f>
        <v>0</v>
      </c>
      <c r="Z128" s="93">
        <f>SUM('1:2'!Z128)</f>
        <v>0</v>
      </c>
      <c r="AA128" s="93">
        <f>SUM('1:2'!AA128)</f>
        <v>0</v>
      </c>
      <c r="AB128" s="358">
        <v>0.59</v>
      </c>
      <c r="AC128" s="269">
        <f t="shared" si="29"/>
        <v>0</v>
      </c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 ht="17.25">
      <c r="A129" s="320"/>
      <c r="B129" s="63" t="s">
        <v>95</v>
      </c>
      <c r="C129" s="247" t="s">
        <v>96</v>
      </c>
      <c r="D129" s="17">
        <v>5.03</v>
      </c>
      <c r="E129" s="17"/>
      <c r="F129" s="6"/>
      <c r="G129" s="93">
        <f>SUM('1:2'!G129)</f>
        <v>0</v>
      </c>
      <c r="H129" s="93">
        <f>SUM('1:2'!H129)</f>
        <v>0</v>
      </c>
      <c r="I129" s="93">
        <f>SUM('1:2'!I129)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87">
        <v>4</v>
      </c>
      <c r="M129" s="36">
        <f t="shared" si="44"/>
        <v>0</v>
      </c>
      <c r="N129" s="93">
        <f>SUM('1:2'!N129)</f>
        <v>0</v>
      </c>
      <c r="O129" s="93">
        <f>SUM('1:2'!O129)</f>
        <v>0</v>
      </c>
      <c r="P129" s="93">
        <f>SUM('1:2'!P129)</f>
        <v>0</v>
      </c>
      <c r="Q129" s="93">
        <f>SUM('1:2'!Q129)</f>
        <v>0</v>
      </c>
      <c r="R129" s="93">
        <f>SUM('1:2'!R129)</f>
        <v>0</v>
      </c>
      <c r="S129" s="93">
        <f>SUM('1:2'!S129)</f>
        <v>0</v>
      </c>
      <c r="T129" s="93">
        <f>SUM('1:2'!T129)</f>
        <v>0</v>
      </c>
      <c r="U129" s="93">
        <f>SUM('1:2'!U129)</f>
        <v>0</v>
      </c>
      <c r="V129" s="206">
        <f t="shared" si="45"/>
        <v>0</v>
      </c>
      <c r="W129" s="33" t="str">
        <f t="shared" si="43"/>
        <v/>
      </c>
      <c r="X129" s="93">
        <f>SUM('1:2'!X129)</f>
        <v>0</v>
      </c>
      <c r="Y129" s="93">
        <f>SUM('1:2'!Y129)</f>
        <v>0</v>
      </c>
      <c r="Z129" s="93">
        <f>SUM('1:2'!Z129)</f>
        <v>0</v>
      </c>
      <c r="AA129" s="93">
        <f>SUM('1:2'!AA129)</f>
        <v>0</v>
      </c>
      <c r="AB129" s="358">
        <v>0.59</v>
      </c>
      <c r="AC129" s="269">
        <f t="shared" si="29"/>
        <v>0</v>
      </c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 ht="17.25">
      <c r="A130" s="320">
        <v>30101067</v>
      </c>
      <c r="B130" s="189" t="s">
        <v>229</v>
      </c>
      <c r="C130" s="247" t="s">
        <v>82</v>
      </c>
      <c r="D130" s="17">
        <v>5.03</v>
      </c>
      <c r="E130" s="17"/>
      <c r="F130" s="6"/>
      <c r="G130" s="93">
        <f>SUM('1:2'!G130)</f>
        <v>0</v>
      </c>
      <c r="H130" s="93">
        <f>SUM('1:2'!H130)</f>
        <v>0</v>
      </c>
      <c r="I130" s="93">
        <f>SUM('1:2'!I130)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87"/>
      <c r="M130" s="36" t="str">
        <f t="shared" si="44"/>
        <v/>
      </c>
      <c r="N130" s="93">
        <f>SUM('1:2'!N130)</f>
        <v>0</v>
      </c>
      <c r="O130" s="93">
        <f>SUM('1:2'!O130)</f>
        <v>0</v>
      </c>
      <c r="P130" s="93">
        <f>SUM('1:2'!P130)</f>
        <v>0</v>
      </c>
      <c r="Q130" s="93">
        <f>SUM('1:2'!Q130)</f>
        <v>0</v>
      </c>
      <c r="R130" s="93">
        <f>SUM('1:2'!R130)</f>
        <v>0</v>
      </c>
      <c r="S130" s="93">
        <f>SUM('1:2'!S130)</f>
        <v>0</v>
      </c>
      <c r="T130" s="93">
        <f>SUM('1:2'!T130)</f>
        <v>0</v>
      </c>
      <c r="U130" s="93">
        <f>SUM('1:2'!U130)</f>
        <v>0</v>
      </c>
      <c r="V130" s="206">
        <f t="shared" si="45"/>
        <v>0</v>
      </c>
      <c r="W130" s="33" t="str">
        <f t="shared" si="43"/>
        <v/>
      </c>
      <c r="X130" s="93">
        <f>SUM('1:2'!X130)</f>
        <v>0</v>
      </c>
      <c r="Y130" s="93">
        <f>SUM('1:2'!Y130)</f>
        <v>0</v>
      </c>
      <c r="Z130" s="93">
        <f>SUM('1:2'!Z130)</f>
        <v>0</v>
      </c>
      <c r="AA130" s="93">
        <f>SUM('1:2'!AA130)</f>
        <v>0</v>
      </c>
      <c r="AB130" s="358"/>
      <c r="AC130" s="269">
        <f t="shared" si="29"/>
        <v>0</v>
      </c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 ht="17.25">
      <c r="A131" s="320">
        <v>30101068</v>
      </c>
      <c r="B131" s="63" t="s">
        <v>97</v>
      </c>
      <c r="C131" s="247" t="s">
        <v>72</v>
      </c>
      <c r="D131" s="17">
        <v>5.03</v>
      </c>
      <c r="E131" s="17"/>
      <c r="F131" s="6"/>
      <c r="G131" s="93">
        <f>SUM('1:2'!G131)</f>
        <v>0</v>
      </c>
      <c r="H131" s="93">
        <f>SUM('1:2'!H131)</f>
        <v>0</v>
      </c>
      <c r="I131" s="93">
        <f>SUM('1:2'!I131)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87"/>
      <c r="M131" s="36" t="str">
        <f t="shared" si="44"/>
        <v/>
      </c>
      <c r="N131" s="93">
        <f>SUM('1:2'!N131)</f>
        <v>0</v>
      </c>
      <c r="O131" s="93">
        <f>SUM('1:2'!O131)</f>
        <v>0</v>
      </c>
      <c r="P131" s="93">
        <f>SUM('1:2'!P131)</f>
        <v>0</v>
      </c>
      <c r="Q131" s="93">
        <f>SUM('1:2'!Q131)</f>
        <v>0</v>
      </c>
      <c r="R131" s="93">
        <f>SUM('1:2'!R131)</f>
        <v>0</v>
      </c>
      <c r="S131" s="93">
        <f>SUM('1:2'!S131)</f>
        <v>0</v>
      </c>
      <c r="T131" s="93">
        <f>SUM('1:2'!T131)</f>
        <v>0</v>
      </c>
      <c r="U131" s="93">
        <f>SUM('1:2'!U131)</f>
        <v>0</v>
      </c>
      <c r="V131" s="206">
        <f t="shared" si="45"/>
        <v>0</v>
      </c>
      <c r="W131" s="33" t="str">
        <f t="shared" si="43"/>
        <v/>
      </c>
      <c r="X131" s="93">
        <f>SUM('1:2'!X131)</f>
        <v>0</v>
      </c>
      <c r="Y131" s="93">
        <f>SUM('1:2'!Y131)</f>
        <v>0</v>
      </c>
      <c r="Z131" s="93">
        <f>SUM('1:2'!Z131)</f>
        <v>0</v>
      </c>
      <c r="AA131" s="93">
        <f>SUM('1:2'!AA131)</f>
        <v>0</v>
      </c>
      <c r="AB131" s="358"/>
      <c r="AC131" s="269">
        <f t="shared" si="29"/>
        <v>0</v>
      </c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 ht="17.25">
      <c r="A132" s="320">
        <v>30101069</v>
      </c>
      <c r="B132" s="63" t="s">
        <v>97</v>
      </c>
      <c r="C132" s="247" t="s">
        <v>60</v>
      </c>
      <c r="D132" s="17">
        <v>5.03</v>
      </c>
      <c r="E132" s="17"/>
      <c r="F132" s="6"/>
      <c r="G132" s="93">
        <f>SUM('1:2'!G132)</f>
        <v>0</v>
      </c>
      <c r="H132" s="93">
        <f>SUM('1:2'!H132)</f>
        <v>0</v>
      </c>
      <c r="I132" s="93">
        <f>SUM('1:2'!I132)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87"/>
      <c r="M132" s="36" t="str">
        <f t="shared" si="44"/>
        <v/>
      </c>
      <c r="N132" s="93">
        <f>SUM('1:2'!N132)</f>
        <v>0</v>
      </c>
      <c r="O132" s="93">
        <f>SUM('1:2'!O132)</f>
        <v>0</v>
      </c>
      <c r="P132" s="93">
        <f>SUM('1:2'!P132)</f>
        <v>0</v>
      </c>
      <c r="Q132" s="93">
        <f>SUM('1:2'!Q132)</f>
        <v>0</v>
      </c>
      <c r="R132" s="93">
        <f>SUM('1:2'!R132)</f>
        <v>0</v>
      </c>
      <c r="S132" s="93">
        <f>SUM('1:2'!S132)</f>
        <v>0</v>
      </c>
      <c r="T132" s="93">
        <f>SUM('1:2'!T132)</f>
        <v>0</v>
      </c>
      <c r="U132" s="93">
        <f>SUM('1:2'!U132)</f>
        <v>0</v>
      </c>
      <c r="V132" s="206">
        <f t="shared" si="45"/>
        <v>0</v>
      </c>
      <c r="W132" s="33" t="str">
        <f t="shared" si="43"/>
        <v/>
      </c>
      <c r="X132" s="93">
        <f>SUM('1:2'!X132)</f>
        <v>0</v>
      </c>
      <c r="Y132" s="93">
        <f>SUM('1:2'!Y132)</f>
        <v>0</v>
      </c>
      <c r="Z132" s="93">
        <f>SUM('1:2'!Z132)</f>
        <v>0</v>
      </c>
      <c r="AA132" s="93">
        <f>SUM('1:2'!AA132)</f>
        <v>0</v>
      </c>
      <c r="AB132" s="358"/>
      <c r="AC132" s="269">
        <f t="shared" si="29"/>
        <v>0</v>
      </c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 ht="17.25">
      <c r="A133" s="320">
        <v>30101070</v>
      </c>
      <c r="B133" s="63" t="s">
        <v>97</v>
      </c>
      <c r="C133" s="247" t="s">
        <v>96</v>
      </c>
      <c r="D133" s="17">
        <v>5.03</v>
      </c>
      <c r="E133" s="17"/>
      <c r="F133" s="6"/>
      <c r="G133" s="93">
        <f>SUM('1:2'!G133)</f>
        <v>0</v>
      </c>
      <c r="H133" s="93">
        <f>SUM('1:2'!H133)</f>
        <v>0</v>
      </c>
      <c r="I133" s="93">
        <f>SUM('1:2'!I133)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87"/>
      <c r="M133" s="36" t="str">
        <f t="shared" si="44"/>
        <v/>
      </c>
      <c r="N133" s="93">
        <f>SUM('1:2'!N133)</f>
        <v>0</v>
      </c>
      <c r="O133" s="93">
        <f>SUM('1:2'!O133)</f>
        <v>0</v>
      </c>
      <c r="P133" s="93">
        <f>SUM('1:2'!P133)</f>
        <v>0</v>
      </c>
      <c r="Q133" s="93">
        <f>SUM('1:2'!Q133)</f>
        <v>0</v>
      </c>
      <c r="R133" s="93">
        <f>SUM('1:2'!R133)</f>
        <v>0</v>
      </c>
      <c r="S133" s="93">
        <f>SUM('1:2'!S133)</f>
        <v>0</v>
      </c>
      <c r="T133" s="93">
        <f>SUM('1:2'!T133)</f>
        <v>0</v>
      </c>
      <c r="U133" s="93">
        <f>SUM('1:2'!U133)</f>
        <v>0</v>
      </c>
      <c r="V133" s="206">
        <f t="shared" si="45"/>
        <v>0</v>
      </c>
      <c r="W133" s="33" t="str">
        <f t="shared" si="43"/>
        <v/>
      </c>
      <c r="X133" s="93">
        <f>SUM('1:2'!X133)</f>
        <v>0</v>
      </c>
      <c r="Y133" s="93">
        <f>SUM('1:2'!Y133)</f>
        <v>0</v>
      </c>
      <c r="Z133" s="93">
        <f>SUM('1:2'!Z133)</f>
        <v>0</v>
      </c>
      <c r="AA133" s="93">
        <f>SUM('1:2'!AA133)</f>
        <v>0</v>
      </c>
      <c r="AB133" s="358"/>
      <c r="AC133" s="269">
        <f t="shared" si="29"/>
        <v>0</v>
      </c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 ht="17.25">
      <c r="A134" s="320">
        <v>30101071</v>
      </c>
      <c r="B134" s="63" t="s">
        <v>97</v>
      </c>
      <c r="C134" s="247" t="s">
        <v>73</v>
      </c>
      <c r="D134" s="17">
        <v>5.03</v>
      </c>
      <c r="E134" s="17"/>
      <c r="F134" s="6"/>
      <c r="G134" s="93">
        <f>SUM('1:2'!G134)</f>
        <v>0</v>
      </c>
      <c r="H134" s="93">
        <f>SUM('1:2'!H134)</f>
        <v>0</v>
      </c>
      <c r="I134" s="93">
        <f>SUM('1:2'!I134)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87"/>
      <c r="M134" s="36" t="str">
        <f t="shared" si="44"/>
        <v/>
      </c>
      <c r="N134" s="93">
        <f>SUM('1:2'!N134)</f>
        <v>0</v>
      </c>
      <c r="O134" s="93">
        <f>SUM('1:2'!O134)</f>
        <v>0</v>
      </c>
      <c r="P134" s="93">
        <f>SUM('1:2'!P134)</f>
        <v>0</v>
      </c>
      <c r="Q134" s="93">
        <f>SUM('1:2'!Q134)</f>
        <v>0</v>
      </c>
      <c r="R134" s="93">
        <f>SUM('1:2'!R134)</f>
        <v>0</v>
      </c>
      <c r="S134" s="93">
        <f>SUM('1:2'!S134)</f>
        <v>0</v>
      </c>
      <c r="T134" s="93">
        <f>SUM('1:2'!T134)</f>
        <v>0</v>
      </c>
      <c r="U134" s="93">
        <f>SUM('1:2'!U134)</f>
        <v>0</v>
      </c>
      <c r="V134" s="206">
        <f t="shared" si="45"/>
        <v>0</v>
      </c>
      <c r="W134" s="33" t="str">
        <f t="shared" si="43"/>
        <v/>
      </c>
      <c r="X134" s="93">
        <f>SUM('1:2'!X134)</f>
        <v>0</v>
      </c>
      <c r="Y134" s="93">
        <f>SUM('1:2'!Y134)</f>
        <v>0</v>
      </c>
      <c r="Z134" s="93">
        <f>SUM('1:2'!Z134)</f>
        <v>0</v>
      </c>
      <c r="AA134" s="93">
        <f>SUM('1:2'!AA134)</f>
        <v>0</v>
      </c>
      <c r="AB134" s="358"/>
      <c r="AC134" s="269">
        <f t="shared" si="29"/>
        <v>0</v>
      </c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 ht="17.25">
      <c r="A135" s="316">
        <v>30100001</v>
      </c>
      <c r="B135" s="62" t="s">
        <v>98</v>
      </c>
      <c r="C135" s="16" t="s">
        <v>74</v>
      </c>
      <c r="D135" s="17">
        <v>5.0599999999999996</v>
      </c>
      <c r="E135" s="17"/>
      <c r="F135" s="6"/>
      <c r="G135" s="93">
        <f>SUM('1:2'!G135)</f>
        <v>881</v>
      </c>
      <c r="H135" s="93">
        <f>SUM('1:2'!H135)</f>
        <v>4457.8599999999997</v>
      </c>
      <c r="I135" s="93">
        <f>SUM('1:2'!I135)</f>
        <v>33</v>
      </c>
      <c r="J135" s="31">
        <f t="array" ref="J135">IF(ISERROR(G135/I135),"",G135/I135)</f>
        <v>26.696969696969695</v>
      </c>
      <c r="K135" s="35">
        <f t="array" ref="K135">IF(ISERROR(G135/L135),"",G135/L135)</f>
        <v>35.24</v>
      </c>
      <c r="L135" s="87">
        <v>25</v>
      </c>
      <c r="M135" s="36">
        <f t="shared" si="44"/>
        <v>-2.240000000000002</v>
      </c>
      <c r="N135" s="93">
        <f>SUM('1:2'!N135)</f>
        <v>0</v>
      </c>
      <c r="O135" s="93">
        <f>SUM('1:2'!O135)</f>
        <v>0</v>
      </c>
      <c r="P135" s="93">
        <f>SUM('1:2'!P135)</f>
        <v>0</v>
      </c>
      <c r="Q135" s="93">
        <f>SUM('1:2'!Q135)</f>
        <v>0</v>
      </c>
      <c r="R135" s="93">
        <f>SUM('1:2'!R135)</f>
        <v>0</v>
      </c>
      <c r="S135" s="93">
        <f>SUM('1:2'!S135)</f>
        <v>0</v>
      </c>
      <c r="T135" s="93">
        <f>SUM('1:2'!T135)</f>
        <v>0</v>
      </c>
      <c r="U135" s="93">
        <f>SUM('1:2'!U135)</f>
        <v>0</v>
      </c>
      <c r="V135" s="206">
        <f t="shared" si="45"/>
        <v>0</v>
      </c>
      <c r="W135" s="33">
        <f t="shared" si="43"/>
        <v>0</v>
      </c>
      <c r="X135" s="93">
        <f>SUM('1:2'!X135)</f>
        <v>0</v>
      </c>
      <c r="Y135" s="93">
        <f>SUM('1:2'!Y135)</f>
        <v>0</v>
      </c>
      <c r="Z135" s="93">
        <f>SUM('1:2'!Z135)</f>
        <v>0</v>
      </c>
      <c r="AA135" s="93">
        <f>SUM('1:2'!AA135)</f>
        <v>0</v>
      </c>
      <c r="AB135" s="358">
        <v>0.43</v>
      </c>
      <c r="AC135" s="269">
        <f t="shared" si="29"/>
        <v>378.83</v>
      </c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 ht="17.25">
      <c r="A136" s="316">
        <v>30100002</v>
      </c>
      <c r="B136" s="62" t="s">
        <v>98</v>
      </c>
      <c r="C136" s="16" t="s">
        <v>94</v>
      </c>
      <c r="D136" s="17">
        <v>5.0599999999999996</v>
      </c>
      <c r="E136" s="17"/>
      <c r="F136" s="6"/>
      <c r="G136" s="93">
        <f>SUM('1:2'!G136)</f>
        <v>757</v>
      </c>
      <c r="H136" s="93">
        <f>SUM('1:2'!H136)</f>
        <v>3830.4199999999996</v>
      </c>
      <c r="I136" s="93">
        <f>SUM('1:2'!I136)</f>
        <v>33</v>
      </c>
      <c r="J136" s="31">
        <f t="array" ref="J136">IF(ISERROR(G136/I136),"",G136/I136)</f>
        <v>22.939393939393938</v>
      </c>
      <c r="K136" s="35">
        <f t="array" ref="K136">IF(ISERROR(G136/L136),"",G136/L136)</f>
        <v>32.913043478260867</v>
      </c>
      <c r="L136" s="87">
        <v>23</v>
      </c>
      <c r="M136" s="36">
        <f t="shared" si="44"/>
        <v>8.6956521739132597E-2</v>
      </c>
      <c r="N136" s="93">
        <f>SUM('1:2'!N136)</f>
        <v>0</v>
      </c>
      <c r="O136" s="93">
        <f>SUM('1:2'!O136)</f>
        <v>0</v>
      </c>
      <c r="P136" s="93">
        <f>SUM('1:2'!P136)</f>
        <v>0</v>
      </c>
      <c r="Q136" s="93">
        <f>SUM('1:2'!Q136)</f>
        <v>0</v>
      </c>
      <c r="R136" s="93">
        <f>SUM('1:2'!R136)</f>
        <v>0</v>
      </c>
      <c r="S136" s="93">
        <f>SUM('1:2'!S136)</f>
        <v>0</v>
      </c>
      <c r="T136" s="93">
        <f>SUM('1:2'!T136)</f>
        <v>0</v>
      </c>
      <c r="U136" s="93">
        <f>SUM('1:2'!U136)</f>
        <v>0</v>
      </c>
      <c r="V136" s="206">
        <f t="shared" si="45"/>
        <v>0</v>
      </c>
      <c r="W136" s="33">
        <f t="shared" si="43"/>
        <v>0</v>
      </c>
      <c r="X136" s="93">
        <f>SUM('1:2'!X136)</f>
        <v>0</v>
      </c>
      <c r="Y136" s="93">
        <f>SUM('1:2'!Y136)</f>
        <v>0</v>
      </c>
      <c r="Z136" s="93">
        <f>SUM('1:2'!Z136)</f>
        <v>0</v>
      </c>
      <c r="AA136" s="93">
        <f>SUM('1:2'!AA136)</f>
        <v>0</v>
      </c>
      <c r="AB136" s="358">
        <v>0.43</v>
      </c>
      <c r="AC136" s="269">
        <f t="shared" ref="AC136:AC162" si="46">AB136*G136</f>
        <v>325.51</v>
      </c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691" t="s">
        <v>99</v>
      </c>
      <c r="B137" s="692"/>
      <c r="C137" s="243" t="s">
        <v>71</v>
      </c>
      <c r="D137" s="20"/>
      <c r="E137" s="20"/>
      <c r="F137" s="32"/>
      <c r="G137" s="99">
        <f>SUM(G122:G136)</f>
        <v>1638</v>
      </c>
      <c r="H137" s="30">
        <f>SUM(H122:H136)</f>
        <v>8288.2799999999988</v>
      </c>
      <c r="I137" s="30">
        <f>SUM(I122:I136)</f>
        <v>66</v>
      </c>
      <c r="J137" s="31">
        <f t="array" ref="J137">IF(ISERROR(G137/I137),"",G137/I137)</f>
        <v>24.818181818181817</v>
      </c>
      <c r="K137" s="30">
        <f>SUM(K122:K136)</f>
        <v>68.153043478260869</v>
      </c>
      <c r="L137" s="98"/>
      <c r="M137" s="89">
        <f>SUM(M122:M136)</f>
        <v>-2.1530434782608694</v>
      </c>
      <c r="N137" s="30">
        <f>SUM(N122:N136)</f>
        <v>0</v>
      </c>
      <c r="O137" s="93">
        <f>SUM('1:2'!O137)</f>
        <v>0</v>
      </c>
      <c r="P137" s="93">
        <f>SUM('1:2'!P137)</f>
        <v>0</v>
      </c>
      <c r="Q137" s="93">
        <f>SUM('1:2'!Q137)</f>
        <v>0</v>
      </c>
      <c r="R137" s="93">
        <f>SUM('1:2'!R137)</f>
        <v>0</v>
      </c>
      <c r="S137" s="93">
        <f>SUM('1:2'!S137)</f>
        <v>0</v>
      </c>
      <c r="T137" s="93">
        <f>SUM('1:2'!T137)</f>
        <v>0</v>
      </c>
      <c r="U137" s="93">
        <f>SUM('1:2'!U137)</f>
        <v>0</v>
      </c>
      <c r="V137" s="208">
        <f t="shared" ref="V137" si="47">SUM(V122:V136)</f>
        <v>0</v>
      </c>
      <c r="W137" s="33">
        <f t="shared" si="43"/>
        <v>0</v>
      </c>
      <c r="X137" s="93">
        <f>SUM('1:2'!X137)</f>
        <v>0</v>
      </c>
      <c r="Y137" s="93">
        <f>SUM('1:2'!Y137)</f>
        <v>0</v>
      </c>
      <c r="Z137" s="93">
        <f>SUM('1:2'!Z137)</f>
        <v>0</v>
      </c>
      <c r="AA137" s="93">
        <f>SUM('1:2'!AA137)</f>
        <v>0</v>
      </c>
      <c r="AB137" s="358"/>
      <c r="AC137" s="270">
        <f>SUM(AC122:AC136)</f>
        <v>704.33999999999992</v>
      </c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 ht="15.75">
      <c r="A138" s="300">
        <v>30400025</v>
      </c>
      <c r="B138" s="62" t="s">
        <v>100</v>
      </c>
      <c r="C138" s="16" t="s">
        <v>53</v>
      </c>
      <c r="D138" s="17">
        <v>5.04</v>
      </c>
      <c r="E138" s="17"/>
      <c r="F138" s="6"/>
      <c r="G138" s="93">
        <f>SUM('1:2'!G138)</f>
        <v>0</v>
      </c>
      <c r="H138" s="93">
        <f>SUM('1:2'!H138)</f>
        <v>0</v>
      </c>
      <c r="I138" s="93">
        <f>SUM('1:2'!I138)</f>
        <v>0</v>
      </c>
      <c r="J138" s="31" t="str">
        <f t="array" ref="J138">IF(ISERROR(G138/I138),"",G138/I138)</f>
        <v/>
      </c>
      <c r="K138" s="35">
        <f t="array" ref="K138">IF(ISERROR(G138/L138),"",G138/L138)</f>
        <v>0</v>
      </c>
      <c r="L138" s="87">
        <v>22</v>
      </c>
      <c r="M138" s="36">
        <f t="shared" ref="M138:M147" si="48">IF(ISERROR(I138-K138),"",I138-K138)</f>
        <v>0</v>
      </c>
      <c r="N138" s="93">
        <f>SUM('1:2'!N138)</f>
        <v>0</v>
      </c>
      <c r="O138" s="93">
        <f>SUM('1:2'!O138)</f>
        <v>0</v>
      </c>
      <c r="P138" s="93">
        <f>SUM('1:2'!P138)</f>
        <v>0</v>
      </c>
      <c r="Q138" s="93">
        <f>SUM('1:2'!Q138)</f>
        <v>0</v>
      </c>
      <c r="R138" s="93">
        <f>SUM('1:2'!R138)</f>
        <v>0</v>
      </c>
      <c r="S138" s="93">
        <f>SUM('1:2'!S138)</f>
        <v>0</v>
      </c>
      <c r="T138" s="93">
        <f>SUM('1:2'!T138)</f>
        <v>0</v>
      </c>
      <c r="U138" s="93">
        <f>SUM('1:2'!U138)</f>
        <v>0</v>
      </c>
      <c r="V138" s="206">
        <f t="shared" ref="V138:V147" si="49">SUM(X138:AA138)</f>
        <v>0</v>
      </c>
      <c r="W138" s="33" t="str">
        <f t="shared" si="43"/>
        <v/>
      </c>
      <c r="X138" s="93">
        <f>SUM('1:2'!X138)</f>
        <v>0</v>
      </c>
      <c r="Y138" s="93">
        <f>SUM('1:2'!Y138)</f>
        <v>0</v>
      </c>
      <c r="Z138" s="93">
        <f>SUM('1:2'!Z138)</f>
        <v>0</v>
      </c>
      <c r="AA138" s="93">
        <f>SUM('1:2'!AA138)</f>
        <v>0</v>
      </c>
      <c r="AB138" s="358">
        <v>0.48</v>
      </c>
      <c r="AC138" s="269">
        <f t="shared" si="46"/>
        <v>0</v>
      </c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 ht="17.25">
      <c r="A139" s="316">
        <v>30400023</v>
      </c>
      <c r="B139" s="62" t="s">
        <v>100</v>
      </c>
      <c r="C139" s="16" t="s">
        <v>60</v>
      </c>
      <c r="D139" s="17">
        <v>5.04</v>
      </c>
      <c r="E139" s="17"/>
      <c r="F139" s="6"/>
      <c r="G139" s="93">
        <f>SUM('1:2'!G139)</f>
        <v>0</v>
      </c>
      <c r="H139" s="93">
        <f>SUM('1:2'!H139)</f>
        <v>0</v>
      </c>
      <c r="I139" s="93">
        <f>SUM('1:2'!I139)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87">
        <v>22</v>
      </c>
      <c r="M139" s="36">
        <f t="shared" si="48"/>
        <v>0</v>
      </c>
      <c r="N139" s="93">
        <f>SUM('1:2'!N139)</f>
        <v>0</v>
      </c>
      <c r="O139" s="93">
        <f>SUM('1:2'!O139)</f>
        <v>0</v>
      </c>
      <c r="P139" s="93">
        <f>SUM('1:2'!P139)</f>
        <v>0</v>
      </c>
      <c r="Q139" s="93">
        <f>SUM('1:2'!Q139)</f>
        <v>0</v>
      </c>
      <c r="R139" s="93">
        <f>SUM('1:2'!R139)</f>
        <v>0</v>
      </c>
      <c r="S139" s="93">
        <f>SUM('1:2'!S139)</f>
        <v>0</v>
      </c>
      <c r="T139" s="93">
        <f>SUM('1:2'!T139)</f>
        <v>0</v>
      </c>
      <c r="U139" s="93">
        <f>SUM('1:2'!U139)</f>
        <v>0</v>
      </c>
      <c r="V139" s="206">
        <f t="shared" si="49"/>
        <v>0</v>
      </c>
      <c r="W139" s="33" t="str">
        <f t="shared" si="43"/>
        <v/>
      </c>
      <c r="X139" s="93">
        <f>SUM('1:2'!X139)</f>
        <v>0</v>
      </c>
      <c r="Y139" s="93">
        <f>SUM('1:2'!Y139)</f>
        <v>0</v>
      </c>
      <c r="Z139" s="93">
        <f>SUM('1:2'!Z139)</f>
        <v>0</v>
      </c>
      <c r="AA139" s="93">
        <f>SUM('1:2'!AA139)</f>
        <v>0</v>
      </c>
      <c r="AB139" s="358">
        <v>0.48</v>
      </c>
      <c r="AC139" s="269">
        <f t="shared" si="46"/>
        <v>0</v>
      </c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 ht="17.25">
      <c r="A140" s="316">
        <v>30400024</v>
      </c>
      <c r="B140" s="62" t="s">
        <v>100</v>
      </c>
      <c r="C140" s="16" t="s">
        <v>74</v>
      </c>
      <c r="D140" s="17">
        <v>5.04</v>
      </c>
      <c r="E140" s="17"/>
      <c r="F140" s="6"/>
      <c r="G140" s="93">
        <f>SUM('1:2'!G140)</f>
        <v>0</v>
      </c>
      <c r="H140" s="93">
        <f>SUM('1:2'!H140)</f>
        <v>0</v>
      </c>
      <c r="I140" s="93">
        <f>SUM('1:2'!I140)</f>
        <v>0</v>
      </c>
      <c r="J140" s="31" t="str">
        <f t="array" ref="J140">IF(ISERROR(G140/I140),"",G140/I140)</f>
        <v/>
      </c>
      <c r="K140" s="35">
        <f t="array" ref="K140">IF(ISERROR(G140/L140),"",G140/L140)</f>
        <v>0</v>
      </c>
      <c r="L140" s="87">
        <v>22</v>
      </c>
      <c r="M140" s="36">
        <f t="shared" si="48"/>
        <v>0</v>
      </c>
      <c r="N140" s="93">
        <f>SUM('1:2'!N140)</f>
        <v>0</v>
      </c>
      <c r="O140" s="93">
        <f>SUM('1:2'!O140)</f>
        <v>0</v>
      </c>
      <c r="P140" s="93">
        <f>SUM('1:2'!P140)</f>
        <v>0</v>
      </c>
      <c r="Q140" s="93">
        <f>SUM('1:2'!Q140)</f>
        <v>0</v>
      </c>
      <c r="R140" s="93">
        <f>SUM('1:2'!R140)</f>
        <v>0</v>
      </c>
      <c r="S140" s="93">
        <f>SUM('1:2'!S140)</f>
        <v>0</v>
      </c>
      <c r="T140" s="93">
        <f>SUM('1:2'!T140)</f>
        <v>0</v>
      </c>
      <c r="U140" s="93">
        <f>SUM('1:2'!U140)</f>
        <v>0</v>
      </c>
      <c r="V140" s="206">
        <f t="shared" si="49"/>
        <v>0</v>
      </c>
      <c r="W140" s="33" t="str">
        <f t="shared" si="43"/>
        <v/>
      </c>
      <c r="X140" s="93">
        <f>SUM('1:2'!X140)</f>
        <v>0</v>
      </c>
      <c r="Y140" s="93">
        <f>SUM('1:2'!Y140)</f>
        <v>0</v>
      </c>
      <c r="Z140" s="93">
        <f>SUM('1:2'!Z140)</f>
        <v>0</v>
      </c>
      <c r="AA140" s="93">
        <f>SUM('1:2'!AA140)</f>
        <v>0</v>
      </c>
      <c r="AB140" s="358">
        <v>0.48</v>
      </c>
      <c r="AC140" s="269">
        <f t="shared" si="46"/>
        <v>0</v>
      </c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 ht="17.25">
      <c r="A141" s="316"/>
      <c r="B141" s="192" t="s">
        <v>498</v>
      </c>
      <c r="C141" s="16" t="s">
        <v>66</v>
      </c>
      <c r="D141" s="17">
        <v>5.04</v>
      </c>
      <c r="E141" s="17"/>
      <c r="F141" s="6"/>
      <c r="G141" s="93">
        <f>SUM('1:2'!G141)</f>
        <v>0</v>
      </c>
      <c r="H141" s="93">
        <f>SUM('1:2'!H141)</f>
        <v>0</v>
      </c>
      <c r="I141" s="93">
        <f>SUM('1:2'!I141)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87">
        <v>22</v>
      </c>
      <c r="M141" s="36">
        <f t="shared" si="48"/>
        <v>0</v>
      </c>
      <c r="N141" s="93">
        <f>SUM('1:2'!N141)</f>
        <v>0</v>
      </c>
      <c r="O141" s="93">
        <f>SUM('1:2'!O141)</f>
        <v>0</v>
      </c>
      <c r="P141" s="93">
        <f>SUM('1:2'!P141)</f>
        <v>0</v>
      </c>
      <c r="Q141" s="93">
        <f>SUM('1:2'!Q141)</f>
        <v>0</v>
      </c>
      <c r="R141" s="93">
        <f>SUM('1:2'!R141)</f>
        <v>0</v>
      </c>
      <c r="S141" s="93">
        <f>SUM('1:2'!S141)</f>
        <v>0</v>
      </c>
      <c r="T141" s="93">
        <f>SUM('1:2'!T141)</f>
        <v>0</v>
      </c>
      <c r="U141" s="93">
        <f>SUM('1:2'!U141)</f>
        <v>0</v>
      </c>
      <c r="V141" s="206">
        <f t="shared" si="49"/>
        <v>0</v>
      </c>
      <c r="W141" s="33" t="str">
        <f t="shared" si="43"/>
        <v/>
      </c>
      <c r="X141" s="93">
        <f>SUM('1:2'!X141)</f>
        <v>0</v>
      </c>
      <c r="Y141" s="93">
        <f>SUM('1:2'!Y141)</f>
        <v>0</v>
      </c>
      <c r="Z141" s="93">
        <f>SUM('1:2'!Z141)</f>
        <v>0</v>
      </c>
      <c r="AA141" s="93">
        <f>SUM('1:2'!AA141)</f>
        <v>0</v>
      </c>
      <c r="AB141" s="358">
        <v>0.48</v>
      </c>
      <c r="AC141" s="269">
        <f t="shared" si="46"/>
        <v>0</v>
      </c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 ht="17.25">
      <c r="A142" s="316"/>
      <c r="B142" s="62" t="s">
        <v>100</v>
      </c>
      <c r="C142" s="16" t="s">
        <v>101</v>
      </c>
      <c r="D142" s="17">
        <v>5.04</v>
      </c>
      <c r="E142" s="17"/>
      <c r="F142" s="6"/>
      <c r="G142" s="93">
        <f>SUM('1:2'!G142)</f>
        <v>0</v>
      </c>
      <c r="H142" s="93">
        <f>SUM('1:2'!H142)</f>
        <v>0</v>
      </c>
      <c r="I142" s="93">
        <f>SUM('1:2'!I142)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87">
        <v>22</v>
      </c>
      <c r="M142" s="36">
        <f t="shared" si="48"/>
        <v>0</v>
      </c>
      <c r="N142" s="93">
        <f>SUM('1:2'!N142)</f>
        <v>0</v>
      </c>
      <c r="O142" s="93">
        <f>SUM('1:2'!O142)</f>
        <v>0</v>
      </c>
      <c r="P142" s="93">
        <f>SUM('1:2'!P142)</f>
        <v>0</v>
      </c>
      <c r="Q142" s="93">
        <f>SUM('1:2'!Q142)</f>
        <v>0</v>
      </c>
      <c r="R142" s="93">
        <f>SUM('1:2'!R142)</f>
        <v>0</v>
      </c>
      <c r="S142" s="93">
        <f>SUM('1:2'!S142)</f>
        <v>0</v>
      </c>
      <c r="T142" s="93">
        <f>SUM('1:2'!T142)</f>
        <v>0</v>
      </c>
      <c r="U142" s="93">
        <f>SUM('1:2'!U142)</f>
        <v>0</v>
      </c>
      <c r="V142" s="206">
        <f t="shared" si="49"/>
        <v>0</v>
      </c>
      <c r="W142" s="33" t="str">
        <f t="shared" si="43"/>
        <v/>
      </c>
      <c r="X142" s="93">
        <f>SUM('1:2'!X142)</f>
        <v>0</v>
      </c>
      <c r="Y142" s="93">
        <f>SUM('1:2'!Y142)</f>
        <v>0</v>
      </c>
      <c r="Z142" s="93">
        <f>SUM('1:2'!Z142)</f>
        <v>0</v>
      </c>
      <c r="AA142" s="93">
        <f>SUM('1:2'!AA142)</f>
        <v>0</v>
      </c>
      <c r="AB142" s="358">
        <v>0.48</v>
      </c>
      <c r="AC142" s="269">
        <f t="shared" si="46"/>
        <v>0</v>
      </c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 ht="17.25">
      <c r="A143" s="316">
        <v>30400019</v>
      </c>
      <c r="B143" s="192" t="s">
        <v>440</v>
      </c>
      <c r="C143" s="187" t="s">
        <v>442</v>
      </c>
      <c r="D143" s="17">
        <v>5.04</v>
      </c>
      <c r="E143" s="17"/>
      <c r="F143" s="6"/>
      <c r="G143" s="93">
        <f>SUM('1:2'!G143)</f>
        <v>0</v>
      </c>
      <c r="H143" s="93">
        <f>SUM('1:2'!H143)</f>
        <v>0</v>
      </c>
      <c r="I143" s="93"/>
      <c r="J143" s="31"/>
      <c r="K143" s="35">
        <f t="array" ref="K143">IF(ISERROR(G143/L143),"",G143/L143)</f>
        <v>0</v>
      </c>
      <c r="L143" s="87">
        <v>13.5</v>
      </c>
      <c r="M143" s="36"/>
      <c r="N143" s="93"/>
      <c r="O143" s="93"/>
      <c r="P143" s="93"/>
      <c r="Q143" s="93"/>
      <c r="R143" s="93"/>
      <c r="S143" s="93"/>
      <c r="T143" s="93"/>
      <c r="U143" s="93"/>
      <c r="V143" s="206"/>
      <c r="W143" s="33"/>
      <c r="X143" s="93"/>
      <c r="Y143" s="93"/>
      <c r="Z143" s="93"/>
      <c r="AA143" s="93"/>
      <c r="AB143" s="361">
        <v>0.56000000000000005</v>
      </c>
      <c r="AC143" s="269">
        <f t="shared" si="46"/>
        <v>0</v>
      </c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 ht="17.25">
      <c r="A144" s="316">
        <v>30400020</v>
      </c>
      <c r="B144" s="192" t="s">
        <v>439</v>
      </c>
      <c r="C144" s="187" t="s">
        <v>516</v>
      </c>
      <c r="D144" s="17">
        <v>5.04</v>
      </c>
      <c r="E144" s="17"/>
      <c r="F144" s="6"/>
      <c r="G144" s="93">
        <f>SUM('1:2'!G144)</f>
        <v>0</v>
      </c>
      <c r="H144" s="93">
        <f>SUM('1:2'!H144)</f>
        <v>0</v>
      </c>
      <c r="I144" s="93"/>
      <c r="J144" s="31"/>
      <c r="K144" s="35">
        <f t="array" ref="K144">IF(ISERROR(G144/L144),"",G144/L144)</f>
        <v>0</v>
      </c>
      <c r="L144" s="87">
        <v>13.5</v>
      </c>
      <c r="M144" s="36"/>
      <c r="N144" s="93"/>
      <c r="O144" s="93"/>
      <c r="P144" s="93"/>
      <c r="Q144" s="93"/>
      <c r="R144" s="93"/>
      <c r="S144" s="93"/>
      <c r="T144" s="93"/>
      <c r="U144" s="93"/>
      <c r="V144" s="206"/>
      <c r="W144" s="33"/>
      <c r="X144" s="93"/>
      <c r="Y144" s="93"/>
      <c r="Z144" s="93"/>
      <c r="AA144" s="93"/>
      <c r="AB144" s="386">
        <v>0.56000000000000005</v>
      </c>
      <c r="AC144" s="269">
        <f t="shared" si="46"/>
        <v>0</v>
      </c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 ht="17.25">
      <c r="A145" s="316">
        <v>30400021</v>
      </c>
      <c r="B145" s="192" t="s">
        <v>439</v>
      </c>
      <c r="C145" s="187" t="s">
        <v>517</v>
      </c>
      <c r="D145" s="17">
        <v>5.04</v>
      </c>
      <c r="E145" s="17"/>
      <c r="F145" s="6"/>
      <c r="G145" s="93">
        <f>SUM('1:2'!G145)</f>
        <v>0</v>
      </c>
      <c r="H145" s="93">
        <f>SUM('1:2'!H145)</f>
        <v>0</v>
      </c>
      <c r="I145" s="93"/>
      <c r="J145" s="31"/>
      <c r="K145" s="35">
        <f t="array" ref="K145">IF(ISERROR(G145/L145),"",G145/L145)</f>
        <v>0</v>
      </c>
      <c r="L145" s="87">
        <v>13.5</v>
      </c>
      <c r="M145" s="36"/>
      <c r="N145" s="93"/>
      <c r="O145" s="93"/>
      <c r="P145" s="93"/>
      <c r="Q145" s="93"/>
      <c r="R145" s="93"/>
      <c r="S145" s="93"/>
      <c r="T145" s="93"/>
      <c r="U145" s="93"/>
      <c r="V145" s="206"/>
      <c r="W145" s="33"/>
      <c r="X145" s="93"/>
      <c r="Y145" s="93"/>
      <c r="Z145" s="93"/>
      <c r="AA145" s="93"/>
      <c r="AB145" s="386">
        <v>0.56000000000000005</v>
      </c>
      <c r="AC145" s="269">
        <f t="shared" si="46"/>
        <v>0</v>
      </c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 ht="17.25">
      <c r="A146" s="316">
        <v>30400018</v>
      </c>
      <c r="B146" s="192" t="s">
        <v>439</v>
      </c>
      <c r="C146" s="16" t="s">
        <v>55</v>
      </c>
      <c r="D146" s="17">
        <v>5.04</v>
      </c>
      <c r="E146" s="17"/>
      <c r="F146" s="6"/>
      <c r="G146" s="93"/>
      <c r="H146" s="93">
        <f>SUM('1:2'!H146)</f>
        <v>0</v>
      </c>
      <c r="I146" s="93"/>
      <c r="J146" s="31"/>
      <c r="K146" s="35">
        <f t="array" ref="K146">IF(ISERROR(G146/L146),"",G146/L146)</f>
        <v>0</v>
      </c>
      <c r="L146" s="87">
        <v>13.5</v>
      </c>
      <c r="M146" s="36"/>
      <c r="N146" s="93"/>
      <c r="O146" s="93"/>
      <c r="P146" s="93"/>
      <c r="Q146" s="93"/>
      <c r="R146" s="93"/>
      <c r="S146" s="93"/>
      <c r="T146" s="93"/>
      <c r="U146" s="93"/>
      <c r="V146" s="206"/>
      <c r="W146" s="33"/>
      <c r="X146" s="93"/>
      <c r="Y146" s="93"/>
      <c r="Z146" s="93"/>
      <c r="AA146" s="93"/>
      <c r="AB146" s="449"/>
      <c r="AC146" s="269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 ht="17.25">
      <c r="A147" s="316">
        <v>30400022</v>
      </c>
      <c r="B147" s="62" t="s">
        <v>100</v>
      </c>
      <c r="C147" s="16" t="s">
        <v>55</v>
      </c>
      <c r="D147" s="17">
        <v>5.04</v>
      </c>
      <c r="E147" s="17"/>
      <c r="F147" s="6"/>
      <c r="G147" s="93">
        <f>SUM('1:2'!G147)</f>
        <v>0</v>
      </c>
      <c r="H147" s="93">
        <f>SUM('1:2'!H147)</f>
        <v>0</v>
      </c>
      <c r="I147" s="93">
        <f>SUM('1:2'!I147)</f>
        <v>0</v>
      </c>
      <c r="J147" s="31" t="str">
        <f t="array" ref="J147">IF(ISERROR(G147/I147),"",G147/I147)</f>
        <v/>
      </c>
      <c r="K147" s="35">
        <f t="array" ref="K147">IF(ISERROR(G147/L147),"",G147/L147)</f>
        <v>0</v>
      </c>
      <c r="L147" s="87">
        <v>22</v>
      </c>
      <c r="M147" s="36">
        <f t="shared" si="48"/>
        <v>0</v>
      </c>
      <c r="N147" s="93">
        <f>SUM('1:2'!N147)</f>
        <v>0</v>
      </c>
      <c r="O147" s="93">
        <f>SUM('1:2'!O147)</f>
        <v>0</v>
      </c>
      <c r="P147" s="93">
        <f>SUM('1:2'!P147)</f>
        <v>0</v>
      </c>
      <c r="Q147" s="93">
        <f>SUM('1:2'!Q147)</f>
        <v>0</v>
      </c>
      <c r="R147" s="93">
        <f>SUM('1:2'!R147)</f>
        <v>0</v>
      </c>
      <c r="S147" s="93">
        <f>SUM('1:2'!S147)</f>
        <v>0</v>
      </c>
      <c r="T147" s="93">
        <f>SUM('1:2'!T147)</f>
        <v>0</v>
      </c>
      <c r="U147" s="93">
        <f>SUM('1:2'!U147)</f>
        <v>0</v>
      </c>
      <c r="V147" s="206">
        <f t="shared" si="49"/>
        <v>0</v>
      </c>
      <c r="W147" s="33" t="str">
        <f t="shared" si="43"/>
        <v/>
      </c>
      <c r="X147" s="93">
        <f>SUM('1:2'!X147)</f>
        <v>0</v>
      </c>
      <c r="Y147" s="93">
        <f>SUM('1:2'!Y147)</f>
        <v>0</v>
      </c>
      <c r="Z147" s="93">
        <f>SUM('1:2'!Z147)</f>
        <v>0</v>
      </c>
      <c r="AA147" s="93">
        <f>SUM('1:2'!AA147)</f>
        <v>0</v>
      </c>
      <c r="AB147" s="358">
        <v>0.48</v>
      </c>
      <c r="AC147" s="269">
        <f t="shared" si="46"/>
        <v>0</v>
      </c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 ht="15.75">
      <c r="A148" s="691" t="s">
        <v>102</v>
      </c>
      <c r="B148" s="692"/>
      <c r="C148" s="243" t="s">
        <v>71</v>
      </c>
      <c r="D148" s="20"/>
      <c r="E148" s="20"/>
      <c r="F148" s="32"/>
      <c r="G148" s="99">
        <f>SUM(G138:G147)</f>
        <v>0</v>
      </c>
      <c r="H148" s="99">
        <f>SUM(H138:H147)</f>
        <v>0</v>
      </c>
      <c r="I148" s="99">
        <f>SUM(I138:I147)</f>
        <v>0</v>
      </c>
      <c r="J148" s="31" t="str">
        <f t="array" ref="J148">IF(ISERROR(G148/I148),"",G148/I148)</f>
        <v/>
      </c>
      <c r="K148" s="30">
        <f>SUM(K138:K147)</f>
        <v>0</v>
      </c>
      <c r="L148" s="98"/>
      <c r="M148" s="89">
        <f>SUM(M138:M147)</f>
        <v>0</v>
      </c>
      <c r="N148" s="30">
        <f>SUM(N138:N147)</f>
        <v>0</v>
      </c>
      <c r="O148" s="91">
        <f>SUM(O138:O147)</f>
        <v>0</v>
      </c>
      <c r="P148" s="91">
        <f>SUM(P138:P147)</f>
        <v>0</v>
      </c>
      <c r="Q148" s="91">
        <f>SUM(Q138:Q147)</f>
        <v>0</v>
      </c>
      <c r="R148" s="91"/>
      <c r="S148" s="92">
        <f>SUM(S138:S147)</f>
        <v>0</v>
      </c>
      <c r="T148" s="91">
        <f>SUM(T138:T147)</f>
        <v>0</v>
      </c>
      <c r="U148" s="91">
        <f>SUM(U138:U147)</f>
        <v>0</v>
      </c>
      <c r="V148" s="206">
        <f>SUM(V138:V147)</f>
        <v>0</v>
      </c>
      <c r="W148" s="33" t="str">
        <f t="shared" si="43"/>
        <v/>
      </c>
      <c r="X148" s="92">
        <f>SUM(X138:X147)</f>
        <v>0</v>
      </c>
      <c r="Y148" s="92">
        <f>SUM(Y138:Y147)</f>
        <v>0</v>
      </c>
      <c r="Z148" s="92">
        <f>SUM(Z138:Z147)</f>
        <v>0</v>
      </c>
      <c r="AA148" s="92">
        <f>SUM(AA138:AA147)</f>
        <v>0</v>
      </c>
      <c r="AB148" s="358"/>
      <c r="AC148" s="270">
        <f>SUM(AC138:AC147)</f>
        <v>0</v>
      </c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 ht="15.75">
      <c r="A149" s="299">
        <v>30700013</v>
      </c>
      <c r="B149" s="64" t="s">
        <v>475</v>
      </c>
      <c r="C149" s="242"/>
      <c r="D149" s="17">
        <v>3.65</v>
      </c>
      <c r="E149" s="17"/>
      <c r="F149" s="53"/>
      <c r="G149" s="93">
        <f>SUM('1:2'!G149)</f>
        <v>0</v>
      </c>
      <c r="H149" s="93">
        <f>SUM('1:2'!H149)</f>
        <v>0</v>
      </c>
      <c r="I149" s="93">
        <f>SUM('1:2'!I149)</f>
        <v>0</v>
      </c>
      <c r="J149" s="31" t="str">
        <f t="array" ref="J149">IF(ISERROR(G149/I149),"",G149/I149)</f>
        <v/>
      </c>
      <c r="K149" s="246">
        <f t="array" ref="K149">IF(ISERROR(G149/L149),"",G149/L149)</f>
        <v>0</v>
      </c>
      <c r="L149" s="87">
        <v>5</v>
      </c>
      <c r="M149" s="36">
        <f t="shared" ref="M149:M152" si="50">IF(ISERROR(I149-K149),"",I149-K149)</f>
        <v>0</v>
      </c>
      <c r="N149" s="93">
        <f>SUM('1:2'!N149)</f>
        <v>0</v>
      </c>
      <c r="O149" s="93">
        <f>SUM('1:2'!O149)</f>
        <v>0</v>
      </c>
      <c r="P149" s="93">
        <f>SUM('1:2'!P149)</f>
        <v>0</v>
      </c>
      <c r="Q149" s="93">
        <f>SUM('1:2'!Q149)</f>
        <v>0</v>
      </c>
      <c r="R149" s="93">
        <f>SUM('1:2'!R149)</f>
        <v>0</v>
      </c>
      <c r="S149" s="93">
        <f>SUM('1:2'!S149)</f>
        <v>0</v>
      </c>
      <c r="T149" s="93">
        <f>SUM('1:2'!T149)</f>
        <v>0</v>
      </c>
      <c r="U149" s="93">
        <f>SUM('1:2'!U149)</f>
        <v>0</v>
      </c>
      <c r="V149" s="206">
        <f t="shared" ref="V149:V152" si="51">SUM(X149:AA149)</f>
        <v>0</v>
      </c>
      <c r="W149" s="33" t="str">
        <f t="shared" si="43"/>
        <v/>
      </c>
      <c r="X149" s="93">
        <f>SUM('1:2'!X149)</f>
        <v>0</v>
      </c>
      <c r="Y149" s="93">
        <f>SUM('1:2'!Y149)</f>
        <v>0</v>
      </c>
      <c r="Z149" s="93">
        <f>SUM('1:2'!Z149)</f>
        <v>0</v>
      </c>
      <c r="AA149" s="93">
        <f>SUM('1:2'!AA149)</f>
        <v>0</v>
      </c>
      <c r="AB149" s="358">
        <v>2.0699999999999998</v>
      </c>
      <c r="AC149" s="269">
        <f t="shared" si="46"/>
        <v>0</v>
      </c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 ht="15.75">
      <c r="A150" s="299">
        <v>30700014</v>
      </c>
      <c r="B150" s="64" t="s">
        <v>0</v>
      </c>
      <c r="C150" s="242"/>
      <c r="D150" s="17">
        <v>6.58</v>
      </c>
      <c r="E150" s="17"/>
      <c r="F150" s="6"/>
      <c r="G150" s="93">
        <f>SUM('1:2'!G150)</f>
        <v>0</v>
      </c>
      <c r="H150" s="93">
        <f>SUM('1:2'!H150)</f>
        <v>0</v>
      </c>
      <c r="I150" s="93">
        <f>SUM('1:2'!I150)</f>
        <v>0</v>
      </c>
      <c r="J150" s="31" t="str">
        <f t="array" ref="J150">IF(ISERROR(G150/I150),"",G150/I150)</f>
        <v/>
      </c>
      <c r="K150" s="35">
        <f t="array" ref="K150">IF(ISERROR(G150/L150),"",G150/L150)</f>
        <v>0</v>
      </c>
      <c r="L150" s="87">
        <v>5</v>
      </c>
      <c r="M150" s="36">
        <f t="shared" si="50"/>
        <v>0</v>
      </c>
      <c r="N150" s="93">
        <f>SUM('1:2'!N150)</f>
        <v>0</v>
      </c>
      <c r="O150" s="93">
        <f>SUM('1:2'!O150)</f>
        <v>0</v>
      </c>
      <c r="P150" s="93">
        <f>SUM('1:2'!P150)</f>
        <v>0</v>
      </c>
      <c r="Q150" s="93">
        <f>SUM('1:2'!Q150)</f>
        <v>0</v>
      </c>
      <c r="R150" s="93">
        <f>SUM('1:2'!R150)</f>
        <v>0</v>
      </c>
      <c r="S150" s="93">
        <f>SUM('1:2'!S150)</f>
        <v>0</v>
      </c>
      <c r="T150" s="93">
        <f>SUM('1:2'!T150)</f>
        <v>0</v>
      </c>
      <c r="U150" s="93">
        <f>SUM('1:2'!U150)</f>
        <v>0</v>
      </c>
      <c r="V150" s="206">
        <f t="shared" si="51"/>
        <v>0</v>
      </c>
      <c r="W150" s="33" t="str">
        <f t="shared" si="43"/>
        <v/>
      </c>
      <c r="X150" s="93">
        <f>SUM('1:2'!X150)</f>
        <v>0</v>
      </c>
      <c r="Y150" s="93">
        <f>SUM('1:2'!Y150)</f>
        <v>0</v>
      </c>
      <c r="Z150" s="93">
        <f>SUM('1:2'!Z150)</f>
        <v>0</v>
      </c>
      <c r="AA150" s="93">
        <f>SUM('1:2'!AA150)</f>
        <v>0</v>
      </c>
      <c r="AB150" s="358">
        <v>2.0699999999999998</v>
      </c>
      <c r="AC150" s="269">
        <f t="shared" si="46"/>
        <v>0</v>
      </c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 ht="19.5" customHeight="1">
      <c r="A151" s="299">
        <v>30700016</v>
      </c>
      <c r="B151" s="64" t="s">
        <v>1</v>
      </c>
      <c r="C151" s="242"/>
      <c r="D151" s="17">
        <v>7.8</v>
      </c>
      <c r="E151" s="17"/>
      <c r="F151" s="6"/>
      <c r="G151" s="93">
        <f>SUM('1:2'!G151)</f>
        <v>96</v>
      </c>
      <c r="H151" s="93">
        <f>SUM('1:2'!H151)</f>
        <v>748.8</v>
      </c>
      <c r="I151" s="93">
        <f>SUM('1:2'!I151)</f>
        <v>5</v>
      </c>
      <c r="J151" s="31">
        <f t="array" ref="J151">IF(ISERROR(G151/I151),"",G151/I151)</f>
        <v>19.2</v>
      </c>
      <c r="K151" s="35">
        <f t="array" ref="K151">IF(ISERROR(G151/L151),"",G151/L151)</f>
        <v>20.869565217391305</v>
      </c>
      <c r="L151" s="87">
        <v>4.5999999999999996</v>
      </c>
      <c r="M151" s="36">
        <f t="shared" si="50"/>
        <v>-15.869565217391305</v>
      </c>
      <c r="N151" s="93">
        <f>SUM('1:2'!N151)</f>
        <v>0</v>
      </c>
      <c r="O151" s="93">
        <f>SUM('1:2'!O151)</f>
        <v>0</v>
      </c>
      <c r="P151" s="93">
        <f>SUM('1:2'!P151)</f>
        <v>0</v>
      </c>
      <c r="Q151" s="93">
        <f>SUM('1:2'!Q151)</f>
        <v>0</v>
      </c>
      <c r="R151" s="93">
        <f>SUM('1:2'!R151)</f>
        <v>0</v>
      </c>
      <c r="S151" s="93">
        <f>SUM('1:2'!S151)</f>
        <v>0</v>
      </c>
      <c r="T151" s="93">
        <f>SUM('1:2'!T151)</f>
        <v>0</v>
      </c>
      <c r="U151" s="93">
        <f>SUM('1:2'!U151)</f>
        <v>0</v>
      </c>
      <c r="V151" s="206">
        <f t="shared" si="51"/>
        <v>0</v>
      </c>
      <c r="W151" s="33">
        <f t="shared" si="43"/>
        <v>0</v>
      </c>
      <c r="X151" s="93">
        <f>SUM('1:2'!X151)</f>
        <v>0</v>
      </c>
      <c r="Y151" s="93">
        <f>SUM('1:2'!Y151)</f>
        <v>0</v>
      </c>
      <c r="Z151" s="93">
        <f>SUM('1:2'!Z151)</f>
        <v>0</v>
      </c>
      <c r="AA151" s="93">
        <f>SUM('1:2'!AA151)</f>
        <v>0</v>
      </c>
      <c r="AB151" s="358">
        <v>2.25</v>
      </c>
      <c r="AC151" s="269">
        <f t="shared" si="46"/>
        <v>216</v>
      </c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 ht="15.75">
      <c r="A152" s="299">
        <v>30700017</v>
      </c>
      <c r="B152" s="64" t="s">
        <v>2</v>
      </c>
      <c r="C152" s="242"/>
      <c r="D152" s="17">
        <v>4.4000000000000004</v>
      </c>
      <c r="E152" s="17"/>
      <c r="F152" s="6"/>
      <c r="G152" s="93">
        <f>SUM('1:2'!G152)</f>
        <v>0</v>
      </c>
      <c r="H152" s="93">
        <f>SUM('1:2'!H152)</f>
        <v>0</v>
      </c>
      <c r="I152" s="93">
        <f>SUM('1:2'!I152)</f>
        <v>0</v>
      </c>
      <c r="J152" s="31" t="str">
        <f t="array" ref="J152">IF(ISERROR(G152/I152),"",G152/I152)</f>
        <v/>
      </c>
      <c r="K152" s="35">
        <f t="array" ref="K152">IF(ISERROR(G152/L152),"",G152/L152)</f>
        <v>0</v>
      </c>
      <c r="L152" s="87">
        <v>5.8</v>
      </c>
      <c r="M152" s="36">
        <f t="shared" si="50"/>
        <v>0</v>
      </c>
      <c r="N152" s="93">
        <f>SUM('1:2'!N152)</f>
        <v>0</v>
      </c>
      <c r="O152" s="93">
        <f>SUM('1:2'!O152)</f>
        <v>0</v>
      </c>
      <c r="P152" s="93">
        <f>SUM('1:2'!P152)</f>
        <v>0</v>
      </c>
      <c r="Q152" s="93">
        <f>SUM('1:2'!Q152)</f>
        <v>0</v>
      </c>
      <c r="R152" s="93">
        <f>SUM('1:2'!R152)</f>
        <v>0</v>
      </c>
      <c r="S152" s="93">
        <f>SUM('1:2'!S152)</f>
        <v>0</v>
      </c>
      <c r="T152" s="93">
        <f>SUM('1:2'!T152)</f>
        <v>0</v>
      </c>
      <c r="U152" s="93">
        <f>SUM('1:2'!U152)</f>
        <v>0</v>
      </c>
      <c r="V152" s="206">
        <f t="shared" si="51"/>
        <v>0</v>
      </c>
      <c r="W152" s="33" t="str">
        <f t="shared" si="43"/>
        <v/>
      </c>
      <c r="X152" s="93">
        <f>SUM('1:2'!X152)</f>
        <v>0</v>
      </c>
      <c r="Y152" s="93">
        <f>SUM('1:2'!Y152)</f>
        <v>0</v>
      </c>
      <c r="Z152" s="93">
        <f>SUM('1:2'!Z152)</f>
        <v>0</v>
      </c>
      <c r="AA152" s="93">
        <f>SUM('1:2'!AA152)</f>
        <v>0</v>
      </c>
      <c r="AB152" s="358">
        <v>1.79</v>
      </c>
      <c r="AC152" s="269">
        <f t="shared" si="46"/>
        <v>0</v>
      </c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 ht="15.75">
      <c r="A153" s="299">
        <v>30700001</v>
      </c>
      <c r="B153" s="191" t="s">
        <v>359</v>
      </c>
      <c r="C153" s="188"/>
      <c r="D153" s="17"/>
      <c r="E153" s="17"/>
      <c r="F153" s="6"/>
      <c r="G153" s="93">
        <f>SUM('1:2'!G153)</f>
        <v>0</v>
      </c>
      <c r="H153" s="93">
        <f>SUM('1:2'!H153)</f>
        <v>0</v>
      </c>
      <c r="I153" s="93">
        <f>SUM('1:2'!I153)</f>
        <v>0</v>
      </c>
      <c r="J153" s="31"/>
      <c r="K153" s="35"/>
      <c r="L153" s="87">
        <v>6</v>
      </c>
      <c r="M153" s="36"/>
      <c r="N153" s="93">
        <f>SUM('1:2'!N153)</f>
        <v>0</v>
      </c>
      <c r="O153" s="93">
        <f>SUM('1:2'!O153)</f>
        <v>0</v>
      </c>
      <c r="P153" s="93">
        <f>SUM('1:2'!P153)</f>
        <v>0</v>
      </c>
      <c r="Q153" s="93">
        <f>SUM('1:2'!Q153)</f>
        <v>0</v>
      </c>
      <c r="R153" s="93">
        <f>SUM('1:2'!R153)</f>
        <v>0</v>
      </c>
      <c r="S153" s="93">
        <f>SUM('1:2'!S153)</f>
        <v>0</v>
      </c>
      <c r="T153" s="93">
        <f>SUM('1:2'!T153)</f>
        <v>0</v>
      </c>
      <c r="U153" s="93">
        <f>SUM('1:2'!U153)</f>
        <v>0</v>
      </c>
      <c r="V153" s="206"/>
      <c r="W153" s="33"/>
      <c r="X153" s="93">
        <f>SUM('1:2'!X153)</f>
        <v>0</v>
      </c>
      <c r="Y153" s="93">
        <f>SUM('1:2'!Y153)</f>
        <v>0</v>
      </c>
      <c r="Z153" s="93">
        <f>SUM('1:2'!Z153)</f>
        <v>0</v>
      </c>
      <c r="AA153" s="93">
        <f>SUM('1:2'!AA153)</f>
        <v>0</v>
      </c>
      <c r="AB153" s="358">
        <v>1.92</v>
      </c>
      <c r="AC153" s="269">
        <f t="shared" si="46"/>
        <v>0</v>
      </c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 ht="17.25">
      <c r="A154" s="322"/>
      <c r="B154" s="281" t="s">
        <v>239</v>
      </c>
      <c r="C154" s="242" t="s">
        <v>53</v>
      </c>
      <c r="D154" s="17">
        <v>6.04</v>
      </c>
      <c r="E154" s="17"/>
      <c r="F154" s="6"/>
      <c r="G154" s="93">
        <f>SUM('1:2'!G154)</f>
        <v>0</v>
      </c>
      <c r="H154" s="93">
        <f>SUM('1:2'!H154)</f>
        <v>0</v>
      </c>
      <c r="I154" s="93">
        <f>SUM('1:2'!I154)</f>
        <v>0</v>
      </c>
      <c r="J154" s="31" t="str">
        <f t="array" ref="J154">IF(ISERROR(G154/I154),"",G154/I154)</f>
        <v/>
      </c>
      <c r="K154" s="35">
        <f t="array" ref="K154">IF(ISERROR(G154/L154),"",G154/L154)</f>
        <v>0</v>
      </c>
      <c r="L154" s="87">
        <v>6</v>
      </c>
      <c r="M154" s="36">
        <f t="shared" ref="M154:M155" si="52">IF(ISERROR(I154-K154),"",I154-K154)</f>
        <v>0</v>
      </c>
      <c r="N154" s="93">
        <f>SUM('1:2'!N154)</f>
        <v>0</v>
      </c>
      <c r="O154" s="93">
        <f>SUM('1:2'!O154)</f>
        <v>0</v>
      </c>
      <c r="P154" s="93">
        <f>SUM('1:2'!P154)</f>
        <v>0</v>
      </c>
      <c r="Q154" s="93">
        <f>SUM('1:2'!Q154)</f>
        <v>0</v>
      </c>
      <c r="R154" s="93">
        <f>SUM('1:2'!R154)</f>
        <v>0</v>
      </c>
      <c r="S154" s="93">
        <f>SUM('1:2'!S154)</f>
        <v>0</v>
      </c>
      <c r="T154" s="93">
        <f>SUM('1:2'!T154)</f>
        <v>0</v>
      </c>
      <c r="U154" s="93">
        <f>SUM('1:2'!U154)</f>
        <v>0</v>
      </c>
      <c r="V154" s="206">
        <f t="shared" ref="V154:V155" si="53">SUM(X154:AA154)</f>
        <v>0</v>
      </c>
      <c r="W154" s="33" t="str">
        <f t="shared" ref="W154:W155" si="54">IF(ISERROR(V154/G154),"",V154/G154)</f>
        <v/>
      </c>
      <c r="X154" s="93">
        <f>SUM('1:2'!X154)</f>
        <v>0</v>
      </c>
      <c r="Y154" s="93">
        <f>SUM('1:2'!Y154)</f>
        <v>0</v>
      </c>
      <c r="Z154" s="93">
        <f>SUM('1:2'!Z154)</f>
        <v>0</v>
      </c>
      <c r="AA154" s="93">
        <f>SUM('1:2'!AA154)</f>
        <v>0</v>
      </c>
      <c r="AB154" s="358">
        <v>1.73</v>
      </c>
      <c r="AC154" s="269">
        <f t="shared" si="46"/>
        <v>0</v>
      </c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 ht="17.25">
      <c r="A155" s="322">
        <v>30700019</v>
      </c>
      <c r="B155" s="66" t="s">
        <v>104</v>
      </c>
      <c r="C155" s="242" t="s">
        <v>60</v>
      </c>
      <c r="D155" s="17">
        <v>6.04</v>
      </c>
      <c r="E155" s="17"/>
      <c r="F155" s="6"/>
      <c r="G155" s="93">
        <f>SUM('1:2'!G155)</f>
        <v>0</v>
      </c>
      <c r="H155" s="93">
        <f>SUM('1:2'!H155)</f>
        <v>0</v>
      </c>
      <c r="I155" s="93">
        <f>SUM('1:2'!I155)</f>
        <v>0</v>
      </c>
      <c r="J155" s="31" t="str">
        <f t="array" ref="J155">IF(ISERROR(G155/I155),"",G155/I155)</f>
        <v/>
      </c>
      <c r="K155" s="35">
        <f t="array" ref="K155">IF(ISERROR(G155/L155),"",G155/L155)</f>
        <v>0</v>
      </c>
      <c r="L155" s="87">
        <v>6</v>
      </c>
      <c r="M155" s="36">
        <f t="shared" si="52"/>
        <v>0</v>
      </c>
      <c r="N155" s="93">
        <f>SUM('1:2'!N155)</f>
        <v>0</v>
      </c>
      <c r="O155" s="93">
        <f>SUM('1:2'!O155)</f>
        <v>0</v>
      </c>
      <c r="P155" s="93">
        <f>SUM('1:2'!P155)</f>
        <v>0</v>
      </c>
      <c r="Q155" s="93">
        <f>SUM('1:2'!Q155)</f>
        <v>0</v>
      </c>
      <c r="R155" s="93">
        <f>SUM('1:2'!R155)</f>
        <v>0</v>
      </c>
      <c r="S155" s="93">
        <f>SUM('1:2'!S155)</f>
        <v>0</v>
      </c>
      <c r="T155" s="93">
        <f>SUM('1:2'!T155)</f>
        <v>0</v>
      </c>
      <c r="U155" s="93">
        <f>SUM('1:2'!U155)</f>
        <v>0</v>
      </c>
      <c r="V155" s="206">
        <f t="shared" si="53"/>
        <v>0</v>
      </c>
      <c r="W155" s="33" t="str">
        <f t="shared" si="54"/>
        <v/>
      </c>
      <c r="X155" s="93">
        <f>SUM('1:2'!X155)</f>
        <v>0</v>
      </c>
      <c r="Y155" s="93">
        <f>SUM('1:2'!Y155)</f>
        <v>0</v>
      </c>
      <c r="Z155" s="93">
        <f>SUM('1:2'!Z155)</f>
        <v>0</v>
      </c>
      <c r="AA155" s="93">
        <f>SUM('1:2'!AA155)</f>
        <v>0</v>
      </c>
      <c r="AB155" s="358">
        <v>1.73</v>
      </c>
      <c r="AC155" s="269">
        <f t="shared" si="46"/>
        <v>0</v>
      </c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 ht="15.75">
      <c r="A156" s="305">
        <v>30601015</v>
      </c>
      <c r="B156" s="281" t="s">
        <v>444</v>
      </c>
      <c r="C156" s="280" t="s">
        <v>53</v>
      </c>
      <c r="D156" s="17">
        <v>6</v>
      </c>
      <c r="E156" s="17"/>
      <c r="F156" s="6"/>
      <c r="G156" s="93">
        <f>SUM('1:2'!G156)</f>
        <v>0</v>
      </c>
      <c r="H156" s="93">
        <f>SUM('1:2'!H156)</f>
        <v>0</v>
      </c>
      <c r="I156" s="93"/>
      <c r="J156" s="31"/>
      <c r="K156" s="35"/>
      <c r="L156" s="87"/>
      <c r="M156" s="36"/>
      <c r="N156" s="93"/>
      <c r="O156" s="93"/>
      <c r="P156" s="93"/>
      <c r="Q156" s="93"/>
      <c r="R156" s="93"/>
      <c r="S156" s="93"/>
      <c r="T156" s="93"/>
      <c r="U156" s="93"/>
      <c r="V156" s="206"/>
      <c r="W156" s="33"/>
      <c r="X156" s="93"/>
      <c r="Y156" s="93"/>
      <c r="Z156" s="93"/>
      <c r="AA156" s="93"/>
      <c r="AB156" s="358">
        <v>1.73</v>
      </c>
      <c r="AC156" s="269">
        <f t="shared" si="46"/>
        <v>0</v>
      </c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 ht="15.75">
      <c r="A157" s="305">
        <v>30101016</v>
      </c>
      <c r="B157" s="281" t="s">
        <v>443</v>
      </c>
      <c r="C157" s="286" t="s">
        <v>446</v>
      </c>
      <c r="D157" s="17">
        <v>6</v>
      </c>
      <c r="E157" s="17"/>
      <c r="F157" s="6"/>
      <c r="G157" s="93">
        <f>SUM('1:2'!G157)</f>
        <v>0</v>
      </c>
      <c r="H157" s="93">
        <f>SUM('1:2'!H157)</f>
        <v>0</v>
      </c>
      <c r="I157" s="93"/>
      <c r="J157" s="31"/>
      <c r="K157" s="35"/>
      <c r="L157" s="87">
        <v>6</v>
      </c>
      <c r="M157" s="36"/>
      <c r="N157" s="93"/>
      <c r="O157" s="93"/>
      <c r="P157" s="93"/>
      <c r="Q157" s="93"/>
      <c r="R157" s="93"/>
      <c r="S157" s="93"/>
      <c r="T157" s="93"/>
      <c r="U157" s="93"/>
      <c r="V157" s="206"/>
      <c r="W157" s="33"/>
      <c r="X157" s="93"/>
      <c r="Y157" s="93"/>
      <c r="Z157" s="93"/>
      <c r="AA157" s="93"/>
      <c r="AB157" s="358">
        <v>1.73</v>
      </c>
      <c r="AC157" s="269">
        <f t="shared" si="46"/>
        <v>0</v>
      </c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 ht="15.75">
      <c r="A158" s="299">
        <v>30700018</v>
      </c>
      <c r="B158" s="61" t="s">
        <v>159</v>
      </c>
      <c r="C158" s="16"/>
      <c r="D158" s="17">
        <v>7.3</v>
      </c>
      <c r="E158" s="17"/>
      <c r="F158" s="6"/>
      <c r="G158" s="93">
        <f>SUM('1:2'!G158)</f>
        <v>0</v>
      </c>
      <c r="H158" s="93">
        <f>SUM('1:2'!H158)</f>
        <v>0</v>
      </c>
      <c r="I158" s="93">
        <f>SUM('1:2'!I158)</f>
        <v>0</v>
      </c>
      <c r="J158" s="31" t="str">
        <f t="array" ref="J158">IF(ISERROR(G158/I158),"",G158/I158)</f>
        <v/>
      </c>
      <c r="K158" s="35" t="str">
        <f t="array" ref="K158">IF(ISERROR(G158/L158),"",G158/L158)</f>
        <v/>
      </c>
      <c r="L158" s="87"/>
      <c r="M158" s="36" t="str">
        <f t="shared" ref="M158:M159" si="55">IF(ISERROR(I158-K158),"",I158-K158)</f>
        <v/>
      </c>
      <c r="N158" s="93">
        <f>SUM('1:2'!N158)</f>
        <v>0</v>
      </c>
      <c r="O158" s="93">
        <f>SUM('1:2'!O158)</f>
        <v>0</v>
      </c>
      <c r="P158" s="93">
        <f>SUM('1:2'!P158)</f>
        <v>0</v>
      </c>
      <c r="Q158" s="93">
        <f>SUM('1:2'!Q158)</f>
        <v>0</v>
      </c>
      <c r="R158" s="93">
        <f>SUM('1:2'!R158)</f>
        <v>0</v>
      </c>
      <c r="S158" s="93">
        <f>SUM('1:2'!S158)</f>
        <v>0</v>
      </c>
      <c r="T158" s="93">
        <f>SUM('1:2'!T158)</f>
        <v>0</v>
      </c>
      <c r="U158" s="93">
        <f>SUM('1:2'!U158)</f>
        <v>0</v>
      </c>
      <c r="V158" s="206">
        <f t="shared" ref="V158:V159" si="56">SUM(X158:AA158)</f>
        <v>0</v>
      </c>
      <c r="W158" s="33" t="str">
        <f t="shared" ref="W158:W159" si="57">IF(ISERROR(V158/G158),"",V158/G158)</f>
        <v/>
      </c>
      <c r="X158" s="93">
        <f>SUM('1:2'!X158)</f>
        <v>0</v>
      </c>
      <c r="Y158" s="93">
        <f>SUM('1:2'!Y158)</f>
        <v>0</v>
      </c>
      <c r="Z158" s="93">
        <f>SUM('1:2'!Z158)</f>
        <v>0</v>
      </c>
      <c r="AA158" s="93">
        <f>SUM('1:2'!AA158)</f>
        <v>0</v>
      </c>
      <c r="AB158" s="358"/>
      <c r="AC158" s="269">
        <f t="shared" si="46"/>
        <v>0</v>
      </c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 ht="15.75">
      <c r="A159" s="299">
        <v>30700010</v>
      </c>
      <c r="B159" s="61" t="s">
        <v>105</v>
      </c>
      <c r="C159" s="16"/>
      <c r="D159" s="17">
        <f>78*120/1000</f>
        <v>9.36</v>
      </c>
      <c r="E159" s="17"/>
      <c r="F159" s="6"/>
      <c r="G159" s="93">
        <f>SUM('1:2'!G159)</f>
        <v>0</v>
      </c>
      <c r="H159" s="93">
        <f>SUM('1:2'!H159)</f>
        <v>0</v>
      </c>
      <c r="I159" s="93">
        <f>SUM('1:2'!I159)</f>
        <v>0</v>
      </c>
      <c r="J159" s="31" t="str">
        <f t="array" ref="J159">IF(ISERROR(G159/I159),"",G159/I159)</f>
        <v/>
      </c>
      <c r="K159" s="35">
        <f t="array" ref="K159">IF(ISERROR(G159/L159),"",G159/L159)</f>
        <v>0</v>
      </c>
      <c r="L159" s="87">
        <v>5.5</v>
      </c>
      <c r="M159" s="36">
        <f t="shared" si="55"/>
        <v>0</v>
      </c>
      <c r="N159" s="93">
        <f>SUM('1:2'!N159)</f>
        <v>0</v>
      </c>
      <c r="O159" s="93">
        <f>SUM('1:2'!O159)</f>
        <v>0</v>
      </c>
      <c r="P159" s="93">
        <f>SUM('1:2'!P159)</f>
        <v>0</v>
      </c>
      <c r="Q159" s="93">
        <f>SUM('1:2'!Q159)</f>
        <v>0</v>
      </c>
      <c r="R159" s="93">
        <f>SUM('1:2'!R159)</f>
        <v>0</v>
      </c>
      <c r="S159" s="93">
        <f>SUM('1:2'!S159)</f>
        <v>0</v>
      </c>
      <c r="T159" s="93">
        <f>SUM('1:2'!T159)</f>
        <v>0</v>
      </c>
      <c r="U159" s="93">
        <f>SUM('1:2'!U159)</f>
        <v>0</v>
      </c>
      <c r="V159" s="206">
        <f t="shared" si="56"/>
        <v>0</v>
      </c>
      <c r="W159" s="33" t="str">
        <f t="shared" si="57"/>
        <v/>
      </c>
      <c r="X159" s="93">
        <f>SUM('1:2'!X159)</f>
        <v>0</v>
      </c>
      <c r="Y159" s="93">
        <f>SUM('1:2'!Y159)</f>
        <v>0</v>
      </c>
      <c r="Z159" s="93">
        <f>SUM('1:2'!Z159)</f>
        <v>0</v>
      </c>
      <c r="AA159" s="93">
        <f>SUM('1:2'!AA159)</f>
        <v>0</v>
      </c>
      <c r="AB159" s="358">
        <v>1.27</v>
      </c>
      <c r="AC159" s="269">
        <f t="shared" si="46"/>
        <v>0</v>
      </c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 ht="15.75">
      <c r="A160" s="299">
        <v>30700015</v>
      </c>
      <c r="B160" s="244" t="s">
        <v>159</v>
      </c>
      <c r="C160" s="16"/>
      <c r="D160" s="17">
        <v>4.5</v>
      </c>
      <c r="E160" s="17"/>
      <c r="F160" s="6"/>
      <c r="G160" s="93">
        <f>SUM('1:2'!G160)</f>
        <v>0</v>
      </c>
      <c r="H160" s="93">
        <f>SUM('1:2'!H160)</f>
        <v>0</v>
      </c>
      <c r="I160" s="93">
        <f>SUM('1:2'!I160)</f>
        <v>0</v>
      </c>
      <c r="J160" s="31"/>
      <c r="K160" s="35">
        <f t="array" ref="K160">IF(ISERROR(G160/L160),"",G160/L160)</f>
        <v>0</v>
      </c>
      <c r="L160" s="87">
        <v>6.5</v>
      </c>
      <c r="M160" s="36">
        <f>IF(ISERROR(I160-K160),"",I160-K160)</f>
        <v>0</v>
      </c>
      <c r="N160" s="93">
        <f>SUM('1:2'!N160)</f>
        <v>0</v>
      </c>
      <c r="O160" s="93">
        <f>SUM('1:2'!O160)</f>
        <v>0</v>
      </c>
      <c r="P160" s="93">
        <f>SUM('1:2'!P160)</f>
        <v>0</v>
      </c>
      <c r="Q160" s="93">
        <f>SUM('1:2'!Q160)</f>
        <v>0</v>
      </c>
      <c r="R160" s="93">
        <f>SUM('1:2'!R160)</f>
        <v>0</v>
      </c>
      <c r="S160" s="93">
        <f>SUM('1:2'!S160)</f>
        <v>0</v>
      </c>
      <c r="T160" s="93">
        <f>SUM('1:2'!T160)</f>
        <v>0</v>
      </c>
      <c r="U160" s="93">
        <f>SUM('1:2'!U160)</f>
        <v>0</v>
      </c>
      <c r="V160" s="206"/>
      <c r="W160" s="33"/>
      <c r="X160" s="93">
        <f>SUM('1:2'!X160)</f>
        <v>0</v>
      </c>
      <c r="Y160" s="93">
        <f>SUM('1:2'!Y160)</f>
        <v>0</v>
      </c>
      <c r="Z160" s="93">
        <f>SUM('1:2'!Z160)</f>
        <v>0</v>
      </c>
      <c r="AA160" s="93">
        <f>SUM('1:2'!AA160)</f>
        <v>0</v>
      </c>
      <c r="AB160" s="358"/>
      <c r="AC160" s="269">
        <f t="shared" si="46"/>
        <v>0</v>
      </c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 ht="15.75">
      <c r="A161" s="299">
        <v>30700012</v>
      </c>
      <c r="B161" s="244" t="s">
        <v>160</v>
      </c>
      <c r="C161" s="16"/>
      <c r="D161" s="17">
        <v>4.5</v>
      </c>
      <c r="E161" s="17"/>
      <c r="F161" s="6"/>
      <c r="G161" s="93">
        <f>SUM('1:2'!G161)</f>
        <v>0</v>
      </c>
      <c r="H161" s="93">
        <f>SUM('1:2'!H161)</f>
        <v>0</v>
      </c>
      <c r="I161" s="93">
        <f>SUM('1:2'!I161)</f>
        <v>0</v>
      </c>
      <c r="J161" s="31"/>
      <c r="K161" s="35">
        <f t="array" ref="K161">IF(ISERROR(G161/L161),"",G161/L161)</f>
        <v>0</v>
      </c>
      <c r="L161" s="87">
        <v>7.5</v>
      </c>
      <c r="M161" s="36">
        <f>IF(ISERROR(I161-K161),"",I161-K161)</f>
        <v>0</v>
      </c>
      <c r="N161" s="93">
        <f>SUM('1:2'!N161)</f>
        <v>0</v>
      </c>
      <c r="O161" s="93">
        <f>SUM('1:2'!O161)</f>
        <v>0</v>
      </c>
      <c r="P161" s="93">
        <f>SUM('1:2'!P161)</f>
        <v>0</v>
      </c>
      <c r="Q161" s="93">
        <f>SUM('1:2'!Q161)</f>
        <v>0</v>
      </c>
      <c r="R161" s="93">
        <f>SUM('1:2'!R161)</f>
        <v>0</v>
      </c>
      <c r="S161" s="93">
        <f>SUM('1:2'!S161)</f>
        <v>0</v>
      </c>
      <c r="T161" s="93">
        <f>SUM('1:2'!T161)</f>
        <v>0</v>
      </c>
      <c r="U161" s="93">
        <f>SUM('1:2'!U161)</f>
        <v>0</v>
      </c>
      <c r="V161" s="206"/>
      <c r="W161" s="33"/>
      <c r="X161" s="93">
        <f>SUM('1:2'!X161)</f>
        <v>0</v>
      </c>
      <c r="Y161" s="93">
        <f>SUM('1:2'!Y161)</f>
        <v>0</v>
      </c>
      <c r="Z161" s="93">
        <f>SUM('1:2'!Z161)</f>
        <v>0</v>
      </c>
      <c r="AA161" s="93">
        <f>SUM('1:2'!AA161)</f>
        <v>0</v>
      </c>
      <c r="AB161" s="358"/>
      <c r="AC161" s="269">
        <f t="shared" si="46"/>
        <v>0</v>
      </c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 ht="17.25">
      <c r="A162" s="323">
        <v>30101063</v>
      </c>
      <c r="B162" s="254" t="s">
        <v>437</v>
      </c>
      <c r="C162" s="16"/>
      <c r="D162" s="17">
        <v>5.03</v>
      </c>
      <c r="E162" s="17"/>
      <c r="F162" s="6"/>
      <c r="G162" s="93">
        <f>SUM('1:2'!G162)</f>
        <v>0</v>
      </c>
      <c r="H162" s="93">
        <f>SUM('1:2'!H162)</f>
        <v>0</v>
      </c>
      <c r="I162" s="93"/>
      <c r="J162" s="31"/>
      <c r="K162" s="35"/>
      <c r="L162" s="87"/>
      <c r="M162" s="36"/>
      <c r="N162" s="93"/>
      <c r="O162" s="93"/>
      <c r="P162" s="93"/>
      <c r="Q162" s="93"/>
      <c r="R162" s="93"/>
      <c r="S162" s="93"/>
      <c r="T162" s="93"/>
      <c r="U162" s="93"/>
      <c r="V162" s="206"/>
      <c r="W162" s="33"/>
      <c r="X162" s="93"/>
      <c r="Y162" s="93"/>
      <c r="Z162" s="93"/>
      <c r="AA162" s="93"/>
      <c r="AB162" s="358"/>
      <c r="AC162" s="269">
        <f t="shared" si="46"/>
        <v>0</v>
      </c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</row>
    <row r="163" spans="1:106" ht="15.75">
      <c r="A163" s="691" t="s">
        <v>106</v>
      </c>
      <c r="B163" s="692"/>
      <c r="C163" s="243" t="s">
        <v>71</v>
      </c>
      <c r="D163" s="20"/>
      <c r="E163" s="20"/>
      <c r="F163" s="32"/>
      <c r="G163" s="94">
        <f>SUM(G149:G161)</f>
        <v>96</v>
      </c>
      <c r="H163" s="30">
        <f>SUM(H149:H161)</f>
        <v>748.8</v>
      </c>
      <c r="I163" s="30">
        <f>SUM(I149:I161)</f>
        <v>5</v>
      </c>
      <c r="J163" s="31">
        <f t="array" ref="J163">IF(ISERROR(G163/I163),"",G163/I163)</f>
        <v>19.2</v>
      </c>
      <c r="K163" s="30">
        <f>SUM(K149:K159)</f>
        <v>20.869565217391305</v>
      </c>
      <c r="L163" s="98"/>
      <c r="M163" s="89">
        <f t="shared" ref="M163:V163" si="58">SUM(M149:M159)</f>
        <v>-15.869565217391305</v>
      </c>
      <c r="N163" s="20">
        <f t="shared" si="58"/>
        <v>0</v>
      </c>
      <c r="O163" s="91">
        <f t="shared" si="58"/>
        <v>0</v>
      </c>
      <c r="P163" s="91">
        <f t="shared" si="58"/>
        <v>0</v>
      </c>
      <c r="Q163" s="91">
        <f t="shared" si="58"/>
        <v>0</v>
      </c>
      <c r="R163" s="91">
        <f t="shared" si="58"/>
        <v>0</v>
      </c>
      <c r="S163" s="92">
        <f t="shared" si="58"/>
        <v>0</v>
      </c>
      <c r="T163" s="91">
        <f t="shared" si="58"/>
        <v>0</v>
      </c>
      <c r="U163" s="91">
        <f t="shared" si="58"/>
        <v>0</v>
      </c>
      <c r="V163" s="206">
        <f t="shared" si="58"/>
        <v>0</v>
      </c>
      <c r="W163" s="33">
        <f t="shared" ref="W163" si="59">IF(ISERROR(V163/G163),"",V163/G163)</f>
        <v>0</v>
      </c>
      <c r="X163" s="92">
        <f>SUM(X149:X159)</f>
        <v>0</v>
      </c>
      <c r="Y163" s="92">
        <f>SUM(Y149:Y159)</f>
        <v>0</v>
      </c>
      <c r="Z163" s="92">
        <f>SUM(Z149:Z159)</f>
        <v>0</v>
      </c>
      <c r="AA163" s="92">
        <f>SUM(AA149:AA159)</f>
        <v>0</v>
      </c>
      <c r="AB163" s="358"/>
      <c r="AC163" s="91">
        <f>SUM(AC149:AC161)</f>
        <v>216</v>
      </c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</row>
    <row r="164" spans="1:106" ht="15.75">
      <c r="A164" s="693" t="s">
        <v>108</v>
      </c>
      <c r="B164" s="694"/>
      <c r="C164" s="694"/>
      <c r="D164" s="694"/>
      <c r="E164" s="694"/>
      <c r="F164" s="695"/>
      <c r="G164" s="193">
        <f>SUM(G28,G86,G121,G137,G148,G163)</f>
        <v>10993</v>
      </c>
      <c r="H164" s="193">
        <f>SUM(H28,H86,H121,H137,H148,H163)</f>
        <v>55764.04</v>
      </c>
      <c r="I164" s="193">
        <f>SUM(I28,I86,I121,I137,I148,I163)</f>
        <v>501.5</v>
      </c>
      <c r="J164" s="52">
        <f t="array" ref="J164">IF(ISERROR(G164/I164),"",G164/I164)</f>
        <v>21.920239282153538</v>
      </c>
      <c r="K164" s="193">
        <f>SUM(K28,K86,K121,K137,K148,K163)</f>
        <v>464.03097503280884</v>
      </c>
      <c r="L164" s="52">
        <f>IF(ISERROR(G164/K164),"",G164/K164)</f>
        <v>23.690228867206013</v>
      </c>
      <c r="M164" s="193">
        <f t="shared" ref="M164:AA164" si="60">SUM(M28,M86,M121,M137,M148,M163)</f>
        <v>27.54402496719117</v>
      </c>
      <c r="N164" s="193">
        <f t="shared" si="60"/>
        <v>0</v>
      </c>
      <c r="O164" s="193">
        <f t="shared" si="60"/>
        <v>0</v>
      </c>
      <c r="P164" s="193">
        <f t="shared" si="60"/>
        <v>0</v>
      </c>
      <c r="Q164" s="193">
        <f t="shared" si="60"/>
        <v>0</v>
      </c>
      <c r="R164" s="193">
        <f t="shared" si="60"/>
        <v>0</v>
      </c>
      <c r="S164" s="193">
        <f t="shared" si="60"/>
        <v>0</v>
      </c>
      <c r="T164" s="193">
        <f t="shared" si="60"/>
        <v>0</v>
      </c>
      <c r="U164" s="193">
        <f t="shared" si="60"/>
        <v>0</v>
      </c>
      <c r="V164" s="193">
        <f t="shared" si="60"/>
        <v>0</v>
      </c>
      <c r="W164" s="193">
        <f t="shared" si="60"/>
        <v>0</v>
      </c>
      <c r="X164" s="193">
        <f t="shared" si="60"/>
        <v>0</v>
      </c>
      <c r="Y164" s="193">
        <f t="shared" si="60"/>
        <v>0</v>
      </c>
      <c r="Z164" s="193">
        <f t="shared" si="60"/>
        <v>0</v>
      </c>
      <c r="AA164" s="193">
        <f t="shared" si="60"/>
        <v>0</v>
      </c>
      <c r="AB164" s="358"/>
      <c r="AC164" s="271">
        <f>SUM(AC28,AC86,AC121,AC137,AC148,AC163)</f>
        <v>5964.89</v>
      </c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</row>
    <row r="165" spans="1:106" ht="15.75" hidden="1" customHeight="1">
      <c r="A165" s="732" t="s">
        <v>109</v>
      </c>
      <c r="B165" s="245" t="s">
        <v>110</v>
      </c>
      <c r="C165" s="674" t="s">
        <v>111</v>
      </c>
      <c r="D165" s="674"/>
      <c r="E165" s="684" t="s">
        <v>112</v>
      </c>
      <c r="F165" s="684"/>
      <c r="G165" s="654" t="s">
        <v>113</v>
      </c>
      <c r="H165" s="654"/>
      <c r="I165" s="684" t="s">
        <v>114</v>
      </c>
      <c r="J165" s="684"/>
      <c r="K165" s="684" t="s">
        <v>36</v>
      </c>
      <c r="L165" s="684"/>
      <c r="M165" s="684" t="s">
        <v>115</v>
      </c>
      <c r="N165" s="684"/>
      <c r="O165" s="684" t="s">
        <v>116</v>
      </c>
      <c r="P165" s="654" t="s">
        <v>117</v>
      </c>
      <c r="Q165" s="654"/>
      <c r="R165" s="654" t="s">
        <v>36</v>
      </c>
      <c r="S165" s="654"/>
      <c r="T165" s="654" t="s">
        <v>118</v>
      </c>
      <c r="U165" s="654"/>
      <c r="V165" s="654" t="s">
        <v>119</v>
      </c>
      <c r="W165" s="654"/>
      <c r="X165" s="654" t="s">
        <v>36</v>
      </c>
      <c r="Y165" s="654"/>
      <c r="Z165" s="654" t="s">
        <v>118</v>
      </c>
      <c r="AA165" s="654"/>
      <c r="AE165" s="14"/>
      <c r="AF165" s="14"/>
      <c r="AG165" s="3"/>
      <c r="AH165" s="249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 ht="13.5" hidden="1" customHeight="1">
      <c r="A166" s="733"/>
      <c r="B166" s="245" t="s">
        <v>120</v>
      </c>
      <c r="C166" s="689">
        <f>SUM('1:2'!C166)</f>
        <v>2</v>
      </c>
      <c r="D166" s="690"/>
      <c r="E166" s="688">
        <f>D166*11</f>
        <v>0</v>
      </c>
      <c r="F166" s="688"/>
      <c r="G166" s="689">
        <f>SUM('1:2'!G166)</f>
        <v>2</v>
      </c>
      <c r="H166" s="690"/>
      <c r="I166" s="684">
        <f>G166*11</f>
        <v>22</v>
      </c>
      <c r="J166" s="684"/>
      <c r="K166" s="684">
        <f>E166-I166</f>
        <v>-22</v>
      </c>
      <c r="L166" s="684"/>
      <c r="M166" s="686" t="str">
        <f>IF(ISERROR(K166/E166),"",K166/E166)</f>
        <v/>
      </c>
      <c r="N166" s="686"/>
      <c r="O166" s="684"/>
      <c r="P166" s="654" t="s">
        <v>70</v>
      </c>
      <c r="Q166" s="654"/>
      <c r="R166" s="677">
        <f>SUM(O28:U28)</f>
        <v>0</v>
      </c>
      <c r="S166" s="677"/>
      <c r="T166" s="685" t="str">
        <f t="array" ref="T166">IF(ISERROR(R166/R173),"",R166/R173)</f>
        <v/>
      </c>
      <c r="U166" s="685"/>
      <c r="V166" s="654" t="s">
        <v>41</v>
      </c>
      <c r="W166" s="654"/>
      <c r="X166" s="677">
        <f>SUM(P27,P85,P120,P136,P147,P161)</f>
        <v>0</v>
      </c>
      <c r="Y166" s="677"/>
      <c r="Z166" s="685" t="str">
        <f t="array" ref="Z166">IF(ISERROR(X166/X173),"",X166/X173)</f>
        <v/>
      </c>
      <c r="AA166" s="685"/>
      <c r="AE166" s="14"/>
      <c r="AF166" s="14"/>
      <c r="AG166" s="3"/>
      <c r="AH166" s="251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 ht="15.75" hidden="1">
      <c r="A167" s="733"/>
      <c r="B167" s="245" t="s">
        <v>121</v>
      </c>
      <c r="C167" s="689">
        <f>SUM('1:2'!C167)</f>
        <v>2</v>
      </c>
      <c r="D167" s="690"/>
      <c r="E167" s="688">
        <f>D167*11</f>
        <v>0</v>
      </c>
      <c r="F167" s="688"/>
      <c r="G167" s="689">
        <f>SUM('1:2'!G167)</f>
        <v>2</v>
      </c>
      <c r="H167" s="690"/>
      <c r="I167" s="684">
        <f>G167*11</f>
        <v>22</v>
      </c>
      <c r="J167" s="684"/>
      <c r="K167" s="684">
        <f>E167-I167</f>
        <v>-22</v>
      </c>
      <c r="L167" s="684"/>
      <c r="M167" s="686" t="str">
        <f>IF(ISERROR(K167/E167),"",K167/E167)</f>
        <v/>
      </c>
      <c r="N167" s="686"/>
      <c r="O167" s="684"/>
      <c r="P167" s="654" t="s">
        <v>86</v>
      </c>
      <c r="Q167" s="654"/>
      <c r="R167" s="677">
        <f>SUM(O86:U86)</f>
        <v>0</v>
      </c>
      <c r="S167" s="677"/>
      <c r="T167" s="685" t="str">
        <f>IF(ISERROR(R167/R173),"",R167/R173)</f>
        <v/>
      </c>
      <c r="U167" s="685"/>
      <c r="V167" s="654" t="s">
        <v>42</v>
      </c>
      <c r="W167" s="654"/>
      <c r="X167" s="677">
        <f>SUM(P28,P86,P121,P137,P148,P163)</f>
        <v>0</v>
      </c>
      <c r="Y167" s="677"/>
      <c r="Z167" s="685" t="str">
        <f>IF(ISERROR(X167/X173),"",X167/X173)</f>
        <v/>
      </c>
      <c r="AA167" s="685"/>
      <c r="AE167" s="14"/>
      <c r="AF167" s="14"/>
      <c r="AG167" s="3"/>
      <c r="AH167" s="251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21"/>
      <c r="AV167" s="21"/>
      <c r="AW167" s="21"/>
      <c r="AX167" s="21"/>
      <c r="AY167" s="21"/>
      <c r="AZ167" s="21"/>
      <c r="BA167" s="21"/>
    </row>
    <row r="168" spans="1:106" ht="15.75" hidden="1">
      <c r="A168" s="733"/>
      <c r="B168" s="245" t="s">
        <v>122</v>
      </c>
      <c r="C168" s="689">
        <f>SUM('1:2'!C168)</f>
        <v>2</v>
      </c>
      <c r="D168" s="690"/>
      <c r="E168" s="688">
        <f>D168*11</f>
        <v>0</v>
      </c>
      <c r="F168" s="688"/>
      <c r="G168" s="689">
        <f>SUM('1:2'!G168)</f>
        <v>2</v>
      </c>
      <c r="H168" s="690"/>
      <c r="I168" s="684">
        <f>G168*8</f>
        <v>16</v>
      </c>
      <c r="J168" s="684"/>
      <c r="K168" s="684">
        <f>E168-I168</f>
        <v>-16</v>
      </c>
      <c r="L168" s="684"/>
      <c r="M168" s="686" t="str">
        <f>IF(ISERROR(K168/E168),"",K168/E168)</f>
        <v/>
      </c>
      <c r="N168" s="686"/>
      <c r="O168" s="684"/>
      <c r="P168" s="654" t="s">
        <v>92</v>
      </c>
      <c r="Q168" s="654"/>
      <c r="R168" s="677">
        <f>SUM(O121:U121)</f>
        <v>0</v>
      </c>
      <c r="S168" s="677"/>
      <c r="T168" s="685" t="str">
        <f>IF(ISERROR(R168/R173),"",R168/R173)</f>
        <v/>
      </c>
      <c r="U168" s="685"/>
      <c r="V168" s="654" t="s">
        <v>43</v>
      </c>
      <c r="W168" s="654"/>
      <c r="X168" s="677">
        <f>SUM(P29,P87,P122,P138,P149,P164)</f>
        <v>0</v>
      </c>
      <c r="Y168" s="677"/>
      <c r="Z168" s="685" t="str">
        <f>IF(ISERROR(X168/X173),"",X168/X173)</f>
        <v/>
      </c>
      <c r="AA168" s="685"/>
      <c r="AE168" s="14"/>
      <c r="AF168" s="14"/>
      <c r="AG168" s="251"/>
      <c r="AH168" s="251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21"/>
      <c r="AV168" s="21"/>
      <c r="AW168" s="21"/>
      <c r="AX168" s="21"/>
      <c r="AY168" s="21"/>
      <c r="AZ168" s="21"/>
      <c r="BA168" s="21"/>
    </row>
    <row r="169" spans="1:106" ht="15.75" hidden="1">
      <c r="A169" s="733"/>
      <c r="B169" s="245" t="s">
        <v>47</v>
      </c>
      <c r="C169" s="689">
        <f>SUM('1:2'!C169)</f>
        <v>2</v>
      </c>
      <c r="D169" s="690"/>
      <c r="E169" s="688">
        <f>D169*11</f>
        <v>0</v>
      </c>
      <c r="F169" s="688"/>
      <c r="G169" s="689">
        <f>SUM('1:2'!G169)</f>
        <v>2</v>
      </c>
      <c r="H169" s="690"/>
      <c r="I169" s="684">
        <f>G169*11</f>
        <v>22</v>
      </c>
      <c r="J169" s="684"/>
      <c r="K169" s="684">
        <f>E169-I169</f>
        <v>-22</v>
      </c>
      <c r="L169" s="684"/>
      <c r="M169" s="686" t="str">
        <f>IF(ISERROR(K169/E169),"",K169/E169)</f>
        <v/>
      </c>
      <c r="N169" s="686"/>
      <c r="O169" s="684"/>
      <c r="P169" s="654" t="s">
        <v>99</v>
      </c>
      <c r="Q169" s="654"/>
      <c r="R169" s="677">
        <f>SUM(O137:U137)</f>
        <v>0</v>
      </c>
      <c r="S169" s="677"/>
      <c r="T169" s="685" t="str">
        <f>IF(ISERROR(R169/R173),"",R169/R173)</f>
        <v/>
      </c>
      <c r="U169" s="685"/>
      <c r="V169" s="654" t="s">
        <v>44</v>
      </c>
      <c r="W169" s="654"/>
      <c r="X169" s="677">
        <f>SUM(P31,P88,P123,P139,P150,P165)</f>
        <v>0</v>
      </c>
      <c r="Y169" s="677"/>
      <c r="Z169" s="685" t="str">
        <f>IF(ISERROR(X169/X173),"",X169/X173)</f>
        <v/>
      </c>
      <c r="AA169" s="685"/>
      <c r="AE169" s="14"/>
      <c r="AF169" s="14"/>
      <c r="AG169" s="251"/>
      <c r="AH169" s="251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21"/>
      <c r="AV169" s="21"/>
      <c r="AW169" s="21"/>
      <c r="AX169" s="21"/>
      <c r="AY169" s="21"/>
      <c r="AZ169" s="21"/>
      <c r="BA169" s="21"/>
    </row>
    <row r="170" spans="1:106" ht="15.75" hidden="1">
      <c r="A170" s="734"/>
      <c r="B170" s="245" t="s">
        <v>123</v>
      </c>
      <c r="C170" s="687">
        <f>SUM(C166:D169)</f>
        <v>8</v>
      </c>
      <c r="D170" s="684"/>
      <c r="E170" s="684">
        <f>SUM(F166:F169)</f>
        <v>0</v>
      </c>
      <c r="F170" s="684"/>
      <c r="G170" s="687">
        <f>SUM(G166:H169)</f>
        <v>8</v>
      </c>
      <c r="H170" s="684"/>
      <c r="I170" s="684">
        <f>SUM(I166:J169)</f>
        <v>82</v>
      </c>
      <c r="J170" s="684"/>
      <c r="K170" s="684">
        <f>SUM(K166:L169)</f>
        <v>-82</v>
      </c>
      <c r="L170" s="684"/>
      <c r="M170" s="686" t="str">
        <f>IF(ISERROR(K170/E170),"",K170/E170)</f>
        <v/>
      </c>
      <c r="N170" s="686"/>
      <c r="O170" s="684"/>
      <c r="P170" s="654" t="s">
        <v>102</v>
      </c>
      <c r="Q170" s="654"/>
      <c r="R170" s="677">
        <f>SUM(O148:U148)</f>
        <v>0</v>
      </c>
      <c r="S170" s="677"/>
      <c r="T170" s="685" t="str">
        <f>IF(ISERROR(R170/R173),"",R170/R173)</f>
        <v/>
      </c>
      <c r="U170" s="685"/>
      <c r="V170" s="654" t="s">
        <v>45</v>
      </c>
      <c r="W170" s="654"/>
      <c r="X170" s="677">
        <f>SUM(P32,P89,P124,P140,P151,P166)</f>
        <v>0</v>
      </c>
      <c r="Y170" s="677"/>
      <c r="Z170" s="685" t="str">
        <f>IF(ISERROR(X170/X173),"",X170/X173)</f>
        <v/>
      </c>
      <c r="AA170" s="685"/>
      <c r="AE170" s="14"/>
      <c r="AF170" s="14"/>
      <c r="AG170" s="251"/>
      <c r="AH170" s="251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248"/>
      <c r="AV170" s="248"/>
      <c r="AW170" s="248"/>
      <c r="AX170" s="248"/>
      <c r="AY170" s="248"/>
      <c r="AZ170" s="248"/>
      <c r="BA170" s="248"/>
    </row>
    <row r="171" spans="1:106" ht="17.25" hidden="1">
      <c r="A171" s="324" t="s">
        <v>152</v>
      </c>
      <c r="B171" s="245">
        <f>G164</f>
        <v>10993</v>
      </c>
      <c r="C171" s="677" t="s">
        <v>155</v>
      </c>
      <c r="D171" s="677"/>
      <c r="E171" s="654">
        <f>H164</f>
        <v>55764.04</v>
      </c>
      <c r="F171" s="654"/>
      <c r="G171" s="654" t="s">
        <v>34</v>
      </c>
      <c r="H171" s="654"/>
      <c r="I171" s="683">
        <f>L164</f>
        <v>23.690228867206013</v>
      </c>
      <c r="J171" s="683"/>
      <c r="K171" s="684" t="s">
        <v>32</v>
      </c>
      <c r="L171" s="684"/>
      <c r="M171" s="683">
        <f>J164</f>
        <v>21.920239282153538</v>
      </c>
      <c r="N171" s="683"/>
      <c r="O171" s="684"/>
      <c r="P171" s="654" t="s">
        <v>106</v>
      </c>
      <c r="Q171" s="654"/>
      <c r="R171" s="677">
        <f>SUM(O163:U163)</f>
        <v>0</v>
      </c>
      <c r="S171" s="677"/>
      <c r="T171" s="685" t="str">
        <f>IF(ISERROR(R171/R173),"",R171/R173)</f>
        <v/>
      </c>
      <c r="U171" s="685"/>
      <c r="V171" s="654" t="s">
        <v>46</v>
      </c>
      <c r="W171" s="654"/>
      <c r="X171" s="677">
        <f>SUM(P33,P90,P125,P141,P152,P167)</f>
        <v>0</v>
      </c>
      <c r="Y171" s="677"/>
      <c r="Z171" s="685" t="str">
        <f>IF(ISERROR(X171/X173),"",X171/X173)</f>
        <v/>
      </c>
      <c r="AA171" s="685"/>
      <c r="AE171" s="14"/>
      <c r="AF171" s="14"/>
      <c r="AG171" s="251"/>
      <c r="AH171" s="251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248"/>
      <c r="AV171" s="248"/>
      <c r="AW171" s="248"/>
      <c r="AX171" s="248"/>
      <c r="AY171" s="248"/>
      <c r="AZ171" s="248"/>
      <c r="BA171" s="248"/>
    </row>
    <row r="172" spans="1:106" ht="17.25" hidden="1">
      <c r="A172" s="325" t="s">
        <v>153</v>
      </c>
      <c r="B172" s="245">
        <f>I164+C170</f>
        <v>509.5</v>
      </c>
      <c r="C172" s="654" t="s">
        <v>114</v>
      </c>
      <c r="D172" s="654"/>
      <c r="E172" s="674">
        <f>K164+I170</f>
        <v>546.03097503280878</v>
      </c>
      <c r="F172" s="674"/>
      <c r="G172" s="654" t="s">
        <v>150</v>
      </c>
      <c r="H172" s="654"/>
      <c r="I172" s="683">
        <f>B172-E172</f>
        <v>-36.530975032808783</v>
      </c>
      <c r="J172" s="683"/>
      <c r="K172" s="684" t="s">
        <v>151</v>
      </c>
      <c r="L172" s="684"/>
      <c r="M172" s="686">
        <f>IF(ISERROR(I172/B172),"",I172/B172)</f>
        <v>-7.1699656590399966E-2</v>
      </c>
      <c r="N172" s="686"/>
      <c r="O172" s="684"/>
      <c r="P172" s="654" t="s">
        <v>107</v>
      </c>
      <c r="Q172" s="654"/>
      <c r="R172" s="677"/>
      <c r="S172" s="677"/>
      <c r="T172" s="685" t="str">
        <f>IF(ISERROR(R172/R173),"",R172/R173)</f>
        <v/>
      </c>
      <c r="U172" s="685"/>
      <c r="V172" s="654" t="s">
        <v>47</v>
      </c>
      <c r="W172" s="654"/>
      <c r="X172" s="677"/>
      <c r="Y172" s="677"/>
      <c r="Z172" s="685" t="str">
        <f>IF(ISERROR(X172/X173),"",X172/X173)</f>
        <v/>
      </c>
      <c r="AA172" s="685"/>
      <c r="AE172" s="14"/>
      <c r="AF172" s="14"/>
      <c r="AG172" s="251"/>
      <c r="AH172" s="251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248"/>
      <c r="AV172" s="248"/>
      <c r="AW172" s="248"/>
      <c r="AX172" s="248"/>
      <c r="AY172" s="248"/>
      <c r="AZ172" s="248"/>
      <c r="BA172" s="248"/>
    </row>
    <row r="173" spans="1:106" ht="15.75" hidden="1" customHeight="1">
      <c r="A173" s="325" t="s">
        <v>154</v>
      </c>
      <c r="B173" s="245">
        <f>N164</f>
        <v>0</v>
      </c>
      <c r="C173" s="654" t="s">
        <v>149</v>
      </c>
      <c r="D173" s="654"/>
      <c r="E173" s="685">
        <f>IF(ISERROR(B173/B172),"",B173/B172)</f>
        <v>0</v>
      </c>
      <c r="F173" s="685"/>
      <c r="G173" s="654" t="s">
        <v>158</v>
      </c>
      <c r="H173" s="654"/>
      <c r="I173" s="684">
        <f>V164</f>
        <v>0</v>
      </c>
      <c r="J173" s="684"/>
      <c r="K173" s="684" t="s">
        <v>156</v>
      </c>
      <c r="L173" s="684"/>
      <c r="M173" s="686">
        <f t="array" ref="M173">IF(ISERROR(I173/B171),"",I173/B171)</f>
        <v>0</v>
      </c>
      <c r="N173" s="686"/>
      <c r="O173" s="684"/>
      <c r="P173" s="654" t="s">
        <v>123</v>
      </c>
      <c r="Q173" s="654"/>
      <c r="R173" s="677">
        <f>SUM(R166:S172)</f>
        <v>0</v>
      </c>
      <c r="S173" s="677"/>
      <c r="T173" s="685">
        <f>SUM(T166:U172)</f>
        <v>0</v>
      </c>
      <c r="U173" s="685"/>
      <c r="V173" s="654" t="s">
        <v>123</v>
      </c>
      <c r="W173" s="654"/>
      <c r="X173" s="677">
        <f>SUM(X166:Y172)</f>
        <v>0</v>
      </c>
      <c r="Y173" s="677"/>
      <c r="Z173" s="685">
        <f>SUM(Z166:AA172)</f>
        <v>0</v>
      </c>
      <c r="AA173" s="685"/>
      <c r="AE173" s="14"/>
      <c r="AF173" s="14"/>
      <c r="AG173" s="251"/>
      <c r="AH173" s="251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248"/>
      <c r="AV173" s="248"/>
      <c r="AW173" s="248"/>
      <c r="AX173" s="248"/>
      <c r="AY173" s="248"/>
      <c r="AZ173" s="248"/>
      <c r="BA173" s="248"/>
    </row>
    <row r="174" spans="1:106" ht="15.75">
      <c r="A174" s="716" t="s">
        <v>128</v>
      </c>
      <c r="B174" s="716"/>
      <c r="C174" s="716"/>
      <c r="D174" s="716"/>
      <c r="E174" s="716"/>
      <c r="F174" s="716"/>
      <c r="G174" s="716"/>
      <c r="H174" s="716"/>
      <c r="I174" s="716"/>
      <c r="J174" s="724"/>
      <c r="K174" s="716"/>
      <c r="L174" s="716"/>
      <c r="M174" s="716"/>
      <c r="N174" s="716"/>
      <c r="O174" s="716"/>
      <c r="P174" s="716"/>
      <c r="Q174" s="716"/>
      <c r="R174" s="716"/>
      <c r="S174" s="716"/>
      <c r="T174" s="716"/>
      <c r="U174" s="716"/>
      <c r="V174" s="716"/>
      <c r="W174" s="716"/>
      <c r="X174" s="716"/>
      <c r="Y174" s="716"/>
      <c r="Z174" s="716"/>
      <c r="AA174" s="716"/>
      <c r="AB174" s="716"/>
      <c r="AC174" s="716"/>
      <c r="AD174" s="716"/>
      <c r="AE174" s="716"/>
      <c r="AF174" s="716"/>
      <c r="AG174" s="716"/>
      <c r="AH174" s="716"/>
      <c r="AI174" s="716"/>
      <c r="AJ174" s="716"/>
      <c r="AK174" s="716"/>
      <c r="AL174" s="716"/>
      <c r="AM174" s="716"/>
      <c r="AN174" s="716"/>
      <c r="AO174" s="716"/>
      <c r="AP174" s="716"/>
      <c r="AQ174" s="716"/>
      <c r="AR174" s="716"/>
      <c r="AS174" s="716"/>
      <c r="AT174" s="716"/>
      <c r="AU174" s="716"/>
      <c r="AV174" s="716"/>
      <c r="AW174" s="716"/>
      <c r="AX174" s="716"/>
      <c r="AY174" s="716"/>
      <c r="AZ174" s="716"/>
      <c r="BA174" s="716"/>
    </row>
    <row r="175" spans="1:106" ht="15.75">
      <c r="A175" s="726" t="s">
        <v>12</v>
      </c>
      <c r="B175" s="705" t="s">
        <v>25</v>
      </c>
      <c r="C175" s="705" t="s">
        <v>26</v>
      </c>
      <c r="D175" s="705" t="s">
        <v>27</v>
      </c>
      <c r="E175" s="717" t="s">
        <v>28</v>
      </c>
      <c r="F175" s="720" t="s">
        <v>29</v>
      </c>
      <c r="G175" s="684" t="s">
        <v>30</v>
      </c>
      <c r="H175" s="684"/>
      <c r="I175" s="705" t="s">
        <v>31</v>
      </c>
      <c r="J175" s="708" t="s">
        <v>32</v>
      </c>
      <c r="K175" s="711" t="s">
        <v>33</v>
      </c>
      <c r="L175" s="705" t="s">
        <v>34</v>
      </c>
      <c r="M175" s="714" t="s">
        <v>35</v>
      </c>
      <c r="N175" s="702" t="s">
        <v>36</v>
      </c>
      <c r="O175" s="684" t="s">
        <v>37</v>
      </c>
      <c r="P175" s="684"/>
      <c r="Q175" s="684"/>
      <c r="R175" s="684"/>
      <c r="S175" s="684"/>
      <c r="T175" s="684"/>
      <c r="U175" s="684"/>
      <c r="V175" s="703" t="s">
        <v>38</v>
      </c>
      <c r="W175" s="702" t="s">
        <v>39</v>
      </c>
      <c r="X175" s="684" t="s">
        <v>40</v>
      </c>
      <c r="Y175" s="684"/>
      <c r="Z175" s="684"/>
      <c r="AA175" s="684"/>
      <c r="AB175" s="729" t="s">
        <v>434</v>
      </c>
      <c r="AC175" s="731" t="s">
        <v>435</v>
      </c>
      <c r="AD175" s="21"/>
      <c r="AE175" s="21"/>
      <c r="AF175" s="21"/>
      <c r="AG175" s="21"/>
      <c r="AH175" s="21"/>
      <c r="AI175" s="704"/>
      <c r="AJ175" s="700"/>
      <c r="AK175" s="700"/>
      <c r="AL175" s="700"/>
      <c r="AM175" s="700"/>
      <c r="AN175" s="700"/>
      <c r="AO175" s="700"/>
      <c r="AP175" s="700"/>
      <c r="AQ175" s="700"/>
      <c r="AR175" s="700"/>
      <c r="AS175" s="700"/>
      <c r="AT175" s="700"/>
      <c r="AU175" s="700"/>
      <c r="AV175" s="700"/>
      <c r="AW175" s="700"/>
      <c r="AX175" s="700"/>
      <c r="AY175" s="700"/>
      <c r="AZ175" s="700"/>
      <c r="BA175" s="700"/>
    </row>
    <row r="176" spans="1:106" ht="15.75" customHeight="1">
      <c r="A176" s="727"/>
      <c r="B176" s="706"/>
      <c r="C176" s="706"/>
      <c r="D176" s="706"/>
      <c r="E176" s="718"/>
      <c r="F176" s="721"/>
      <c r="G176" s="684"/>
      <c r="H176" s="684"/>
      <c r="I176" s="706"/>
      <c r="J176" s="709"/>
      <c r="K176" s="712"/>
      <c r="L176" s="706"/>
      <c r="M176" s="715"/>
      <c r="N176" s="702"/>
      <c r="O176" s="684" t="s">
        <v>41</v>
      </c>
      <c r="P176" s="684" t="s">
        <v>42</v>
      </c>
      <c r="Q176" s="684" t="s">
        <v>43</v>
      </c>
      <c r="R176" s="701" t="s">
        <v>44</v>
      </c>
      <c r="S176" s="654" t="s">
        <v>45</v>
      </c>
      <c r="T176" s="684" t="s">
        <v>46</v>
      </c>
      <c r="U176" s="684" t="s">
        <v>47</v>
      </c>
      <c r="V176" s="703"/>
      <c r="W176" s="702"/>
      <c r="X176" s="684" t="s">
        <v>13</v>
      </c>
      <c r="Y176" s="684" t="s">
        <v>48</v>
      </c>
      <c r="Z176" s="684" t="s">
        <v>49</v>
      </c>
      <c r="AA176" s="684" t="s">
        <v>47</v>
      </c>
      <c r="AB176" s="730"/>
      <c r="AC176" s="731"/>
      <c r="AD176" s="21"/>
      <c r="AE176" s="21"/>
      <c r="AF176" s="21"/>
      <c r="AG176" s="21"/>
      <c r="AH176" s="21"/>
      <c r="AI176" s="704"/>
      <c r="AJ176" s="700"/>
      <c r="AK176" s="700"/>
      <c r="AL176" s="700"/>
      <c r="AM176" s="700"/>
      <c r="AN176" s="700"/>
      <c r="AO176" s="700"/>
      <c r="AP176" s="700"/>
      <c r="AQ176" s="700"/>
      <c r="AR176" s="700"/>
      <c r="AS176" s="723"/>
      <c r="AT176" s="723"/>
      <c r="AU176" s="723"/>
      <c r="AV176" s="723"/>
      <c r="AW176" s="723"/>
      <c r="AX176" s="723"/>
      <c r="AY176" s="723"/>
      <c r="AZ176" s="723"/>
      <c r="BA176" s="723"/>
    </row>
    <row r="177" spans="1:53" ht="15.75" customHeight="1">
      <c r="A177" s="728"/>
      <c r="B177" s="707"/>
      <c r="C177" s="707"/>
      <c r="D177" s="707"/>
      <c r="E177" s="719"/>
      <c r="F177" s="722"/>
      <c r="G177" s="242" t="s">
        <v>515</v>
      </c>
      <c r="H177" s="242" t="s">
        <v>51</v>
      </c>
      <c r="I177" s="707"/>
      <c r="J177" s="710"/>
      <c r="K177" s="713"/>
      <c r="L177" s="707"/>
      <c r="M177" s="715"/>
      <c r="N177" s="702"/>
      <c r="O177" s="684"/>
      <c r="P177" s="684"/>
      <c r="Q177" s="684"/>
      <c r="R177" s="701"/>
      <c r="S177" s="654"/>
      <c r="T177" s="684"/>
      <c r="U177" s="684"/>
      <c r="V177" s="703"/>
      <c r="W177" s="702"/>
      <c r="X177" s="684"/>
      <c r="Y177" s="684"/>
      <c r="Z177" s="684"/>
      <c r="AA177" s="684"/>
      <c r="AB177" s="730"/>
      <c r="AC177" s="731"/>
      <c r="AD177" s="21"/>
      <c r="AE177" s="21"/>
      <c r="AF177" s="21"/>
      <c r="AG177" s="21"/>
      <c r="AH177" s="21"/>
      <c r="AI177" s="704"/>
      <c r="AJ177" s="700"/>
      <c r="AK177" s="700"/>
      <c r="AL177" s="248"/>
      <c r="AM177" s="248"/>
      <c r="AN177" s="248"/>
      <c r="AO177" s="248"/>
      <c r="AP177" s="248"/>
      <c r="AQ177" s="248"/>
      <c r="AR177" s="248"/>
      <c r="AS177" s="21"/>
      <c r="AT177" s="21"/>
      <c r="AU177" s="21"/>
      <c r="AV177" s="249"/>
      <c r="AW177" s="248"/>
      <c r="AX177" s="248"/>
      <c r="AY177" s="248"/>
      <c r="AZ177" s="248"/>
      <c r="BA177" s="248"/>
    </row>
    <row r="178" spans="1:53" ht="15.75">
      <c r="A178" s="315">
        <v>30100030</v>
      </c>
      <c r="B178" s="82" t="s">
        <v>52</v>
      </c>
      <c r="C178" s="81" t="s">
        <v>53</v>
      </c>
      <c r="D178" s="80">
        <v>5.03</v>
      </c>
      <c r="E178" s="80"/>
      <c r="F178" s="83"/>
      <c r="G178" s="93">
        <f>SUM('1:2'!G178)</f>
        <v>0</v>
      </c>
      <c r="H178" s="95">
        <f t="shared" ref="H178:H183" si="61">D178*G178</f>
        <v>0</v>
      </c>
      <c r="I178" s="93">
        <f>SUM('1:2'!I178)</f>
        <v>0</v>
      </c>
      <c r="J178" s="31" t="str">
        <f t="array" ref="J178">IF(ISERROR(G178/I178),"",G178/I178)</f>
        <v/>
      </c>
      <c r="K178" s="96">
        <f t="array" ref="K178">IF(ISERROR(G178/L178),"",G178/L178)</f>
        <v>0</v>
      </c>
      <c r="L178" s="84">
        <v>16</v>
      </c>
      <c r="M178" s="97">
        <f t="shared" ref="M178:M189" si="62">IF(ISERROR(I178-K178),"",I178-K178)</f>
        <v>0</v>
      </c>
      <c r="N178" s="93">
        <f>SUM('1:2'!N178)</f>
        <v>0</v>
      </c>
      <c r="O178" s="93">
        <f>SUM('1:2'!O178)</f>
        <v>0</v>
      </c>
      <c r="P178" s="93">
        <f>SUM('1:2'!P178)</f>
        <v>0</v>
      </c>
      <c r="Q178" s="93">
        <f>SUM('1:2'!Q178)</f>
        <v>0</v>
      </c>
      <c r="R178" s="93">
        <f>SUM('1:2'!R178)</f>
        <v>0</v>
      </c>
      <c r="S178" s="93">
        <f>SUM('1:2'!S178)</f>
        <v>0</v>
      </c>
      <c r="T178" s="93">
        <f>SUM('1:2'!T178)</f>
        <v>0</v>
      </c>
      <c r="U178" s="93">
        <f>SUM('1:2'!U178)</f>
        <v>0</v>
      </c>
      <c r="V178" s="206">
        <f t="shared" ref="V178:V189" si="63">SUM(X178:AA178)</f>
        <v>0</v>
      </c>
      <c r="W178" s="33" t="str">
        <f t="shared" ref="W178:W189" si="64">IF(ISERROR(V178/G178),"",V178/G178)</f>
        <v/>
      </c>
      <c r="X178" s="93">
        <f>SUM('1:2'!X178)</f>
        <v>0</v>
      </c>
      <c r="Y178" s="93">
        <f>SUM('1:2'!Y178)</f>
        <v>0</v>
      </c>
      <c r="Z178" s="93">
        <f>SUM('1:2'!Z178)</f>
        <v>0</v>
      </c>
      <c r="AA178" s="93">
        <f>SUM('1:2'!AA178)</f>
        <v>0</v>
      </c>
      <c r="AB178" s="371">
        <v>0.65</v>
      </c>
      <c r="AC178" s="269">
        <f>AB178*G178</f>
        <v>0</v>
      </c>
      <c r="AD178" s="251"/>
      <c r="AE178" s="54"/>
      <c r="AF178" s="54"/>
      <c r="AG178" s="54"/>
      <c r="AH178" s="54"/>
      <c r="AI178" s="57"/>
      <c r="AJ178" s="57"/>
      <c r="AK178" s="57"/>
      <c r="AL178" s="250"/>
      <c r="AM178" s="54"/>
      <c r="AN178" s="250"/>
      <c r="AO178" s="250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</row>
    <row r="179" spans="1:53" ht="17.25">
      <c r="A179" s="316"/>
      <c r="B179" s="62" t="s">
        <v>54</v>
      </c>
      <c r="C179" s="16" t="s">
        <v>53</v>
      </c>
      <c r="D179" s="17">
        <v>5.03</v>
      </c>
      <c r="E179" s="17"/>
      <c r="F179" s="6"/>
      <c r="G179" s="93">
        <f>SUM('1:2'!G179)</f>
        <v>0</v>
      </c>
      <c r="H179" s="95">
        <f t="shared" si="61"/>
        <v>0</v>
      </c>
      <c r="I179" s="93">
        <f>SUM('1:2'!I179)</f>
        <v>0</v>
      </c>
      <c r="J179" s="31" t="str">
        <f t="array" ref="J179">IF(ISERROR(G179/I179),"",G179/I179)</f>
        <v/>
      </c>
      <c r="K179" s="35">
        <f t="array" ref="K179">IF(ISERROR(G179/L179),"",G179/L179)</f>
        <v>0</v>
      </c>
      <c r="L179" s="87">
        <v>19</v>
      </c>
      <c r="M179" s="36">
        <f t="shared" si="62"/>
        <v>0</v>
      </c>
      <c r="N179" s="93">
        <f>SUM('1:2'!N179)</f>
        <v>0</v>
      </c>
      <c r="O179" s="93">
        <f>SUM('1:2'!O179)</f>
        <v>0</v>
      </c>
      <c r="P179" s="93">
        <f>SUM('1:2'!P179)</f>
        <v>0</v>
      </c>
      <c r="Q179" s="93">
        <f>SUM('1:2'!Q179)</f>
        <v>0</v>
      </c>
      <c r="R179" s="93">
        <f>SUM('1:2'!R179)</f>
        <v>0</v>
      </c>
      <c r="S179" s="93">
        <f>SUM('1:2'!S179)</f>
        <v>0</v>
      </c>
      <c r="T179" s="93">
        <f>SUM('1:2'!T179)</f>
        <v>0</v>
      </c>
      <c r="U179" s="93">
        <f>SUM('1:2'!U179)</f>
        <v>0</v>
      </c>
      <c r="V179" s="206">
        <f t="shared" si="63"/>
        <v>0</v>
      </c>
      <c r="W179" s="33" t="str">
        <f t="shared" si="64"/>
        <v/>
      </c>
      <c r="X179" s="93">
        <f>SUM('1:2'!X179)</f>
        <v>0</v>
      </c>
      <c r="Y179" s="93">
        <f>SUM('1:2'!Y179)</f>
        <v>0</v>
      </c>
      <c r="Z179" s="93">
        <f>SUM('1:2'!Z179)</f>
        <v>0</v>
      </c>
      <c r="AA179" s="93">
        <f>SUM('1:2'!AA179)</f>
        <v>0</v>
      </c>
      <c r="AB179" s="358">
        <v>0.48</v>
      </c>
      <c r="AC179" s="269">
        <f t="shared" ref="AC179:AC198" si="65">AB179*G179</f>
        <v>0</v>
      </c>
      <c r="AD179" s="251"/>
      <c r="AE179" s="54"/>
      <c r="AF179" s="54"/>
      <c r="AG179" s="54"/>
      <c r="AH179" s="54"/>
      <c r="AI179" s="57"/>
      <c r="AJ179" s="57"/>
      <c r="AK179" s="57"/>
      <c r="AL179" s="54"/>
      <c r="AM179" s="54"/>
      <c r="AN179" s="250"/>
      <c r="AO179" s="54"/>
      <c r="AP179" s="250"/>
      <c r="AQ179" s="54"/>
      <c r="AR179" s="54"/>
      <c r="AS179" s="250"/>
      <c r="AT179" s="250"/>
      <c r="AU179" s="250"/>
      <c r="AV179" s="250"/>
      <c r="AW179" s="55"/>
      <c r="AX179" s="54"/>
      <c r="AY179" s="54"/>
      <c r="AZ179" s="54"/>
      <c r="BA179" s="54"/>
    </row>
    <row r="180" spans="1:53" ht="17.25">
      <c r="A180" s="317"/>
      <c r="B180" s="62" t="s">
        <v>54</v>
      </c>
      <c r="C180" s="16" t="s">
        <v>55</v>
      </c>
      <c r="D180" s="17">
        <v>5.03</v>
      </c>
      <c r="E180" s="17"/>
      <c r="F180" s="6"/>
      <c r="G180" s="93">
        <f>SUM('1:2'!G180)</f>
        <v>0</v>
      </c>
      <c r="H180" s="95">
        <f t="shared" si="61"/>
        <v>0</v>
      </c>
      <c r="I180" s="93">
        <f>SUM('1:2'!I180)</f>
        <v>0</v>
      </c>
      <c r="J180" s="31" t="str">
        <f t="array" ref="J180">IF(ISERROR(G180/I180),"",G180/I180)</f>
        <v/>
      </c>
      <c r="K180" s="35">
        <f t="array" ref="K180">IF(ISERROR(G180/L180),"",G180/L180)</f>
        <v>0</v>
      </c>
      <c r="L180" s="87">
        <v>19</v>
      </c>
      <c r="M180" s="36">
        <f t="shared" si="62"/>
        <v>0</v>
      </c>
      <c r="N180" s="93">
        <f>SUM('1:2'!N180)</f>
        <v>0</v>
      </c>
      <c r="O180" s="93">
        <f>SUM('1:2'!O180)</f>
        <v>0</v>
      </c>
      <c r="P180" s="93">
        <f>SUM('1:2'!P180)</f>
        <v>0</v>
      </c>
      <c r="Q180" s="93">
        <f>SUM('1:2'!Q180)</f>
        <v>0</v>
      </c>
      <c r="R180" s="93">
        <f>SUM('1:2'!R180)</f>
        <v>0</v>
      </c>
      <c r="S180" s="93">
        <f>SUM('1:2'!S180)</f>
        <v>0</v>
      </c>
      <c r="T180" s="93">
        <f>SUM('1:2'!T180)</f>
        <v>0</v>
      </c>
      <c r="U180" s="93">
        <f>SUM('1:2'!U180)</f>
        <v>0</v>
      </c>
      <c r="V180" s="206">
        <f t="shared" si="63"/>
        <v>0</v>
      </c>
      <c r="W180" s="33" t="str">
        <f t="shared" si="64"/>
        <v/>
      </c>
      <c r="X180" s="93">
        <f>SUM('1:2'!X180)</f>
        <v>0</v>
      </c>
      <c r="Y180" s="93">
        <f>SUM('1:2'!Y180)</f>
        <v>0</v>
      </c>
      <c r="Z180" s="93">
        <f>SUM('1:2'!Z180)</f>
        <v>0</v>
      </c>
      <c r="AA180" s="93">
        <f>SUM('1:2'!AA180)</f>
        <v>0</v>
      </c>
      <c r="AB180" s="358">
        <v>0.43</v>
      </c>
      <c r="AC180" s="269">
        <f t="shared" si="65"/>
        <v>0</v>
      </c>
      <c r="AD180" s="251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250"/>
      <c r="AP180" s="54"/>
      <c r="AQ180" s="54"/>
      <c r="AR180" s="54"/>
      <c r="AS180" s="56"/>
      <c r="AT180" s="56"/>
      <c r="AU180" s="56"/>
      <c r="AV180" s="54"/>
      <c r="AW180" s="54"/>
      <c r="AX180" s="54"/>
      <c r="AY180" s="54"/>
      <c r="AZ180" s="54"/>
      <c r="BA180" s="54"/>
    </row>
    <row r="181" spans="1:53" ht="15.75">
      <c r="A181" s="315">
        <v>30100048</v>
      </c>
      <c r="B181" s="62" t="s">
        <v>56</v>
      </c>
      <c r="C181" s="16" t="s">
        <v>53</v>
      </c>
      <c r="D181" s="17">
        <v>5.03</v>
      </c>
      <c r="E181" s="17"/>
      <c r="F181" s="6"/>
      <c r="G181" s="93">
        <f>SUM('1:2'!G181)</f>
        <v>211</v>
      </c>
      <c r="H181" s="95">
        <f t="shared" si="61"/>
        <v>1061.3300000000002</v>
      </c>
      <c r="I181" s="93">
        <f>SUM('1:2'!I181)</f>
        <v>22.05</v>
      </c>
      <c r="J181" s="31">
        <f t="array" ref="J181">IF(ISERROR(G181/I181),"",G181/I181)</f>
        <v>9.5691609977324266</v>
      </c>
      <c r="K181" s="35">
        <f t="array" ref="K181">IF(ISERROR(G181/L181),"",G181/L181)</f>
        <v>11.105263157894736</v>
      </c>
      <c r="L181" s="87">
        <v>19</v>
      </c>
      <c r="M181" s="36">
        <f t="shared" si="62"/>
        <v>10.944736842105264</v>
      </c>
      <c r="N181" s="93">
        <f>SUM('1:2'!N181)</f>
        <v>0</v>
      </c>
      <c r="O181" s="93">
        <f>SUM('1:2'!O181)</f>
        <v>0</v>
      </c>
      <c r="P181" s="93">
        <f>SUM('1:2'!P181)</f>
        <v>0</v>
      </c>
      <c r="Q181" s="93">
        <f>SUM('1:2'!Q181)</f>
        <v>0</v>
      </c>
      <c r="R181" s="93">
        <f>SUM('1:2'!R181)</f>
        <v>0</v>
      </c>
      <c r="S181" s="93">
        <f>SUM('1:2'!S181)</f>
        <v>0</v>
      </c>
      <c r="T181" s="93">
        <f>SUM('1:2'!T181)</f>
        <v>0</v>
      </c>
      <c r="U181" s="93">
        <f>SUM('1:2'!U181)</f>
        <v>0</v>
      </c>
      <c r="V181" s="206">
        <f t="shared" si="63"/>
        <v>0</v>
      </c>
      <c r="W181" s="33">
        <f t="shared" si="64"/>
        <v>0</v>
      </c>
      <c r="X181" s="93">
        <f>SUM('1:2'!X181)</f>
        <v>0</v>
      </c>
      <c r="Y181" s="93">
        <f>SUM('1:2'!Y181)</f>
        <v>0</v>
      </c>
      <c r="Z181" s="93">
        <f>SUM('1:2'!Z181)</f>
        <v>0</v>
      </c>
      <c r="AA181" s="93">
        <f>SUM('1:2'!AA181)</f>
        <v>0</v>
      </c>
      <c r="AB181" s="358">
        <v>0.55000000000000004</v>
      </c>
      <c r="AC181" s="269">
        <f t="shared" si="65"/>
        <v>116.05000000000001</v>
      </c>
      <c r="AD181" s="251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5"/>
      <c r="AW181" s="55"/>
      <c r="AX181" s="55"/>
      <c r="AY181" s="54"/>
      <c r="AZ181" s="54"/>
      <c r="BA181" s="54"/>
    </row>
    <row r="182" spans="1:53" ht="15.75">
      <c r="A182" s="315">
        <v>30100047</v>
      </c>
      <c r="B182" s="62" t="s">
        <v>56</v>
      </c>
      <c r="C182" s="16" t="s">
        <v>57</v>
      </c>
      <c r="D182" s="17">
        <v>5.03</v>
      </c>
      <c r="E182" s="17"/>
      <c r="F182" s="6"/>
      <c r="G182" s="93">
        <f>SUM('1:2'!G182)</f>
        <v>785</v>
      </c>
      <c r="H182" s="95">
        <f t="shared" si="61"/>
        <v>3948.55</v>
      </c>
      <c r="I182" s="93">
        <f>SUM('1:2'!I182)</f>
        <v>52</v>
      </c>
      <c r="J182" s="31">
        <f t="array" ref="J182">IF(ISERROR(G182/I182),"",G182/I182)</f>
        <v>15.096153846153847</v>
      </c>
      <c r="K182" s="35">
        <f t="array" ref="K182">IF(ISERROR(G182/L182),"",G182/L182)</f>
        <v>39.25</v>
      </c>
      <c r="L182" s="87">
        <v>20</v>
      </c>
      <c r="M182" s="36">
        <f t="shared" si="62"/>
        <v>12.75</v>
      </c>
      <c r="N182" s="93">
        <f>SUM('1:2'!N182)</f>
        <v>0</v>
      </c>
      <c r="O182" s="93">
        <f>SUM('1:2'!O182)</f>
        <v>0</v>
      </c>
      <c r="P182" s="93">
        <f>SUM('1:2'!P182)</f>
        <v>0</v>
      </c>
      <c r="Q182" s="93">
        <f>SUM('1:2'!Q182)</f>
        <v>0</v>
      </c>
      <c r="R182" s="93">
        <f>SUM('1:2'!R182)</f>
        <v>0</v>
      </c>
      <c r="S182" s="93">
        <f>SUM('1:2'!S182)</f>
        <v>0</v>
      </c>
      <c r="T182" s="93">
        <f>SUM('1:2'!T182)</f>
        <v>0</v>
      </c>
      <c r="U182" s="93">
        <f>SUM('1:2'!U182)</f>
        <v>0</v>
      </c>
      <c r="V182" s="206">
        <f t="shared" si="63"/>
        <v>0</v>
      </c>
      <c r="W182" s="33">
        <f t="shared" si="64"/>
        <v>0</v>
      </c>
      <c r="X182" s="93">
        <f>SUM('1:2'!X182)</f>
        <v>0</v>
      </c>
      <c r="Y182" s="93">
        <f>SUM('1:2'!Y182)</f>
        <v>0</v>
      </c>
      <c r="Z182" s="93">
        <f>SUM('1:2'!Z182)</f>
        <v>0</v>
      </c>
      <c r="AA182" s="93">
        <f>SUM('1:2'!AA182)</f>
        <v>0</v>
      </c>
      <c r="AB182" s="358">
        <v>0.52</v>
      </c>
      <c r="AC182" s="269">
        <f t="shared" si="65"/>
        <v>408.2</v>
      </c>
      <c r="AD182" s="251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 ht="15.75">
      <c r="A183" s="315">
        <v>30100052</v>
      </c>
      <c r="B183" s="62" t="s">
        <v>58</v>
      </c>
      <c r="C183" s="16" t="s">
        <v>53</v>
      </c>
      <c r="D183" s="17">
        <v>5.04</v>
      </c>
      <c r="E183" s="17"/>
      <c r="F183" s="6"/>
      <c r="G183" s="93">
        <f>SUM('1:2'!G183)</f>
        <v>0</v>
      </c>
      <c r="H183" s="95">
        <f t="shared" si="61"/>
        <v>0</v>
      </c>
      <c r="I183" s="93">
        <f>SUM('1:2'!I183)</f>
        <v>0</v>
      </c>
      <c r="J183" s="31" t="str">
        <f t="array" ref="J183">IF(ISERROR(G183/I183),"",G183/I183)</f>
        <v/>
      </c>
      <c r="K183" s="35">
        <f t="array" ref="K183">IF(ISERROR(G183/L183),"",G183/L183)</f>
        <v>0</v>
      </c>
      <c r="L183" s="87">
        <v>19</v>
      </c>
      <c r="M183" s="36">
        <f t="shared" si="62"/>
        <v>0</v>
      </c>
      <c r="N183" s="93">
        <f>SUM('1:2'!N183)</f>
        <v>0</v>
      </c>
      <c r="O183" s="93">
        <f>SUM('1:2'!O183)</f>
        <v>0</v>
      </c>
      <c r="P183" s="93">
        <f>SUM('1:2'!P183)</f>
        <v>0</v>
      </c>
      <c r="Q183" s="93">
        <f>SUM('1:2'!Q183)</f>
        <v>0</v>
      </c>
      <c r="R183" s="93">
        <f>SUM('1:2'!R183)</f>
        <v>0</v>
      </c>
      <c r="S183" s="93">
        <f>SUM('1:2'!S183)</f>
        <v>0</v>
      </c>
      <c r="T183" s="93">
        <f>SUM('1:2'!T183)</f>
        <v>0</v>
      </c>
      <c r="U183" s="93">
        <f>SUM('1:2'!U183)</f>
        <v>0</v>
      </c>
      <c r="V183" s="206">
        <f t="shared" si="63"/>
        <v>0</v>
      </c>
      <c r="W183" s="33" t="str">
        <f t="shared" si="64"/>
        <v/>
      </c>
      <c r="X183" s="93">
        <f>SUM('1:2'!X183)</f>
        <v>0</v>
      </c>
      <c r="Y183" s="93">
        <f>SUM('1:2'!Y183)</f>
        <v>0</v>
      </c>
      <c r="Z183" s="93">
        <f>SUM('1:2'!Z183)</f>
        <v>0</v>
      </c>
      <c r="AA183" s="93">
        <f>SUM('1:2'!AA183)</f>
        <v>0</v>
      </c>
      <c r="AB183" s="358">
        <v>0.55000000000000004</v>
      </c>
      <c r="AC183" s="269">
        <f t="shared" si="65"/>
        <v>0</v>
      </c>
      <c r="AD183" s="251"/>
      <c r="AE183" s="54"/>
      <c r="AF183" s="54"/>
      <c r="AG183" s="54"/>
      <c r="AH183" s="54"/>
      <c r="AI183" s="57"/>
      <c r="AJ183" s="57"/>
      <c r="AK183" s="57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 ht="15.75">
      <c r="A184" s="332">
        <v>30100059</v>
      </c>
      <c r="B184" s="62" t="s">
        <v>59</v>
      </c>
      <c r="C184" s="16" t="s">
        <v>60</v>
      </c>
      <c r="D184" s="17">
        <v>5.03</v>
      </c>
      <c r="E184" s="17"/>
      <c r="F184" s="6"/>
      <c r="G184" s="93">
        <f>SUM('1:2'!G184)</f>
        <v>0</v>
      </c>
      <c r="H184" s="95">
        <f>D184*G184</f>
        <v>0</v>
      </c>
      <c r="I184" s="93">
        <f>SUM('1:2'!I184)</f>
        <v>0</v>
      </c>
      <c r="J184" s="31" t="str">
        <f t="array" ref="J184">IF(ISERROR(G184/I184),"",G184/I184)</f>
        <v/>
      </c>
      <c r="K184" s="35">
        <f t="array" ref="K184">IF(ISERROR(G184/L184),"",G184/L184)</f>
        <v>0</v>
      </c>
      <c r="L184" s="87">
        <v>3</v>
      </c>
      <c r="M184" s="36">
        <f t="shared" si="62"/>
        <v>0</v>
      </c>
      <c r="N184" s="93">
        <f>SUM('1:2'!N184)</f>
        <v>0</v>
      </c>
      <c r="O184" s="93">
        <f>SUM('1:2'!O184)</f>
        <v>0</v>
      </c>
      <c r="P184" s="93">
        <f>SUM('1:2'!P184)</f>
        <v>0</v>
      </c>
      <c r="Q184" s="93">
        <f>SUM('1:2'!Q184)</f>
        <v>0</v>
      </c>
      <c r="R184" s="93">
        <f>SUM('1:2'!R184)</f>
        <v>0</v>
      </c>
      <c r="S184" s="93">
        <f>SUM('1:2'!S184)</f>
        <v>0</v>
      </c>
      <c r="T184" s="93">
        <f>SUM('1:2'!T184)</f>
        <v>0</v>
      </c>
      <c r="U184" s="93">
        <f>SUM('1:2'!U184)</f>
        <v>0</v>
      </c>
      <c r="V184" s="206">
        <f t="shared" si="63"/>
        <v>0</v>
      </c>
      <c r="W184" s="33" t="str">
        <f t="shared" si="64"/>
        <v/>
      </c>
      <c r="X184" s="93">
        <f>SUM('1:2'!X184)</f>
        <v>0</v>
      </c>
      <c r="Y184" s="93">
        <f>SUM('1:2'!Y184)</f>
        <v>0</v>
      </c>
      <c r="Z184" s="93">
        <f>SUM('1:2'!Z184)</f>
        <v>0</v>
      </c>
      <c r="AA184" s="93">
        <f>SUM('1:2'!AA184)</f>
        <v>0</v>
      </c>
      <c r="AB184" s="358">
        <v>0.45</v>
      </c>
      <c r="AC184" s="269">
        <f t="shared" si="65"/>
        <v>0</v>
      </c>
      <c r="AD184" s="251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 ht="15.75">
      <c r="A185" s="302">
        <v>30100060</v>
      </c>
      <c r="B185" s="62" t="s">
        <v>59</v>
      </c>
      <c r="C185" s="16" t="s">
        <v>61</v>
      </c>
      <c r="D185" s="17">
        <v>5.03</v>
      </c>
      <c r="E185" s="17"/>
      <c r="F185" s="6"/>
      <c r="G185" s="93">
        <f>SUM('1:2'!G185)</f>
        <v>0</v>
      </c>
      <c r="H185" s="95">
        <f t="shared" ref="H185:H198" si="66">D185*G185</f>
        <v>0</v>
      </c>
      <c r="I185" s="93">
        <f>SUM('1:2'!I185)</f>
        <v>0</v>
      </c>
      <c r="J185" s="31" t="str">
        <f t="array" ref="J185">IF(ISERROR(G185/I185),"",G185/I185)</f>
        <v/>
      </c>
      <c r="K185" s="35">
        <f t="array" ref="K185">IF(ISERROR(G185/L185),"",G185/L185)</f>
        <v>0</v>
      </c>
      <c r="L185" s="87">
        <v>3</v>
      </c>
      <c r="M185" s="36">
        <f t="shared" si="62"/>
        <v>0</v>
      </c>
      <c r="N185" s="93">
        <f>SUM('1:2'!N185)</f>
        <v>0</v>
      </c>
      <c r="O185" s="93">
        <f>SUM('1:2'!O185)</f>
        <v>0</v>
      </c>
      <c r="P185" s="93">
        <f>SUM('1:2'!P185)</f>
        <v>0</v>
      </c>
      <c r="Q185" s="93">
        <f>SUM('1:2'!Q185)</f>
        <v>0</v>
      </c>
      <c r="R185" s="93">
        <f>SUM('1:2'!R185)</f>
        <v>0</v>
      </c>
      <c r="S185" s="93">
        <f>SUM('1:2'!S185)</f>
        <v>0</v>
      </c>
      <c r="T185" s="93">
        <f>SUM('1:2'!T185)</f>
        <v>0</v>
      </c>
      <c r="U185" s="93">
        <f>SUM('1:2'!U185)</f>
        <v>0</v>
      </c>
      <c r="V185" s="206">
        <f t="shared" si="63"/>
        <v>0</v>
      </c>
      <c r="W185" s="33" t="str">
        <f t="shared" si="64"/>
        <v/>
      </c>
      <c r="X185" s="93">
        <f>SUM('1:2'!X185)</f>
        <v>0</v>
      </c>
      <c r="Y185" s="93">
        <f>SUM('1:2'!Y185)</f>
        <v>0</v>
      </c>
      <c r="Z185" s="93">
        <f>SUM('1:2'!Z185)</f>
        <v>0</v>
      </c>
      <c r="AA185" s="93">
        <f>SUM('1:2'!AA185)</f>
        <v>0</v>
      </c>
      <c r="AB185" s="358">
        <v>0.45</v>
      </c>
      <c r="AC185" s="269">
        <f t="shared" si="65"/>
        <v>0</v>
      </c>
      <c r="AD185" s="251"/>
      <c r="AE185" s="54"/>
      <c r="AF185" s="54"/>
      <c r="AG185" s="54"/>
      <c r="AH185" s="54"/>
      <c r="AI185" s="57"/>
      <c r="AJ185" s="57"/>
      <c r="AK185" s="57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 ht="17.25">
      <c r="A186" s="316">
        <v>30200006</v>
      </c>
      <c r="B186" s="62" t="s">
        <v>62</v>
      </c>
      <c r="C186" s="16" t="s">
        <v>63</v>
      </c>
      <c r="D186" s="17">
        <v>5.04</v>
      </c>
      <c r="E186" s="17"/>
      <c r="F186" s="79"/>
      <c r="G186" s="93">
        <f>SUM('1:2'!G186)</f>
        <v>0</v>
      </c>
      <c r="H186" s="95">
        <f t="shared" si="66"/>
        <v>0</v>
      </c>
      <c r="I186" s="93">
        <f>SUM('1:2'!I186)</f>
        <v>0</v>
      </c>
      <c r="J186" s="31" t="str">
        <f t="array" ref="J186">IF(ISERROR(G186/I186),"",G186/I186)</f>
        <v/>
      </c>
      <c r="K186" s="35">
        <f t="array" ref="K186">IF(ISERROR(G186/L186),"",G186/L186)</f>
        <v>0</v>
      </c>
      <c r="L186" s="87">
        <v>17</v>
      </c>
      <c r="M186" s="36">
        <f t="shared" si="62"/>
        <v>0</v>
      </c>
      <c r="N186" s="93">
        <f>SUM('1:2'!N186)</f>
        <v>0</v>
      </c>
      <c r="O186" s="93">
        <f>SUM('1:2'!O186)</f>
        <v>0</v>
      </c>
      <c r="P186" s="93">
        <f>SUM('1:2'!P186)</f>
        <v>0</v>
      </c>
      <c r="Q186" s="93">
        <f>SUM('1:2'!Q186)</f>
        <v>0</v>
      </c>
      <c r="R186" s="93">
        <f>SUM('1:2'!R186)</f>
        <v>0</v>
      </c>
      <c r="S186" s="93">
        <f>SUM('1:2'!S186)</f>
        <v>0</v>
      </c>
      <c r="T186" s="93">
        <f>SUM('1:2'!T186)</f>
        <v>0</v>
      </c>
      <c r="U186" s="93">
        <f>SUM('1:2'!U186)</f>
        <v>0</v>
      </c>
      <c r="V186" s="206">
        <f t="shared" si="63"/>
        <v>0</v>
      </c>
      <c r="W186" s="33" t="str">
        <f t="shared" si="64"/>
        <v/>
      </c>
      <c r="X186" s="93">
        <f>SUM('1:2'!X186)</f>
        <v>0</v>
      </c>
      <c r="Y186" s="93">
        <f>SUM('1:2'!Y186)</f>
        <v>0</v>
      </c>
      <c r="Z186" s="93">
        <f>SUM('1:2'!Z186)</f>
        <v>0</v>
      </c>
      <c r="AA186" s="93">
        <f>SUM('1:2'!AA186)</f>
        <v>0</v>
      </c>
      <c r="AB186" s="358">
        <v>0.61</v>
      </c>
      <c r="AC186" s="269">
        <f t="shared" si="65"/>
        <v>0</v>
      </c>
      <c r="AD186" s="251"/>
      <c r="AE186" s="54"/>
      <c r="AF186" s="54"/>
      <c r="AG186" s="54"/>
      <c r="AH186" s="54"/>
      <c r="AI186" s="57"/>
      <c r="AJ186" s="57"/>
      <c r="AK186" s="57"/>
      <c r="AL186" s="250"/>
      <c r="AM186" s="54"/>
      <c r="AN186" s="54"/>
      <c r="AO186" s="54"/>
      <c r="AP186" s="250"/>
      <c r="AQ186" s="250"/>
      <c r="AR186" s="250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 ht="17.25">
      <c r="A187" s="316">
        <v>30200005</v>
      </c>
      <c r="B187" s="62" t="s">
        <v>62</v>
      </c>
      <c r="C187" s="16" t="s">
        <v>64</v>
      </c>
      <c r="D187" s="17">
        <v>5.04</v>
      </c>
      <c r="E187" s="17"/>
      <c r="F187" s="79"/>
      <c r="G187" s="93">
        <f>SUM('1:2'!G187)</f>
        <v>563</v>
      </c>
      <c r="H187" s="95">
        <f t="shared" si="66"/>
        <v>2837.52</v>
      </c>
      <c r="I187" s="93">
        <f>SUM('1:2'!I187)</f>
        <v>37.5</v>
      </c>
      <c r="J187" s="31">
        <f t="array" ref="J187">IF(ISERROR(G187/I187),"",G187/I187)</f>
        <v>15.013333333333334</v>
      </c>
      <c r="K187" s="35">
        <f t="array" ref="K187">IF(ISERROR(G187/L187),"",G187/L187)</f>
        <v>33.117647058823529</v>
      </c>
      <c r="L187" s="87">
        <v>17</v>
      </c>
      <c r="M187" s="36">
        <f t="shared" si="62"/>
        <v>4.382352941176471</v>
      </c>
      <c r="N187" s="93">
        <f>SUM('1:2'!N187)</f>
        <v>0</v>
      </c>
      <c r="O187" s="93">
        <f>SUM('1:2'!O187)</f>
        <v>0</v>
      </c>
      <c r="P187" s="93">
        <f>SUM('1:2'!P187)</f>
        <v>0</v>
      </c>
      <c r="Q187" s="93">
        <f>SUM('1:2'!Q187)</f>
        <v>0</v>
      </c>
      <c r="R187" s="93">
        <f>SUM('1:2'!R187)</f>
        <v>0</v>
      </c>
      <c r="S187" s="93">
        <f>SUM('1:2'!S187)</f>
        <v>0</v>
      </c>
      <c r="T187" s="93">
        <f>SUM('1:2'!T187)</f>
        <v>0</v>
      </c>
      <c r="U187" s="93">
        <f>SUM('1:2'!U187)</f>
        <v>0</v>
      </c>
      <c r="V187" s="206">
        <f t="shared" si="63"/>
        <v>0</v>
      </c>
      <c r="W187" s="33">
        <f t="shared" si="64"/>
        <v>0</v>
      </c>
      <c r="X187" s="93">
        <f>SUM('1:2'!X187)</f>
        <v>0</v>
      </c>
      <c r="Y187" s="93">
        <f>SUM('1:2'!Y187)</f>
        <v>0</v>
      </c>
      <c r="Z187" s="93">
        <f>SUM('1:2'!Z187)</f>
        <v>0</v>
      </c>
      <c r="AA187" s="93">
        <f>SUM('1:2'!AA187)</f>
        <v>0</v>
      </c>
      <c r="AB187" s="358">
        <v>0.61</v>
      </c>
      <c r="AC187" s="269">
        <f t="shared" si="65"/>
        <v>343.43</v>
      </c>
      <c r="AD187" s="251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 ht="17.25">
      <c r="A188" s="318">
        <v>30100063</v>
      </c>
      <c r="B188" s="202" t="s">
        <v>171</v>
      </c>
      <c r="C188" s="16" t="s">
        <v>379</v>
      </c>
      <c r="D188" s="108"/>
      <c r="E188" s="17"/>
      <c r="F188" s="6"/>
      <c r="G188" s="93">
        <f>SUM('1:2'!G188)</f>
        <v>0</v>
      </c>
      <c r="H188" s="95">
        <f t="shared" si="66"/>
        <v>0</v>
      </c>
      <c r="I188" s="93">
        <f>SUM('1:2'!I188)</f>
        <v>0</v>
      </c>
      <c r="J188" s="31" t="str">
        <f t="array" ref="J188">IF(ISERROR(G188/I188),"",G188/I188)</f>
        <v/>
      </c>
      <c r="K188" s="35">
        <f t="array" ref="K188">IF(ISERROR(G188/L188),"",G188/L188)</f>
        <v>0</v>
      </c>
      <c r="L188" s="87">
        <v>17</v>
      </c>
      <c r="M188" s="36">
        <f t="shared" si="62"/>
        <v>0</v>
      </c>
      <c r="N188" s="93">
        <f>SUM('1:2'!N188)</f>
        <v>0</v>
      </c>
      <c r="O188" s="93">
        <f>SUM('1:2'!O188)</f>
        <v>0</v>
      </c>
      <c r="P188" s="93">
        <f>SUM('1:2'!P188)</f>
        <v>0</v>
      </c>
      <c r="Q188" s="93">
        <f>SUM('1:2'!Q188)</f>
        <v>0</v>
      </c>
      <c r="R188" s="93">
        <f>SUM('1:2'!R188)</f>
        <v>0</v>
      </c>
      <c r="S188" s="93">
        <f>SUM('1:2'!S188)</f>
        <v>0</v>
      </c>
      <c r="T188" s="93">
        <f>SUM('1:2'!T188)</f>
        <v>0</v>
      </c>
      <c r="U188" s="93">
        <f>SUM('1:2'!U188)</f>
        <v>0</v>
      </c>
      <c r="V188" s="206">
        <f t="shared" si="63"/>
        <v>0</v>
      </c>
      <c r="W188" s="33" t="str">
        <f t="shared" si="64"/>
        <v/>
      </c>
      <c r="X188" s="93">
        <f>SUM('1:2'!X188)</f>
        <v>0</v>
      </c>
      <c r="Y188" s="93">
        <f>SUM('1:2'!Y188)</f>
        <v>0</v>
      </c>
      <c r="Z188" s="93">
        <f>SUM('1:2'!Z188)</f>
        <v>0</v>
      </c>
      <c r="AA188" s="93">
        <f>SUM('1:2'!AA188)</f>
        <v>0</v>
      </c>
      <c r="AB188" s="358">
        <v>0.43</v>
      </c>
      <c r="AC188" s="269">
        <f t="shared" si="65"/>
        <v>0</v>
      </c>
      <c r="AD188" s="251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 ht="15.75">
      <c r="A189" s="302">
        <v>30100061</v>
      </c>
      <c r="B189" s="202" t="s">
        <v>171</v>
      </c>
      <c r="C189" s="16" t="s">
        <v>173</v>
      </c>
      <c r="D189" s="108"/>
      <c r="E189" s="17"/>
      <c r="F189" s="6"/>
      <c r="G189" s="93">
        <f>SUM('1:2'!G189)</f>
        <v>0</v>
      </c>
      <c r="H189" s="95">
        <f t="shared" si="66"/>
        <v>0</v>
      </c>
      <c r="I189" s="93">
        <f>SUM('1:2'!I189)</f>
        <v>0</v>
      </c>
      <c r="J189" s="31" t="str">
        <f t="array" ref="J189">IF(ISERROR(G189/I189),"",G189/I189)</f>
        <v/>
      </c>
      <c r="K189" s="35">
        <f t="array" ref="K189">IF(ISERROR(G189/L189),"",G189/L189)</f>
        <v>0</v>
      </c>
      <c r="L189" s="87">
        <v>17</v>
      </c>
      <c r="M189" s="36">
        <f t="shared" si="62"/>
        <v>0</v>
      </c>
      <c r="N189" s="93">
        <f>SUM('1:2'!N189)</f>
        <v>0</v>
      </c>
      <c r="O189" s="93">
        <f>SUM('1:2'!O189)</f>
        <v>0</v>
      </c>
      <c r="P189" s="93">
        <f>SUM('1:2'!P189)</f>
        <v>0</v>
      </c>
      <c r="Q189" s="93">
        <f>SUM('1:2'!Q189)</f>
        <v>0</v>
      </c>
      <c r="R189" s="93">
        <f>SUM('1:2'!R189)</f>
        <v>0</v>
      </c>
      <c r="S189" s="93">
        <f>SUM('1:2'!S189)</f>
        <v>0</v>
      </c>
      <c r="T189" s="93">
        <f>SUM('1:2'!T189)</f>
        <v>0</v>
      </c>
      <c r="U189" s="93">
        <f>SUM('1:2'!U189)</f>
        <v>0</v>
      </c>
      <c r="V189" s="206">
        <f t="shared" si="63"/>
        <v>0</v>
      </c>
      <c r="W189" s="33" t="str">
        <f t="shared" si="64"/>
        <v/>
      </c>
      <c r="X189" s="93">
        <f>SUM('1:2'!X189)</f>
        <v>0</v>
      </c>
      <c r="Y189" s="93">
        <f>SUM('1:2'!Y189)</f>
        <v>0</v>
      </c>
      <c r="Z189" s="93">
        <f>SUM('1:2'!Z189)</f>
        <v>0</v>
      </c>
      <c r="AA189" s="93">
        <f>SUM('1:2'!AA189)</f>
        <v>0</v>
      </c>
      <c r="AB189" s="358">
        <v>0.43</v>
      </c>
      <c r="AC189" s="269">
        <f t="shared" si="65"/>
        <v>0</v>
      </c>
      <c r="AD189" s="251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 ht="17.25">
      <c r="A190" s="316">
        <v>30200001</v>
      </c>
      <c r="B190" s="202" t="s">
        <v>67</v>
      </c>
      <c r="C190" s="16" t="s">
        <v>63</v>
      </c>
      <c r="D190" s="108">
        <v>5.0599999999999996</v>
      </c>
      <c r="E190" s="17"/>
      <c r="F190" s="6"/>
      <c r="G190" s="93">
        <f>SUM('1:2'!G190)</f>
        <v>793</v>
      </c>
      <c r="H190" s="95">
        <f t="shared" si="66"/>
        <v>4012.5799999999995</v>
      </c>
      <c r="I190" s="93">
        <f>SUM('1:2'!I190)</f>
        <v>61.5</v>
      </c>
      <c r="J190" s="31">
        <f t="array" ref="J190">IF(ISERROR(G190/I190),"",G190/I190)</f>
        <v>12.894308943089431</v>
      </c>
      <c r="K190" s="35">
        <f t="array" ref="K190">IF(ISERROR(G190/L190),"",G190/L190)</f>
        <v>41.736842105263158</v>
      </c>
      <c r="L190" s="87">
        <v>19</v>
      </c>
      <c r="M190" s="36">
        <f>IF(ISERROR(I190-K190),"",I190-K190)</f>
        <v>19.763157894736842</v>
      </c>
      <c r="N190" s="93">
        <f>SUM('1:2'!N190)</f>
        <v>0</v>
      </c>
      <c r="O190" s="93">
        <f>SUM('1:2'!O190)</f>
        <v>0</v>
      </c>
      <c r="P190" s="93">
        <f>SUM('1:2'!P190)</f>
        <v>0</v>
      </c>
      <c r="Q190" s="93">
        <f>SUM('1:2'!Q190)</f>
        <v>0</v>
      </c>
      <c r="R190" s="93">
        <f>SUM('1:2'!R190)</f>
        <v>0</v>
      </c>
      <c r="S190" s="93">
        <f>SUM('1:2'!S190)</f>
        <v>0</v>
      </c>
      <c r="T190" s="93">
        <f>SUM('1:2'!T190)</f>
        <v>0</v>
      </c>
      <c r="U190" s="93">
        <f>SUM('1:2'!U190)</f>
        <v>0</v>
      </c>
      <c r="V190" s="206">
        <f>SUM(X190:AA190)</f>
        <v>0</v>
      </c>
      <c r="W190" s="33">
        <f>IF(ISERROR(V190/G190),"",V190/G190)</f>
        <v>0</v>
      </c>
      <c r="X190" s="93">
        <f>SUM('1:2'!X190)</f>
        <v>0</v>
      </c>
      <c r="Y190" s="93">
        <f>SUM('1:2'!Y190)</f>
        <v>0</v>
      </c>
      <c r="Z190" s="93">
        <f>SUM('1:2'!Z190)</f>
        <v>0</v>
      </c>
      <c r="AA190" s="93">
        <f>SUM('1:2'!AA190)</f>
        <v>0</v>
      </c>
      <c r="AB190" s="358">
        <v>0.55000000000000004</v>
      </c>
      <c r="AC190" s="269">
        <f t="shared" si="65"/>
        <v>436.15000000000003</v>
      </c>
      <c r="AD190" s="251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 ht="17.25">
      <c r="A191" s="316">
        <v>30200002</v>
      </c>
      <c r="B191" s="62" t="s">
        <v>68</v>
      </c>
      <c r="C191" s="16" t="s">
        <v>63</v>
      </c>
      <c r="D191" s="17">
        <v>5.09</v>
      </c>
      <c r="E191" s="17"/>
      <c r="F191" s="6"/>
      <c r="G191" s="93">
        <f>SUM('1:2'!G191)</f>
        <v>1183</v>
      </c>
      <c r="H191" s="95">
        <f t="shared" si="66"/>
        <v>6021.47</v>
      </c>
      <c r="I191" s="93">
        <f>SUM('1:2'!I191)</f>
        <v>57.5</v>
      </c>
      <c r="J191" s="31">
        <f t="array" ref="J191">IF(ISERROR(G191/I191),"",G191/I191)</f>
        <v>20.57391304347826</v>
      </c>
      <c r="K191" s="35">
        <f t="array" ref="K191">IF(ISERROR(G191/L191),"",G191/L191)</f>
        <v>51.434782608695649</v>
      </c>
      <c r="L191" s="87">
        <v>23</v>
      </c>
      <c r="M191" s="36">
        <f t="shared" ref="M191:M194" si="67">IF(ISERROR(I191-K191),"",I191-K191)</f>
        <v>6.0652173913043512</v>
      </c>
      <c r="N191" s="93">
        <f>SUM('1:2'!N191)</f>
        <v>0</v>
      </c>
      <c r="O191" s="93">
        <f>SUM('1:2'!O191)</f>
        <v>0</v>
      </c>
      <c r="P191" s="93">
        <f>SUM('1:2'!P191)</f>
        <v>0</v>
      </c>
      <c r="Q191" s="93">
        <f>SUM('1:2'!Q191)</f>
        <v>0</v>
      </c>
      <c r="R191" s="93">
        <f>SUM('1:2'!R191)</f>
        <v>0</v>
      </c>
      <c r="S191" s="93">
        <f>SUM('1:2'!S191)</f>
        <v>0</v>
      </c>
      <c r="T191" s="93">
        <f>SUM('1:2'!T191)</f>
        <v>0</v>
      </c>
      <c r="U191" s="93">
        <f>SUM('1:2'!U191)</f>
        <v>0</v>
      </c>
      <c r="V191" s="206">
        <f t="shared" ref="V191:V194" si="68">SUM(X191:AA191)</f>
        <v>0</v>
      </c>
      <c r="W191" s="33">
        <f t="shared" ref="W191:W194" si="69">IF(ISERROR(V191/G191),"",V191/G191)</f>
        <v>0</v>
      </c>
      <c r="X191" s="93">
        <f>SUM('1:2'!X191)</f>
        <v>0</v>
      </c>
      <c r="Y191" s="93">
        <f>SUM('1:2'!Y191)</f>
        <v>0</v>
      </c>
      <c r="Z191" s="93">
        <f>SUM('1:2'!Z191)</f>
        <v>0</v>
      </c>
      <c r="AA191" s="93">
        <f>SUM('1:2'!AA191)</f>
        <v>0</v>
      </c>
      <c r="AB191" s="358">
        <v>0.45</v>
      </c>
      <c r="AC191" s="269">
        <f t="shared" si="65"/>
        <v>532.35</v>
      </c>
      <c r="AD191" s="251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 ht="17.25">
      <c r="A192" s="316">
        <v>30200003</v>
      </c>
      <c r="B192" s="62" t="s">
        <v>68</v>
      </c>
      <c r="C192" s="16" t="s">
        <v>64</v>
      </c>
      <c r="D192" s="17">
        <v>5.09</v>
      </c>
      <c r="E192" s="17"/>
      <c r="F192" s="6"/>
      <c r="G192" s="93">
        <f>SUM('1:2'!G192)</f>
        <v>1100</v>
      </c>
      <c r="H192" s="95">
        <f t="shared" si="66"/>
        <v>5599</v>
      </c>
      <c r="I192" s="93">
        <f>SUM('1:2'!I192)</f>
        <v>62.5</v>
      </c>
      <c r="J192" s="31">
        <f t="array" ref="J192">IF(ISERROR(G192/I192),"",G192/I192)</f>
        <v>17.600000000000001</v>
      </c>
      <c r="K192" s="35">
        <f t="array" ref="K192">IF(ISERROR(G192/L192),"",G192/L192)</f>
        <v>47.826086956521742</v>
      </c>
      <c r="L192" s="87">
        <v>23</v>
      </c>
      <c r="M192" s="36">
        <f t="shared" si="67"/>
        <v>14.673913043478258</v>
      </c>
      <c r="N192" s="93">
        <f>SUM('1:2'!N192)</f>
        <v>0</v>
      </c>
      <c r="O192" s="93">
        <f>SUM('1:2'!O192)</f>
        <v>0</v>
      </c>
      <c r="P192" s="93">
        <f>SUM('1:2'!P192)</f>
        <v>0</v>
      </c>
      <c r="Q192" s="93">
        <f>SUM('1:2'!Q192)</f>
        <v>0</v>
      </c>
      <c r="R192" s="93">
        <f>SUM('1:2'!R192)</f>
        <v>0</v>
      </c>
      <c r="S192" s="93">
        <f>SUM('1:2'!S192)</f>
        <v>0</v>
      </c>
      <c r="T192" s="93">
        <f>SUM('1:2'!T192)</f>
        <v>0</v>
      </c>
      <c r="U192" s="93">
        <f>SUM('1:2'!U192)</f>
        <v>0</v>
      </c>
      <c r="V192" s="206">
        <f t="shared" si="68"/>
        <v>0</v>
      </c>
      <c r="W192" s="33">
        <f t="shared" si="69"/>
        <v>0</v>
      </c>
      <c r="X192" s="93">
        <f>SUM('1:2'!X192)</f>
        <v>0</v>
      </c>
      <c r="Y192" s="93">
        <f>SUM('1:2'!Y192)</f>
        <v>0</v>
      </c>
      <c r="Z192" s="93">
        <f>SUM('1:2'!Z192)</f>
        <v>0</v>
      </c>
      <c r="AA192" s="93">
        <f>SUM('1:2'!AA192)</f>
        <v>0</v>
      </c>
      <c r="AB192" s="358">
        <v>0.45</v>
      </c>
      <c r="AC192" s="269">
        <f t="shared" si="65"/>
        <v>495</v>
      </c>
      <c r="AD192" s="251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 ht="17.25">
      <c r="A193" s="316">
        <v>30100003</v>
      </c>
      <c r="B193" s="141" t="s">
        <v>198</v>
      </c>
      <c r="C193" s="241" t="s">
        <v>190</v>
      </c>
      <c r="D193" s="108">
        <v>4.8</v>
      </c>
      <c r="E193" s="17"/>
      <c r="F193" s="6"/>
      <c r="G193" s="93">
        <f>SUM('1:2'!G193)</f>
        <v>0</v>
      </c>
      <c r="H193" s="95">
        <f t="shared" si="66"/>
        <v>0</v>
      </c>
      <c r="I193" s="93">
        <f>SUM('1:2'!I193)</f>
        <v>0</v>
      </c>
      <c r="J193" s="31" t="str">
        <f t="array" ref="J193">IF(ISERROR(G193/I193),"",G193/I193)</f>
        <v/>
      </c>
      <c r="K193" s="35">
        <f t="array" ref="K193">IF(ISERROR(G193/L193),"",G193/L193)</f>
        <v>0</v>
      </c>
      <c r="L193" s="87">
        <v>4</v>
      </c>
      <c r="M193" s="36">
        <f t="shared" si="67"/>
        <v>0</v>
      </c>
      <c r="N193" s="93">
        <f>SUM('1:2'!N193)</f>
        <v>0</v>
      </c>
      <c r="O193" s="93">
        <f>SUM('1:2'!O193)</f>
        <v>0</v>
      </c>
      <c r="P193" s="93">
        <f>SUM('1:2'!P193)</f>
        <v>0</v>
      </c>
      <c r="Q193" s="93">
        <f>SUM('1:2'!Q193)</f>
        <v>0</v>
      </c>
      <c r="R193" s="93">
        <f>SUM('1:2'!R193)</f>
        <v>0</v>
      </c>
      <c r="S193" s="93">
        <f>SUM('1:2'!S193)</f>
        <v>0</v>
      </c>
      <c r="T193" s="93">
        <f>SUM('1:2'!T193)</f>
        <v>0</v>
      </c>
      <c r="U193" s="93">
        <f>SUM('1:2'!U193)</f>
        <v>0</v>
      </c>
      <c r="V193" s="206">
        <f t="shared" si="68"/>
        <v>0</v>
      </c>
      <c r="W193" s="33" t="str">
        <f t="shared" si="69"/>
        <v/>
      </c>
      <c r="X193" s="93">
        <f>SUM('1:2'!X193)</f>
        <v>0</v>
      </c>
      <c r="Y193" s="93">
        <f>SUM('1:2'!Y193)</f>
        <v>0</v>
      </c>
      <c r="Z193" s="93">
        <f>SUM('1:2'!Z193)</f>
        <v>0</v>
      </c>
      <c r="AA193" s="93">
        <f>SUM('1:2'!AA193)</f>
        <v>0</v>
      </c>
      <c r="AB193" s="358">
        <v>0.95</v>
      </c>
      <c r="AC193" s="269">
        <f t="shared" si="65"/>
        <v>0</v>
      </c>
      <c r="AD193" s="251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 ht="17.25">
      <c r="A194" s="316">
        <v>30100004</v>
      </c>
      <c r="B194" s="141" t="s">
        <v>198</v>
      </c>
      <c r="C194" s="241" t="s">
        <v>187</v>
      </c>
      <c r="D194" s="108">
        <v>4.8</v>
      </c>
      <c r="E194" s="17"/>
      <c r="F194" s="13"/>
      <c r="G194" s="93">
        <f>SUM('1:2'!G194)</f>
        <v>0</v>
      </c>
      <c r="H194" s="95">
        <f t="shared" si="66"/>
        <v>0</v>
      </c>
      <c r="I194" s="93">
        <f>SUM('1:2'!I194)</f>
        <v>0</v>
      </c>
      <c r="J194" s="31" t="str">
        <f t="array" ref="J194">IF(ISERROR(G194/I194),"",G194/I194)</f>
        <v/>
      </c>
      <c r="K194" s="35">
        <f t="array" ref="K194">IF(ISERROR(G194/L194),"",G194/L194)</f>
        <v>0</v>
      </c>
      <c r="L194" s="87">
        <v>4</v>
      </c>
      <c r="M194" s="36">
        <f t="shared" si="67"/>
        <v>0</v>
      </c>
      <c r="N194" s="93">
        <f>SUM('1:2'!N194)</f>
        <v>0</v>
      </c>
      <c r="O194" s="93">
        <f>SUM('1:2'!O194)</f>
        <v>0</v>
      </c>
      <c r="P194" s="93">
        <f>SUM('1:2'!P194)</f>
        <v>0</v>
      </c>
      <c r="Q194" s="93">
        <f>SUM('1:2'!Q194)</f>
        <v>0</v>
      </c>
      <c r="R194" s="93">
        <f>SUM('1:2'!R194)</f>
        <v>0</v>
      </c>
      <c r="S194" s="93">
        <f>SUM('1:2'!S194)</f>
        <v>0</v>
      </c>
      <c r="T194" s="93">
        <f>SUM('1:2'!T194)</f>
        <v>0</v>
      </c>
      <c r="U194" s="93">
        <f>SUM('1:2'!U194)</f>
        <v>0</v>
      </c>
      <c r="V194" s="206">
        <f t="shared" si="68"/>
        <v>0</v>
      </c>
      <c r="W194" s="33" t="str">
        <f t="shared" si="69"/>
        <v/>
      </c>
      <c r="X194" s="93">
        <f>SUM('1:2'!X194)</f>
        <v>0</v>
      </c>
      <c r="Y194" s="93">
        <f>SUM('1:2'!Y194)</f>
        <v>0</v>
      </c>
      <c r="Z194" s="93">
        <f>SUM('1:2'!Z194)</f>
        <v>0</v>
      </c>
      <c r="AA194" s="93">
        <f>SUM('1:2'!AA194)</f>
        <v>0</v>
      </c>
      <c r="AB194" s="358">
        <v>0.95</v>
      </c>
      <c r="AC194" s="269">
        <f t="shared" si="65"/>
        <v>0</v>
      </c>
      <c r="AD194" s="251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 ht="17.25">
      <c r="A195" s="316">
        <v>30100006</v>
      </c>
      <c r="B195" s="141" t="s">
        <v>198</v>
      </c>
      <c r="C195" s="241" t="s">
        <v>179</v>
      </c>
      <c r="D195" s="108">
        <v>4.8</v>
      </c>
      <c r="E195" s="17"/>
      <c r="F195" s="13"/>
      <c r="G195" s="93">
        <f>SUM('1:2'!G195)</f>
        <v>0</v>
      </c>
      <c r="H195" s="95">
        <f t="shared" si="66"/>
        <v>0</v>
      </c>
      <c r="I195" s="93">
        <f>SUM('1:2'!I195)</f>
        <v>0</v>
      </c>
      <c r="J195" s="31"/>
      <c r="K195" s="35">
        <f t="array" ref="K195">IF(ISERROR(G195/L195),"",G195/L195)</f>
        <v>0</v>
      </c>
      <c r="L195" s="87">
        <v>4</v>
      </c>
      <c r="M195" s="36">
        <f>IF(ISERROR(I195-K195),"",I195-K195)</f>
        <v>0</v>
      </c>
      <c r="N195" s="93">
        <f>SUM('1:2'!N195)</f>
        <v>0</v>
      </c>
      <c r="O195" s="93">
        <f>SUM('1:2'!O195)</f>
        <v>0</v>
      </c>
      <c r="P195" s="93">
        <f>SUM('1:2'!P195)</f>
        <v>0</v>
      </c>
      <c r="Q195" s="93">
        <f>SUM('1:2'!Q195)</f>
        <v>0</v>
      </c>
      <c r="R195" s="93">
        <f>SUM('1:2'!R195)</f>
        <v>0</v>
      </c>
      <c r="S195" s="93">
        <f>SUM('1:2'!S195)</f>
        <v>0</v>
      </c>
      <c r="T195" s="93">
        <f>SUM('1:2'!T195)</f>
        <v>0</v>
      </c>
      <c r="U195" s="93">
        <f>SUM('1:2'!U195)</f>
        <v>0</v>
      </c>
      <c r="V195" s="206"/>
      <c r="W195" s="33"/>
      <c r="X195" s="93">
        <f>SUM('1:2'!X195)</f>
        <v>0</v>
      </c>
      <c r="Y195" s="93">
        <f>SUM('1:2'!Y195)</f>
        <v>0</v>
      </c>
      <c r="Z195" s="93">
        <f>SUM('1:2'!Z195)</f>
        <v>0</v>
      </c>
      <c r="AA195" s="93">
        <f>SUM('1:2'!AA195)</f>
        <v>0</v>
      </c>
      <c r="AB195" s="358">
        <v>0.95</v>
      </c>
      <c r="AC195" s="269">
        <f t="shared" si="65"/>
        <v>0</v>
      </c>
      <c r="AD195" s="251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 ht="17.25">
      <c r="A196" s="316">
        <v>30100005</v>
      </c>
      <c r="B196" s="141" t="s">
        <v>198</v>
      </c>
      <c r="C196" s="241" t="s">
        <v>199</v>
      </c>
      <c r="D196" s="108">
        <v>4.8</v>
      </c>
      <c r="E196" s="17"/>
      <c r="F196" s="13"/>
      <c r="G196" s="93">
        <f>SUM('1:2'!G196)</f>
        <v>0</v>
      </c>
      <c r="H196" s="95">
        <f t="shared" si="66"/>
        <v>0</v>
      </c>
      <c r="I196" s="93">
        <f>SUM('1:2'!I196)</f>
        <v>0</v>
      </c>
      <c r="J196" s="31"/>
      <c r="K196" s="35">
        <f t="array" ref="K196">IF(ISERROR(G196/L196),"",G196/L196)</f>
        <v>0</v>
      </c>
      <c r="L196" s="87">
        <v>4</v>
      </c>
      <c r="M196" s="36">
        <f>IF(ISERROR(I196-K196),"",I196-K196)</f>
        <v>0</v>
      </c>
      <c r="N196" s="93">
        <f>SUM('1:2'!N196)</f>
        <v>0</v>
      </c>
      <c r="O196" s="93">
        <f>SUM('1:2'!O196)</f>
        <v>0</v>
      </c>
      <c r="P196" s="93">
        <f>SUM('1:2'!P196)</f>
        <v>0</v>
      </c>
      <c r="Q196" s="93">
        <f>SUM('1:2'!Q196)</f>
        <v>0</v>
      </c>
      <c r="R196" s="93">
        <f>SUM('1:2'!R196)</f>
        <v>0</v>
      </c>
      <c r="S196" s="93">
        <f>SUM('1:2'!S196)</f>
        <v>0</v>
      </c>
      <c r="T196" s="93">
        <f>SUM('1:2'!T196)</f>
        <v>0</v>
      </c>
      <c r="U196" s="93">
        <f>SUM('1:2'!U196)</f>
        <v>0</v>
      </c>
      <c r="V196" s="206"/>
      <c r="W196" s="33"/>
      <c r="X196" s="93">
        <f>SUM('1:2'!X196)</f>
        <v>0</v>
      </c>
      <c r="Y196" s="93">
        <f>SUM('1:2'!Y196)</f>
        <v>0</v>
      </c>
      <c r="Z196" s="93">
        <f>SUM('1:2'!Z196)</f>
        <v>0</v>
      </c>
      <c r="AA196" s="93">
        <f>SUM('1:2'!AA196)</f>
        <v>0</v>
      </c>
      <c r="AB196" s="358">
        <v>0.95</v>
      </c>
      <c r="AC196" s="269">
        <f t="shared" si="65"/>
        <v>0</v>
      </c>
      <c r="AD196" s="251"/>
      <c r="AE196" s="54"/>
      <c r="AF196" s="54"/>
      <c r="AG196" s="54"/>
      <c r="AH196" s="54"/>
      <c r="AI196" s="57"/>
      <c r="AJ196" s="57"/>
      <c r="AK196" s="57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</row>
    <row r="197" spans="1:53" ht="17.25">
      <c r="A197" s="316">
        <v>30100009</v>
      </c>
      <c r="B197" s="141" t="s">
        <v>200</v>
      </c>
      <c r="C197" s="126" t="s">
        <v>190</v>
      </c>
      <c r="D197" s="108">
        <v>4.99</v>
      </c>
      <c r="E197" s="17"/>
      <c r="F197" s="13"/>
      <c r="G197" s="93">
        <f>SUM('1:2'!G197)</f>
        <v>37</v>
      </c>
      <c r="H197" s="95">
        <f t="shared" si="66"/>
        <v>184.63</v>
      </c>
      <c r="I197" s="93">
        <f>SUM('1:2'!I197)</f>
        <v>0.5</v>
      </c>
      <c r="J197" s="31"/>
      <c r="K197" s="35">
        <f t="array" ref="K197">IF(ISERROR(G197/L197),"",G197/L197)</f>
        <v>1.574468085106383</v>
      </c>
      <c r="L197" s="87">
        <v>23.5</v>
      </c>
      <c r="M197" s="36">
        <f>IF(ISERROR(I197-K197),"",I197-K197)</f>
        <v>-1.074468085106383</v>
      </c>
      <c r="N197" s="93">
        <f>SUM('1:2'!N197)</f>
        <v>0</v>
      </c>
      <c r="O197" s="93">
        <f>SUM('1:2'!O197)</f>
        <v>0</v>
      </c>
      <c r="P197" s="93">
        <f>SUM('1:2'!P197)</f>
        <v>0</v>
      </c>
      <c r="Q197" s="93">
        <f>SUM('1:2'!Q197)</f>
        <v>0</v>
      </c>
      <c r="R197" s="93">
        <f>SUM('1:2'!R197)</f>
        <v>0</v>
      </c>
      <c r="S197" s="93">
        <f>SUM('1:2'!S197)</f>
        <v>0</v>
      </c>
      <c r="T197" s="93">
        <f>SUM('1:2'!T197)</f>
        <v>0</v>
      </c>
      <c r="U197" s="93">
        <f>SUM('1:2'!U197)</f>
        <v>0</v>
      </c>
      <c r="V197" s="206"/>
      <c r="W197" s="33"/>
      <c r="X197" s="93">
        <f>SUM('1:2'!X197)</f>
        <v>0</v>
      </c>
      <c r="Y197" s="93">
        <f>SUM('1:2'!Y197)</f>
        <v>0</v>
      </c>
      <c r="Z197" s="93">
        <f>SUM('1:2'!Z197)</f>
        <v>0</v>
      </c>
      <c r="AA197" s="93">
        <f>SUM('1:2'!AA197)</f>
        <v>0</v>
      </c>
      <c r="AB197" s="358">
        <v>0.44</v>
      </c>
      <c r="AC197" s="269">
        <f t="shared" si="65"/>
        <v>16.28</v>
      </c>
      <c r="AD197" s="251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 ht="15.75">
      <c r="A198" s="299">
        <v>30200004</v>
      </c>
      <c r="B198" s="141" t="s">
        <v>200</v>
      </c>
      <c r="C198" s="126" t="s">
        <v>189</v>
      </c>
      <c r="D198" s="108">
        <v>4.99</v>
      </c>
      <c r="E198" s="17"/>
      <c r="F198" s="13"/>
      <c r="G198" s="93">
        <f>SUM('1:2'!G198)</f>
        <v>0</v>
      </c>
      <c r="H198" s="95">
        <f t="shared" si="66"/>
        <v>0</v>
      </c>
      <c r="I198" s="93">
        <f>SUM('1:2'!I198)</f>
        <v>0</v>
      </c>
      <c r="J198" s="31"/>
      <c r="K198" s="35">
        <f t="array" ref="K198">IF(ISERROR(G198/L198),"",G198/L198)</f>
        <v>0</v>
      </c>
      <c r="L198" s="87">
        <v>23.5</v>
      </c>
      <c r="M198" s="36">
        <f>IF(ISERROR(I198-K198),"",I198-K198)</f>
        <v>0</v>
      </c>
      <c r="N198" s="93">
        <f>SUM('1:2'!N198)</f>
        <v>0</v>
      </c>
      <c r="O198" s="93">
        <f>SUM('1:2'!O198)</f>
        <v>0</v>
      </c>
      <c r="P198" s="93">
        <f>SUM('1:2'!P198)</f>
        <v>0</v>
      </c>
      <c r="Q198" s="93">
        <f>SUM('1:2'!Q198)</f>
        <v>0</v>
      </c>
      <c r="R198" s="93">
        <f>SUM('1:2'!R198)</f>
        <v>0</v>
      </c>
      <c r="S198" s="93">
        <f>SUM('1:2'!S198)</f>
        <v>0</v>
      </c>
      <c r="T198" s="93">
        <f>SUM('1:2'!T198)</f>
        <v>0</v>
      </c>
      <c r="U198" s="93">
        <f>SUM('1:2'!U198)</f>
        <v>0</v>
      </c>
      <c r="V198" s="206"/>
      <c r="W198" s="33"/>
      <c r="X198" s="93">
        <f>SUM('1:2'!X198)</f>
        <v>0</v>
      </c>
      <c r="Y198" s="93">
        <f>SUM('1:2'!Y198)</f>
        <v>0</v>
      </c>
      <c r="Z198" s="93">
        <f>SUM('1:2'!Z198)</f>
        <v>0</v>
      </c>
      <c r="AA198" s="93">
        <f>SUM('1:2'!AA198)</f>
        <v>0</v>
      </c>
      <c r="AB198" s="358">
        <v>0.44</v>
      </c>
      <c r="AC198" s="269">
        <f t="shared" si="65"/>
        <v>0</v>
      </c>
      <c r="AD198" s="251"/>
      <c r="AE198" s="54"/>
      <c r="AF198" s="54"/>
      <c r="AG198" s="54"/>
      <c r="AH198" s="54"/>
      <c r="AI198" s="57"/>
      <c r="AJ198" s="57"/>
      <c r="AK198" s="57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</row>
    <row r="199" spans="1:53" ht="15.75">
      <c r="A199" s="697" t="s">
        <v>70</v>
      </c>
      <c r="B199" s="698"/>
      <c r="C199" s="31" t="s">
        <v>71</v>
      </c>
      <c r="D199" s="30"/>
      <c r="E199" s="30"/>
      <c r="F199" s="30"/>
      <c r="G199" s="94">
        <f>SUM(G178:G198)</f>
        <v>4672</v>
      </c>
      <c r="H199" s="30">
        <f>SUM(H178:H198)</f>
        <v>23665.08</v>
      </c>
      <c r="I199" s="30">
        <f>SUM(I178:I198)</f>
        <v>293.55</v>
      </c>
      <c r="J199" s="31">
        <f t="array" ref="J199">IF(ISERROR(G199/I199),"",G199/I199)</f>
        <v>15.915516947709078</v>
      </c>
      <c r="K199" s="30">
        <f>SUM(K178:K198)</f>
        <v>226.04508997230522</v>
      </c>
      <c r="L199" s="98"/>
      <c r="M199" s="89">
        <f t="shared" ref="M199:AA199" si="70">SUM(M178:M198)</f>
        <v>67.504910027694791</v>
      </c>
      <c r="N199" s="30">
        <f t="shared" si="70"/>
        <v>0</v>
      </c>
      <c r="O199" s="34">
        <f t="shared" si="70"/>
        <v>0</v>
      </c>
      <c r="P199" s="34">
        <f t="shared" si="70"/>
        <v>0</v>
      </c>
      <c r="Q199" s="34">
        <f t="shared" si="70"/>
        <v>0</v>
      </c>
      <c r="R199" s="34">
        <f t="shared" si="70"/>
        <v>0</v>
      </c>
      <c r="S199" s="34">
        <f t="shared" si="70"/>
        <v>0</v>
      </c>
      <c r="T199" s="34">
        <f t="shared" si="70"/>
        <v>0</v>
      </c>
      <c r="U199" s="34">
        <f t="shared" si="70"/>
        <v>0</v>
      </c>
      <c r="V199" s="206">
        <f t="shared" si="70"/>
        <v>0</v>
      </c>
      <c r="W199" s="33">
        <f t="shared" si="70"/>
        <v>0</v>
      </c>
      <c r="X199" s="92">
        <f t="shared" si="70"/>
        <v>0</v>
      </c>
      <c r="Y199" s="92">
        <f t="shared" si="70"/>
        <v>0</v>
      </c>
      <c r="Z199" s="92">
        <f t="shared" si="70"/>
        <v>0</v>
      </c>
      <c r="AA199" s="92">
        <f t="shared" si="70"/>
        <v>0</v>
      </c>
      <c r="AB199" s="87"/>
      <c r="AC199" s="91">
        <f>SUM(AC178:AC198)</f>
        <v>2347.4600000000005</v>
      </c>
      <c r="AD199" s="58"/>
      <c r="AE199" s="70"/>
      <c r="AF199" s="70"/>
      <c r="AG199" s="70"/>
      <c r="AH199" s="70"/>
      <c r="AI199" s="58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  <c r="AU199" s="58"/>
      <c r="AV199" s="58"/>
      <c r="AW199" s="58"/>
      <c r="AX199" s="58"/>
      <c r="AY199" s="58"/>
      <c r="AZ199" s="58"/>
      <c r="BA199" s="58"/>
    </row>
    <row r="200" spans="1:53" ht="17.25">
      <c r="A200" s="316">
        <v>30100012</v>
      </c>
      <c r="B200" s="61" t="s">
        <v>76</v>
      </c>
      <c r="C200" s="16" t="s">
        <v>73</v>
      </c>
      <c r="D200" s="17">
        <v>5.03</v>
      </c>
      <c r="E200" s="17"/>
      <c r="F200" s="6"/>
      <c r="G200" s="93">
        <f>SUM('1:2'!G200)</f>
        <v>0</v>
      </c>
      <c r="H200" s="246">
        <f t="shared" ref="H200:H256" si="71">D200*G200</f>
        <v>0</v>
      </c>
      <c r="I200" s="93">
        <f>SUM('1:2'!I200)</f>
        <v>0</v>
      </c>
      <c r="J200" s="31" t="str">
        <f t="array" ref="J200">IF(ISERROR(G200/I200),"",G200/I200)</f>
        <v/>
      </c>
      <c r="K200" s="35">
        <f t="array" ref="K200">IF(ISERROR(G200/L200),"",G200/L200)</f>
        <v>0</v>
      </c>
      <c r="L200" s="87">
        <v>52</v>
      </c>
      <c r="M200" s="36">
        <f t="shared" ref="M200" si="72">IF(ISERROR(I200-K200),"",I200-K200)</f>
        <v>0</v>
      </c>
      <c r="N200" s="93">
        <f>SUM('1:2'!N200)</f>
        <v>0</v>
      </c>
      <c r="O200" s="93">
        <f>SUM('1:2'!O200)</f>
        <v>0</v>
      </c>
      <c r="P200" s="93">
        <f>SUM('1:2'!P200)</f>
        <v>0</v>
      </c>
      <c r="Q200" s="93">
        <f>SUM('1:2'!Q200)</f>
        <v>0</v>
      </c>
      <c r="R200" s="93">
        <f>SUM('1:2'!R200)</f>
        <v>0</v>
      </c>
      <c r="S200" s="93">
        <f>SUM('1:2'!S200)</f>
        <v>0</v>
      </c>
      <c r="T200" s="93">
        <f>SUM('1:2'!T200)</f>
        <v>0</v>
      </c>
      <c r="U200" s="93">
        <f>SUM('1:2'!U200)</f>
        <v>0</v>
      </c>
      <c r="V200" s="206">
        <f t="shared" ref="V200" si="73">SUM(X200:AA200)</f>
        <v>0</v>
      </c>
      <c r="W200" s="33" t="str">
        <f t="shared" ref="W200" si="74">IF(ISERROR(V200/G200),"",V200/G200)</f>
        <v/>
      </c>
      <c r="X200" s="93">
        <f>SUM('1:2'!X200)</f>
        <v>0</v>
      </c>
      <c r="Y200" s="93">
        <f>SUM('1:2'!Y200)</f>
        <v>0</v>
      </c>
      <c r="Z200" s="93">
        <f>SUM('1:2'!Z200)</f>
        <v>0</v>
      </c>
      <c r="AA200" s="93">
        <f>SUM('1:2'!AA200)</f>
        <v>0</v>
      </c>
      <c r="AB200" s="358">
        <v>0.19</v>
      </c>
      <c r="AC200" s="269">
        <f t="shared" ref="AC200:AC256" si="75">AB200*G200</f>
        <v>0</v>
      </c>
      <c r="AD200" s="251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 ht="17.25">
      <c r="A201" s="316">
        <v>30100011</v>
      </c>
      <c r="B201" s="190" t="s">
        <v>425</v>
      </c>
      <c r="C201" s="187" t="s">
        <v>427</v>
      </c>
      <c r="D201" s="17">
        <v>5.03</v>
      </c>
      <c r="E201" s="17"/>
      <c r="F201" s="6"/>
      <c r="G201" s="93">
        <f>SUM('1:2'!G201)</f>
        <v>0</v>
      </c>
      <c r="H201" s="246">
        <f t="shared" si="71"/>
        <v>0</v>
      </c>
      <c r="I201" s="93">
        <f>SUM('1:2'!I201)</f>
        <v>0</v>
      </c>
      <c r="J201" s="31"/>
      <c r="K201" s="35"/>
      <c r="L201" s="87">
        <v>52</v>
      </c>
      <c r="M201" s="36"/>
      <c r="N201" s="93"/>
      <c r="O201" s="93"/>
      <c r="P201" s="93"/>
      <c r="Q201" s="93"/>
      <c r="R201" s="93"/>
      <c r="S201" s="93"/>
      <c r="T201" s="93"/>
      <c r="U201" s="93"/>
      <c r="V201" s="206"/>
      <c r="W201" s="33"/>
      <c r="X201" s="93"/>
      <c r="Y201" s="93"/>
      <c r="Z201" s="93"/>
      <c r="AA201" s="93"/>
      <c r="AB201" s="358">
        <v>0.19</v>
      </c>
      <c r="AC201" s="269">
        <f t="shared" si="75"/>
        <v>0</v>
      </c>
      <c r="AD201" s="251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 ht="17.25" customHeight="1">
      <c r="A202" s="316">
        <v>30100010</v>
      </c>
      <c r="B202" s="61" t="s">
        <v>76</v>
      </c>
      <c r="C202" s="16" t="s">
        <v>60</v>
      </c>
      <c r="D202" s="17">
        <v>5.03</v>
      </c>
      <c r="E202" s="17"/>
      <c r="F202" s="6"/>
      <c r="G202" s="93">
        <f>SUM('1:2'!G202)</f>
        <v>0</v>
      </c>
      <c r="H202" s="246">
        <f t="shared" si="71"/>
        <v>0</v>
      </c>
      <c r="I202" s="93">
        <f>SUM('1:2'!I202)</f>
        <v>0</v>
      </c>
      <c r="J202" s="31" t="str">
        <f t="array" ref="J202">IF(ISERROR(G202/I202),"",G202/I202)</f>
        <v/>
      </c>
      <c r="K202" s="35">
        <f t="array" ref="K202">IF(ISERROR(G202/L202),"",G202/L202)</f>
        <v>0</v>
      </c>
      <c r="L202" s="87">
        <v>52</v>
      </c>
      <c r="M202" s="36">
        <f t="shared" ref="M202" si="76">IF(ISERROR(I202-K202),"",I202-K202)</f>
        <v>0</v>
      </c>
      <c r="N202" s="93">
        <f>SUM('1:2'!N202)</f>
        <v>0</v>
      </c>
      <c r="O202" s="93">
        <f>SUM('1:2'!O202)</f>
        <v>0</v>
      </c>
      <c r="P202" s="93">
        <f>SUM('1:2'!P202)</f>
        <v>0</v>
      </c>
      <c r="Q202" s="93">
        <f>SUM('1:2'!Q202)</f>
        <v>0</v>
      </c>
      <c r="R202" s="93">
        <f>SUM('1:2'!R202)</f>
        <v>0</v>
      </c>
      <c r="S202" s="93">
        <f>SUM('1:2'!S202)</f>
        <v>0</v>
      </c>
      <c r="T202" s="93">
        <f>SUM('1:2'!T202)</f>
        <v>0</v>
      </c>
      <c r="U202" s="93">
        <f>SUM('1:2'!U202)</f>
        <v>0</v>
      </c>
      <c r="V202" s="206">
        <f t="shared" ref="V202:V204" si="77">SUM(X202:AA202)</f>
        <v>0</v>
      </c>
      <c r="W202" s="33" t="str">
        <f t="shared" ref="W202:W204" si="78">IF(ISERROR(V202/G202),"",V202/G202)</f>
        <v/>
      </c>
      <c r="X202" s="93">
        <f>SUM('1:2'!X202)</f>
        <v>0</v>
      </c>
      <c r="Y202" s="93">
        <f>SUM('1:2'!Y202)</f>
        <v>0</v>
      </c>
      <c r="Z202" s="93">
        <f>SUM('1:2'!Z202)</f>
        <v>0</v>
      </c>
      <c r="AA202" s="93">
        <f>SUM('1:2'!AA202)</f>
        <v>0</v>
      </c>
      <c r="AB202" s="358">
        <v>0.19</v>
      </c>
      <c r="AC202" s="269">
        <f t="shared" si="75"/>
        <v>0</v>
      </c>
      <c r="AD202" s="251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 ht="17.25">
      <c r="A203" s="316">
        <v>30100014</v>
      </c>
      <c r="B203" s="61" t="s">
        <v>76</v>
      </c>
      <c r="C203" s="16" t="s">
        <v>72</v>
      </c>
      <c r="D203" s="17">
        <v>5.03</v>
      </c>
      <c r="E203" s="17"/>
      <c r="F203" s="6"/>
      <c r="G203" s="93">
        <f>SUM('1:2'!G203)</f>
        <v>0</v>
      </c>
      <c r="H203" s="246">
        <f t="shared" si="71"/>
        <v>0</v>
      </c>
      <c r="I203" s="93">
        <f>SUM('1:2'!I203)</f>
        <v>0</v>
      </c>
      <c r="J203" s="31" t="str">
        <f t="array" ref="J203">IF(ISERROR(G203/I203),"",G203/I203)</f>
        <v/>
      </c>
      <c r="K203" s="35">
        <f t="array" ref="K203">IF(ISERROR(G203/L203),"",G203/L203)</f>
        <v>0</v>
      </c>
      <c r="L203" s="87">
        <v>52</v>
      </c>
      <c r="M203" s="36">
        <f>IF(ISERROR(I203-K203),"",I203-K203)</f>
        <v>0</v>
      </c>
      <c r="N203" s="93">
        <f>SUM('1:2'!N203)</f>
        <v>0</v>
      </c>
      <c r="O203" s="93">
        <f>SUM('1:2'!O203)</f>
        <v>0</v>
      </c>
      <c r="P203" s="93">
        <f>SUM('1:2'!P203)</f>
        <v>0</v>
      </c>
      <c r="Q203" s="93">
        <f>SUM('1:2'!Q203)</f>
        <v>0</v>
      </c>
      <c r="R203" s="93">
        <f>SUM('1:2'!R203)</f>
        <v>0</v>
      </c>
      <c r="S203" s="93">
        <f>SUM('1:2'!S203)</f>
        <v>0</v>
      </c>
      <c r="T203" s="93">
        <f>SUM('1:2'!T203)</f>
        <v>0</v>
      </c>
      <c r="U203" s="93">
        <f>SUM('1:2'!U203)</f>
        <v>0</v>
      </c>
      <c r="V203" s="206">
        <f t="shared" si="77"/>
        <v>0</v>
      </c>
      <c r="W203" s="33" t="str">
        <f t="shared" si="78"/>
        <v/>
      </c>
      <c r="X203" s="93">
        <f>SUM('1:2'!X203)</f>
        <v>0</v>
      </c>
      <c r="Y203" s="93">
        <f>SUM('1:2'!Y203)</f>
        <v>0</v>
      </c>
      <c r="Z203" s="93">
        <f>SUM('1:2'!Z203)</f>
        <v>0</v>
      </c>
      <c r="AA203" s="93">
        <f>SUM('1:2'!AA203)</f>
        <v>0</v>
      </c>
      <c r="AB203" s="358">
        <v>0.19</v>
      </c>
      <c r="AC203" s="269">
        <f t="shared" si="75"/>
        <v>0</v>
      </c>
      <c r="AD203" s="251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 ht="17.25">
      <c r="A204" s="316">
        <v>30100013</v>
      </c>
      <c r="B204" s="61" t="s">
        <v>76</v>
      </c>
      <c r="C204" s="16" t="s">
        <v>77</v>
      </c>
      <c r="D204" s="17">
        <v>5.03</v>
      </c>
      <c r="E204" s="17"/>
      <c r="F204" s="6"/>
      <c r="G204" s="93">
        <f>SUM('1:2'!G204)</f>
        <v>0</v>
      </c>
      <c r="H204" s="296">
        <f t="shared" si="71"/>
        <v>0</v>
      </c>
      <c r="I204" s="93">
        <f>SUM('1:2'!I204)</f>
        <v>0</v>
      </c>
      <c r="J204" s="31" t="str">
        <f t="array" ref="J204">IF(ISERROR(G204/I204),"",G204/I204)</f>
        <v/>
      </c>
      <c r="K204" s="35">
        <f t="array" ref="K204">IF(ISERROR(G204/L204),"",G204/L204)</f>
        <v>0</v>
      </c>
      <c r="L204" s="87">
        <v>52</v>
      </c>
      <c r="M204" s="36">
        <f t="shared" ref="M204" si="79">IF(ISERROR(I204-K204),"",I204-K204)</f>
        <v>0</v>
      </c>
      <c r="N204" s="93">
        <f>SUM('1:2'!N204)</f>
        <v>0</v>
      </c>
      <c r="O204" s="93">
        <f>SUM('1:2'!O204)</f>
        <v>0</v>
      </c>
      <c r="P204" s="93">
        <f>SUM('1:2'!P204)</f>
        <v>0</v>
      </c>
      <c r="Q204" s="93">
        <f>SUM('1:2'!Q204)</f>
        <v>0</v>
      </c>
      <c r="R204" s="93">
        <f>SUM('1:2'!R204)</f>
        <v>0</v>
      </c>
      <c r="S204" s="93">
        <f>SUM('1:2'!S204)</f>
        <v>0</v>
      </c>
      <c r="T204" s="93">
        <f>SUM('1:2'!T204)</f>
        <v>0</v>
      </c>
      <c r="U204" s="93">
        <f>SUM('1:2'!U204)</f>
        <v>0</v>
      </c>
      <c r="V204" s="206">
        <f t="shared" si="77"/>
        <v>0</v>
      </c>
      <c r="W204" s="33" t="str">
        <f t="shared" si="78"/>
        <v/>
      </c>
      <c r="X204" s="93">
        <f>SUM('1:2'!X204)</f>
        <v>0</v>
      </c>
      <c r="Y204" s="93">
        <f>SUM('1:2'!Y204)</f>
        <v>0</v>
      </c>
      <c r="Z204" s="93">
        <f>SUM('1:2'!Z204)</f>
        <v>0</v>
      </c>
      <c r="AA204" s="93">
        <f>SUM('1:2'!AA204)</f>
        <v>0</v>
      </c>
      <c r="AB204" s="358">
        <v>0.19</v>
      </c>
      <c r="AC204" s="269">
        <f t="shared" si="75"/>
        <v>0</v>
      </c>
      <c r="AD204" s="251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 ht="17.25">
      <c r="A205" s="316">
        <v>30100016</v>
      </c>
      <c r="B205" s="240" t="s">
        <v>414</v>
      </c>
      <c r="C205" s="187" t="s">
        <v>415</v>
      </c>
      <c r="D205" s="17">
        <v>5.03</v>
      </c>
      <c r="E205" s="17"/>
      <c r="F205" s="6"/>
      <c r="G205" s="93">
        <f>SUM('1:2'!G205)</f>
        <v>0</v>
      </c>
      <c r="H205" s="296">
        <f t="shared" si="71"/>
        <v>0</v>
      </c>
      <c r="I205" s="93">
        <f>SUM('1:2'!I205)</f>
        <v>0</v>
      </c>
      <c r="J205" s="31"/>
      <c r="K205" s="35"/>
      <c r="L205" s="87">
        <v>52</v>
      </c>
      <c r="M205" s="36"/>
      <c r="N205" s="93"/>
      <c r="O205" s="93"/>
      <c r="P205" s="93"/>
      <c r="Q205" s="93"/>
      <c r="R205" s="93"/>
      <c r="S205" s="93"/>
      <c r="T205" s="93"/>
      <c r="U205" s="93"/>
      <c r="V205" s="206"/>
      <c r="W205" s="33"/>
      <c r="X205" s="93"/>
      <c r="Y205" s="93"/>
      <c r="Z205" s="93"/>
      <c r="AA205" s="93"/>
      <c r="AB205" s="358">
        <v>0.19</v>
      </c>
      <c r="AC205" s="269">
        <f t="shared" si="75"/>
        <v>0</v>
      </c>
      <c r="AD205" s="251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 ht="17.25">
      <c r="A206" s="316">
        <v>30100017</v>
      </c>
      <c r="B206" s="240" t="s">
        <v>414</v>
      </c>
      <c r="C206" s="187" t="s">
        <v>416</v>
      </c>
      <c r="D206" s="17">
        <v>5.03</v>
      </c>
      <c r="E206" s="17"/>
      <c r="F206" s="6"/>
      <c r="G206" s="93">
        <f>SUM('1:2'!G206)</f>
        <v>0</v>
      </c>
      <c r="H206" s="296">
        <f t="shared" si="71"/>
        <v>0</v>
      </c>
      <c r="I206" s="93">
        <f>SUM('1:2'!I206)</f>
        <v>0</v>
      </c>
      <c r="J206" s="31"/>
      <c r="K206" s="35"/>
      <c r="L206" s="87">
        <v>52</v>
      </c>
      <c r="M206" s="36"/>
      <c r="N206" s="93"/>
      <c r="O206" s="93"/>
      <c r="P206" s="93"/>
      <c r="Q206" s="93"/>
      <c r="R206" s="93"/>
      <c r="S206" s="93"/>
      <c r="T206" s="93"/>
      <c r="U206" s="93"/>
      <c r="V206" s="206"/>
      <c r="W206" s="33"/>
      <c r="X206" s="93"/>
      <c r="Y206" s="93"/>
      <c r="Z206" s="93"/>
      <c r="AA206" s="93"/>
      <c r="AB206" s="358">
        <v>0.19</v>
      </c>
      <c r="AC206" s="269">
        <f t="shared" si="75"/>
        <v>0</v>
      </c>
      <c r="AD206" s="251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 ht="17.25">
      <c r="A207" s="316">
        <v>30100015</v>
      </c>
      <c r="B207" s="240" t="s">
        <v>414</v>
      </c>
      <c r="C207" s="187" t="s">
        <v>61</v>
      </c>
      <c r="D207" s="17">
        <v>5.03</v>
      </c>
      <c r="E207" s="17"/>
      <c r="F207" s="6"/>
      <c r="G207" s="93">
        <f>SUM('1:2'!G207)</f>
        <v>0</v>
      </c>
      <c r="H207" s="296">
        <f t="shared" si="71"/>
        <v>0</v>
      </c>
      <c r="I207" s="93">
        <f>SUM('1:2'!I207)</f>
        <v>0</v>
      </c>
      <c r="J207" s="31"/>
      <c r="K207" s="35"/>
      <c r="L207" s="87">
        <v>52</v>
      </c>
      <c r="M207" s="36"/>
      <c r="N207" s="93"/>
      <c r="O207" s="93"/>
      <c r="P207" s="93"/>
      <c r="Q207" s="93"/>
      <c r="R207" s="93"/>
      <c r="S207" s="93"/>
      <c r="T207" s="93"/>
      <c r="U207" s="93"/>
      <c r="V207" s="206"/>
      <c r="W207" s="33"/>
      <c r="X207" s="93"/>
      <c r="Y207" s="93"/>
      <c r="Z207" s="93"/>
      <c r="AA207" s="93"/>
      <c r="AB207" s="358">
        <v>0.19</v>
      </c>
      <c r="AC207" s="269">
        <f t="shared" si="75"/>
        <v>0</v>
      </c>
      <c r="AD207" s="251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 ht="17.25">
      <c r="A208" s="316">
        <v>30100027</v>
      </c>
      <c r="B208" s="61" t="s">
        <v>78</v>
      </c>
      <c r="C208" s="16" t="s">
        <v>53</v>
      </c>
      <c r="D208" s="17">
        <v>5.08</v>
      </c>
      <c r="E208" s="17"/>
      <c r="F208" s="6"/>
      <c r="G208" s="93">
        <f>SUM('1:2'!G208)</f>
        <v>477</v>
      </c>
      <c r="H208" s="296">
        <f t="shared" si="71"/>
        <v>2423.16</v>
      </c>
      <c r="I208" s="93">
        <f>SUM('1:2'!I208)</f>
        <v>22.5</v>
      </c>
      <c r="J208" s="31">
        <f t="array" ref="J208">IF(ISERROR(G208/I208),"",G208/I208)</f>
        <v>21.2</v>
      </c>
      <c r="K208" s="35">
        <f t="array" ref="K208">IF(ISERROR(G208/L208),"",G208/L208)</f>
        <v>22.714285714285715</v>
      </c>
      <c r="L208" s="87">
        <v>21</v>
      </c>
      <c r="M208" s="36">
        <f t="shared" ref="M208:M237" si="80">IF(ISERROR(I208-K208),"",I208-K208)</f>
        <v>-0.2142857142857153</v>
      </c>
      <c r="N208" s="93">
        <f>SUM('1:2'!N208)</f>
        <v>0</v>
      </c>
      <c r="O208" s="93">
        <f>SUM('1:2'!O208)</f>
        <v>0</v>
      </c>
      <c r="P208" s="93">
        <f>SUM('1:2'!P208)</f>
        <v>0</v>
      </c>
      <c r="Q208" s="93">
        <f>SUM('1:2'!Q208)</f>
        <v>0</v>
      </c>
      <c r="R208" s="93">
        <f>SUM('1:2'!R208)</f>
        <v>0</v>
      </c>
      <c r="S208" s="93">
        <f>SUM('1:2'!S208)</f>
        <v>0</v>
      </c>
      <c r="T208" s="93">
        <f>SUM('1:2'!T208)</f>
        <v>0</v>
      </c>
      <c r="U208" s="93">
        <f>SUM('1:2'!U208)</f>
        <v>0</v>
      </c>
      <c r="V208" s="206">
        <f t="shared" ref="V208:V219" si="81">SUM(X208:AA208)</f>
        <v>0</v>
      </c>
      <c r="W208" s="33">
        <f t="shared" ref="W208:W219" si="82">IF(ISERROR(V208/G208),"",V208/G208)</f>
        <v>0</v>
      </c>
      <c r="X208" s="93">
        <f>SUM('1:2'!X208)</f>
        <v>0</v>
      </c>
      <c r="Y208" s="93">
        <f>SUM('1:2'!Y208)</f>
        <v>0</v>
      </c>
      <c r="Z208" s="93">
        <f>SUM('1:2'!Z208)</f>
        <v>0</v>
      </c>
      <c r="AA208" s="93">
        <f>SUM('1:2'!AA208)</f>
        <v>0</v>
      </c>
      <c r="AB208" s="358">
        <v>0.49</v>
      </c>
      <c r="AC208" s="269">
        <f t="shared" si="75"/>
        <v>233.73</v>
      </c>
      <c r="AD208" s="251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 ht="17.25">
      <c r="A209" s="316">
        <v>30100023</v>
      </c>
      <c r="B209" s="61" t="s">
        <v>78</v>
      </c>
      <c r="C209" s="16" t="s">
        <v>74</v>
      </c>
      <c r="D209" s="17">
        <v>5.08</v>
      </c>
      <c r="E209" s="17"/>
      <c r="F209" s="6"/>
      <c r="G209" s="93">
        <f>SUM('1:2'!G209)</f>
        <v>792</v>
      </c>
      <c r="H209" s="296">
        <f t="shared" si="71"/>
        <v>4023.36</v>
      </c>
      <c r="I209" s="93">
        <f>SUM('1:2'!I209)</f>
        <v>56</v>
      </c>
      <c r="J209" s="31">
        <f t="array" ref="J209">IF(ISERROR(G209/I209),"",G209/I209)</f>
        <v>14.142857142857142</v>
      </c>
      <c r="K209" s="35">
        <f t="array" ref="K209">IF(ISERROR(G209/L209),"",G209/L209)</f>
        <v>37.714285714285715</v>
      </c>
      <c r="L209" s="87">
        <v>21</v>
      </c>
      <c r="M209" s="36">
        <f t="shared" si="80"/>
        <v>18.285714285714285</v>
      </c>
      <c r="N209" s="93">
        <f>SUM('1:2'!N209)</f>
        <v>0</v>
      </c>
      <c r="O209" s="93">
        <f>SUM('1:2'!O209)</f>
        <v>0</v>
      </c>
      <c r="P209" s="93">
        <f>SUM('1:2'!P209)</f>
        <v>0</v>
      </c>
      <c r="Q209" s="93">
        <f>SUM('1:2'!Q209)</f>
        <v>0</v>
      </c>
      <c r="R209" s="93">
        <f>SUM('1:2'!R209)</f>
        <v>0</v>
      </c>
      <c r="S209" s="93">
        <f>SUM('1:2'!S209)</f>
        <v>0</v>
      </c>
      <c r="T209" s="93">
        <f>SUM('1:2'!T209)</f>
        <v>0</v>
      </c>
      <c r="U209" s="93">
        <f>SUM('1:2'!U209)</f>
        <v>0</v>
      </c>
      <c r="V209" s="206">
        <f t="shared" si="81"/>
        <v>0</v>
      </c>
      <c r="W209" s="33">
        <f t="shared" si="82"/>
        <v>0</v>
      </c>
      <c r="X209" s="93">
        <f>SUM('1:2'!X209)</f>
        <v>0</v>
      </c>
      <c r="Y209" s="93">
        <f>SUM('1:2'!Y209)</f>
        <v>0</v>
      </c>
      <c r="Z209" s="93">
        <f>SUM('1:2'!Z209)</f>
        <v>0</v>
      </c>
      <c r="AA209" s="93">
        <f>SUM('1:2'!AA209)</f>
        <v>0</v>
      </c>
      <c r="AB209" s="358">
        <v>0.49</v>
      </c>
      <c r="AC209" s="269">
        <f t="shared" si="75"/>
        <v>388.08</v>
      </c>
      <c r="AD209" s="251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 ht="17.25">
      <c r="A210" s="316">
        <v>30100024</v>
      </c>
      <c r="B210" s="61" t="s">
        <v>78</v>
      </c>
      <c r="C210" s="16" t="s">
        <v>75</v>
      </c>
      <c r="D210" s="17">
        <v>5.08</v>
      </c>
      <c r="E210" s="17"/>
      <c r="F210" s="6"/>
      <c r="G210" s="93">
        <f>SUM('1:2'!G210)</f>
        <v>0</v>
      </c>
      <c r="H210" s="296">
        <f t="shared" si="71"/>
        <v>0</v>
      </c>
      <c r="I210" s="93">
        <f>SUM('1:2'!I210)</f>
        <v>0</v>
      </c>
      <c r="J210" s="31" t="str">
        <f t="array" ref="J210">IF(ISERROR(G210/I210),"",G210/I210)</f>
        <v/>
      </c>
      <c r="K210" s="35">
        <f t="array" ref="K210">IF(ISERROR(G210/L210),"",G210/L210)</f>
        <v>0</v>
      </c>
      <c r="L210" s="87">
        <v>21</v>
      </c>
      <c r="M210" s="36">
        <f t="shared" si="80"/>
        <v>0</v>
      </c>
      <c r="N210" s="93">
        <f>SUM('1:2'!N210)</f>
        <v>0</v>
      </c>
      <c r="O210" s="93">
        <f>SUM('1:2'!O210)</f>
        <v>0</v>
      </c>
      <c r="P210" s="93">
        <f>SUM('1:2'!P210)</f>
        <v>0</v>
      </c>
      <c r="Q210" s="93">
        <f>SUM('1:2'!Q210)</f>
        <v>0</v>
      </c>
      <c r="R210" s="93">
        <f>SUM('1:2'!R210)</f>
        <v>0</v>
      </c>
      <c r="S210" s="93">
        <f>SUM('1:2'!S210)</f>
        <v>0</v>
      </c>
      <c r="T210" s="93">
        <f>SUM('1:2'!T210)</f>
        <v>0</v>
      </c>
      <c r="U210" s="93">
        <f>SUM('1:2'!U210)</f>
        <v>0</v>
      </c>
      <c r="V210" s="206">
        <f t="shared" si="81"/>
        <v>0</v>
      </c>
      <c r="W210" s="33" t="str">
        <f t="shared" si="82"/>
        <v/>
      </c>
      <c r="X210" s="93">
        <f>SUM('1:2'!X210)</f>
        <v>0</v>
      </c>
      <c r="Y210" s="93">
        <f>SUM('1:2'!Y210)</f>
        <v>0</v>
      </c>
      <c r="Z210" s="93">
        <f>SUM('1:2'!Z210)</f>
        <v>0</v>
      </c>
      <c r="AA210" s="93">
        <f>SUM('1:2'!AA210)</f>
        <v>0</v>
      </c>
      <c r="AB210" s="358">
        <v>0.49</v>
      </c>
      <c r="AC210" s="269">
        <f t="shared" si="75"/>
        <v>0</v>
      </c>
      <c r="AD210" s="251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 ht="17.25">
      <c r="A211" s="316">
        <v>30100022</v>
      </c>
      <c r="B211" s="61" t="s">
        <v>78</v>
      </c>
      <c r="C211" s="16" t="s">
        <v>60</v>
      </c>
      <c r="D211" s="17">
        <v>5.08</v>
      </c>
      <c r="E211" s="17"/>
      <c r="F211" s="6"/>
      <c r="G211" s="93">
        <f>SUM('1:2'!G211)</f>
        <v>0</v>
      </c>
      <c r="H211" s="246">
        <f t="shared" si="71"/>
        <v>0</v>
      </c>
      <c r="I211" s="93">
        <f>SUM('1:2'!I211)</f>
        <v>0</v>
      </c>
      <c r="J211" s="31" t="str">
        <f t="array" ref="J211">IF(ISERROR(G211/I211),"",G211/I211)</f>
        <v/>
      </c>
      <c r="K211" s="35">
        <f t="array" ref="K211">IF(ISERROR(G211/L211),"",G211/L211)</f>
        <v>0</v>
      </c>
      <c r="L211" s="87">
        <v>21</v>
      </c>
      <c r="M211" s="36">
        <f t="shared" si="80"/>
        <v>0</v>
      </c>
      <c r="N211" s="93">
        <f>SUM('1:2'!N211)</f>
        <v>0</v>
      </c>
      <c r="O211" s="93">
        <f>SUM('1:2'!O211)</f>
        <v>0</v>
      </c>
      <c r="P211" s="93">
        <f>SUM('1:2'!P211)</f>
        <v>0</v>
      </c>
      <c r="Q211" s="93">
        <f>SUM('1:2'!Q211)</f>
        <v>0</v>
      </c>
      <c r="R211" s="93">
        <f>SUM('1:2'!R211)</f>
        <v>0</v>
      </c>
      <c r="S211" s="93">
        <f>SUM('1:2'!S211)</f>
        <v>0</v>
      </c>
      <c r="T211" s="93">
        <f>SUM('1:2'!T211)</f>
        <v>0</v>
      </c>
      <c r="U211" s="93">
        <f>SUM('1:2'!U211)</f>
        <v>0</v>
      </c>
      <c r="V211" s="206">
        <f t="shared" si="81"/>
        <v>0</v>
      </c>
      <c r="W211" s="33" t="str">
        <f t="shared" si="82"/>
        <v/>
      </c>
      <c r="X211" s="93">
        <f>SUM('1:2'!X211)</f>
        <v>0</v>
      </c>
      <c r="Y211" s="93">
        <f>SUM('1:2'!Y211)</f>
        <v>0</v>
      </c>
      <c r="Z211" s="93">
        <f>SUM('1:2'!Z211)</f>
        <v>0</v>
      </c>
      <c r="AA211" s="93">
        <f>SUM('1:2'!AA211)</f>
        <v>0</v>
      </c>
      <c r="AB211" s="358">
        <v>0.49</v>
      </c>
      <c r="AC211" s="269">
        <f t="shared" si="75"/>
        <v>0</v>
      </c>
      <c r="AD211" s="251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 ht="17.25">
      <c r="A212" s="316">
        <v>30100029</v>
      </c>
      <c r="B212" s="61" t="s">
        <v>78</v>
      </c>
      <c r="C212" s="16" t="s">
        <v>72</v>
      </c>
      <c r="D212" s="17">
        <v>5.08</v>
      </c>
      <c r="E212" s="17"/>
      <c r="F212" s="6"/>
      <c r="G212" s="93">
        <f>SUM('1:2'!G212)</f>
        <v>0</v>
      </c>
      <c r="H212" s="246">
        <f t="shared" si="71"/>
        <v>0</v>
      </c>
      <c r="I212" s="93">
        <f>SUM('1:2'!I212)</f>
        <v>0</v>
      </c>
      <c r="J212" s="31" t="str">
        <f t="array" ref="J212">IF(ISERROR(G212/I212),"",G212/I212)</f>
        <v/>
      </c>
      <c r="K212" s="35">
        <f t="array" ref="K212">IF(ISERROR(G212/L212),"",G212/L212)</f>
        <v>0</v>
      </c>
      <c r="L212" s="87">
        <v>21</v>
      </c>
      <c r="M212" s="36">
        <f t="shared" si="80"/>
        <v>0</v>
      </c>
      <c r="N212" s="93">
        <f>SUM('1:2'!N212)</f>
        <v>0</v>
      </c>
      <c r="O212" s="93">
        <f>SUM('1:2'!O212)</f>
        <v>0</v>
      </c>
      <c r="P212" s="93">
        <f>SUM('1:2'!P212)</f>
        <v>0</v>
      </c>
      <c r="Q212" s="93">
        <f>SUM('1:2'!Q212)</f>
        <v>0</v>
      </c>
      <c r="R212" s="93">
        <f>SUM('1:2'!R212)</f>
        <v>0</v>
      </c>
      <c r="S212" s="93">
        <f>SUM('1:2'!S212)</f>
        <v>0</v>
      </c>
      <c r="T212" s="93">
        <f>SUM('1:2'!T212)</f>
        <v>0</v>
      </c>
      <c r="U212" s="93">
        <f>SUM('1:2'!U212)</f>
        <v>0</v>
      </c>
      <c r="V212" s="206">
        <f t="shared" si="81"/>
        <v>0</v>
      </c>
      <c r="W212" s="33" t="str">
        <f t="shared" si="82"/>
        <v/>
      </c>
      <c r="X212" s="93">
        <f>SUM('1:2'!X212)</f>
        <v>0</v>
      </c>
      <c r="Y212" s="93">
        <f>SUM('1:2'!Y212)</f>
        <v>0</v>
      </c>
      <c r="Z212" s="93">
        <f>SUM('1:2'!Z212)</f>
        <v>0</v>
      </c>
      <c r="AA212" s="93">
        <f>SUM('1:2'!AA212)</f>
        <v>0</v>
      </c>
      <c r="AB212" s="358">
        <v>0.49</v>
      </c>
      <c r="AC212" s="269">
        <f t="shared" si="75"/>
        <v>0</v>
      </c>
      <c r="AD212" s="251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 ht="17.25">
      <c r="A213" s="316">
        <v>30100026</v>
      </c>
      <c r="B213" s="61" t="s">
        <v>78</v>
      </c>
      <c r="C213" s="16" t="s">
        <v>73</v>
      </c>
      <c r="D213" s="17">
        <v>5.08</v>
      </c>
      <c r="E213" s="17"/>
      <c r="F213" s="6"/>
      <c r="G213" s="93">
        <f>SUM('1:2'!G213)</f>
        <v>133</v>
      </c>
      <c r="H213" s="246">
        <f t="shared" si="71"/>
        <v>675.64</v>
      </c>
      <c r="I213" s="93">
        <f>SUM('1:2'!I213)</f>
        <v>44</v>
      </c>
      <c r="J213" s="31">
        <f t="array" ref="J213">IF(ISERROR(G213/I213),"",G213/I213)</f>
        <v>3.0227272727272729</v>
      </c>
      <c r="K213" s="35">
        <f t="array" ref="K213">IF(ISERROR(G213/L213),"",G213/L213)</f>
        <v>6.333333333333333</v>
      </c>
      <c r="L213" s="87">
        <v>21</v>
      </c>
      <c r="M213" s="36">
        <f t="shared" si="80"/>
        <v>37.666666666666664</v>
      </c>
      <c r="N213" s="93">
        <f>SUM('1:2'!N213)</f>
        <v>0</v>
      </c>
      <c r="O213" s="93">
        <f>SUM('1:2'!O213)</f>
        <v>0</v>
      </c>
      <c r="P213" s="93">
        <f>SUM('1:2'!P213)</f>
        <v>0</v>
      </c>
      <c r="Q213" s="93">
        <f>SUM('1:2'!Q213)</f>
        <v>0</v>
      </c>
      <c r="R213" s="93">
        <f>SUM('1:2'!R213)</f>
        <v>0</v>
      </c>
      <c r="S213" s="93">
        <f>SUM('1:2'!S213)</f>
        <v>0</v>
      </c>
      <c r="T213" s="93">
        <f>SUM('1:2'!T213)</f>
        <v>0</v>
      </c>
      <c r="U213" s="93">
        <f>SUM('1:2'!U213)</f>
        <v>0</v>
      </c>
      <c r="V213" s="206">
        <f t="shared" si="81"/>
        <v>0</v>
      </c>
      <c r="W213" s="33">
        <f t="shared" si="82"/>
        <v>0</v>
      </c>
      <c r="X213" s="93">
        <f>SUM('1:2'!X213)</f>
        <v>0</v>
      </c>
      <c r="Y213" s="93">
        <f>SUM('1:2'!Y213)</f>
        <v>0</v>
      </c>
      <c r="Z213" s="93">
        <f>SUM('1:2'!Z213)</f>
        <v>0</v>
      </c>
      <c r="AA213" s="93">
        <f>SUM('1:2'!AA213)</f>
        <v>0</v>
      </c>
      <c r="AB213" s="358">
        <v>0.49</v>
      </c>
      <c r="AC213" s="269">
        <f t="shared" si="75"/>
        <v>65.17</v>
      </c>
      <c r="AD213" s="251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 ht="17.25">
      <c r="A214" s="316">
        <v>30100025</v>
      </c>
      <c r="B214" s="61" t="s">
        <v>78</v>
      </c>
      <c r="C214" s="16" t="s">
        <v>61</v>
      </c>
      <c r="D214" s="17">
        <v>5.08</v>
      </c>
      <c r="E214" s="17"/>
      <c r="F214" s="6"/>
      <c r="G214" s="93">
        <f>SUM('1:2'!G214)</f>
        <v>0</v>
      </c>
      <c r="H214" s="246">
        <f t="shared" si="71"/>
        <v>0</v>
      </c>
      <c r="I214" s="93">
        <f>SUM('1:2'!I214)</f>
        <v>0</v>
      </c>
      <c r="J214" s="31" t="str">
        <f t="array" ref="J214">IF(ISERROR(G214/I214),"",G214/I214)</f>
        <v/>
      </c>
      <c r="K214" s="35">
        <f t="array" ref="K214">IF(ISERROR(G214/L214),"",G214/L214)</f>
        <v>0</v>
      </c>
      <c r="L214" s="87">
        <v>21</v>
      </c>
      <c r="M214" s="36">
        <f t="shared" si="80"/>
        <v>0</v>
      </c>
      <c r="N214" s="93">
        <f>SUM('1:2'!N214)</f>
        <v>0</v>
      </c>
      <c r="O214" s="93">
        <f>SUM('1:2'!O214)</f>
        <v>0</v>
      </c>
      <c r="P214" s="93">
        <f>SUM('1:2'!P214)</f>
        <v>0</v>
      </c>
      <c r="Q214" s="93">
        <f>SUM('1:2'!Q214)</f>
        <v>0</v>
      </c>
      <c r="R214" s="93">
        <f>SUM('1:2'!R214)</f>
        <v>0</v>
      </c>
      <c r="S214" s="93">
        <f>SUM('1:2'!S214)</f>
        <v>0</v>
      </c>
      <c r="T214" s="93">
        <f>SUM('1:2'!T214)</f>
        <v>0</v>
      </c>
      <c r="U214" s="93">
        <f>SUM('1:2'!U214)</f>
        <v>0</v>
      </c>
      <c r="V214" s="206">
        <f t="shared" si="81"/>
        <v>0</v>
      </c>
      <c r="W214" s="33" t="str">
        <f t="shared" si="82"/>
        <v/>
      </c>
      <c r="X214" s="93">
        <f>SUM('1:2'!X214)</f>
        <v>0</v>
      </c>
      <c r="Y214" s="93">
        <f>SUM('1:2'!Y214)</f>
        <v>0</v>
      </c>
      <c r="Z214" s="93">
        <f>SUM('1:2'!Z214)</f>
        <v>0</v>
      </c>
      <c r="AA214" s="93">
        <f>SUM('1:2'!AA214)</f>
        <v>0</v>
      </c>
      <c r="AB214" s="358">
        <v>0.49</v>
      </c>
      <c r="AC214" s="269">
        <f t="shared" si="75"/>
        <v>0</v>
      </c>
      <c r="AD214" s="251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 ht="17.25">
      <c r="A215" s="316">
        <v>30100028</v>
      </c>
      <c r="B215" s="61" t="s">
        <v>78</v>
      </c>
      <c r="C215" s="16" t="s">
        <v>77</v>
      </c>
      <c r="D215" s="17">
        <v>5.08</v>
      </c>
      <c r="E215" s="17"/>
      <c r="F215" s="6"/>
      <c r="G215" s="93">
        <f>SUM('1:2'!G215)</f>
        <v>0</v>
      </c>
      <c r="H215" s="246">
        <f t="shared" si="71"/>
        <v>0</v>
      </c>
      <c r="I215" s="93">
        <f>SUM('1:2'!I215)</f>
        <v>0</v>
      </c>
      <c r="J215" s="31" t="str">
        <f t="array" ref="J215">IF(ISERROR(G215/I215),"",G215/I215)</f>
        <v/>
      </c>
      <c r="K215" s="35">
        <f t="array" ref="K215">IF(ISERROR(G215/L215),"",G215/L215)</f>
        <v>0</v>
      </c>
      <c r="L215" s="87">
        <v>21</v>
      </c>
      <c r="M215" s="36">
        <f t="shared" si="80"/>
        <v>0</v>
      </c>
      <c r="N215" s="93">
        <f>SUM('1:2'!N215)</f>
        <v>0</v>
      </c>
      <c r="O215" s="93">
        <f>SUM('1:2'!O215)</f>
        <v>0</v>
      </c>
      <c r="P215" s="93">
        <f>SUM('1:2'!P215)</f>
        <v>0</v>
      </c>
      <c r="Q215" s="93">
        <f>SUM('1:2'!Q215)</f>
        <v>0</v>
      </c>
      <c r="R215" s="93">
        <f>SUM('1:2'!R215)</f>
        <v>0</v>
      </c>
      <c r="S215" s="93">
        <f>SUM('1:2'!S215)</f>
        <v>0</v>
      </c>
      <c r="T215" s="93">
        <f>SUM('1:2'!T215)</f>
        <v>0</v>
      </c>
      <c r="U215" s="93">
        <f>SUM('1:2'!U215)</f>
        <v>0</v>
      </c>
      <c r="V215" s="206">
        <f t="shared" si="81"/>
        <v>0</v>
      </c>
      <c r="W215" s="33" t="str">
        <f t="shared" si="82"/>
        <v/>
      </c>
      <c r="X215" s="93">
        <f>SUM('1:2'!X215)</f>
        <v>0</v>
      </c>
      <c r="Y215" s="93">
        <f>SUM('1:2'!Y215)</f>
        <v>0</v>
      </c>
      <c r="Z215" s="93">
        <f>SUM('1:2'!Z215)</f>
        <v>0</v>
      </c>
      <c r="AA215" s="93">
        <f>SUM('1:2'!AA215)</f>
        <v>0</v>
      </c>
      <c r="AB215" s="358">
        <v>0.49</v>
      </c>
      <c r="AC215" s="269">
        <f t="shared" si="75"/>
        <v>0</v>
      </c>
      <c r="AD215" s="251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 ht="17.25">
      <c r="A216" s="316">
        <v>30100032</v>
      </c>
      <c r="B216" s="61" t="s">
        <v>79</v>
      </c>
      <c r="C216" s="16" t="s">
        <v>65</v>
      </c>
      <c r="D216" s="17">
        <v>5.03</v>
      </c>
      <c r="E216" s="17"/>
      <c r="F216" s="6"/>
      <c r="G216" s="93">
        <f>SUM('1:2'!G216)</f>
        <v>1582</v>
      </c>
      <c r="H216" s="246">
        <f t="shared" si="71"/>
        <v>7957.46</v>
      </c>
      <c r="I216" s="93">
        <f>SUM('1:2'!I216)</f>
        <v>19</v>
      </c>
      <c r="J216" s="31">
        <f t="array" ref="J216">IF(ISERROR(G216/I216),"",G216/I216)</f>
        <v>83.263157894736835</v>
      </c>
      <c r="K216" s="35">
        <f t="array" ref="K216">IF(ISERROR(G216/L216),"",G216/L216)</f>
        <v>28.25</v>
      </c>
      <c r="L216" s="87">
        <v>56</v>
      </c>
      <c r="M216" s="36">
        <f t="shared" si="80"/>
        <v>-9.25</v>
      </c>
      <c r="N216" s="93">
        <f>SUM('1:2'!N216)</f>
        <v>0</v>
      </c>
      <c r="O216" s="93">
        <f>SUM('1:2'!O216)</f>
        <v>0</v>
      </c>
      <c r="P216" s="93">
        <f>SUM('1:2'!P216)</f>
        <v>0</v>
      </c>
      <c r="Q216" s="93">
        <f>SUM('1:2'!Q216)</f>
        <v>0</v>
      </c>
      <c r="R216" s="93">
        <f>SUM('1:2'!R216)</f>
        <v>0</v>
      </c>
      <c r="S216" s="93">
        <f>SUM('1:2'!S216)</f>
        <v>0</v>
      </c>
      <c r="T216" s="93">
        <f>SUM('1:2'!T216)</f>
        <v>0</v>
      </c>
      <c r="U216" s="93">
        <f>SUM('1:2'!U216)</f>
        <v>0</v>
      </c>
      <c r="V216" s="206">
        <f t="shared" si="81"/>
        <v>0</v>
      </c>
      <c r="W216" s="33">
        <f t="shared" si="82"/>
        <v>0</v>
      </c>
      <c r="X216" s="93">
        <f>SUM('1:2'!X216)</f>
        <v>0</v>
      </c>
      <c r="Y216" s="93">
        <f>SUM('1:2'!Y216)</f>
        <v>0</v>
      </c>
      <c r="Z216" s="93">
        <f>SUM('1:2'!Z216)</f>
        <v>0</v>
      </c>
      <c r="AA216" s="93">
        <f>SUM('1:2'!AA216)</f>
        <v>0</v>
      </c>
      <c r="AB216" s="358">
        <v>0.18</v>
      </c>
      <c r="AC216" s="269">
        <f t="shared" si="75"/>
        <v>284.76</v>
      </c>
      <c r="AD216" s="251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 ht="17.25">
      <c r="A217" s="316">
        <v>30100033</v>
      </c>
      <c r="B217" s="61" t="s">
        <v>79</v>
      </c>
      <c r="C217" s="16" t="s">
        <v>53</v>
      </c>
      <c r="D217" s="17">
        <v>5.03</v>
      </c>
      <c r="E217" s="17"/>
      <c r="F217" s="6"/>
      <c r="G217" s="93">
        <f>SUM('1:2'!G217)</f>
        <v>369</v>
      </c>
      <c r="H217" s="246">
        <f t="shared" si="71"/>
        <v>1856.0700000000002</v>
      </c>
      <c r="I217" s="93">
        <f>SUM('1:2'!I217)</f>
        <v>9</v>
      </c>
      <c r="J217" s="31">
        <f t="array" ref="J217">IF(ISERROR(G217/I217),"",G217/I217)</f>
        <v>41</v>
      </c>
      <c r="K217" s="35">
        <f t="array" ref="K217">IF(ISERROR(G217/L217),"",G217/L217)</f>
        <v>6.5892857142857144</v>
      </c>
      <c r="L217" s="87">
        <v>56</v>
      </c>
      <c r="M217" s="36">
        <f t="shared" si="80"/>
        <v>2.4107142857142856</v>
      </c>
      <c r="N217" s="93">
        <f>SUM('1:2'!N217)</f>
        <v>0</v>
      </c>
      <c r="O217" s="93">
        <f>SUM('1:2'!O217)</f>
        <v>0</v>
      </c>
      <c r="P217" s="93">
        <f>SUM('1:2'!P217)</f>
        <v>0</v>
      </c>
      <c r="Q217" s="93">
        <f>SUM('1:2'!Q217)</f>
        <v>0</v>
      </c>
      <c r="R217" s="93">
        <f>SUM('1:2'!R217)</f>
        <v>0</v>
      </c>
      <c r="S217" s="93">
        <f>SUM('1:2'!S217)</f>
        <v>0</v>
      </c>
      <c r="T217" s="93">
        <f>SUM('1:2'!T217)</f>
        <v>0</v>
      </c>
      <c r="U217" s="93">
        <f>SUM('1:2'!U217)</f>
        <v>0</v>
      </c>
      <c r="V217" s="206">
        <f t="shared" si="81"/>
        <v>0</v>
      </c>
      <c r="W217" s="33">
        <f t="shared" si="82"/>
        <v>0</v>
      </c>
      <c r="X217" s="93">
        <f>SUM('1:2'!X217)</f>
        <v>0</v>
      </c>
      <c r="Y217" s="93">
        <f>SUM('1:2'!Y217)</f>
        <v>0</v>
      </c>
      <c r="Z217" s="93">
        <f>SUM('1:2'!Z217)</f>
        <v>0</v>
      </c>
      <c r="AA217" s="93">
        <f>SUM('1:2'!AA217)</f>
        <v>0</v>
      </c>
      <c r="AB217" s="358">
        <v>0.18</v>
      </c>
      <c r="AC217" s="269">
        <f t="shared" si="75"/>
        <v>66.42</v>
      </c>
      <c r="AD217" s="251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 ht="17.25">
      <c r="A218" s="316">
        <v>30100062</v>
      </c>
      <c r="B218" s="61" t="s">
        <v>79</v>
      </c>
      <c r="C218" s="16" t="s">
        <v>66</v>
      </c>
      <c r="D218" s="17">
        <v>5.03</v>
      </c>
      <c r="E218" s="17"/>
      <c r="F218" s="6"/>
      <c r="G218" s="93">
        <f>SUM('1:2'!G218)</f>
        <v>864</v>
      </c>
      <c r="H218" s="246">
        <f t="shared" si="71"/>
        <v>4345.92</v>
      </c>
      <c r="I218" s="93">
        <f>SUM('1:2'!I218)</f>
        <v>18</v>
      </c>
      <c r="J218" s="31">
        <f t="array" ref="J218">IF(ISERROR(G218/I218),"",G218/I218)</f>
        <v>48</v>
      </c>
      <c r="K218" s="35">
        <f t="array" ref="K218">IF(ISERROR(G218/L218),"",G218/L218)</f>
        <v>15.428571428571429</v>
      </c>
      <c r="L218" s="87">
        <v>56</v>
      </c>
      <c r="M218" s="36">
        <f t="shared" si="80"/>
        <v>2.5714285714285712</v>
      </c>
      <c r="N218" s="93">
        <f>SUM('1:2'!N218)</f>
        <v>0</v>
      </c>
      <c r="O218" s="93">
        <f>SUM('1:2'!O218)</f>
        <v>0</v>
      </c>
      <c r="P218" s="93">
        <f>SUM('1:2'!P218)</f>
        <v>0</v>
      </c>
      <c r="Q218" s="93">
        <f>SUM('1:2'!Q218)</f>
        <v>0</v>
      </c>
      <c r="R218" s="93">
        <f>SUM('1:2'!R218)</f>
        <v>0</v>
      </c>
      <c r="S218" s="93">
        <f>SUM('1:2'!S218)</f>
        <v>0</v>
      </c>
      <c r="T218" s="93">
        <f>SUM('1:2'!T218)</f>
        <v>0</v>
      </c>
      <c r="U218" s="93">
        <f>SUM('1:2'!U218)</f>
        <v>0</v>
      </c>
      <c r="V218" s="206">
        <f t="shared" si="81"/>
        <v>0</v>
      </c>
      <c r="W218" s="33">
        <f t="shared" si="82"/>
        <v>0</v>
      </c>
      <c r="X218" s="93">
        <f>SUM('1:2'!X218)</f>
        <v>0</v>
      </c>
      <c r="Y218" s="93">
        <f>SUM('1:2'!Y218)</f>
        <v>0</v>
      </c>
      <c r="Z218" s="93">
        <f>SUM('1:2'!Z218)</f>
        <v>0</v>
      </c>
      <c r="AA218" s="93">
        <f>SUM('1:2'!AA218)</f>
        <v>0</v>
      </c>
      <c r="AB218" s="358">
        <v>0.18</v>
      </c>
      <c r="AC218" s="269">
        <f t="shared" si="75"/>
        <v>155.51999999999998</v>
      </c>
      <c r="AD218" s="251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 ht="17.25">
      <c r="A219" s="316">
        <v>30100031</v>
      </c>
      <c r="B219" s="61" t="s">
        <v>79</v>
      </c>
      <c r="C219" s="16" t="s">
        <v>74</v>
      </c>
      <c r="D219" s="17">
        <v>5.03</v>
      </c>
      <c r="E219" s="17"/>
      <c r="F219" s="6"/>
      <c r="G219" s="93">
        <f>SUM('1:2'!G219)</f>
        <v>0</v>
      </c>
      <c r="H219" s="246">
        <f t="shared" si="71"/>
        <v>0</v>
      </c>
      <c r="I219" s="93">
        <f>SUM('1:2'!I219)</f>
        <v>0</v>
      </c>
      <c r="J219" s="31" t="str">
        <f t="array" ref="J219">IF(ISERROR(G219/I219),"",G219/I219)</f>
        <v/>
      </c>
      <c r="K219" s="35">
        <f t="array" ref="K219">IF(ISERROR(G219/L219),"",G219/L219)</f>
        <v>0</v>
      </c>
      <c r="L219" s="87">
        <v>56</v>
      </c>
      <c r="M219" s="36">
        <f t="shared" si="80"/>
        <v>0</v>
      </c>
      <c r="N219" s="93">
        <f>SUM('1:2'!N219)</f>
        <v>0</v>
      </c>
      <c r="O219" s="93">
        <f>SUM('1:2'!O219)</f>
        <v>0</v>
      </c>
      <c r="P219" s="93">
        <f>SUM('1:2'!P219)</f>
        <v>0</v>
      </c>
      <c r="Q219" s="93">
        <f>SUM('1:2'!Q219)</f>
        <v>0</v>
      </c>
      <c r="R219" s="93">
        <f>SUM('1:2'!R219)</f>
        <v>0</v>
      </c>
      <c r="S219" s="93">
        <f>SUM('1:2'!S219)</f>
        <v>0</v>
      </c>
      <c r="T219" s="93">
        <f>SUM('1:2'!T219)</f>
        <v>0</v>
      </c>
      <c r="U219" s="93">
        <f>SUM('1:2'!U219)</f>
        <v>0</v>
      </c>
      <c r="V219" s="206">
        <f t="shared" si="81"/>
        <v>0</v>
      </c>
      <c r="W219" s="33" t="str">
        <f t="shared" si="82"/>
        <v/>
      </c>
      <c r="X219" s="93">
        <f>SUM('1:2'!X219)</f>
        <v>0</v>
      </c>
      <c r="Y219" s="93">
        <f>SUM('1:2'!Y219)</f>
        <v>0</v>
      </c>
      <c r="Z219" s="93">
        <f>SUM('1:2'!Z219)</f>
        <v>0</v>
      </c>
      <c r="AA219" s="93">
        <f>SUM('1:2'!AA219)</f>
        <v>0</v>
      </c>
      <c r="AB219" s="358">
        <v>0.18</v>
      </c>
      <c r="AC219" s="269">
        <f t="shared" si="75"/>
        <v>0</v>
      </c>
      <c r="AD219" s="251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 ht="17.25">
      <c r="A220" s="316">
        <v>30100019</v>
      </c>
      <c r="B220" s="61" t="s">
        <v>385</v>
      </c>
      <c r="C220" s="16" t="s">
        <v>386</v>
      </c>
      <c r="D220" s="17">
        <v>5.03</v>
      </c>
      <c r="E220" s="17"/>
      <c r="F220" s="6"/>
      <c r="G220" s="93">
        <f>SUM('1:2'!G220)</f>
        <v>0</v>
      </c>
      <c r="H220" s="246">
        <f t="shared" si="71"/>
        <v>0</v>
      </c>
      <c r="I220" s="93">
        <f>SUM('1:2'!I220)</f>
        <v>0</v>
      </c>
      <c r="J220" s="31"/>
      <c r="K220" s="35">
        <f t="array" ref="K220">IF(ISERROR(G220/L220),"",G220/L220)</f>
        <v>0</v>
      </c>
      <c r="L220" s="87">
        <v>54</v>
      </c>
      <c r="M220" s="36">
        <f t="shared" si="80"/>
        <v>0</v>
      </c>
      <c r="N220" s="93">
        <f>SUM('1:2'!N220)</f>
        <v>0</v>
      </c>
      <c r="O220" s="93">
        <f>SUM('1:2'!O220)</f>
        <v>0</v>
      </c>
      <c r="P220" s="93">
        <f>SUM('1:2'!P220)</f>
        <v>0</v>
      </c>
      <c r="Q220" s="93">
        <f>SUM('1:2'!Q220)</f>
        <v>0</v>
      </c>
      <c r="R220" s="93">
        <f>SUM('1:2'!R220)</f>
        <v>0</v>
      </c>
      <c r="S220" s="93">
        <f>SUM('1:2'!S220)</f>
        <v>0</v>
      </c>
      <c r="T220" s="93">
        <f>SUM('1:2'!T220)</f>
        <v>0</v>
      </c>
      <c r="U220" s="93">
        <f>SUM('1:2'!U220)</f>
        <v>0</v>
      </c>
      <c r="V220" s="206"/>
      <c r="W220" s="33"/>
      <c r="X220" s="93">
        <f>SUM('1:2'!X220)</f>
        <v>0</v>
      </c>
      <c r="Y220" s="93">
        <f>SUM('1:2'!Y220)</f>
        <v>0</v>
      </c>
      <c r="Z220" s="93">
        <f>SUM('1:2'!Z220)</f>
        <v>0</v>
      </c>
      <c r="AA220" s="93">
        <f>SUM('1:2'!AA220)</f>
        <v>0</v>
      </c>
      <c r="AB220" s="358">
        <v>0.19</v>
      </c>
      <c r="AC220" s="269">
        <f t="shared" si="75"/>
        <v>0</v>
      </c>
      <c r="AD220" s="251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 ht="17.25">
      <c r="A221" s="316">
        <v>30100020</v>
      </c>
      <c r="B221" s="61" t="s">
        <v>385</v>
      </c>
      <c r="C221" s="16" t="s">
        <v>387</v>
      </c>
      <c r="D221" s="17">
        <v>5.03</v>
      </c>
      <c r="E221" s="17"/>
      <c r="F221" s="6"/>
      <c r="G221" s="93">
        <f>SUM('1:2'!G221)</f>
        <v>0</v>
      </c>
      <c r="H221" s="246">
        <f t="shared" si="71"/>
        <v>0</v>
      </c>
      <c r="I221" s="93">
        <f>SUM('1:2'!I221)</f>
        <v>0</v>
      </c>
      <c r="J221" s="31"/>
      <c r="K221" s="35">
        <f t="array" ref="K221">IF(ISERROR(G221/L221),"",G221/L221)</f>
        <v>0</v>
      </c>
      <c r="L221" s="87">
        <v>54</v>
      </c>
      <c r="M221" s="36">
        <f t="shared" si="80"/>
        <v>0</v>
      </c>
      <c r="N221" s="93">
        <f>SUM('1:2'!N221)</f>
        <v>0</v>
      </c>
      <c r="O221" s="93">
        <f>SUM('1:2'!O221)</f>
        <v>0</v>
      </c>
      <c r="P221" s="93">
        <f>SUM('1:2'!P221)</f>
        <v>0</v>
      </c>
      <c r="Q221" s="93">
        <f>SUM('1:2'!Q221)</f>
        <v>0</v>
      </c>
      <c r="R221" s="93">
        <f>SUM('1:2'!R221)</f>
        <v>0</v>
      </c>
      <c r="S221" s="93">
        <f>SUM('1:2'!S221)</f>
        <v>0</v>
      </c>
      <c r="T221" s="93">
        <f>SUM('1:2'!T221)</f>
        <v>0</v>
      </c>
      <c r="U221" s="93">
        <f>SUM('1:2'!U221)</f>
        <v>0</v>
      </c>
      <c r="V221" s="206"/>
      <c r="W221" s="33"/>
      <c r="X221" s="93">
        <f>SUM('1:2'!X221)</f>
        <v>0</v>
      </c>
      <c r="Y221" s="93">
        <f>SUM('1:2'!Y221)</f>
        <v>0</v>
      </c>
      <c r="Z221" s="93">
        <f>SUM('1:2'!Z221)</f>
        <v>0</v>
      </c>
      <c r="AA221" s="93">
        <f>SUM('1:2'!AA221)</f>
        <v>0</v>
      </c>
      <c r="AB221" s="358">
        <v>0.19</v>
      </c>
      <c r="AC221" s="269">
        <f t="shared" si="75"/>
        <v>0</v>
      </c>
      <c r="AD221" s="251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 ht="17.25">
      <c r="A222" s="316">
        <v>30100021</v>
      </c>
      <c r="B222" s="190" t="s">
        <v>382</v>
      </c>
      <c r="C222" s="16" t="s">
        <v>389</v>
      </c>
      <c r="D222" s="17">
        <v>5.03</v>
      </c>
      <c r="E222" s="17"/>
      <c r="F222" s="6"/>
      <c r="G222" s="93">
        <f>SUM('1:2'!G222)</f>
        <v>0</v>
      </c>
      <c r="H222" s="246">
        <f t="shared" si="71"/>
        <v>0</v>
      </c>
      <c r="I222" s="93">
        <f>SUM('1:2'!I222)</f>
        <v>0</v>
      </c>
      <c r="J222" s="31"/>
      <c r="K222" s="35">
        <f t="array" ref="K222">IF(ISERROR(G222/L222),"",G222/L222)</f>
        <v>0</v>
      </c>
      <c r="L222" s="87">
        <v>54</v>
      </c>
      <c r="M222" s="36">
        <f t="shared" si="80"/>
        <v>0</v>
      </c>
      <c r="N222" s="93">
        <f>SUM('1:2'!N222)</f>
        <v>0</v>
      </c>
      <c r="O222" s="93">
        <f>SUM('1:2'!O222)</f>
        <v>0</v>
      </c>
      <c r="P222" s="93">
        <f>SUM('1:2'!P222)</f>
        <v>0</v>
      </c>
      <c r="Q222" s="93">
        <f>SUM('1:2'!Q222)</f>
        <v>0</v>
      </c>
      <c r="R222" s="93">
        <f>SUM('1:2'!R222)</f>
        <v>0</v>
      </c>
      <c r="S222" s="93">
        <f>SUM('1:2'!S222)</f>
        <v>0</v>
      </c>
      <c r="T222" s="93">
        <f>SUM('1:2'!T222)</f>
        <v>0</v>
      </c>
      <c r="U222" s="93">
        <f>SUM('1:2'!U222)</f>
        <v>0</v>
      </c>
      <c r="V222" s="206"/>
      <c r="W222" s="33"/>
      <c r="X222" s="93">
        <f>SUM('1:2'!X222)</f>
        <v>0</v>
      </c>
      <c r="Y222" s="93">
        <f>SUM('1:2'!Y222)</f>
        <v>0</v>
      </c>
      <c r="Z222" s="93">
        <f>SUM('1:2'!Z222)</f>
        <v>0</v>
      </c>
      <c r="AA222" s="93">
        <f>SUM('1:2'!AA222)</f>
        <v>0</v>
      </c>
      <c r="AB222" s="358">
        <v>0.19</v>
      </c>
      <c r="AC222" s="269">
        <f t="shared" si="75"/>
        <v>0</v>
      </c>
      <c r="AD222" s="251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 ht="17.25">
      <c r="A223" s="316">
        <v>30100018</v>
      </c>
      <c r="B223" s="190" t="s">
        <v>382</v>
      </c>
      <c r="C223" s="16" t="s">
        <v>391</v>
      </c>
      <c r="D223" s="17">
        <v>5.03</v>
      </c>
      <c r="E223" s="17"/>
      <c r="F223" s="6"/>
      <c r="G223" s="93">
        <f>SUM('1:2'!G223)</f>
        <v>0</v>
      </c>
      <c r="H223" s="246">
        <f t="shared" si="71"/>
        <v>0</v>
      </c>
      <c r="I223" s="93">
        <f>SUM('1:2'!I223)</f>
        <v>0</v>
      </c>
      <c r="J223" s="31"/>
      <c r="K223" s="35">
        <f t="array" ref="K223">IF(ISERROR(G223/L223),"",G223/L223)</f>
        <v>0</v>
      </c>
      <c r="L223" s="87">
        <v>54</v>
      </c>
      <c r="M223" s="36">
        <f t="shared" si="80"/>
        <v>0</v>
      </c>
      <c r="N223" s="93">
        <f>SUM('1:2'!N223)</f>
        <v>0</v>
      </c>
      <c r="O223" s="93">
        <f>SUM('1:2'!O223)</f>
        <v>0</v>
      </c>
      <c r="P223" s="93">
        <f>SUM('1:2'!P223)</f>
        <v>0</v>
      </c>
      <c r="Q223" s="93">
        <f>SUM('1:2'!Q223)</f>
        <v>0</v>
      </c>
      <c r="R223" s="93">
        <f>SUM('1:2'!R223)</f>
        <v>0</v>
      </c>
      <c r="S223" s="93">
        <f>SUM('1:2'!S223)</f>
        <v>0</v>
      </c>
      <c r="T223" s="93">
        <f>SUM('1:2'!T223)</f>
        <v>0</v>
      </c>
      <c r="U223" s="93">
        <f>SUM('1:2'!U223)</f>
        <v>0</v>
      </c>
      <c r="V223" s="206"/>
      <c r="W223" s="33"/>
      <c r="X223" s="93">
        <f>SUM('1:2'!X223)</f>
        <v>0</v>
      </c>
      <c r="Y223" s="93">
        <f>SUM('1:2'!Y223)</f>
        <v>0</v>
      </c>
      <c r="Z223" s="93">
        <f>SUM('1:2'!Z223)</f>
        <v>0</v>
      </c>
      <c r="AA223" s="93">
        <f>SUM('1:2'!AA223)</f>
        <v>0</v>
      </c>
      <c r="AB223" s="358">
        <v>0.19</v>
      </c>
      <c r="AC223" s="269">
        <f t="shared" si="75"/>
        <v>0</v>
      </c>
      <c r="AD223" s="251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 ht="17.25">
      <c r="A224" s="319">
        <v>30700007</v>
      </c>
      <c r="B224" s="190" t="s">
        <v>418</v>
      </c>
      <c r="C224" s="187" t="s">
        <v>364</v>
      </c>
      <c r="D224" s="17">
        <v>5.03</v>
      </c>
      <c r="E224" s="17"/>
      <c r="F224" s="6"/>
      <c r="G224" s="93">
        <f>SUM('1:2'!G224)</f>
        <v>0</v>
      </c>
      <c r="H224" s="296">
        <f t="shared" si="71"/>
        <v>0</v>
      </c>
      <c r="I224" s="93">
        <f>SUM('1:2'!I224)</f>
        <v>0</v>
      </c>
      <c r="J224" s="31"/>
      <c r="K224" s="35">
        <f t="array" ref="K224">IF(ISERROR(G224/L224),"",G224/L224)</f>
        <v>0</v>
      </c>
      <c r="L224" s="87">
        <v>3</v>
      </c>
      <c r="M224" s="36">
        <f t="shared" si="80"/>
        <v>0</v>
      </c>
      <c r="N224" s="93">
        <f>SUM('1:2'!N224)</f>
        <v>0</v>
      </c>
      <c r="O224" s="93">
        <f>SUM('1:2'!O224)</f>
        <v>0</v>
      </c>
      <c r="P224" s="93">
        <f>SUM('1:2'!P224)</f>
        <v>0</v>
      </c>
      <c r="Q224" s="93">
        <f>SUM('1:2'!Q224)</f>
        <v>0</v>
      </c>
      <c r="R224" s="93">
        <f>SUM('1:2'!R224)</f>
        <v>0</v>
      </c>
      <c r="S224" s="93">
        <f>SUM('1:2'!S224)</f>
        <v>0</v>
      </c>
      <c r="T224" s="93">
        <f>SUM('1:2'!T224)</f>
        <v>0</v>
      </c>
      <c r="U224" s="93">
        <f>SUM('1:2'!U224)</f>
        <v>0</v>
      </c>
      <c r="V224" s="206"/>
      <c r="W224" s="33"/>
      <c r="X224" s="93">
        <f>SUM('1:2'!X224)</f>
        <v>0</v>
      </c>
      <c r="Y224" s="93">
        <f>SUM('1:2'!Y224)</f>
        <v>0</v>
      </c>
      <c r="Z224" s="93">
        <f>SUM('1:2'!Z224)</f>
        <v>0</v>
      </c>
      <c r="AA224" s="93">
        <f>SUM('1:2'!AA224)</f>
        <v>0</v>
      </c>
      <c r="AB224" s="361">
        <v>0.94</v>
      </c>
      <c r="AC224" s="269">
        <f t="shared" si="75"/>
        <v>0</v>
      </c>
      <c r="AD224" s="251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 ht="17.25">
      <c r="A225" s="319">
        <v>30700006</v>
      </c>
      <c r="B225" s="190" t="s">
        <v>418</v>
      </c>
      <c r="C225" s="187" t="s">
        <v>365</v>
      </c>
      <c r="D225" s="17">
        <v>5.03</v>
      </c>
      <c r="E225" s="17"/>
      <c r="F225" s="6"/>
      <c r="G225" s="93">
        <f>SUM('1:2'!G225)</f>
        <v>0</v>
      </c>
      <c r="H225" s="296">
        <f t="shared" si="71"/>
        <v>0</v>
      </c>
      <c r="I225" s="93">
        <f>SUM('1:2'!I225)</f>
        <v>0</v>
      </c>
      <c r="J225" s="31"/>
      <c r="K225" s="35">
        <f t="array" ref="K225">IF(ISERROR(G225/L225),"",G225/L225)</f>
        <v>0</v>
      </c>
      <c r="L225" s="87">
        <v>3</v>
      </c>
      <c r="M225" s="36">
        <f t="shared" si="80"/>
        <v>0</v>
      </c>
      <c r="N225" s="93">
        <f>SUM('1:2'!N225)</f>
        <v>0</v>
      </c>
      <c r="O225" s="93">
        <f>SUM('1:2'!O225)</f>
        <v>0</v>
      </c>
      <c r="P225" s="93">
        <f>SUM('1:2'!P225)</f>
        <v>0</v>
      </c>
      <c r="Q225" s="93">
        <f>SUM('1:2'!Q225)</f>
        <v>0</v>
      </c>
      <c r="R225" s="93">
        <f>SUM('1:2'!R225)</f>
        <v>0</v>
      </c>
      <c r="S225" s="93">
        <f>SUM('1:2'!S225)</f>
        <v>0</v>
      </c>
      <c r="T225" s="93">
        <f>SUM('1:2'!T225)</f>
        <v>0</v>
      </c>
      <c r="U225" s="93">
        <f>SUM('1:2'!U225)</f>
        <v>0</v>
      </c>
      <c r="V225" s="206"/>
      <c r="W225" s="33"/>
      <c r="X225" s="93">
        <f>SUM('1:2'!X225)</f>
        <v>0</v>
      </c>
      <c r="Y225" s="93">
        <f>SUM('1:2'!Y225)</f>
        <v>0</v>
      </c>
      <c r="Z225" s="93">
        <f>SUM('1:2'!Z225)</f>
        <v>0</v>
      </c>
      <c r="AA225" s="93">
        <f>SUM('1:2'!AA225)</f>
        <v>0</v>
      </c>
      <c r="AB225" s="361">
        <v>0.94</v>
      </c>
      <c r="AC225" s="269">
        <f t="shared" si="75"/>
        <v>0</v>
      </c>
      <c r="AD225" s="251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 ht="17.25">
      <c r="A226" s="319">
        <v>30700008</v>
      </c>
      <c r="B226" s="190" t="s">
        <v>418</v>
      </c>
      <c r="C226" s="187" t="s">
        <v>366</v>
      </c>
      <c r="D226" s="17">
        <v>5.03</v>
      </c>
      <c r="E226" s="17"/>
      <c r="F226" s="6"/>
      <c r="G226" s="93">
        <f>SUM('1:2'!G226)</f>
        <v>0</v>
      </c>
      <c r="H226" s="296">
        <f t="shared" si="71"/>
        <v>0</v>
      </c>
      <c r="I226" s="93">
        <f>SUM('1:2'!I226)</f>
        <v>0</v>
      </c>
      <c r="J226" s="31"/>
      <c r="K226" s="35">
        <f t="array" ref="K226">IF(ISERROR(G226/L226),"",G226/L226)</f>
        <v>0</v>
      </c>
      <c r="L226" s="87">
        <v>3</v>
      </c>
      <c r="M226" s="36">
        <f t="shared" si="80"/>
        <v>0</v>
      </c>
      <c r="N226" s="93">
        <f>SUM('1:2'!N226)</f>
        <v>0</v>
      </c>
      <c r="O226" s="93">
        <f>SUM('1:2'!O226)</f>
        <v>0</v>
      </c>
      <c r="P226" s="93">
        <f>SUM('1:2'!P226)</f>
        <v>0</v>
      </c>
      <c r="Q226" s="93">
        <f>SUM('1:2'!Q226)</f>
        <v>0</v>
      </c>
      <c r="R226" s="93">
        <f>SUM('1:2'!R226)</f>
        <v>0</v>
      </c>
      <c r="S226" s="93">
        <f>SUM('1:2'!S226)</f>
        <v>0</v>
      </c>
      <c r="T226" s="93">
        <f>SUM('1:2'!T226)</f>
        <v>0</v>
      </c>
      <c r="U226" s="93">
        <f>SUM('1:2'!U226)</f>
        <v>0</v>
      </c>
      <c r="V226" s="206"/>
      <c r="W226" s="33"/>
      <c r="X226" s="93">
        <f>SUM('1:2'!X226)</f>
        <v>0</v>
      </c>
      <c r="Y226" s="93">
        <f>SUM('1:2'!Y226)</f>
        <v>0</v>
      </c>
      <c r="Z226" s="93">
        <f>SUM('1:2'!Z226)</f>
        <v>0</v>
      </c>
      <c r="AA226" s="93">
        <f>SUM('1:2'!AA226)</f>
        <v>0</v>
      </c>
      <c r="AB226" s="361">
        <v>0.94</v>
      </c>
      <c r="AC226" s="269">
        <f t="shared" si="75"/>
        <v>0</v>
      </c>
      <c r="AD226" s="251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 ht="17.25">
      <c r="A227" s="319">
        <v>30700009</v>
      </c>
      <c r="B227" s="190" t="s">
        <v>418</v>
      </c>
      <c r="C227" s="187" t="s">
        <v>367</v>
      </c>
      <c r="D227" s="17">
        <v>5.03</v>
      </c>
      <c r="E227" s="17"/>
      <c r="F227" s="6"/>
      <c r="G227" s="93">
        <f>SUM('1:2'!G227)</f>
        <v>0</v>
      </c>
      <c r="H227" s="296">
        <f t="shared" si="71"/>
        <v>0</v>
      </c>
      <c r="I227" s="93">
        <f>SUM('1:2'!I227)</f>
        <v>0</v>
      </c>
      <c r="J227" s="31"/>
      <c r="K227" s="35">
        <f t="array" ref="K227">IF(ISERROR(G227/L227),"",G227/L227)</f>
        <v>0</v>
      </c>
      <c r="L227" s="87">
        <v>3</v>
      </c>
      <c r="M227" s="36">
        <f t="shared" si="80"/>
        <v>0</v>
      </c>
      <c r="N227" s="93">
        <f>SUM('1:2'!N227)</f>
        <v>0</v>
      </c>
      <c r="O227" s="93">
        <f>SUM('1:2'!O227)</f>
        <v>0</v>
      </c>
      <c r="P227" s="93">
        <f>SUM('1:2'!P227)</f>
        <v>0</v>
      </c>
      <c r="Q227" s="93">
        <f>SUM('1:2'!Q227)</f>
        <v>0</v>
      </c>
      <c r="R227" s="93">
        <f>SUM('1:2'!R227)</f>
        <v>0</v>
      </c>
      <c r="S227" s="93">
        <f>SUM('1:2'!S227)</f>
        <v>0</v>
      </c>
      <c r="T227" s="93">
        <f>SUM('1:2'!T227)</f>
        <v>0</v>
      </c>
      <c r="U227" s="93">
        <f>SUM('1:2'!U227)</f>
        <v>0</v>
      </c>
      <c r="V227" s="206"/>
      <c r="W227" s="33"/>
      <c r="X227" s="93">
        <f>SUM('1:2'!X227)</f>
        <v>0</v>
      </c>
      <c r="Y227" s="93">
        <f>SUM('1:2'!Y227)</f>
        <v>0</v>
      </c>
      <c r="Z227" s="93">
        <f>SUM('1:2'!Z227)</f>
        <v>0</v>
      </c>
      <c r="AA227" s="93">
        <f>SUM('1:2'!AA227)</f>
        <v>0</v>
      </c>
      <c r="AB227" s="361">
        <v>0.94</v>
      </c>
      <c r="AC227" s="269">
        <f t="shared" si="75"/>
        <v>0</v>
      </c>
      <c r="AD227" s="251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 ht="17.25">
      <c r="A228" s="316">
        <v>30100036</v>
      </c>
      <c r="B228" s="62" t="s">
        <v>80</v>
      </c>
      <c r="C228" s="16" t="s">
        <v>61</v>
      </c>
      <c r="D228" s="17">
        <v>5.03</v>
      </c>
      <c r="E228" s="17"/>
      <c r="F228" s="6"/>
      <c r="G228" s="93">
        <f>SUM('1:2'!G228)</f>
        <v>0</v>
      </c>
      <c r="H228" s="296">
        <f t="shared" si="71"/>
        <v>0</v>
      </c>
      <c r="I228" s="93">
        <f>SUM('1:2'!I228)</f>
        <v>0</v>
      </c>
      <c r="J228" s="31" t="str">
        <f t="array" ref="J228">IF(ISERROR(G228/I228),"",G228/I228)</f>
        <v/>
      </c>
      <c r="K228" s="35">
        <f t="array" ref="K228">IF(ISERROR(G228/L228),"",G228/L228)</f>
        <v>0</v>
      </c>
      <c r="L228" s="87">
        <v>40</v>
      </c>
      <c r="M228" s="36">
        <f t="shared" si="80"/>
        <v>0</v>
      </c>
      <c r="N228" s="93">
        <f>SUM('1:2'!N228)</f>
        <v>0</v>
      </c>
      <c r="O228" s="93">
        <f>SUM('1:2'!O228)</f>
        <v>0</v>
      </c>
      <c r="P228" s="93">
        <f>SUM('1:2'!P228)</f>
        <v>0</v>
      </c>
      <c r="Q228" s="93">
        <f>SUM('1:2'!Q228)</f>
        <v>0</v>
      </c>
      <c r="R228" s="93">
        <f>SUM('1:2'!R228)</f>
        <v>0</v>
      </c>
      <c r="S228" s="93">
        <f>SUM('1:2'!S228)</f>
        <v>0</v>
      </c>
      <c r="T228" s="93">
        <f>SUM('1:2'!T228)</f>
        <v>0</v>
      </c>
      <c r="U228" s="93">
        <f>SUM('1:2'!U228)</f>
        <v>0</v>
      </c>
      <c r="V228" s="206">
        <f t="shared" ref="V228:V237" si="83">SUM(X228:AA228)</f>
        <v>0</v>
      </c>
      <c r="W228" s="33" t="str">
        <f t="shared" ref="W228:W237" si="84">IF(ISERROR(V228/G228),"",V228/G228)</f>
        <v/>
      </c>
      <c r="X228" s="93">
        <f>SUM('1:2'!X228)</f>
        <v>0</v>
      </c>
      <c r="Y228" s="93">
        <f>SUM('1:2'!Y228)</f>
        <v>0</v>
      </c>
      <c r="Z228" s="93">
        <f>SUM('1:2'!Z228)</f>
        <v>0</v>
      </c>
      <c r="AA228" s="93">
        <f>SUM('1:2'!AA228)</f>
        <v>0</v>
      </c>
      <c r="AB228" s="358">
        <v>0.19</v>
      </c>
      <c r="AC228" s="269">
        <f t="shared" si="75"/>
        <v>0</v>
      </c>
      <c r="AD228" s="251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 ht="17.25">
      <c r="A229" s="316">
        <v>30100034</v>
      </c>
      <c r="B229" s="62" t="s">
        <v>80</v>
      </c>
      <c r="C229" s="16" t="s">
        <v>60</v>
      </c>
      <c r="D229" s="17">
        <v>5.03</v>
      </c>
      <c r="E229" s="17"/>
      <c r="F229" s="6"/>
      <c r="G229" s="93">
        <f>SUM('1:2'!G229)</f>
        <v>0</v>
      </c>
      <c r="H229" s="296">
        <f t="shared" si="71"/>
        <v>0</v>
      </c>
      <c r="I229" s="93">
        <f>SUM('1:2'!I229)</f>
        <v>0</v>
      </c>
      <c r="J229" s="31" t="str">
        <f t="array" ref="J229">IF(ISERROR(G229/I229),"",G229/I229)</f>
        <v/>
      </c>
      <c r="K229" s="35">
        <f t="array" ref="K229">IF(ISERROR(G229/L229),"",G229/L229)</f>
        <v>0</v>
      </c>
      <c r="L229" s="87">
        <v>40</v>
      </c>
      <c r="M229" s="36">
        <f t="shared" si="80"/>
        <v>0</v>
      </c>
      <c r="N229" s="93">
        <f>SUM('1:2'!N229)</f>
        <v>0</v>
      </c>
      <c r="O229" s="93">
        <f>SUM('1:2'!O229)</f>
        <v>0</v>
      </c>
      <c r="P229" s="93">
        <f>SUM('1:2'!P229)</f>
        <v>0</v>
      </c>
      <c r="Q229" s="93">
        <f>SUM('1:2'!Q229)</f>
        <v>0</v>
      </c>
      <c r="R229" s="93">
        <f>SUM('1:2'!R229)</f>
        <v>0</v>
      </c>
      <c r="S229" s="93">
        <f>SUM('1:2'!S229)</f>
        <v>0</v>
      </c>
      <c r="T229" s="93">
        <f>SUM('1:2'!T229)</f>
        <v>0</v>
      </c>
      <c r="U229" s="93">
        <f>SUM('1:2'!U229)</f>
        <v>0</v>
      </c>
      <c r="V229" s="206">
        <f t="shared" si="83"/>
        <v>0</v>
      </c>
      <c r="W229" s="33" t="str">
        <f t="shared" si="84"/>
        <v/>
      </c>
      <c r="X229" s="93">
        <f>SUM('1:2'!X229)</f>
        <v>0</v>
      </c>
      <c r="Y229" s="93">
        <f>SUM('1:2'!Y229)</f>
        <v>0</v>
      </c>
      <c r="Z229" s="93">
        <f>SUM('1:2'!Z229)</f>
        <v>0</v>
      </c>
      <c r="AA229" s="93">
        <f>SUM('1:2'!AA229)</f>
        <v>0</v>
      </c>
      <c r="AB229" s="358">
        <v>0.19</v>
      </c>
      <c r="AC229" s="269">
        <f t="shared" si="75"/>
        <v>0</v>
      </c>
      <c r="AD229" s="251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 ht="17.25">
      <c r="A230" s="316">
        <v>30100035</v>
      </c>
      <c r="B230" s="62" t="s">
        <v>80</v>
      </c>
      <c r="C230" s="16" t="s">
        <v>65</v>
      </c>
      <c r="D230" s="17">
        <v>5.03</v>
      </c>
      <c r="E230" s="17"/>
      <c r="F230" s="6"/>
      <c r="G230" s="93">
        <f>SUM('1:2'!G230)</f>
        <v>0</v>
      </c>
      <c r="H230" s="246">
        <f t="shared" si="71"/>
        <v>0</v>
      </c>
      <c r="I230" s="93">
        <f>SUM('1:2'!I230)</f>
        <v>0</v>
      </c>
      <c r="J230" s="31" t="str">
        <f t="array" ref="J230">IF(ISERROR(G230/I230),"",G230/I230)</f>
        <v/>
      </c>
      <c r="K230" s="35">
        <f t="array" ref="K230">IF(ISERROR(G230/L230),"",G230/L230)</f>
        <v>0</v>
      </c>
      <c r="L230" s="87">
        <v>40</v>
      </c>
      <c r="M230" s="36">
        <f t="shared" si="80"/>
        <v>0</v>
      </c>
      <c r="N230" s="93">
        <f>SUM('1:2'!N230)</f>
        <v>0</v>
      </c>
      <c r="O230" s="93">
        <f>SUM('1:2'!O230)</f>
        <v>0</v>
      </c>
      <c r="P230" s="93">
        <f>SUM('1:2'!P230)</f>
        <v>0</v>
      </c>
      <c r="Q230" s="93">
        <f>SUM('1:2'!Q230)</f>
        <v>0</v>
      </c>
      <c r="R230" s="93">
        <f>SUM('1:2'!R230)</f>
        <v>0</v>
      </c>
      <c r="S230" s="93">
        <f>SUM('1:2'!S230)</f>
        <v>0</v>
      </c>
      <c r="T230" s="93">
        <f>SUM('1:2'!T230)</f>
        <v>0</v>
      </c>
      <c r="U230" s="93">
        <f>SUM('1:2'!U230)</f>
        <v>0</v>
      </c>
      <c r="V230" s="206">
        <f t="shared" si="83"/>
        <v>0</v>
      </c>
      <c r="W230" s="33" t="str">
        <f t="shared" si="84"/>
        <v/>
      </c>
      <c r="X230" s="93">
        <f>SUM('1:2'!X230)</f>
        <v>0</v>
      </c>
      <c r="Y230" s="93">
        <f>SUM('1:2'!Y230)</f>
        <v>0</v>
      </c>
      <c r="Z230" s="93">
        <f>SUM('1:2'!Z230)</f>
        <v>0</v>
      </c>
      <c r="AA230" s="93">
        <f>SUM('1:2'!AA230)</f>
        <v>0</v>
      </c>
      <c r="AB230" s="358">
        <v>0.19</v>
      </c>
      <c r="AC230" s="269">
        <f t="shared" si="75"/>
        <v>0</v>
      </c>
      <c r="AD230" s="251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 ht="17.25">
      <c r="A231" s="316">
        <v>30100040</v>
      </c>
      <c r="B231" s="62" t="s">
        <v>81</v>
      </c>
      <c r="C231" s="16" t="s">
        <v>82</v>
      </c>
      <c r="D231" s="17">
        <v>5.03</v>
      </c>
      <c r="E231" s="17"/>
      <c r="F231" s="6"/>
      <c r="G231" s="93">
        <f>SUM('1:2'!G231)</f>
        <v>0</v>
      </c>
      <c r="H231" s="246">
        <f t="shared" si="71"/>
        <v>0</v>
      </c>
      <c r="I231" s="93">
        <f>SUM('1:2'!I231)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87">
        <v>50</v>
      </c>
      <c r="M231" s="36">
        <f t="shared" si="80"/>
        <v>0</v>
      </c>
      <c r="N231" s="93">
        <f>SUM('1:2'!N231)</f>
        <v>0</v>
      </c>
      <c r="O231" s="93">
        <f>SUM('1:2'!O231)</f>
        <v>0</v>
      </c>
      <c r="P231" s="93">
        <f>SUM('1:2'!P231)</f>
        <v>0</v>
      </c>
      <c r="Q231" s="93">
        <f>SUM('1:2'!Q231)</f>
        <v>0</v>
      </c>
      <c r="R231" s="93">
        <f>SUM('1:2'!R231)</f>
        <v>0</v>
      </c>
      <c r="S231" s="93">
        <f>SUM('1:2'!S231)</f>
        <v>0</v>
      </c>
      <c r="T231" s="93">
        <f>SUM('1:2'!T231)</f>
        <v>0</v>
      </c>
      <c r="U231" s="93">
        <f>SUM('1:2'!U231)</f>
        <v>0</v>
      </c>
      <c r="V231" s="206">
        <f t="shared" si="83"/>
        <v>0</v>
      </c>
      <c r="W231" s="33" t="str">
        <f t="shared" si="84"/>
        <v/>
      </c>
      <c r="X231" s="93">
        <f>SUM('1:2'!X231)</f>
        <v>0</v>
      </c>
      <c r="Y231" s="93">
        <f>SUM('1:2'!Y231)</f>
        <v>0</v>
      </c>
      <c r="Z231" s="93">
        <f>SUM('1:2'!Z231)</f>
        <v>0</v>
      </c>
      <c r="AA231" s="93">
        <f>SUM('1:2'!AA231)</f>
        <v>0</v>
      </c>
      <c r="AB231" s="358">
        <v>0.21</v>
      </c>
      <c r="AC231" s="269">
        <f t="shared" si="75"/>
        <v>0</v>
      </c>
      <c r="AD231" s="251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 ht="17.25">
      <c r="A232" s="316">
        <v>30100039</v>
      </c>
      <c r="B232" s="62" t="s">
        <v>81</v>
      </c>
      <c r="C232" s="16" t="s">
        <v>60</v>
      </c>
      <c r="D232" s="17">
        <v>5.03</v>
      </c>
      <c r="E232" s="17"/>
      <c r="F232" s="6"/>
      <c r="G232" s="93">
        <f>SUM('1:2'!G232)</f>
        <v>0</v>
      </c>
      <c r="H232" s="246">
        <f t="shared" si="71"/>
        <v>0</v>
      </c>
      <c r="I232" s="93">
        <f>SUM('1:2'!I232)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87">
        <v>50</v>
      </c>
      <c r="M232" s="36">
        <f t="shared" si="80"/>
        <v>0</v>
      </c>
      <c r="N232" s="93">
        <f>SUM('1:2'!N232)</f>
        <v>0</v>
      </c>
      <c r="O232" s="93">
        <f>SUM('1:2'!O232)</f>
        <v>0</v>
      </c>
      <c r="P232" s="93">
        <f>SUM('1:2'!P232)</f>
        <v>0</v>
      </c>
      <c r="Q232" s="93">
        <f>SUM('1:2'!Q232)</f>
        <v>0</v>
      </c>
      <c r="R232" s="93">
        <f>SUM('1:2'!R232)</f>
        <v>0</v>
      </c>
      <c r="S232" s="93">
        <f>SUM('1:2'!S232)</f>
        <v>0</v>
      </c>
      <c r="T232" s="93">
        <f>SUM('1:2'!T232)</f>
        <v>0</v>
      </c>
      <c r="U232" s="93">
        <f>SUM('1:2'!U232)</f>
        <v>0</v>
      </c>
      <c r="V232" s="206">
        <f t="shared" si="83"/>
        <v>0</v>
      </c>
      <c r="W232" s="33" t="str">
        <f t="shared" si="84"/>
        <v/>
      </c>
      <c r="X232" s="93">
        <f>SUM('1:2'!X232)</f>
        <v>0</v>
      </c>
      <c r="Y232" s="93">
        <f>SUM('1:2'!Y232)</f>
        <v>0</v>
      </c>
      <c r="Z232" s="93">
        <f>SUM('1:2'!Z232)</f>
        <v>0</v>
      </c>
      <c r="AA232" s="93">
        <f>SUM('1:2'!AA232)</f>
        <v>0</v>
      </c>
      <c r="AB232" s="358">
        <v>0.21</v>
      </c>
      <c r="AC232" s="269">
        <f t="shared" si="75"/>
        <v>0</v>
      </c>
      <c r="AD232" s="251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 ht="17.25">
      <c r="A233" s="316">
        <v>30100042</v>
      </c>
      <c r="B233" s="62" t="s">
        <v>81</v>
      </c>
      <c r="C233" s="16" t="s">
        <v>61</v>
      </c>
      <c r="D233" s="17">
        <v>5.03</v>
      </c>
      <c r="E233" s="17"/>
      <c r="F233" s="6"/>
      <c r="G233" s="93">
        <f>SUM('1:2'!G233)</f>
        <v>0</v>
      </c>
      <c r="H233" s="246">
        <f t="shared" si="71"/>
        <v>0</v>
      </c>
      <c r="I233" s="93">
        <f>SUM('1:2'!I233)</f>
        <v>0</v>
      </c>
      <c r="J233" s="31" t="str">
        <f t="array" ref="J233">IF(ISERROR(G233/I233),"",G233/I233)</f>
        <v/>
      </c>
      <c r="K233" s="35">
        <f t="array" ref="K233">IF(ISERROR(G233/L233),"",G233/L233)</f>
        <v>0</v>
      </c>
      <c r="L233" s="87">
        <v>50</v>
      </c>
      <c r="M233" s="36">
        <f t="shared" si="80"/>
        <v>0</v>
      </c>
      <c r="N233" s="93">
        <f>SUM('1:2'!N233)</f>
        <v>0</v>
      </c>
      <c r="O233" s="93">
        <f>SUM('1:2'!O233)</f>
        <v>0</v>
      </c>
      <c r="P233" s="93">
        <f>SUM('1:2'!P233)</f>
        <v>0</v>
      </c>
      <c r="Q233" s="93">
        <f>SUM('1:2'!Q233)</f>
        <v>0</v>
      </c>
      <c r="R233" s="93">
        <f>SUM('1:2'!R233)</f>
        <v>0</v>
      </c>
      <c r="S233" s="93">
        <f>SUM('1:2'!S233)</f>
        <v>0</v>
      </c>
      <c r="T233" s="93">
        <f>SUM('1:2'!T233)</f>
        <v>0</v>
      </c>
      <c r="U233" s="93">
        <f>SUM('1:2'!U233)</f>
        <v>0</v>
      </c>
      <c r="V233" s="206">
        <f t="shared" si="83"/>
        <v>0</v>
      </c>
      <c r="W233" s="33" t="str">
        <f t="shared" si="84"/>
        <v/>
      </c>
      <c r="X233" s="93">
        <f>SUM('1:2'!X233)</f>
        <v>0</v>
      </c>
      <c r="Y233" s="93">
        <f>SUM('1:2'!Y233)</f>
        <v>0</v>
      </c>
      <c r="Z233" s="93">
        <f>SUM('1:2'!Z233)</f>
        <v>0</v>
      </c>
      <c r="AA233" s="93">
        <f>SUM('1:2'!AA233)</f>
        <v>0</v>
      </c>
      <c r="AB233" s="358">
        <v>0.21</v>
      </c>
      <c r="AC233" s="269">
        <f t="shared" si="75"/>
        <v>0</v>
      </c>
      <c r="AD233" s="251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 ht="17.25">
      <c r="A234" s="316">
        <v>30100041</v>
      </c>
      <c r="B234" s="62" t="s">
        <v>81</v>
      </c>
      <c r="C234" s="16" t="s">
        <v>65</v>
      </c>
      <c r="D234" s="17">
        <v>5.03</v>
      </c>
      <c r="E234" s="17"/>
      <c r="F234" s="6"/>
      <c r="G234" s="93">
        <f>SUM('1:2'!G234)</f>
        <v>0</v>
      </c>
      <c r="H234" s="246">
        <f t="shared" si="71"/>
        <v>0</v>
      </c>
      <c r="I234" s="93">
        <f>SUM('1:2'!I234)</f>
        <v>0</v>
      </c>
      <c r="J234" s="31" t="str">
        <f t="array" ref="J234">IF(ISERROR(G234/I234),"",G234/I234)</f>
        <v/>
      </c>
      <c r="K234" s="35">
        <f t="array" ref="K234">IF(ISERROR(G234/L234),"",G234/L234)</f>
        <v>0</v>
      </c>
      <c r="L234" s="87">
        <v>50</v>
      </c>
      <c r="M234" s="36">
        <f t="shared" si="80"/>
        <v>0</v>
      </c>
      <c r="N234" s="93">
        <f>SUM('1:2'!N234)</f>
        <v>0</v>
      </c>
      <c r="O234" s="93">
        <f>SUM('1:2'!O234)</f>
        <v>0</v>
      </c>
      <c r="P234" s="93">
        <f>SUM('1:2'!P234)</f>
        <v>0</v>
      </c>
      <c r="Q234" s="93">
        <f>SUM('1:2'!Q234)</f>
        <v>0</v>
      </c>
      <c r="R234" s="93">
        <f>SUM('1:2'!R234)</f>
        <v>0</v>
      </c>
      <c r="S234" s="93">
        <f>SUM('1:2'!S234)</f>
        <v>0</v>
      </c>
      <c r="T234" s="93">
        <f>SUM('1:2'!T234)</f>
        <v>0</v>
      </c>
      <c r="U234" s="93">
        <f>SUM('1:2'!U234)</f>
        <v>0</v>
      </c>
      <c r="V234" s="206">
        <f t="shared" si="83"/>
        <v>0</v>
      </c>
      <c r="W234" s="33" t="str">
        <f t="shared" si="84"/>
        <v/>
      </c>
      <c r="X234" s="93">
        <f>SUM('1:2'!X234)</f>
        <v>0</v>
      </c>
      <c r="Y234" s="93">
        <f>SUM('1:2'!Y234)</f>
        <v>0</v>
      </c>
      <c r="Z234" s="93">
        <f>SUM('1:2'!Z234)</f>
        <v>0</v>
      </c>
      <c r="AA234" s="93">
        <f>SUM('1:2'!AA234)</f>
        <v>0</v>
      </c>
      <c r="AB234" s="358">
        <v>0.21</v>
      </c>
      <c r="AC234" s="269">
        <f t="shared" si="75"/>
        <v>0</v>
      </c>
      <c r="AD234" s="251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 ht="17.25">
      <c r="A235" s="316">
        <v>30100045</v>
      </c>
      <c r="B235" s="62" t="s">
        <v>83</v>
      </c>
      <c r="C235" s="16" t="s">
        <v>73</v>
      </c>
      <c r="D235" s="17">
        <v>5.03</v>
      </c>
      <c r="E235" s="17"/>
      <c r="F235" s="6"/>
      <c r="G235" s="93">
        <f>SUM('1:2'!G235)</f>
        <v>0</v>
      </c>
      <c r="H235" s="246">
        <f t="shared" si="71"/>
        <v>0</v>
      </c>
      <c r="I235" s="93">
        <f>SUM('1:2'!I235)</f>
        <v>0</v>
      </c>
      <c r="J235" s="31" t="str">
        <f t="array" ref="J235">IF(ISERROR(G235/I235),"",G235/I235)</f>
        <v/>
      </c>
      <c r="K235" s="35">
        <f t="array" ref="K235">IF(ISERROR(G235/L235),"",G235/L235)</f>
        <v>0</v>
      </c>
      <c r="L235" s="87">
        <v>50</v>
      </c>
      <c r="M235" s="36">
        <f t="shared" si="80"/>
        <v>0</v>
      </c>
      <c r="N235" s="93">
        <f>SUM('1:2'!N235)</f>
        <v>0</v>
      </c>
      <c r="O235" s="93">
        <f>SUM('1:2'!O235)</f>
        <v>0</v>
      </c>
      <c r="P235" s="93">
        <f>SUM('1:2'!P235)</f>
        <v>0</v>
      </c>
      <c r="Q235" s="93">
        <f>SUM('1:2'!Q235)</f>
        <v>0</v>
      </c>
      <c r="R235" s="93">
        <f>SUM('1:2'!R235)</f>
        <v>0</v>
      </c>
      <c r="S235" s="93">
        <f>SUM('1:2'!S235)</f>
        <v>0</v>
      </c>
      <c r="T235" s="93">
        <f>SUM('1:2'!T235)</f>
        <v>0</v>
      </c>
      <c r="U235" s="93">
        <f>SUM('1:2'!U235)</f>
        <v>0</v>
      </c>
      <c r="V235" s="206">
        <f t="shared" si="83"/>
        <v>0</v>
      </c>
      <c r="W235" s="33" t="str">
        <f t="shared" si="84"/>
        <v/>
      </c>
      <c r="X235" s="93">
        <f>SUM('1:2'!X235)</f>
        <v>0</v>
      </c>
      <c r="Y235" s="93">
        <f>SUM('1:2'!Y235)</f>
        <v>0</v>
      </c>
      <c r="Z235" s="93">
        <f>SUM('1:2'!Z235)</f>
        <v>0</v>
      </c>
      <c r="AA235" s="93">
        <f>SUM('1:2'!AA235)</f>
        <v>0</v>
      </c>
      <c r="AB235" s="358">
        <v>0.21</v>
      </c>
      <c r="AC235" s="269">
        <f t="shared" si="75"/>
        <v>0</v>
      </c>
      <c r="AD235" s="251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 ht="17.25">
      <c r="A236" s="316">
        <v>30100044</v>
      </c>
      <c r="B236" s="62" t="s">
        <v>83</v>
      </c>
      <c r="C236" s="16" t="s">
        <v>61</v>
      </c>
      <c r="D236" s="17">
        <v>5.03</v>
      </c>
      <c r="E236" s="17"/>
      <c r="F236" s="6"/>
      <c r="G236" s="93">
        <f>SUM('1:2'!G236)</f>
        <v>0</v>
      </c>
      <c r="H236" s="246">
        <f t="shared" si="71"/>
        <v>0</v>
      </c>
      <c r="I236" s="93">
        <f>SUM('1:2'!I236)</f>
        <v>0</v>
      </c>
      <c r="J236" s="31" t="str">
        <f t="array" ref="J236">IF(ISERROR(G236/I236),"",G236/I236)</f>
        <v/>
      </c>
      <c r="K236" s="35">
        <f t="array" ref="K236">IF(ISERROR(G236/L236),"",G236/L236)</f>
        <v>0</v>
      </c>
      <c r="L236" s="87">
        <v>50</v>
      </c>
      <c r="M236" s="36">
        <f t="shared" si="80"/>
        <v>0</v>
      </c>
      <c r="N236" s="93">
        <f>SUM('1:2'!N236)</f>
        <v>0</v>
      </c>
      <c r="O236" s="93">
        <f>SUM('1:2'!O236)</f>
        <v>0</v>
      </c>
      <c r="P236" s="93">
        <f>SUM('1:2'!P236)</f>
        <v>0</v>
      </c>
      <c r="Q236" s="93">
        <f>SUM('1:2'!Q236)</f>
        <v>0</v>
      </c>
      <c r="R236" s="93">
        <f>SUM('1:2'!R236)</f>
        <v>0</v>
      </c>
      <c r="S236" s="93">
        <f>SUM('1:2'!S236)</f>
        <v>0</v>
      </c>
      <c r="T236" s="93">
        <f>SUM('1:2'!T236)</f>
        <v>0</v>
      </c>
      <c r="U236" s="93">
        <f>SUM('1:2'!U236)</f>
        <v>0</v>
      </c>
      <c r="V236" s="206">
        <f t="shared" si="83"/>
        <v>0</v>
      </c>
      <c r="W236" s="33" t="str">
        <f t="shared" si="84"/>
        <v/>
      </c>
      <c r="X236" s="93">
        <f>SUM('1:2'!X236)</f>
        <v>0</v>
      </c>
      <c r="Y236" s="93">
        <f>SUM('1:2'!Y236)</f>
        <v>0</v>
      </c>
      <c r="Z236" s="93">
        <f>SUM('1:2'!Z236)</f>
        <v>0</v>
      </c>
      <c r="AA236" s="93">
        <f>SUM('1:2'!AA236)</f>
        <v>0</v>
      </c>
      <c r="AB236" s="358">
        <v>0.21</v>
      </c>
      <c r="AC236" s="269">
        <f t="shared" si="75"/>
        <v>0</v>
      </c>
      <c r="AD236" s="251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 ht="17.25">
      <c r="A237" s="316">
        <v>30100046</v>
      </c>
      <c r="B237" s="62" t="s">
        <v>83</v>
      </c>
      <c r="C237" s="16" t="s">
        <v>77</v>
      </c>
      <c r="D237" s="17">
        <v>5.03</v>
      </c>
      <c r="E237" s="17"/>
      <c r="F237" s="6"/>
      <c r="G237" s="93">
        <f>SUM('1:2'!G237)</f>
        <v>0</v>
      </c>
      <c r="H237" s="246">
        <f t="shared" si="71"/>
        <v>0</v>
      </c>
      <c r="I237" s="93">
        <f>SUM('1:2'!I237)</f>
        <v>0</v>
      </c>
      <c r="J237" s="31" t="str">
        <f t="array" ref="J237">IF(ISERROR(G237/I237),"",G237/I237)</f>
        <v/>
      </c>
      <c r="K237" s="35">
        <f t="array" ref="K237">IF(ISERROR(G237/L237),"",G237/L237)</f>
        <v>0</v>
      </c>
      <c r="L237" s="87">
        <v>50</v>
      </c>
      <c r="M237" s="36">
        <f t="shared" si="80"/>
        <v>0</v>
      </c>
      <c r="N237" s="93">
        <f>SUM('1:2'!N237)</f>
        <v>0</v>
      </c>
      <c r="O237" s="93">
        <f>SUM('1:2'!O237)</f>
        <v>0</v>
      </c>
      <c r="P237" s="93">
        <f>SUM('1:2'!P237)</f>
        <v>0</v>
      </c>
      <c r="Q237" s="93">
        <f>SUM('1:2'!Q237)</f>
        <v>0</v>
      </c>
      <c r="R237" s="93">
        <f>SUM('1:2'!R237)</f>
        <v>0</v>
      </c>
      <c r="S237" s="93">
        <f>SUM('1:2'!S237)</f>
        <v>0</v>
      </c>
      <c r="T237" s="93">
        <f>SUM('1:2'!T237)</f>
        <v>0</v>
      </c>
      <c r="U237" s="93">
        <f>SUM('1:2'!U237)</f>
        <v>0</v>
      </c>
      <c r="V237" s="206">
        <f t="shared" si="83"/>
        <v>0</v>
      </c>
      <c r="W237" s="33" t="str">
        <f t="shared" si="84"/>
        <v/>
      </c>
      <c r="X237" s="93">
        <f>SUM('1:2'!X237)</f>
        <v>0</v>
      </c>
      <c r="Y237" s="93">
        <f>SUM('1:2'!Y237)</f>
        <v>0</v>
      </c>
      <c r="Z237" s="93">
        <f>SUM('1:2'!Z237)</f>
        <v>0</v>
      </c>
      <c r="AA237" s="93">
        <f>SUM('1:2'!AA237)</f>
        <v>0</v>
      </c>
      <c r="AB237" s="358">
        <v>0.21</v>
      </c>
      <c r="AC237" s="269">
        <f t="shared" si="75"/>
        <v>0</v>
      </c>
      <c r="AD237" s="251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 ht="17.25">
      <c r="A238" s="316">
        <v>30100043</v>
      </c>
      <c r="B238" s="192" t="s">
        <v>429</v>
      </c>
      <c r="C238" s="187" t="s">
        <v>427</v>
      </c>
      <c r="D238" s="17">
        <v>5.03</v>
      </c>
      <c r="E238" s="17"/>
      <c r="F238" s="6"/>
      <c r="G238" s="93">
        <f>SUM('1:2'!G238)</f>
        <v>0</v>
      </c>
      <c r="H238" s="246">
        <f t="shared" si="71"/>
        <v>0</v>
      </c>
      <c r="I238" s="93">
        <f>SUM('1:2'!I238)</f>
        <v>0</v>
      </c>
      <c r="J238" s="31"/>
      <c r="K238" s="35"/>
      <c r="L238" s="87">
        <v>50</v>
      </c>
      <c r="M238" s="36"/>
      <c r="N238" s="93"/>
      <c r="O238" s="93"/>
      <c r="P238" s="93"/>
      <c r="Q238" s="93"/>
      <c r="R238" s="93"/>
      <c r="S238" s="93"/>
      <c r="T238" s="93"/>
      <c r="U238" s="93"/>
      <c r="V238" s="206"/>
      <c r="W238" s="33"/>
      <c r="X238" s="93"/>
      <c r="Y238" s="93"/>
      <c r="Z238" s="93"/>
      <c r="AA238" s="93"/>
      <c r="AB238" s="358">
        <v>0.21</v>
      </c>
      <c r="AC238" s="269">
        <f t="shared" si="75"/>
        <v>0</v>
      </c>
      <c r="AD238" s="251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 ht="17.25">
      <c r="A239" s="316">
        <v>30100064</v>
      </c>
      <c r="B239" s="192" t="s">
        <v>400</v>
      </c>
      <c r="C239" s="187" t="s">
        <v>398</v>
      </c>
      <c r="D239" s="17">
        <v>5</v>
      </c>
      <c r="E239" s="17"/>
      <c r="F239" s="6"/>
      <c r="G239" s="93">
        <f>SUM('1:2'!G239)</f>
        <v>0</v>
      </c>
      <c r="H239" s="246">
        <f t="shared" si="71"/>
        <v>0</v>
      </c>
      <c r="I239" s="93">
        <f>SUM('1:2'!I239)</f>
        <v>0</v>
      </c>
      <c r="J239" s="31"/>
      <c r="K239" s="35">
        <f t="array" ref="K239">IF(ISERROR(G239/L239),"",G239/L239)</f>
        <v>0</v>
      </c>
      <c r="L239" s="87">
        <v>50</v>
      </c>
      <c r="M239" s="36">
        <f t="shared" ref="M239:M250" si="85">IF(ISERROR(I239-K239),"",I239-K239)</f>
        <v>0</v>
      </c>
      <c r="N239" s="93">
        <f>SUM('1:2'!N239)</f>
        <v>0</v>
      </c>
      <c r="O239" s="93">
        <f>SUM('1:2'!O239)</f>
        <v>0</v>
      </c>
      <c r="P239" s="93">
        <f>SUM('1:2'!P239)</f>
        <v>0</v>
      </c>
      <c r="Q239" s="93">
        <f>SUM('1:2'!Q239)</f>
        <v>0</v>
      </c>
      <c r="R239" s="93">
        <f>SUM('1:2'!R239)</f>
        <v>0</v>
      </c>
      <c r="S239" s="93">
        <f>SUM('1:2'!S239)</f>
        <v>0</v>
      </c>
      <c r="T239" s="93">
        <f>SUM('1:2'!T239)</f>
        <v>0</v>
      </c>
      <c r="U239" s="93">
        <f>SUM('1:2'!U239)</f>
        <v>0</v>
      </c>
      <c r="V239" s="206"/>
      <c r="W239" s="33"/>
      <c r="X239" s="93">
        <f>SUM('1:2'!X239)</f>
        <v>0</v>
      </c>
      <c r="Y239" s="93">
        <f>SUM('1:2'!Y239)</f>
        <v>0</v>
      </c>
      <c r="Z239" s="93">
        <f>SUM('1:2'!Z239)</f>
        <v>0</v>
      </c>
      <c r="AA239" s="93">
        <f>SUM('1:2'!AA239)</f>
        <v>0</v>
      </c>
      <c r="AB239" s="361">
        <v>0.21</v>
      </c>
      <c r="AC239" s="269">
        <f t="shared" si="75"/>
        <v>0</v>
      </c>
      <c r="AD239" s="251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 ht="17.25">
      <c r="A240" s="316">
        <v>30100049</v>
      </c>
      <c r="B240" s="62" t="s">
        <v>84</v>
      </c>
      <c r="C240" s="16" t="s">
        <v>64</v>
      </c>
      <c r="D240" s="17">
        <v>5.03</v>
      </c>
      <c r="E240" s="17"/>
      <c r="F240" s="6"/>
      <c r="G240" s="93">
        <f>SUM('1:2'!G240)</f>
        <v>340</v>
      </c>
      <c r="H240" s="296">
        <f t="shared" si="71"/>
        <v>1710.2</v>
      </c>
      <c r="I240" s="93">
        <f>SUM('1:2'!I240)</f>
        <v>22.5</v>
      </c>
      <c r="J240" s="31">
        <f t="array" ref="J240">IF(ISERROR(G240/I240),"",G240/I240)</f>
        <v>15.111111111111111</v>
      </c>
      <c r="K240" s="35">
        <f t="array" ref="K240">IF(ISERROR(G240/L240),"",G240/L240)</f>
        <v>15.813953488372093</v>
      </c>
      <c r="L240" s="87">
        <v>21.5</v>
      </c>
      <c r="M240" s="36">
        <f t="shared" si="85"/>
        <v>6.6860465116279073</v>
      </c>
      <c r="N240" s="93">
        <f>SUM('1:2'!N240)</f>
        <v>0</v>
      </c>
      <c r="O240" s="93">
        <f>SUM('1:2'!O240)</f>
        <v>0</v>
      </c>
      <c r="P240" s="93">
        <f>SUM('1:2'!P240)</f>
        <v>0</v>
      </c>
      <c r="Q240" s="93">
        <f>SUM('1:2'!Q240)</f>
        <v>0</v>
      </c>
      <c r="R240" s="93">
        <f>SUM('1:2'!R240)</f>
        <v>0</v>
      </c>
      <c r="S240" s="93">
        <f>SUM('1:2'!S240)</f>
        <v>0</v>
      </c>
      <c r="T240" s="93">
        <f>SUM('1:2'!T240)</f>
        <v>0</v>
      </c>
      <c r="U240" s="93">
        <f>SUM('1:2'!U240)</f>
        <v>0</v>
      </c>
      <c r="V240" s="206">
        <f t="shared" ref="V240:V241" si="86">SUM(X240:AA240)</f>
        <v>0</v>
      </c>
      <c r="W240" s="33">
        <f t="shared" ref="W240:W241" si="87">IF(ISERROR(V240/G240),"",V240/G240)</f>
        <v>0</v>
      </c>
      <c r="X240" s="93">
        <f>SUM('1:2'!X240)</f>
        <v>0</v>
      </c>
      <c r="Y240" s="93">
        <f>SUM('1:2'!Y240)</f>
        <v>0</v>
      </c>
      <c r="Z240" s="93">
        <f>SUM('1:2'!Z240)</f>
        <v>0</v>
      </c>
      <c r="AA240" s="93">
        <f>SUM('1:2'!AA240)</f>
        <v>0</v>
      </c>
      <c r="AB240" s="358">
        <v>0.49</v>
      </c>
      <c r="AC240" s="269">
        <f t="shared" si="75"/>
        <v>166.6</v>
      </c>
      <c r="AD240" s="251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 ht="17.25">
      <c r="A241" s="316">
        <v>30100050</v>
      </c>
      <c r="B241" s="62" t="s">
        <v>84</v>
      </c>
      <c r="C241" s="16" t="s">
        <v>65</v>
      </c>
      <c r="D241" s="17">
        <v>5.03</v>
      </c>
      <c r="E241" s="17"/>
      <c r="F241" s="6"/>
      <c r="G241" s="93">
        <f>SUM('1:2'!G241)</f>
        <v>0</v>
      </c>
      <c r="H241" s="296">
        <f t="shared" si="71"/>
        <v>0</v>
      </c>
      <c r="I241" s="93">
        <f>SUM('1:2'!I241)</f>
        <v>0</v>
      </c>
      <c r="J241" s="31" t="str">
        <f t="array" ref="J241">IF(ISERROR(G241/I241),"",G241/I241)</f>
        <v/>
      </c>
      <c r="K241" s="35">
        <f t="array" ref="K241">IF(ISERROR(G241/L241),"",G241/L241)</f>
        <v>0</v>
      </c>
      <c r="L241" s="87">
        <v>21.5</v>
      </c>
      <c r="M241" s="36">
        <f t="shared" si="85"/>
        <v>0</v>
      </c>
      <c r="N241" s="93">
        <f>SUM('1:2'!N241)</f>
        <v>0</v>
      </c>
      <c r="O241" s="93">
        <f>SUM('1:2'!O241)</f>
        <v>0</v>
      </c>
      <c r="P241" s="93">
        <f>SUM('1:2'!P241)</f>
        <v>0</v>
      </c>
      <c r="Q241" s="93">
        <f>SUM('1:2'!Q241)</f>
        <v>0</v>
      </c>
      <c r="R241" s="93">
        <f>SUM('1:2'!R241)</f>
        <v>0</v>
      </c>
      <c r="S241" s="93">
        <f>SUM('1:2'!S241)</f>
        <v>0</v>
      </c>
      <c r="T241" s="93">
        <f>SUM('1:2'!T241)</f>
        <v>0</v>
      </c>
      <c r="U241" s="93">
        <f>SUM('1:2'!U241)</f>
        <v>0</v>
      </c>
      <c r="V241" s="206">
        <f t="shared" si="86"/>
        <v>0</v>
      </c>
      <c r="W241" s="33" t="str">
        <f t="shared" si="87"/>
        <v/>
      </c>
      <c r="X241" s="93">
        <f>SUM('1:2'!X241)</f>
        <v>0</v>
      </c>
      <c r="Y241" s="93">
        <f>SUM('1:2'!Y241)</f>
        <v>0</v>
      </c>
      <c r="Z241" s="93">
        <f>SUM('1:2'!Z241)</f>
        <v>0</v>
      </c>
      <c r="AA241" s="93">
        <f>SUM('1:2'!AA241)</f>
        <v>0</v>
      </c>
      <c r="AB241" s="358">
        <v>0.49</v>
      </c>
      <c r="AC241" s="269">
        <f t="shared" si="75"/>
        <v>0</v>
      </c>
      <c r="AD241" s="251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 ht="17.25">
      <c r="A242" s="316"/>
      <c r="B242" s="192" t="s">
        <v>360</v>
      </c>
      <c r="C242" s="187" t="s">
        <v>361</v>
      </c>
      <c r="D242" s="17"/>
      <c r="E242" s="17"/>
      <c r="F242" s="6"/>
      <c r="G242" s="93">
        <f>SUM('1:2'!G242)</f>
        <v>0</v>
      </c>
      <c r="H242" s="296">
        <f t="shared" si="71"/>
        <v>0</v>
      </c>
      <c r="I242" s="93">
        <f>SUM('1:2'!I242)</f>
        <v>0</v>
      </c>
      <c r="J242" s="31"/>
      <c r="K242" s="35"/>
      <c r="L242" s="87"/>
      <c r="M242" s="36">
        <f t="shared" si="85"/>
        <v>0</v>
      </c>
      <c r="N242" s="93">
        <f>SUM('1:2'!N242)</f>
        <v>0</v>
      </c>
      <c r="O242" s="93">
        <f>SUM('1:2'!O242)</f>
        <v>0</v>
      </c>
      <c r="P242" s="93">
        <f>SUM('1:2'!P242)</f>
        <v>0</v>
      </c>
      <c r="Q242" s="93">
        <f>SUM('1:2'!Q242)</f>
        <v>0</v>
      </c>
      <c r="R242" s="93">
        <f>SUM('1:2'!R242)</f>
        <v>0</v>
      </c>
      <c r="S242" s="93">
        <f>SUM('1:2'!S242)</f>
        <v>0</v>
      </c>
      <c r="T242" s="93">
        <f>SUM('1:2'!T242)</f>
        <v>0</v>
      </c>
      <c r="U242" s="93">
        <f>SUM('1:2'!U242)</f>
        <v>0</v>
      </c>
      <c r="V242" s="206"/>
      <c r="W242" s="33"/>
      <c r="X242" s="93">
        <f>SUM('1:2'!X242)</f>
        <v>0</v>
      </c>
      <c r="Y242" s="93">
        <f>SUM('1:2'!Y242)</f>
        <v>0</v>
      </c>
      <c r="Z242" s="93">
        <f>SUM('1:2'!Z242)</f>
        <v>0</v>
      </c>
      <c r="AA242" s="93">
        <f>SUM('1:2'!AA242)</f>
        <v>0</v>
      </c>
      <c r="AB242" s="358"/>
      <c r="AC242" s="269">
        <f t="shared" si="75"/>
        <v>0</v>
      </c>
      <c r="AD242" s="251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 ht="17.25">
      <c r="A243" s="316">
        <v>30100055</v>
      </c>
      <c r="B243" s="63" t="s">
        <v>85</v>
      </c>
      <c r="C243" s="16" t="s">
        <v>60</v>
      </c>
      <c r="D243" s="17">
        <v>5.0599999999999996</v>
      </c>
      <c r="E243" s="17"/>
      <c r="F243" s="6"/>
      <c r="G243" s="93">
        <f>SUM('1:2'!G243)</f>
        <v>0</v>
      </c>
      <c r="H243" s="296">
        <f t="shared" si="71"/>
        <v>0</v>
      </c>
      <c r="I243" s="93">
        <f>SUM('1:2'!I243)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87"/>
      <c r="M243" s="36" t="str">
        <f t="shared" si="85"/>
        <v/>
      </c>
      <c r="N243" s="93">
        <f>SUM('1:2'!N243)</f>
        <v>0</v>
      </c>
      <c r="O243" s="93">
        <f>SUM('1:2'!O243)</f>
        <v>0</v>
      </c>
      <c r="P243" s="93">
        <f>SUM('1:2'!P243)</f>
        <v>0</v>
      </c>
      <c r="Q243" s="93">
        <f>SUM('1:2'!Q243)</f>
        <v>0</v>
      </c>
      <c r="R243" s="93">
        <f>SUM('1:2'!R243)</f>
        <v>0</v>
      </c>
      <c r="S243" s="93">
        <f>SUM('1:2'!S243)</f>
        <v>0</v>
      </c>
      <c r="T243" s="93">
        <f>SUM('1:2'!T243)</f>
        <v>0</v>
      </c>
      <c r="U243" s="93">
        <f>SUM('1:2'!U243)</f>
        <v>0</v>
      </c>
      <c r="V243" s="206">
        <f t="shared" ref="V243:V246" si="88">SUM(X243:AA243)</f>
        <v>0</v>
      </c>
      <c r="W243" s="33" t="str">
        <f t="shared" ref="W243:W246" si="89">IF(ISERROR(V243/G243),"",V243/G243)</f>
        <v/>
      </c>
      <c r="X243" s="93">
        <f>SUM('1:2'!X243)</f>
        <v>0</v>
      </c>
      <c r="Y243" s="93">
        <f>SUM('1:2'!Y243)</f>
        <v>0</v>
      </c>
      <c r="Z243" s="93">
        <f>SUM('1:2'!Z243)</f>
        <v>0</v>
      </c>
      <c r="AA243" s="93">
        <f>SUM('1:2'!AA243)</f>
        <v>0</v>
      </c>
      <c r="AB243" s="358">
        <v>0.43</v>
      </c>
      <c r="AC243" s="269">
        <f t="shared" si="75"/>
        <v>0</v>
      </c>
      <c r="AD243" s="251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 ht="17.25">
      <c r="A244" s="316">
        <v>30100056</v>
      </c>
      <c r="B244" s="63" t="s">
        <v>85</v>
      </c>
      <c r="C244" s="16" t="s">
        <v>74</v>
      </c>
      <c r="D244" s="17">
        <v>5.0599999999999996</v>
      </c>
      <c r="E244" s="17"/>
      <c r="F244" s="6"/>
      <c r="G244" s="93">
        <f>SUM('1:2'!G244)</f>
        <v>0</v>
      </c>
      <c r="H244" s="296">
        <f t="shared" si="71"/>
        <v>0</v>
      </c>
      <c r="I244" s="93">
        <f>SUM('1:2'!I244)</f>
        <v>0</v>
      </c>
      <c r="J244" s="31" t="str">
        <f t="array" ref="J244">IF(ISERROR(G244/I244),"",G244/I244)</f>
        <v/>
      </c>
      <c r="K244" s="35" t="str">
        <f t="array" ref="K244">IF(ISERROR(G244/L244),"",G244/L244)</f>
        <v/>
      </c>
      <c r="L244" s="87"/>
      <c r="M244" s="36" t="str">
        <f t="shared" si="85"/>
        <v/>
      </c>
      <c r="N244" s="93">
        <f>SUM('1:2'!N244)</f>
        <v>0</v>
      </c>
      <c r="O244" s="93">
        <f>SUM('1:2'!O244)</f>
        <v>0</v>
      </c>
      <c r="P244" s="93">
        <f>SUM('1:2'!P244)</f>
        <v>0</v>
      </c>
      <c r="Q244" s="93">
        <f>SUM('1:2'!Q244)</f>
        <v>0</v>
      </c>
      <c r="R244" s="93">
        <f>SUM('1:2'!R244)</f>
        <v>0</v>
      </c>
      <c r="S244" s="93">
        <f>SUM('1:2'!S244)</f>
        <v>0</v>
      </c>
      <c r="T244" s="93">
        <f>SUM('1:2'!T244)</f>
        <v>0</v>
      </c>
      <c r="U244" s="93">
        <f>SUM('1:2'!U244)</f>
        <v>0</v>
      </c>
      <c r="V244" s="206">
        <f t="shared" si="88"/>
        <v>0</v>
      </c>
      <c r="W244" s="33" t="str">
        <f t="shared" si="89"/>
        <v/>
      </c>
      <c r="X244" s="93">
        <f>SUM('1:2'!X244)</f>
        <v>0</v>
      </c>
      <c r="Y244" s="93">
        <f>SUM('1:2'!Y244)</f>
        <v>0</v>
      </c>
      <c r="Z244" s="93">
        <f>SUM('1:2'!Z244)</f>
        <v>0</v>
      </c>
      <c r="AA244" s="93">
        <f>SUM('1:2'!AA244)</f>
        <v>0</v>
      </c>
      <c r="AB244" s="358">
        <v>0.43</v>
      </c>
      <c r="AC244" s="269">
        <f t="shared" si="75"/>
        <v>0</v>
      </c>
      <c r="AD244" s="251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 ht="17.25">
      <c r="A245" s="316">
        <v>30100057</v>
      </c>
      <c r="B245" s="63" t="s">
        <v>85</v>
      </c>
      <c r="C245" s="16" t="s">
        <v>65</v>
      </c>
      <c r="D245" s="17">
        <v>5.0599999999999996</v>
      </c>
      <c r="E245" s="17"/>
      <c r="F245" s="6"/>
      <c r="G245" s="93">
        <f>SUM('1:2'!G245)</f>
        <v>0</v>
      </c>
      <c r="H245" s="296">
        <f t="shared" si="71"/>
        <v>0</v>
      </c>
      <c r="I245" s="93">
        <f>SUM('1:2'!I245)</f>
        <v>0</v>
      </c>
      <c r="J245" s="31" t="str">
        <f t="array" ref="J245">IF(ISERROR(G245/I245),"",G245/I245)</f>
        <v/>
      </c>
      <c r="K245" s="35" t="str">
        <f t="array" ref="K245">IF(ISERROR(G245/L245),"",G245/L245)</f>
        <v/>
      </c>
      <c r="L245" s="87"/>
      <c r="M245" s="36" t="str">
        <f t="shared" si="85"/>
        <v/>
      </c>
      <c r="N245" s="93">
        <f>SUM('1:2'!N245)</f>
        <v>0</v>
      </c>
      <c r="O245" s="93">
        <f>SUM('1:2'!O245)</f>
        <v>0</v>
      </c>
      <c r="P245" s="93">
        <f>SUM('1:2'!P245)</f>
        <v>0</v>
      </c>
      <c r="Q245" s="93">
        <f>SUM('1:2'!Q245)</f>
        <v>0</v>
      </c>
      <c r="R245" s="93">
        <f>SUM('1:2'!R245)</f>
        <v>0</v>
      </c>
      <c r="S245" s="93">
        <f>SUM('1:2'!S245)</f>
        <v>0</v>
      </c>
      <c r="T245" s="93">
        <f>SUM('1:2'!T245)</f>
        <v>0</v>
      </c>
      <c r="U245" s="93">
        <f>SUM('1:2'!U245)</f>
        <v>0</v>
      </c>
      <c r="V245" s="206">
        <f t="shared" si="88"/>
        <v>0</v>
      </c>
      <c r="W245" s="33" t="str">
        <f t="shared" si="89"/>
        <v/>
      </c>
      <c r="X245" s="93">
        <f>SUM('1:2'!X245)</f>
        <v>0</v>
      </c>
      <c r="Y245" s="93">
        <f>SUM('1:2'!Y245)</f>
        <v>0</v>
      </c>
      <c r="Z245" s="93">
        <f>SUM('1:2'!Z245)</f>
        <v>0</v>
      </c>
      <c r="AA245" s="93">
        <f>SUM('1:2'!AA245)</f>
        <v>0</v>
      </c>
      <c r="AB245" s="358">
        <v>0.43</v>
      </c>
      <c r="AC245" s="269">
        <f t="shared" si="75"/>
        <v>0</v>
      </c>
      <c r="AD245" s="251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 ht="15" customHeight="1">
      <c r="A246" s="316">
        <v>30100058</v>
      </c>
      <c r="B246" s="63" t="s">
        <v>85</v>
      </c>
      <c r="C246" s="16" t="s">
        <v>61</v>
      </c>
      <c r="D246" s="17">
        <v>5.0599999999999996</v>
      </c>
      <c r="E246" s="17"/>
      <c r="F246" s="6"/>
      <c r="G246" s="93">
        <f>SUM('1:2'!G246)</f>
        <v>0</v>
      </c>
      <c r="H246" s="296">
        <f t="shared" si="71"/>
        <v>0</v>
      </c>
      <c r="I246" s="93">
        <f>SUM('1:2'!I246)</f>
        <v>0</v>
      </c>
      <c r="J246" s="31" t="str">
        <f t="array" ref="J246">IF(ISERROR(G246/I246),"",G246/I246)</f>
        <v/>
      </c>
      <c r="K246" s="35" t="str">
        <f t="array" ref="K246">IF(ISERROR(G246/L246),"",G246/L246)</f>
        <v/>
      </c>
      <c r="L246" s="87"/>
      <c r="M246" s="36" t="str">
        <f t="shared" si="85"/>
        <v/>
      </c>
      <c r="N246" s="93">
        <f>SUM('1:2'!N246)</f>
        <v>0</v>
      </c>
      <c r="O246" s="93">
        <f>SUM('1:2'!O246)</f>
        <v>0</v>
      </c>
      <c r="P246" s="93">
        <f>SUM('1:2'!P246)</f>
        <v>0</v>
      </c>
      <c r="Q246" s="93">
        <f>SUM('1:2'!Q246)</f>
        <v>0</v>
      </c>
      <c r="R246" s="93">
        <f>SUM('1:2'!R246)</f>
        <v>0</v>
      </c>
      <c r="S246" s="93">
        <f>SUM('1:2'!S246)</f>
        <v>0</v>
      </c>
      <c r="T246" s="93">
        <f>SUM('1:2'!T246)</f>
        <v>0</v>
      </c>
      <c r="U246" s="93">
        <f>SUM('1:2'!U246)</f>
        <v>0</v>
      </c>
      <c r="V246" s="206">
        <f t="shared" si="88"/>
        <v>0</v>
      </c>
      <c r="W246" s="33" t="str">
        <f t="shared" si="89"/>
        <v/>
      </c>
      <c r="X246" s="93">
        <f>SUM('1:2'!X246)</f>
        <v>0</v>
      </c>
      <c r="Y246" s="93">
        <f>SUM('1:2'!Y246)</f>
        <v>0</v>
      </c>
      <c r="Z246" s="93">
        <f>SUM('1:2'!Z246)</f>
        <v>0</v>
      </c>
      <c r="AA246" s="93">
        <f>SUM('1:2'!AA246)</f>
        <v>0</v>
      </c>
      <c r="AB246" s="358">
        <v>0.43</v>
      </c>
      <c r="AC246" s="269">
        <f t="shared" si="75"/>
        <v>0</v>
      </c>
      <c r="AD246" s="251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 ht="17.25">
      <c r="A247" s="318">
        <v>30600013</v>
      </c>
      <c r="B247" s="197" t="s">
        <v>377</v>
      </c>
      <c r="C247" s="187" t="s">
        <v>374</v>
      </c>
      <c r="D247" s="17"/>
      <c r="E247" s="17"/>
      <c r="F247" s="6"/>
      <c r="G247" s="93">
        <f>SUM('1:2'!G247)</f>
        <v>0</v>
      </c>
      <c r="H247" s="296">
        <f t="shared" si="71"/>
        <v>0</v>
      </c>
      <c r="I247" s="93">
        <f>SUM('1:2'!I247)</f>
        <v>0</v>
      </c>
      <c r="J247" s="31"/>
      <c r="K247" s="35">
        <f t="array" ref="K247">IF(ISERROR(G247/L247),"",G247/L247)</f>
        <v>0</v>
      </c>
      <c r="L247" s="87">
        <v>24</v>
      </c>
      <c r="M247" s="36">
        <f t="shared" si="85"/>
        <v>0</v>
      </c>
      <c r="N247" s="93">
        <f>SUM('1:2'!N247)</f>
        <v>0</v>
      </c>
      <c r="O247" s="93">
        <f>SUM('1:2'!O247)</f>
        <v>0</v>
      </c>
      <c r="P247" s="93">
        <f>SUM('1:2'!P247)</f>
        <v>0</v>
      </c>
      <c r="Q247" s="93">
        <f>SUM('1:2'!Q247)</f>
        <v>0</v>
      </c>
      <c r="R247" s="93">
        <f>SUM('1:2'!R247)</f>
        <v>0</v>
      </c>
      <c r="S247" s="93">
        <f>SUM('1:2'!S247)</f>
        <v>0</v>
      </c>
      <c r="T247" s="93">
        <f>SUM('1:2'!T247)</f>
        <v>0</v>
      </c>
      <c r="U247" s="93">
        <f>SUM('1:2'!U247)</f>
        <v>0</v>
      </c>
      <c r="V247" s="206"/>
      <c r="W247" s="33"/>
      <c r="X247" s="93">
        <f>SUM('1:2'!X247)</f>
        <v>0</v>
      </c>
      <c r="Y247" s="93">
        <f>SUM('1:2'!Y247)</f>
        <v>0</v>
      </c>
      <c r="Z247" s="93">
        <f>SUM('1:2'!Z247)</f>
        <v>0</v>
      </c>
      <c r="AA247" s="93">
        <f>SUM('1:2'!AA247)</f>
        <v>0</v>
      </c>
      <c r="AB247" s="358">
        <v>0.43</v>
      </c>
      <c r="AC247" s="269">
        <f t="shared" si="75"/>
        <v>0</v>
      </c>
      <c r="AD247" s="251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 ht="17.25">
      <c r="A248" s="318">
        <v>30600014</v>
      </c>
      <c r="B248" s="197" t="s">
        <v>377</v>
      </c>
      <c r="C248" s="187" t="s">
        <v>369</v>
      </c>
      <c r="D248" s="17"/>
      <c r="E248" s="17"/>
      <c r="F248" s="6"/>
      <c r="G248" s="93">
        <f>SUM('1:2'!G248)</f>
        <v>0</v>
      </c>
      <c r="H248" s="296">
        <f t="shared" si="71"/>
        <v>0</v>
      </c>
      <c r="I248" s="93">
        <f>SUM('1:2'!I248)</f>
        <v>0</v>
      </c>
      <c r="J248" s="31"/>
      <c r="K248" s="35">
        <f t="array" ref="K248">IF(ISERROR(G248/L248),"",G248/L248)</f>
        <v>0</v>
      </c>
      <c r="L248" s="87">
        <v>24</v>
      </c>
      <c r="M248" s="36">
        <f t="shared" si="85"/>
        <v>0</v>
      </c>
      <c r="N248" s="93">
        <f>SUM('1:2'!N248)</f>
        <v>0</v>
      </c>
      <c r="O248" s="93">
        <f>SUM('1:2'!O248)</f>
        <v>0</v>
      </c>
      <c r="P248" s="93">
        <f>SUM('1:2'!P248)</f>
        <v>0</v>
      </c>
      <c r="Q248" s="93">
        <f>SUM('1:2'!Q248)</f>
        <v>0</v>
      </c>
      <c r="R248" s="93">
        <f>SUM('1:2'!R248)</f>
        <v>0</v>
      </c>
      <c r="S248" s="93">
        <f>SUM('1:2'!S248)</f>
        <v>0</v>
      </c>
      <c r="T248" s="93">
        <f>SUM('1:2'!T248)</f>
        <v>0</v>
      </c>
      <c r="U248" s="93">
        <f>SUM('1:2'!U248)</f>
        <v>0</v>
      </c>
      <c r="V248" s="206"/>
      <c r="W248" s="33"/>
      <c r="X248" s="93">
        <f>SUM('1:2'!X248)</f>
        <v>0</v>
      </c>
      <c r="Y248" s="93">
        <f>SUM('1:2'!Y248)</f>
        <v>0</v>
      </c>
      <c r="Z248" s="93">
        <f>SUM('1:2'!Z248)</f>
        <v>0</v>
      </c>
      <c r="AA248" s="93">
        <f>SUM('1:2'!AA248)</f>
        <v>0</v>
      </c>
      <c r="AB248" s="358">
        <v>0.43</v>
      </c>
      <c r="AC248" s="269">
        <f t="shared" si="75"/>
        <v>0</v>
      </c>
      <c r="AD248" s="251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 ht="17.25">
      <c r="A249" s="318">
        <v>30600012</v>
      </c>
      <c r="B249" s="197" t="s">
        <v>377</v>
      </c>
      <c r="C249" s="187" t="s">
        <v>370</v>
      </c>
      <c r="D249" s="17"/>
      <c r="E249" s="17"/>
      <c r="F249" s="6"/>
      <c r="G249" s="93">
        <f>SUM('1:2'!G249)</f>
        <v>0</v>
      </c>
      <c r="H249" s="296">
        <f t="shared" si="71"/>
        <v>0</v>
      </c>
      <c r="I249" s="93">
        <f>SUM('1:2'!I249)</f>
        <v>0</v>
      </c>
      <c r="J249" s="31"/>
      <c r="K249" s="35">
        <f t="array" ref="K249">IF(ISERROR(G249/L249),"",G249/L249)</f>
        <v>0</v>
      </c>
      <c r="L249" s="87">
        <v>24</v>
      </c>
      <c r="M249" s="36">
        <f t="shared" si="85"/>
        <v>0</v>
      </c>
      <c r="N249" s="93">
        <f>SUM('1:2'!N249)</f>
        <v>0</v>
      </c>
      <c r="O249" s="93">
        <f>SUM('1:2'!O249)</f>
        <v>0</v>
      </c>
      <c r="P249" s="93">
        <f>SUM('1:2'!P249)</f>
        <v>0</v>
      </c>
      <c r="Q249" s="93">
        <f>SUM('1:2'!Q249)</f>
        <v>0</v>
      </c>
      <c r="R249" s="93">
        <f>SUM('1:2'!R249)</f>
        <v>0</v>
      </c>
      <c r="S249" s="93">
        <f>SUM('1:2'!S249)</f>
        <v>0</v>
      </c>
      <c r="T249" s="93">
        <f>SUM('1:2'!T249)</f>
        <v>0</v>
      </c>
      <c r="U249" s="93">
        <f>SUM('1:2'!U249)</f>
        <v>0</v>
      </c>
      <c r="V249" s="206"/>
      <c r="W249" s="33"/>
      <c r="X249" s="93">
        <f>SUM('1:2'!X249)</f>
        <v>0</v>
      </c>
      <c r="Y249" s="93">
        <f>SUM('1:2'!Y249)</f>
        <v>0</v>
      </c>
      <c r="Z249" s="93">
        <f>SUM('1:2'!Z249)</f>
        <v>0</v>
      </c>
      <c r="AA249" s="93">
        <f>SUM('1:2'!AA249)</f>
        <v>0</v>
      </c>
      <c r="AB249" s="358">
        <v>0.43</v>
      </c>
      <c r="AC249" s="269">
        <f t="shared" si="75"/>
        <v>0</v>
      </c>
      <c r="AD249" s="251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 ht="17.25">
      <c r="A250" s="318">
        <v>30600011</v>
      </c>
      <c r="B250" s="197" t="s">
        <v>377</v>
      </c>
      <c r="C250" s="187" t="s">
        <v>371</v>
      </c>
      <c r="D250" s="17"/>
      <c r="E250" s="17"/>
      <c r="F250" s="6"/>
      <c r="G250" s="93">
        <f>SUM('1:2'!G250)</f>
        <v>0</v>
      </c>
      <c r="H250" s="296">
        <f t="shared" si="71"/>
        <v>0</v>
      </c>
      <c r="I250" s="93">
        <f>SUM('1:2'!I250)</f>
        <v>0</v>
      </c>
      <c r="J250" s="31"/>
      <c r="K250" s="35">
        <f t="array" ref="K250">IF(ISERROR(G250/L250),"",G250/L250)</f>
        <v>0</v>
      </c>
      <c r="L250" s="87">
        <v>24</v>
      </c>
      <c r="M250" s="36">
        <f t="shared" si="85"/>
        <v>0</v>
      </c>
      <c r="N250" s="93">
        <f>SUM('1:2'!N250)</f>
        <v>0</v>
      </c>
      <c r="O250" s="93">
        <f>SUM('1:2'!O250)</f>
        <v>0</v>
      </c>
      <c r="P250" s="93">
        <f>SUM('1:2'!P250)</f>
        <v>0</v>
      </c>
      <c r="Q250" s="93">
        <f>SUM('1:2'!Q250)</f>
        <v>0</v>
      </c>
      <c r="R250" s="93">
        <f>SUM('1:2'!R250)</f>
        <v>0</v>
      </c>
      <c r="S250" s="93">
        <f>SUM('1:2'!S250)</f>
        <v>0</v>
      </c>
      <c r="T250" s="93">
        <f>SUM('1:2'!T250)</f>
        <v>0</v>
      </c>
      <c r="U250" s="93">
        <f>SUM('1:2'!U250)</f>
        <v>0</v>
      </c>
      <c r="V250" s="206"/>
      <c r="W250" s="33"/>
      <c r="X250" s="93">
        <f>SUM('1:2'!X250)</f>
        <v>0</v>
      </c>
      <c r="Y250" s="93">
        <f>SUM('1:2'!Y250)</f>
        <v>0</v>
      </c>
      <c r="Z250" s="93">
        <f>SUM('1:2'!Z250)</f>
        <v>0</v>
      </c>
      <c r="AA250" s="93">
        <f>SUM('1:2'!AA250)</f>
        <v>0</v>
      </c>
      <c r="AB250" s="358">
        <v>0.43</v>
      </c>
      <c r="AC250" s="269">
        <f t="shared" si="75"/>
        <v>0</v>
      </c>
      <c r="AD250" s="251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 ht="17.25">
      <c r="A251" s="318">
        <v>30300002</v>
      </c>
      <c r="B251" s="197" t="s">
        <v>407</v>
      </c>
      <c r="C251" s="187" t="s">
        <v>408</v>
      </c>
      <c r="D251" s="17"/>
      <c r="E251" s="17"/>
      <c r="F251" s="6"/>
      <c r="G251" s="93">
        <f>SUM('1:2'!G251)</f>
        <v>0</v>
      </c>
      <c r="H251" s="296">
        <f t="shared" si="71"/>
        <v>0</v>
      </c>
      <c r="I251" s="93">
        <f>SUM('1:2'!I251)</f>
        <v>0</v>
      </c>
      <c r="J251" s="31"/>
      <c r="K251" s="35"/>
      <c r="L251" s="87">
        <v>4</v>
      </c>
      <c r="M251" s="36"/>
      <c r="N251" s="31"/>
      <c r="O251" s="93"/>
      <c r="P251" s="93"/>
      <c r="Q251" s="93"/>
      <c r="R251" s="93"/>
      <c r="S251" s="93"/>
      <c r="T251" s="93"/>
      <c r="U251" s="93"/>
      <c r="V251" s="206"/>
      <c r="W251" s="33"/>
      <c r="X251" s="93"/>
      <c r="Y251" s="93"/>
      <c r="Z251" s="93"/>
      <c r="AA251" s="93"/>
      <c r="AB251" s="361">
        <v>0.69</v>
      </c>
      <c r="AC251" s="269">
        <f t="shared" si="75"/>
        <v>0</v>
      </c>
      <c r="AD251" s="251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 ht="17.25">
      <c r="A252" s="318">
        <v>30300001</v>
      </c>
      <c r="B252" s="197" t="s">
        <v>407</v>
      </c>
      <c r="C252" s="187" t="s">
        <v>409</v>
      </c>
      <c r="D252" s="17"/>
      <c r="E252" s="17"/>
      <c r="F252" s="6"/>
      <c r="G252" s="93">
        <f>SUM('1:2'!G252)</f>
        <v>0</v>
      </c>
      <c r="H252" s="296">
        <f t="shared" si="71"/>
        <v>0</v>
      </c>
      <c r="I252" s="93">
        <f>SUM('1:2'!I252)</f>
        <v>0</v>
      </c>
      <c r="J252" s="31"/>
      <c r="K252" s="35"/>
      <c r="L252" s="87">
        <v>4</v>
      </c>
      <c r="M252" s="36"/>
      <c r="N252" s="31"/>
      <c r="O252" s="93"/>
      <c r="P252" s="93"/>
      <c r="Q252" s="93"/>
      <c r="R252" s="93"/>
      <c r="S252" s="93"/>
      <c r="T252" s="93"/>
      <c r="U252" s="93"/>
      <c r="V252" s="206"/>
      <c r="W252" s="33"/>
      <c r="X252" s="93"/>
      <c r="Y252" s="93"/>
      <c r="Z252" s="93"/>
      <c r="AA252" s="93"/>
      <c r="AB252" s="361">
        <v>0.69</v>
      </c>
      <c r="AC252" s="269">
        <f t="shared" si="75"/>
        <v>0</v>
      </c>
      <c r="AD252" s="251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 ht="17.25">
      <c r="A253" s="318">
        <v>30300003</v>
      </c>
      <c r="B253" s="197" t="s">
        <v>407</v>
      </c>
      <c r="C253" s="187" t="s">
        <v>410</v>
      </c>
      <c r="D253" s="17"/>
      <c r="E253" s="17"/>
      <c r="F253" s="6"/>
      <c r="G253" s="93">
        <f>SUM('1:2'!G253)</f>
        <v>0</v>
      </c>
      <c r="H253" s="296">
        <f t="shared" si="71"/>
        <v>0</v>
      </c>
      <c r="I253" s="93">
        <f>SUM('1:2'!I253)</f>
        <v>0</v>
      </c>
      <c r="J253" s="31"/>
      <c r="K253" s="35"/>
      <c r="L253" s="87">
        <v>4</v>
      </c>
      <c r="M253" s="36"/>
      <c r="N253" s="31"/>
      <c r="O253" s="93"/>
      <c r="P253" s="93"/>
      <c r="Q253" s="93"/>
      <c r="R253" s="93"/>
      <c r="S253" s="93"/>
      <c r="T253" s="93"/>
      <c r="U253" s="93"/>
      <c r="V253" s="206"/>
      <c r="W253" s="33"/>
      <c r="X253" s="93"/>
      <c r="Y253" s="93"/>
      <c r="Z253" s="93"/>
      <c r="AA253" s="93"/>
      <c r="AB253" s="361">
        <v>0.69</v>
      </c>
      <c r="AC253" s="269">
        <f t="shared" si="75"/>
        <v>0</v>
      </c>
      <c r="AD253" s="251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 ht="17.25">
      <c r="A254" s="318">
        <v>30300005</v>
      </c>
      <c r="B254" s="189" t="s">
        <v>363</v>
      </c>
      <c r="C254" s="16" t="s">
        <v>337</v>
      </c>
      <c r="D254" s="17"/>
      <c r="E254" s="17"/>
      <c r="F254" s="6"/>
      <c r="G254" s="93">
        <f>SUM('1:2'!G254)</f>
        <v>0</v>
      </c>
      <c r="H254" s="296">
        <f t="shared" si="71"/>
        <v>0</v>
      </c>
      <c r="I254" s="93">
        <f>SUM('1:2'!I254)</f>
        <v>0</v>
      </c>
      <c r="J254" s="31"/>
      <c r="K254" s="35"/>
      <c r="L254" s="87">
        <v>4</v>
      </c>
      <c r="M254" s="36"/>
      <c r="N254" s="31"/>
      <c r="O254" s="93">
        <f>SUM('1:2'!O254)</f>
        <v>0</v>
      </c>
      <c r="P254" s="93">
        <f>SUM('1:2'!P254)</f>
        <v>0</v>
      </c>
      <c r="Q254" s="93">
        <f>SUM('1:2'!Q254)</f>
        <v>0</v>
      </c>
      <c r="R254" s="93">
        <f>SUM('1:2'!R254)</f>
        <v>0</v>
      </c>
      <c r="S254" s="93">
        <f>SUM('1:2'!S254)</f>
        <v>0</v>
      </c>
      <c r="T254" s="93">
        <f>SUM('1:2'!T254)</f>
        <v>0</v>
      </c>
      <c r="U254" s="93">
        <f>SUM('1:2'!U254)</f>
        <v>0</v>
      </c>
      <c r="V254" s="206"/>
      <c r="W254" s="33"/>
      <c r="X254" s="93">
        <f>SUM('1:2'!X254)</f>
        <v>0</v>
      </c>
      <c r="Y254" s="93">
        <f>SUM('1:2'!Y254)</f>
        <v>0</v>
      </c>
      <c r="Z254" s="93">
        <f>SUM('1:2'!Z254)</f>
        <v>0</v>
      </c>
      <c r="AA254" s="93">
        <f>SUM('1:2'!AA254)</f>
        <v>0</v>
      </c>
      <c r="AB254" s="358">
        <v>0.95</v>
      </c>
      <c r="AC254" s="269">
        <f t="shared" si="75"/>
        <v>0</v>
      </c>
      <c r="AD254" s="251"/>
      <c r="AE254" s="54"/>
      <c r="AF254" s="54"/>
      <c r="AG254" s="54"/>
      <c r="AH254" s="5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 ht="17.25">
      <c r="A255" s="318">
        <v>30300004</v>
      </c>
      <c r="B255" s="189" t="s">
        <v>363</v>
      </c>
      <c r="C255" s="16" t="s">
        <v>339</v>
      </c>
      <c r="D255" s="17"/>
      <c r="E255" s="17"/>
      <c r="F255" s="6"/>
      <c r="G255" s="93">
        <f>SUM('1:2'!G255)</f>
        <v>0</v>
      </c>
      <c r="H255" s="296">
        <f t="shared" si="71"/>
        <v>0</v>
      </c>
      <c r="I255" s="93">
        <f>SUM('1:2'!I255)</f>
        <v>0</v>
      </c>
      <c r="J255" s="31"/>
      <c r="K255" s="35"/>
      <c r="L255" s="87">
        <v>4</v>
      </c>
      <c r="M255" s="36"/>
      <c r="N255" s="31"/>
      <c r="O255" s="93">
        <f>SUM('1:2'!O255)</f>
        <v>0</v>
      </c>
      <c r="P255" s="93">
        <f>SUM('1:2'!P255)</f>
        <v>0</v>
      </c>
      <c r="Q255" s="93">
        <f>SUM('1:2'!Q255)</f>
        <v>0</v>
      </c>
      <c r="R255" s="93">
        <f>SUM('1:2'!R255)</f>
        <v>0</v>
      </c>
      <c r="S255" s="93">
        <f>SUM('1:2'!S255)</f>
        <v>0</v>
      </c>
      <c r="T255" s="93">
        <f>SUM('1:2'!T255)</f>
        <v>0</v>
      </c>
      <c r="U255" s="93">
        <f>SUM('1:2'!U255)</f>
        <v>0</v>
      </c>
      <c r="V255" s="206"/>
      <c r="W255" s="33"/>
      <c r="X255" s="93">
        <f>SUM('1:2'!X255)</f>
        <v>0</v>
      </c>
      <c r="Y255" s="93">
        <f>SUM('1:2'!Y255)</f>
        <v>0</v>
      </c>
      <c r="Z255" s="93">
        <f>SUM('1:2'!Z255)</f>
        <v>0</v>
      </c>
      <c r="AA255" s="93">
        <f>SUM('1:2'!AA255)</f>
        <v>0</v>
      </c>
      <c r="AB255" s="358">
        <v>0.95</v>
      </c>
      <c r="AC255" s="269">
        <f t="shared" si="75"/>
        <v>0</v>
      </c>
      <c r="AD255" s="251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 ht="17.25">
      <c r="A256" s="318">
        <v>30300006</v>
      </c>
      <c r="B256" s="189" t="s">
        <v>363</v>
      </c>
      <c r="C256" s="16" t="s">
        <v>341</v>
      </c>
      <c r="D256" s="17"/>
      <c r="E256" s="17"/>
      <c r="F256" s="6"/>
      <c r="G256" s="93">
        <f>SUM('1:2'!G256)</f>
        <v>0</v>
      </c>
      <c r="H256" s="296">
        <f t="shared" si="71"/>
        <v>0</v>
      </c>
      <c r="I256" s="93">
        <f>SUM('1:2'!I256)</f>
        <v>0</v>
      </c>
      <c r="J256" s="31"/>
      <c r="K256" s="35"/>
      <c r="L256" s="87">
        <v>4</v>
      </c>
      <c r="M256" s="36"/>
      <c r="N256" s="31"/>
      <c r="O256" s="93">
        <f>SUM('1:2'!O256)</f>
        <v>0</v>
      </c>
      <c r="P256" s="93">
        <f>SUM('1:2'!P256)</f>
        <v>0</v>
      </c>
      <c r="Q256" s="93">
        <f>SUM('1:2'!Q256)</f>
        <v>0</v>
      </c>
      <c r="R256" s="93">
        <f>SUM('1:2'!R256)</f>
        <v>0</v>
      </c>
      <c r="S256" s="93">
        <f>SUM('1:2'!S256)</f>
        <v>0</v>
      </c>
      <c r="T256" s="93">
        <f>SUM('1:2'!T256)</f>
        <v>0</v>
      </c>
      <c r="U256" s="93">
        <f>SUM('1:2'!U256)</f>
        <v>0</v>
      </c>
      <c r="V256" s="206"/>
      <c r="W256" s="33"/>
      <c r="X256" s="93">
        <f>SUM('1:2'!X256)</f>
        <v>0</v>
      </c>
      <c r="Y256" s="93">
        <f>SUM('1:2'!Y256)</f>
        <v>0</v>
      </c>
      <c r="Z256" s="93">
        <f>SUM('1:2'!Z256)</f>
        <v>0</v>
      </c>
      <c r="AA256" s="93">
        <f>SUM('1:2'!AA256)</f>
        <v>0</v>
      </c>
      <c r="AB256" s="358">
        <v>0.95</v>
      </c>
      <c r="AC256" s="269">
        <f t="shared" si="75"/>
        <v>0</v>
      </c>
      <c r="AD256" s="251"/>
      <c r="AE256" s="54"/>
      <c r="AF256" s="54"/>
      <c r="AG256" s="54"/>
      <c r="AH256" s="5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 ht="15.75">
      <c r="A257" s="699" t="s">
        <v>86</v>
      </c>
      <c r="B257" s="699"/>
      <c r="C257" s="243" t="s">
        <v>71</v>
      </c>
      <c r="D257" s="20"/>
      <c r="E257" s="20"/>
      <c r="F257" s="32"/>
      <c r="G257" s="94">
        <f>SUM(G200:G256)</f>
        <v>4557</v>
      </c>
      <c r="H257" s="30">
        <f>SUM(H200:H256)</f>
        <v>22991.81</v>
      </c>
      <c r="I257" s="30">
        <f>SUM(I200:I256)</f>
        <v>191</v>
      </c>
      <c r="J257" s="31">
        <f t="array" ref="J257">IF(ISERROR(G257/I257),"",G257/I257)</f>
        <v>23.858638743455497</v>
      </c>
      <c r="K257" s="30">
        <f>SUM(K200:K256)</f>
        <v>132.843715393134</v>
      </c>
      <c r="L257" s="98"/>
      <c r="M257" s="89">
        <f t="shared" ref="M257:V257" si="90">SUM(M200:M256)</f>
        <v>58.156284606865995</v>
      </c>
      <c r="N257" s="30">
        <f t="shared" si="90"/>
        <v>0</v>
      </c>
      <c r="O257" s="91">
        <f t="shared" si="90"/>
        <v>0</v>
      </c>
      <c r="P257" s="91">
        <f t="shared" si="90"/>
        <v>0</v>
      </c>
      <c r="Q257" s="91">
        <f t="shared" si="90"/>
        <v>0</v>
      </c>
      <c r="R257" s="91">
        <f t="shared" si="90"/>
        <v>0</v>
      </c>
      <c r="S257" s="92">
        <f t="shared" si="90"/>
        <v>0</v>
      </c>
      <c r="T257" s="91">
        <f t="shared" si="90"/>
        <v>0</v>
      </c>
      <c r="U257" s="91">
        <f t="shared" si="90"/>
        <v>0</v>
      </c>
      <c r="V257" s="206">
        <f t="shared" si="90"/>
        <v>0</v>
      </c>
      <c r="W257" s="33">
        <f t="shared" ref="W257:W264" si="91">IF(ISERROR(V257/G257),"",V257/G257)</f>
        <v>0</v>
      </c>
      <c r="X257" s="92">
        <f>SUM(X200:X256)</f>
        <v>0</v>
      </c>
      <c r="Y257" s="92">
        <f>SUM(Y200:Y256)</f>
        <v>0</v>
      </c>
      <c r="Z257" s="92">
        <f>SUM(Z200:Z256)</f>
        <v>0</v>
      </c>
      <c r="AA257" s="92">
        <f>SUM(AA200:AA256)</f>
        <v>0</v>
      </c>
      <c r="AB257" s="358"/>
      <c r="AC257" s="91">
        <f>SUM(AC200:AC256)</f>
        <v>1360.2799999999997</v>
      </c>
      <c r="AD257" s="251"/>
      <c r="AE257" s="74"/>
      <c r="AF257" s="74"/>
      <c r="AG257" s="74"/>
      <c r="AH257" s="7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 ht="17.25">
      <c r="A258" s="320">
        <v>30400012</v>
      </c>
      <c r="B258" s="61" t="s">
        <v>87</v>
      </c>
      <c r="C258" s="16" t="s">
        <v>53</v>
      </c>
      <c r="D258" s="17">
        <v>5.03</v>
      </c>
      <c r="E258" s="17"/>
      <c r="F258" s="6"/>
      <c r="G258" s="93">
        <f>SUM('1:2'!G258)</f>
        <v>0</v>
      </c>
      <c r="H258" s="246">
        <f>D258*G258</f>
        <v>0</v>
      </c>
      <c r="I258" s="93">
        <f>SUM('1:2'!I258)</f>
        <v>0</v>
      </c>
      <c r="J258" s="31" t="str">
        <f t="array" ref="J258">IF(ISERROR(G258/I258),"",G258/I258)</f>
        <v/>
      </c>
      <c r="K258" s="35">
        <f t="array" ref="K258">IF(ISERROR(G258/L258),"",G258/L258)</f>
        <v>0</v>
      </c>
      <c r="L258" s="87">
        <v>8.8000000000000007</v>
      </c>
      <c r="M258" s="36">
        <f t="shared" ref="M258:M265" si="92">IF(ISERROR(I258-K258),"",I258-K258)</f>
        <v>0</v>
      </c>
      <c r="N258" s="31">
        <f t="shared" ref="N258:N265" si="93">SUM(O258:U258)</f>
        <v>0</v>
      </c>
      <c r="O258" s="93">
        <f>SUM('1:2'!O258)</f>
        <v>0</v>
      </c>
      <c r="P258" s="93">
        <f>SUM('1:2'!P258)</f>
        <v>0</v>
      </c>
      <c r="Q258" s="93">
        <f>SUM('1:2'!Q258)</f>
        <v>0</v>
      </c>
      <c r="R258" s="93">
        <f>SUM('1:2'!R258)</f>
        <v>0</v>
      </c>
      <c r="S258" s="93">
        <f>SUM('1:2'!S258)</f>
        <v>0</v>
      </c>
      <c r="T258" s="93">
        <f>SUM('1:2'!T258)</f>
        <v>0</v>
      </c>
      <c r="U258" s="93">
        <f>SUM('1:2'!U258)</f>
        <v>0</v>
      </c>
      <c r="V258" s="206">
        <f t="shared" ref="V258:V264" si="94">SUM(X258:AA258)</f>
        <v>0</v>
      </c>
      <c r="W258" s="33" t="str">
        <f t="shared" si="91"/>
        <v/>
      </c>
      <c r="X258" s="93">
        <f>SUM('1:2'!X258)</f>
        <v>0</v>
      </c>
      <c r="Y258" s="93">
        <f>SUM('1:2'!Y258)</f>
        <v>0</v>
      </c>
      <c r="Z258" s="93">
        <f>SUM('1:2'!Z258)</f>
        <v>0</v>
      </c>
      <c r="AA258" s="93">
        <f>SUM('1:2'!AA258)</f>
        <v>0</v>
      </c>
      <c r="AB258" s="358">
        <v>1.18</v>
      </c>
      <c r="AC258" s="269">
        <f t="shared" ref="AC258:AC291" si="95">AB258*G258</f>
        <v>0</v>
      </c>
      <c r="AD258" s="251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 ht="17.25">
      <c r="A259" s="320">
        <v>30400010</v>
      </c>
      <c r="B259" s="61" t="s">
        <v>87</v>
      </c>
      <c r="C259" s="16" t="s">
        <v>60</v>
      </c>
      <c r="D259" s="17">
        <v>5.03</v>
      </c>
      <c r="E259" s="17"/>
      <c r="F259" s="6"/>
      <c r="G259" s="93">
        <f>SUM('1:2'!G259)</f>
        <v>0</v>
      </c>
      <c r="H259" s="246">
        <f t="shared" ref="H259:H291" si="96">D259*G259</f>
        <v>0</v>
      </c>
      <c r="I259" s="93">
        <f>SUM('1:2'!I259)</f>
        <v>0</v>
      </c>
      <c r="J259" s="31" t="str">
        <f t="array" ref="J259">IF(ISERROR(G259/I259),"",G259/I259)</f>
        <v/>
      </c>
      <c r="K259" s="35">
        <f t="array" ref="K259">IF(ISERROR(G259/L259),"",G259/L259)</f>
        <v>0</v>
      </c>
      <c r="L259" s="87">
        <v>8.8000000000000007</v>
      </c>
      <c r="M259" s="36">
        <f t="shared" si="92"/>
        <v>0</v>
      </c>
      <c r="N259" s="31">
        <f t="shared" si="93"/>
        <v>0</v>
      </c>
      <c r="O259" s="93">
        <f>SUM('1:2'!O259)</f>
        <v>0</v>
      </c>
      <c r="P259" s="93">
        <f>SUM('1:2'!P259)</f>
        <v>0</v>
      </c>
      <c r="Q259" s="93">
        <f>SUM('1:2'!Q259)</f>
        <v>0</v>
      </c>
      <c r="R259" s="93">
        <f>SUM('1:2'!R259)</f>
        <v>0</v>
      </c>
      <c r="S259" s="93">
        <f>SUM('1:2'!S259)</f>
        <v>0</v>
      </c>
      <c r="T259" s="93">
        <f>SUM('1:2'!T259)</f>
        <v>0</v>
      </c>
      <c r="U259" s="93">
        <f>SUM('1:2'!U259)</f>
        <v>0</v>
      </c>
      <c r="V259" s="206">
        <f t="shared" si="94"/>
        <v>0</v>
      </c>
      <c r="W259" s="33" t="str">
        <f t="shared" si="91"/>
        <v/>
      </c>
      <c r="X259" s="93">
        <f>SUM('1:2'!X259)</f>
        <v>0</v>
      </c>
      <c r="Y259" s="93">
        <f>SUM('1:2'!Y259)</f>
        <v>0</v>
      </c>
      <c r="Z259" s="93">
        <f>SUM('1:2'!Z259)</f>
        <v>0</v>
      </c>
      <c r="AA259" s="93">
        <f>SUM('1:2'!AA259)</f>
        <v>0</v>
      </c>
      <c r="AB259" s="358">
        <v>1.18</v>
      </c>
      <c r="AC259" s="269">
        <f t="shared" si="95"/>
        <v>0</v>
      </c>
      <c r="AD259" s="251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 ht="17.25">
      <c r="A260" s="320">
        <v>30400011</v>
      </c>
      <c r="B260" s="61" t="s">
        <v>87</v>
      </c>
      <c r="C260" s="16" t="s">
        <v>74</v>
      </c>
      <c r="D260" s="17">
        <v>5.03</v>
      </c>
      <c r="E260" s="17"/>
      <c r="F260" s="6"/>
      <c r="G260" s="93">
        <f>SUM('1:2'!G260)</f>
        <v>0</v>
      </c>
      <c r="H260" s="246">
        <f t="shared" si="96"/>
        <v>0</v>
      </c>
      <c r="I260" s="93">
        <f>SUM('1:2'!I260)</f>
        <v>0</v>
      </c>
      <c r="J260" s="31" t="str">
        <f t="array" ref="J260">IF(ISERROR(G260/I260),"",G260/I260)</f>
        <v/>
      </c>
      <c r="K260" s="35">
        <f t="array" ref="K260">IF(ISERROR(G260/L260),"",G260/L260)</f>
        <v>0</v>
      </c>
      <c r="L260" s="87">
        <v>8.8000000000000007</v>
      </c>
      <c r="M260" s="36">
        <f t="shared" si="92"/>
        <v>0</v>
      </c>
      <c r="N260" s="31">
        <f t="shared" si="93"/>
        <v>0</v>
      </c>
      <c r="O260" s="93">
        <f>SUM('1:2'!O260)</f>
        <v>0</v>
      </c>
      <c r="P260" s="93">
        <f>SUM('1:2'!P260)</f>
        <v>0</v>
      </c>
      <c r="Q260" s="93">
        <f>SUM('1:2'!Q260)</f>
        <v>0</v>
      </c>
      <c r="R260" s="93">
        <f>SUM('1:2'!R260)</f>
        <v>0</v>
      </c>
      <c r="S260" s="93">
        <f>SUM('1:2'!S260)</f>
        <v>0</v>
      </c>
      <c r="T260" s="93">
        <f>SUM('1:2'!T260)</f>
        <v>0</v>
      </c>
      <c r="U260" s="93">
        <f>SUM('1:2'!U260)</f>
        <v>0</v>
      </c>
      <c r="V260" s="206">
        <f t="shared" si="94"/>
        <v>0</v>
      </c>
      <c r="W260" s="33" t="str">
        <f t="shared" si="91"/>
        <v/>
      </c>
      <c r="X260" s="93">
        <f>SUM('1:2'!X260)</f>
        <v>0</v>
      </c>
      <c r="Y260" s="93">
        <f>SUM('1:2'!Y260)</f>
        <v>0</v>
      </c>
      <c r="Z260" s="93">
        <f>SUM('1:2'!Z260)</f>
        <v>0</v>
      </c>
      <c r="AA260" s="93">
        <f>SUM('1:2'!AA260)</f>
        <v>0</v>
      </c>
      <c r="AB260" s="358">
        <v>1.18</v>
      </c>
      <c r="AC260" s="269">
        <f t="shared" si="95"/>
        <v>0</v>
      </c>
      <c r="AD260" s="251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 ht="17.25">
      <c r="A261" s="320">
        <v>30400014</v>
      </c>
      <c r="B261" s="215" t="s">
        <v>513</v>
      </c>
      <c r="C261" s="16" t="s">
        <v>53</v>
      </c>
      <c r="D261" s="17">
        <v>5.03</v>
      </c>
      <c r="E261" s="17"/>
      <c r="F261" s="6"/>
      <c r="G261" s="93">
        <f>SUM('1:2'!G261)</f>
        <v>0</v>
      </c>
      <c r="H261" s="246">
        <f t="shared" si="96"/>
        <v>0</v>
      </c>
      <c r="I261" s="93">
        <f>SUM('1:2'!I261)</f>
        <v>0</v>
      </c>
      <c r="J261" s="31" t="str">
        <f t="array" ref="J261">IF(ISERROR(G261/I261),"",G261/I261)</f>
        <v/>
      </c>
      <c r="K261" s="35">
        <f t="array" ref="K261">IF(ISERROR(G261/L261),"",G261/L261)</f>
        <v>0</v>
      </c>
      <c r="L261" s="87">
        <v>9.3000000000000007</v>
      </c>
      <c r="M261" s="36">
        <f t="shared" si="92"/>
        <v>0</v>
      </c>
      <c r="N261" s="31">
        <f t="shared" si="93"/>
        <v>0</v>
      </c>
      <c r="O261" s="93">
        <f>SUM('1:2'!O261)</f>
        <v>0</v>
      </c>
      <c r="P261" s="93">
        <f>SUM('1:2'!P261)</f>
        <v>0</v>
      </c>
      <c r="Q261" s="93">
        <f>SUM('1:2'!Q261)</f>
        <v>0</v>
      </c>
      <c r="R261" s="93">
        <f>SUM('1:2'!R261)</f>
        <v>0</v>
      </c>
      <c r="S261" s="93">
        <f>SUM('1:2'!S261)</f>
        <v>0</v>
      </c>
      <c r="T261" s="93">
        <f>SUM('1:2'!T261)</f>
        <v>0</v>
      </c>
      <c r="U261" s="93">
        <f>SUM('1:2'!U261)</f>
        <v>0</v>
      </c>
      <c r="V261" s="206">
        <f t="shared" si="94"/>
        <v>0</v>
      </c>
      <c r="W261" s="33" t="str">
        <f t="shared" si="91"/>
        <v/>
      </c>
      <c r="X261" s="93">
        <f>SUM('1:2'!X261)</f>
        <v>0</v>
      </c>
      <c r="Y261" s="93">
        <f>SUM('1:2'!Y261)</f>
        <v>0</v>
      </c>
      <c r="Z261" s="93">
        <f>SUM('1:2'!Z261)</f>
        <v>0</v>
      </c>
      <c r="AA261" s="93">
        <f>SUM('1:2'!AA261)</f>
        <v>0</v>
      </c>
      <c r="AB261" s="358">
        <v>1.1100000000000001</v>
      </c>
      <c r="AC261" s="269">
        <f t="shared" si="95"/>
        <v>0</v>
      </c>
      <c r="AD261" s="251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 ht="17.25">
      <c r="A262" s="320">
        <v>30400013</v>
      </c>
      <c r="B262" s="215" t="s">
        <v>473</v>
      </c>
      <c r="C262" s="16" t="s">
        <v>72</v>
      </c>
      <c r="D262" s="17">
        <v>5.03</v>
      </c>
      <c r="E262" s="17"/>
      <c r="F262" s="6"/>
      <c r="G262" s="93">
        <f>SUM('1:2'!G262)</f>
        <v>0</v>
      </c>
      <c r="H262" s="246">
        <f t="shared" si="96"/>
        <v>0</v>
      </c>
      <c r="I262" s="93">
        <f>SUM('1:2'!I262)</f>
        <v>0</v>
      </c>
      <c r="J262" s="31" t="str">
        <f t="array" ref="J262">IF(ISERROR(G262/I262),"",G262/I262)</f>
        <v/>
      </c>
      <c r="K262" s="35">
        <f t="array" ref="K262">IF(ISERROR(G262/L262),"",G262/L262)</f>
        <v>0</v>
      </c>
      <c r="L262" s="87">
        <v>9.3000000000000007</v>
      </c>
      <c r="M262" s="36">
        <f t="shared" si="92"/>
        <v>0</v>
      </c>
      <c r="N262" s="31">
        <f t="shared" si="93"/>
        <v>0</v>
      </c>
      <c r="O262" s="93">
        <f>SUM('1:2'!O262)</f>
        <v>0</v>
      </c>
      <c r="P262" s="93">
        <f>SUM('1:2'!P262)</f>
        <v>0</v>
      </c>
      <c r="Q262" s="93">
        <f>SUM('1:2'!Q262)</f>
        <v>0</v>
      </c>
      <c r="R262" s="93">
        <f>SUM('1:2'!R262)</f>
        <v>0</v>
      </c>
      <c r="S262" s="93">
        <f>SUM('1:2'!S262)</f>
        <v>0</v>
      </c>
      <c r="T262" s="93">
        <f>SUM('1:2'!T262)</f>
        <v>0</v>
      </c>
      <c r="U262" s="93">
        <f>SUM('1:2'!U262)</f>
        <v>0</v>
      </c>
      <c r="V262" s="206">
        <f t="shared" si="94"/>
        <v>0</v>
      </c>
      <c r="W262" s="33" t="str">
        <f t="shared" si="91"/>
        <v/>
      </c>
      <c r="X262" s="93">
        <f>SUM('1:2'!X262)</f>
        <v>0</v>
      </c>
      <c r="Y262" s="93">
        <f>SUM('1:2'!Y262)</f>
        <v>0</v>
      </c>
      <c r="Z262" s="93">
        <f>SUM('1:2'!Z262)</f>
        <v>0</v>
      </c>
      <c r="AA262" s="93">
        <f>SUM('1:2'!AA262)</f>
        <v>0</v>
      </c>
      <c r="AB262" s="358">
        <v>1.1100000000000001</v>
      </c>
      <c r="AC262" s="269">
        <f t="shared" si="95"/>
        <v>0</v>
      </c>
      <c r="AD262" s="251"/>
      <c r="AE262" s="54"/>
      <c r="AF262" s="54"/>
      <c r="AG262" s="54"/>
      <c r="AH262" s="54"/>
      <c r="AI262" s="57"/>
      <c r="AJ262" s="57"/>
      <c r="AK262" s="57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</row>
    <row r="263" spans="1:53" ht="17.25">
      <c r="A263" s="320">
        <v>30400016</v>
      </c>
      <c r="B263" s="215" t="s">
        <v>513</v>
      </c>
      <c r="C263" s="16" t="s">
        <v>60</v>
      </c>
      <c r="D263" s="17">
        <v>5.03</v>
      </c>
      <c r="E263" s="17"/>
      <c r="F263" s="6"/>
      <c r="G263" s="93">
        <f>SUM('1:2'!G263)</f>
        <v>146</v>
      </c>
      <c r="H263" s="246">
        <f t="shared" si="96"/>
        <v>734.38</v>
      </c>
      <c r="I263" s="93">
        <f>SUM('1:2'!I263)</f>
        <v>28</v>
      </c>
      <c r="J263" s="31">
        <f t="array" ref="J263">IF(ISERROR(G263/I263),"",G263/I263)</f>
        <v>5.2142857142857144</v>
      </c>
      <c r="K263" s="35">
        <f t="array" ref="K263">IF(ISERROR(G263/L263),"",G263/L263)</f>
        <v>15.698924731182794</v>
      </c>
      <c r="L263" s="87">
        <v>9.3000000000000007</v>
      </c>
      <c r="M263" s="36">
        <f t="shared" si="92"/>
        <v>12.301075268817206</v>
      </c>
      <c r="N263" s="31">
        <f t="shared" si="93"/>
        <v>0</v>
      </c>
      <c r="O263" s="93">
        <f>SUM('1:2'!O263)</f>
        <v>0</v>
      </c>
      <c r="P263" s="93">
        <f>SUM('1:2'!P263)</f>
        <v>0</v>
      </c>
      <c r="Q263" s="93">
        <f>SUM('1:2'!Q263)</f>
        <v>0</v>
      </c>
      <c r="R263" s="93">
        <f>SUM('1:2'!R263)</f>
        <v>0</v>
      </c>
      <c r="S263" s="93">
        <f>SUM('1:2'!S263)</f>
        <v>0</v>
      </c>
      <c r="T263" s="93">
        <f>SUM('1:2'!T263)</f>
        <v>0</v>
      </c>
      <c r="U263" s="93">
        <f>SUM('1:2'!U263)</f>
        <v>0</v>
      </c>
      <c r="V263" s="206">
        <f t="shared" si="94"/>
        <v>0</v>
      </c>
      <c r="W263" s="33">
        <f t="shared" si="91"/>
        <v>0</v>
      </c>
      <c r="X263" s="93">
        <f>SUM('1:2'!X263)</f>
        <v>0</v>
      </c>
      <c r="Y263" s="93">
        <f>SUM('1:2'!Y263)</f>
        <v>0</v>
      </c>
      <c r="Z263" s="93">
        <f>SUM('1:2'!Z263)</f>
        <v>0</v>
      </c>
      <c r="AA263" s="93">
        <f>SUM('1:2'!AA263)</f>
        <v>0</v>
      </c>
      <c r="AB263" s="358">
        <v>1.1100000000000001</v>
      </c>
      <c r="AC263" s="269">
        <f t="shared" si="95"/>
        <v>162.06</v>
      </c>
      <c r="AD263" s="251"/>
      <c r="AE263" s="54"/>
      <c r="AF263" s="54"/>
      <c r="AG263" s="54"/>
      <c r="AH263" s="54"/>
      <c r="AI263" s="57"/>
      <c r="AJ263" s="57"/>
      <c r="AK263" s="57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</row>
    <row r="264" spans="1:53" ht="17.25">
      <c r="A264" s="320">
        <v>30400017</v>
      </c>
      <c r="B264" s="215" t="s">
        <v>513</v>
      </c>
      <c r="C264" s="16" t="s">
        <v>66</v>
      </c>
      <c r="D264" s="17">
        <v>5.03</v>
      </c>
      <c r="E264" s="17"/>
      <c r="F264" s="6"/>
      <c r="G264" s="93">
        <f>SUM('1:2'!G264)</f>
        <v>0</v>
      </c>
      <c r="H264" s="246">
        <f t="shared" si="96"/>
        <v>0</v>
      </c>
      <c r="I264" s="93">
        <f>SUM('1:2'!I264)</f>
        <v>0</v>
      </c>
      <c r="J264" s="31" t="str">
        <f t="array" ref="J264">IF(ISERROR(G264/I264),"",G264/I264)</f>
        <v/>
      </c>
      <c r="K264" s="35">
        <f t="array" ref="K264">IF(ISERROR(G264/L264),"",G264/L264)</f>
        <v>0</v>
      </c>
      <c r="L264" s="87">
        <v>9.3000000000000007</v>
      </c>
      <c r="M264" s="36">
        <f t="shared" si="92"/>
        <v>0</v>
      </c>
      <c r="N264" s="31">
        <f t="shared" si="93"/>
        <v>0</v>
      </c>
      <c r="O264" s="93">
        <f>SUM('1:2'!O264)</f>
        <v>0</v>
      </c>
      <c r="P264" s="93">
        <f>SUM('1:2'!P264)</f>
        <v>0</v>
      </c>
      <c r="Q264" s="93">
        <f>SUM('1:2'!Q264)</f>
        <v>0</v>
      </c>
      <c r="R264" s="93">
        <f>SUM('1:2'!R264)</f>
        <v>0</v>
      </c>
      <c r="S264" s="93">
        <f>SUM('1:2'!S264)</f>
        <v>0</v>
      </c>
      <c r="T264" s="93">
        <f>SUM('1:2'!T264)</f>
        <v>0</v>
      </c>
      <c r="U264" s="93">
        <f>SUM('1:2'!U264)</f>
        <v>0</v>
      </c>
      <c r="V264" s="206">
        <f t="shared" si="94"/>
        <v>0</v>
      </c>
      <c r="W264" s="33" t="str">
        <f t="shared" si="91"/>
        <v/>
      </c>
      <c r="X264" s="93">
        <f>SUM('1:2'!X264)</f>
        <v>0</v>
      </c>
      <c r="Y264" s="93">
        <f>SUM('1:2'!Y264)</f>
        <v>0</v>
      </c>
      <c r="Z264" s="93">
        <f>SUM('1:2'!Z264)</f>
        <v>0</v>
      </c>
      <c r="AA264" s="93">
        <f>SUM('1:2'!AA264)</f>
        <v>0</v>
      </c>
      <c r="AB264" s="358">
        <v>1.1100000000000001</v>
      </c>
      <c r="AC264" s="269">
        <f t="shared" si="95"/>
        <v>0</v>
      </c>
      <c r="AD264" s="251"/>
      <c r="AE264" s="54"/>
      <c r="AF264" s="54"/>
      <c r="AG264" s="54"/>
      <c r="AH264" s="54"/>
      <c r="AI264" s="57"/>
      <c r="AJ264" s="57"/>
      <c r="AK264" s="57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</row>
    <row r="265" spans="1:53" ht="17.25">
      <c r="A265" s="320">
        <v>30400015</v>
      </c>
      <c r="B265" s="65" t="s">
        <v>512</v>
      </c>
      <c r="C265" s="16" t="s">
        <v>177</v>
      </c>
      <c r="D265" s="17">
        <v>5.03</v>
      </c>
      <c r="E265" s="17"/>
      <c r="F265" s="6"/>
      <c r="G265" s="93">
        <f>SUM('1:2'!G265)</f>
        <v>96</v>
      </c>
      <c r="H265" s="246">
        <f t="shared" si="96"/>
        <v>482.88</v>
      </c>
      <c r="I265" s="93">
        <f>SUM('1:2'!I265)</f>
        <v>11</v>
      </c>
      <c r="J265" s="31"/>
      <c r="K265" s="35">
        <f t="array" ref="K265">IF(ISERROR(G265/L265),"",G265/L265)</f>
        <v>10.32258064516129</v>
      </c>
      <c r="L265" s="87">
        <v>9.3000000000000007</v>
      </c>
      <c r="M265" s="36">
        <f t="shared" si="92"/>
        <v>0.67741935483870996</v>
      </c>
      <c r="N265" s="31">
        <f t="shared" si="93"/>
        <v>0</v>
      </c>
      <c r="O265" s="93">
        <f>SUM('1:2'!O265)</f>
        <v>0</v>
      </c>
      <c r="P265" s="93">
        <f>SUM('1:2'!P265)</f>
        <v>0</v>
      </c>
      <c r="Q265" s="93">
        <f>SUM('1:2'!Q265)</f>
        <v>0</v>
      </c>
      <c r="R265" s="93">
        <f>SUM('1:2'!R265)</f>
        <v>0</v>
      </c>
      <c r="S265" s="93">
        <f>SUM('1:2'!S265)</f>
        <v>0</v>
      </c>
      <c r="T265" s="93">
        <f>SUM('1:2'!T265)</f>
        <v>0</v>
      </c>
      <c r="U265" s="93">
        <f>SUM('1:2'!U265)</f>
        <v>0</v>
      </c>
      <c r="V265" s="207"/>
      <c r="W265" s="33"/>
      <c r="X265" s="93">
        <f>SUM('1:2'!X265)</f>
        <v>0</v>
      </c>
      <c r="Y265" s="93">
        <f>SUM('1:2'!Y265)</f>
        <v>0</v>
      </c>
      <c r="Z265" s="93">
        <f>SUM('1:2'!Z265)</f>
        <v>0</v>
      </c>
      <c r="AA265" s="93">
        <f>SUM('1:2'!AA265)</f>
        <v>0</v>
      </c>
      <c r="AB265" s="358">
        <v>0.84</v>
      </c>
      <c r="AC265" s="269">
        <f t="shared" si="95"/>
        <v>80.64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 ht="17.25">
      <c r="A266" s="321">
        <v>30600004</v>
      </c>
      <c r="B266" s="65" t="s">
        <v>162</v>
      </c>
      <c r="C266" s="16" t="s">
        <v>53</v>
      </c>
      <c r="D266" s="17">
        <v>5.03</v>
      </c>
      <c r="E266" s="17"/>
      <c r="F266" s="6"/>
      <c r="G266" s="93">
        <f>SUM('1:2'!G266)</f>
        <v>0</v>
      </c>
      <c r="H266" s="246">
        <f t="shared" si="96"/>
        <v>0</v>
      </c>
      <c r="I266" s="93">
        <f>SUM('1:2'!I266)</f>
        <v>0</v>
      </c>
      <c r="J266" s="31" t="str">
        <f t="array" ref="J266">IF(ISERROR(G266/I266),"",G266/I266)</f>
        <v/>
      </c>
      <c r="K266" s="35">
        <f t="array" ref="K266">IF(ISERROR(G266/L266),"",G266/L266)</f>
        <v>0</v>
      </c>
      <c r="L266" s="87">
        <v>8</v>
      </c>
      <c r="M266" s="36">
        <f>IF(ISERROR(I266-K266),"",I266-K266)</f>
        <v>0</v>
      </c>
      <c r="N266" s="31">
        <f>SUM(O266:U266)</f>
        <v>0</v>
      </c>
      <c r="O266" s="93">
        <f>SUM('1:2'!O266)</f>
        <v>0</v>
      </c>
      <c r="P266" s="93">
        <f>SUM('1:2'!P266)</f>
        <v>0</v>
      </c>
      <c r="Q266" s="93">
        <f>SUM('1:2'!Q266)</f>
        <v>0</v>
      </c>
      <c r="R266" s="93">
        <f>SUM('1:2'!R266)</f>
        <v>0</v>
      </c>
      <c r="S266" s="93">
        <f>SUM('1:2'!S266)</f>
        <v>0</v>
      </c>
      <c r="T266" s="93">
        <f>SUM('1:2'!T266)</f>
        <v>0</v>
      </c>
      <c r="U266" s="93">
        <f>SUM('1:2'!U266)</f>
        <v>0</v>
      </c>
      <c r="V266" s="207">
        <f>SUM(X266:AA266)</f>
        <v>0</v>
      </c>
      <c r="W266" s="33" t="str">
        <f>IF(ISERROR(V266/G266),"",V266/G266)</f>
        <v/>
      </c>
      <c r="X266" s="93">
        <f>SUM('1:2'!X266)</f>
        <v>0</v>
      </c>
      <c r="Y266" s="93">
        <f>SUM('1:2'!Y266)</f>
        <v>0</v>
      </c>
      <c r="Z266" s="93">
        <f>SUM('1:2'!Z266)</f>
        <v>0</v>
      </c>
      <c r="AA266" s="93">
        <f>SUM('1:2'!AA266)</f>
        <v>0</v>
      </c>
      <c r="AB266" s="358">
        <v>1.06</v>
      </c>
      <c r="AC266" s="269">
        <f t="shared" si="95"/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 ht="17.25">
      <c r="A267" s="321">
        <v>30600001</v>
      </c>
      <c r="B267" s="65" t="s">
        <v>162</v>
      </c>
      <c r="C267" s="16" t="s">
        <v>55</v>
      </c>
      <c r="D267" s="17">
        <v>5.03</v>
      </c>
      <c r="E267" s="17"/>
      <c r="F267" s="6"/>
      <c r="G267" s="93">
        <f>SUM('1:2'!G267)</f>
        <v>0</v>
      </c>
      <c r="H267" s="246">
        <f t="shared" si="96"/>
        <v>0</v>
      </c>
      <c r="I267" s="93">
        <f>SUM('1:2'!I267)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87">
        <v>8</v>
      </c>
      <c r="M267" s="36">
        <f>IF(ISERROR(I267-K267),"",I267-K267)</f>
        <v>0</v>
      </c>
      <c r="N267" s="31">
        <f>SUM(O267:U267)</f>
        <v>0</v>
      </c>
      <c r="O267" s="93">
        <f>SUM('1:2'!O267)</f>
        <v>0</v>
      </c>
      <c r="P267" s="93">
        <f>SUM('1:2'!P267)</f>
        <v>0</v>
      </c>
      <c r="Q267" s="93">
        <f>SUM('1:2'!Q267)</f>
        <v>0</v>
      </c>
      <c r="R267" s="93">
        <f>SUM('1:2'!R267)</f>
        <v>0</v>
      </c>
      <c r="S267" s="93">
        <f>SUM('1:2'!S267)</f>
        <v>0</v>
      </c>
      <c r="T267" s="93">
        <f>SUM('1:2'!T267)</f>
        <v>0</v>
      </c>
      <c r="U267" s="93">
        <f>SUM('1:2'!U267)</f>
        <v>0</v>
      </c>
      <c r="V267" s="207">
        <f>SUM(X267:AA267)</f>
        <v>0</v>
      </c>
      <c r="W267" s="33" t="str">
        <f>IF(ISERROR(V267/G267),"",V267/G267)</f>
        <v/>
      </c>
      <c r="X267" s="93">
        <f>SUM('1:2'!X267)</f>
        <v>0</v>
      </c>
      <c r="Y267" s="93">
        <f>SUM('1:2'!Y267)</f>
        <v>0</v>
      </c>
      <c r="Z267" s="93">
        <f>SUM('1:2'!Z267)</f>
        <v>0</v>
      </c>
      <c r="AA267" s="93">
        <f>SUM('1:2'!AA267)</f>
        <v>0</v>
      </c>
      <c r="AB267" s="358">
        <v>1.06</v>
      </c>
      <c r="AC267" s="269">
        <f t="shared" si="95"/>
        <v>0</v>
      </c>
      <c r="AD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</row>
    <row r="268" spans="1:53" ht="17.25">
      <c r="A268" s="321">
        <v>30600002</v>
      </c>
      <c r="B268" s="65" t="s">
        <v>162</v>
      </c>
      <c r="C268" s="16" t="s">
        <v>60</v>
      </c>
      <c r="D268" s="17">
        <v>5.03</v>
      </c>
      <c r="E268" s="17"/>
      <c r="F268" s="6"/>
      <c r="G268" s="93">
        <f>SUM('1:2'!G268)</f>
        <v>0</v>
      </c>
      <c r="H268" s="246">
        <f t="shared" si="96"/>
        <v>0</v>
      </c>
      <c r="I268" s="93">
        <f>SUM('1:2'!I268)</f>
        <v>0</v>
      </c>
      <c r="J268" s="31" t="str">
        <f t="array" ref="J268">IF(ISERROR(G268/I268),"",G268/I268)</f>
        <v/>
      </c>
      <c r="K268" s="35">
        <f t="array" ref="K268">IF(ISERROR(G268/L268),"",G268/L268)</f>
        <v>0</v>
      </c>
      <c r="L268" s="87">
        <v>8</v>
      </c>
      <c r="M268" s="36">
        <f>IF(ISERROR(I268-K268),"",I268-K268)</f>
        <v>0</v>
      </c>
      <c r="N268" s="31">
        <f>SUM(O268:U268)</f>
        <v>0</v>
      </c>
      <c r="O268" s="93">
        <f>SUM('1:2'!O268)</f>
        <v>0</v>
      </c>
      <c r="P268" s="93">
        <f>SUM('1:2'!P268)</f>
        <v>0</v>
      </c>
      <c r="Q268" s="93">
        <f>SUM('1:2'!Q268)</f>
        <v>0</v>
      </c>
      <c r="R268" s="93">
        <f>SUM('1:2'!R268)</f>
        <v>0</v>
      </c>
      <c r="S268" s="93">
        <f>SUM('1:2'!S268)</f>
        <v>0</v>
      </c>
      <c r="T268" s="93">
        <f>SUM('1:2'!T268)</f>
        <v>0</v>
      </c>
      <c r="U268" s="93">
        <f>SUM('1:2'!U268)</f>
        <v>0</v>
      </c>
      <c r="V268" s="207">
        <f>SUM(X268:AA268)</f>
        <v>0</v>
      </c>
      <c r="W268" s="33" t="str">
        <f>IF(ISERROR(V268/G268),"",V268/G268)</f>
        <v/>
      </c>
      <c r="X268" s="93">
        <f>SUM('1:2'!X268)</f>
        <v>0</v>
      </c>
      <c r="Y268" s="93">
        <f>SUM('1:2'!Y268)</f>
        <v>0</v>
      </c>
      <c r="Z268" s="93">
        <f>SUM('1:2'!Z268)</f>
        <v>0</v>
      </c>
      <c r="AA268" s="93">
        <f>SUM('1:2'!AA268)</f>
        <v>0</v>
      </c>
      <c r="AB268" s="358">
        <v>1.06</v>
      </c>
      <c r="AC268" s="269">
        <f t="shared" si="95"/>
        <v>0</v>
      </c>
      <c r="AD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</row>
    <row r="269" spans="1:53" ht="17.25">
      <c r="A269" s="321">
        <v>30600003</v>
      </c>
      <c r="B269" s="65" t="s">
        <v>162</v>
      </c>
      <c r="C269" s="195" t="s">
        <v>89</v>
      </c>
      <c r="D269" s="17">
        <v>5.03</v>
      </c>
      <c r="E269" s="17"/>
      <c r="F269" s="6"/>
      <c r="G269" s="93">
        <f>SUM('1:2'!G269)</f>
        <v>0</v>
      </c>
      <c r="H269" s="246">
        <f t="shared" si="96"/>
        <v>0</v>
      </c>
      <c r="I269" s="93">
        <f>SUM('1:2'!I269)</f>
        <v>0</v>
      </c>
      <c r="J269" s="31" t="str">
        <f t="array" ref="J269">IF(ISERROR(G269/I269),"",G269/I269)</f>
        <v/>
      </c>
      <c r="K269" s="35">
        <f t="array" ref="K269">IF(ISERROR(G269/L269),"",G269/L269)</f>
        <v>0</v>
      </c>
      <c r="L269" s="87">
        <v>8</v>
      </c>
      <c r="M269" s="36">
        <f>IF(ISERROR(I269-K269),"",I269-K269)</f>
        <v>0</v>
      </c>
      <c r="N269" s="31">
        <f>SUM(O269:U269)</f>
        <v>0</v>
      </c>
      <c r="O269" s="93">
        <f>SUM('1:2'!O269)</f>
        <v>0</v>
      </c>
      <c r="P269" s="93">
        <f>SUM('1:2'!P269)</f>
        <v>0</v>
      </c>
      <c r="Q269" s="93">
        <f>SUM('1:2'!Q269)</f>
        <v>0</v>
      </c>
      <c r="R269" s="93">
        <f>SUM('1:2'!R269)</f>
        <v>0</v>
      </c>
      <c r="S269" s="93">
        <f>SUM('1:2'!S269)</f>
        <v>0</v>
      </c>
      <c r="T269" s="93">
        <f>SUM('1:2'!T269)</f>
        <v>0</v>
      </c>
      <c r="U269" s="93">
        <f>SUM('1:2'!U269)</f>
        <v>0</v>
      </c>
      <c r="V269" s="207">
        <f>SUM(X269:AA269)</f>
        <v>0</v>
      </c>
      <c r="W269" s="33" t="str">
        <f>IF(ISERROR(V269/G269),"",V269/G269)</f>
        <v/>
      </c>
      <c r="X269" s="93">
        <f>SUM('1:2'!X269)</f>
        <v>0</v>
      </c>
      <c r="Y269" s="93">
        <f>SUM('1:2'!Y269)</f>
        <v>0</v>
      </c>
      <c r="Z269" s="93">
        <f>SUM('1:2'!Z269)</f>
        <v>0</v>
      </c>
      <c r="AA269" s="93">
        <f>SUM('1:2'!AA269)</f>
        <v>0</v>
      </c>
      <c r="AB269" s="358">
        <v>1.06</v>
      </c>
      <c r="AC269" s="269">
        <f t="shared" si="95"/>
        <v>0</v>
      </c>
      <c r="AD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</row>
    <row r="270" spans="1:53" ht="17.25">
      <c r="A270" s="321">
        <v>30400030</v>
      </c>
      <c r="B270" s="65" t="s">
        <v>88</v>
      </c>
      <c r="C270" s="16" t="s">
        <v>53</v>
      </c>
      <c r="D270" s="17">
        <v>5.03</v>
      </c>
      <c r="E270" s="17"/>
      <c r="F270" s="6"/>
      <c r="G270" s="93">
        <f>SUM('1:2'!G270)</f>
        <v>0</v>
      </c>
      <c r="H270" s="246">
        <f t="shared" si="96"/>
        <v>0</v>
      </c>
      <c r="I270" s="93">
        <f>SUM('1:2'!I270)</f>
        <v>0</v>
      </c>
      <c r="J270" s="31" t="str">
        <f t="array" ref="J270">IF(ISERROR(G270/I270),"",G270/I270)</f>
        <v/>
      </c>
      <c r="K270" s="35">
        <f t="array" ref="K270">IF(ISERROR(G270/L270),"",G270/L270)</f>
        <v>0</v>
      </c>
      <c r="L270" s="87">
        <v>10</v>
      </c>
      <c r="M270" s="36">
        <f t="shared" ref="M270:M285" si="97">IF(ISERROR(I270-K270),"",I270-K270)</f>
        <v>0</v>
      </c>
      <c r="N270" s="31">
        <f t="shared" ref="N270:N285" si="98">SUM(O270:U270)</f>
        <v>0</v>
      </c>
      <c r="O270" s="93">
        <f>SUM('1:2'!O270)</f>
        <v>0</v>
      </c>
      <c r="P270" s="93">
        <f>SUM('1:2'!P270)</f>
        <v>0</v>
      </c>
      <c r="Q270" s="93">
        <f>SUM('1:2'!Q270)</f>
        <v>0</v>
      </c>
      <c r="R270" s="93">
        <f>SUM('1:2'!R270)</f>
        <v>0</v>
      </c>
      <c r="S270" s="93">
        <f>SUM('1:2'!S270)</f>
        <v>0</v>
      </c>
      <c r="T270" s="93">
        <f>SUM('1:2'!T270)</f>
        <v>0</v>
      </c>
      <c r="U270" s="93">
        <f>SUM('1:2'!U270)</f>
        <v>0</v>
      </c>
      <c r="V270" s="206">
        <f t="shared" ref="V270:V277" si="99">SUM(X270:AA270)</f>
        <v>0</v>
      </c>
      <c r="W270" s="33" t="str">
        <f t="shared" ref="W270:W277" si="100">IF(ISERROR(V270/G270),"",V270/G270)</f>
        <v/>
      </c>
      <c r="X270" s="93">
        <f>SUM('1:2'!X270)</f>
        <v>0</v>
      </c>
      <c r="Y270" s="93">
        <f>SUM('1:2'!Y270)</f>
        <v>0</v>
      </c>
      <c r="Z270" s="93">
        <f>SUM('1:2'!Z270)</f>
        <v>0</v>
      </c>
      <c r="AA270" s="93">
        <f>SUM('1:2'!AA270)</f>
        <v>0</v>
      </c>
      <c r="AB270" s="358">
        <v>1.04</v>
      </c>
      <c r="AC270" s="269">
        <f t="shared" si="95"/>
        <v>0</v>
      </c>
      <c r="AD270" s="251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 ht="17.25">
      <c r="A271" s="321"/>
      <c r="B271" s="65" t="s">
        <v>88</v>
      </c>
      <c r="C271" s="16" t="s">
        <v>72</v>
      </c>
      <c r="D271" s="17">
        <v>5.03</v>
      </c>
      <c r="E271" s="17"/>
      <c r="F271" s="6"/>
      <c r="G271" s="93">
        <f>SUM('1:2'!G271)</f>
        <v>0</v>
      </c>
      <c r="H271" s="246">
        <f t="shared" si="96"/>
        <v>0</v>
      </c>
      <c r="I271" s="93">
        <f>SUM('1:2'!I271)</f>
        <v>0</v>
      </c>
      <c r="J271" s="31" t="str">
        <f t="array" ref="J271">IF(ISERROR(G271/I271),"",G271/I271)</f>
        <v/>
      </c>
      <c r="K271" s="35" t="str">
        <f t="array" ref="K271">IF(ISERROR(G271/L271),"",G271/L271)</f>
        <v/>
      </c>
      <c r="L271" s="87"/>
      <c r="M271" s="36" t="str">
        <f t="shared" si="97"/>
        <v/>
      </c>
      <c r="N271" s="31">
        <f t="shared" si="98"/>
        <v>0</v>
      </c>
      <c r="O271" s="93">
        <f>SUM('1:2'!O271)</f>
        <v>0</v>
      </c>
      <c r="P271" s="93">
        <f>SUM('1:2'!P271)</f>
        <v>0</v>
      </c>
      <c r="Q271" s="93">
        <f>SUM('1:2'!Q271)</f>
        <v>0</v>
      </c>
      <c r="R271" s="93">
        <f>SUM('1:2'!R271)</f>
        <v>0</v>
      </c>
      <c r="S271" s="93">
        <f>SUM('1:2'!S271)</f>
        <v>0</v>
      </c>
      <c r="T271" s="93">
        <f>SUM('1:2'!T271)</f>
        <v>0</v>
      </c>
      <c r="U271" s="93">
        <f>SUM('1:2'!U271)</f>
        <v>0</v>
      </c>
      <c r="V271" s="206">
        <f t="shared" si="99"/>
        <v>0</v>
      </c>
      <c r="W271" s="33" t="str">
        <f t="shared" si="100"/>
        <v/>
      </c>
      <c r="X271" s="93">
        <f>SUM('1:2'!X271)</f>
        <v>0</v>
      </c>
      <c r="Y271" s="93">
        <f>SUM('1:2'!Y271)</f>
        <v>0</v>
      </c>
      <c r="Z271" s="93">
        <f>SUM('1:2'!Z271)</f>
        <v>0</v>
      </c>
      <c r="AA271" s="93">
        <f>SUM('1:2'!AA271)</f>
        <v>0</v>
      </c>
      <c r="AB271" s="358">
        <v>1.04</v>
      </c>
      <c r="AC271" s="269">
        <f t="shared" si="95"/>
        <v>0</v>
      </c>
      <c r="AD271" s="251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 ht="17.25">
      <c r="A272" s="321"/>
      <c r="B272" s="65" t="s">
        <v>88</v>
      </c>
      <c r="C272" s="16" t="s">
        <v>60</v>
      </c>
      <c r="D272" s="17">
        <v>5.03</v>
      </c>
      <c r="E272" s="17"/>
      <c r="F272" s="6"/>
      <c r="G272" s="93">
        <f>SUM('1:2'!G272)</f>
        <v>0</v>
      </c>
      <c r="H272" s="246">
        <f t="shared" si="96"/>
        <v>0</v>
      </c>
      <c r="I272" s="93">
        <f>SUM('1:2'!I272)</f>
        <v>0</v>
      </c>
      <c r="J272" s="31" t="str">
        <f t="array" ref="J272">IF(ISERROR(G272/I272),"",G272/I272)</f>
        <v/>
      </c>
      <c r="K272" s="35" t="str">
        <f t="array" ref="K272">IF(ISERROR(G272/L272),"",G272/L272)</f>
        <v/>
      </c>
      <c r="L272" s="87"/>
      <c r="M272" s="36" t="str">
        <f t="shared" si="97"/>
        <v/>
      </c>
      <c r="N272" s="31">
        <f t="shared" si="98"/>
        <v>0</v>
      </c>
      <c r="O272" s="93">
        <f>SUM('1:2'!O272)</f>
        <v>0</v>
      </c>
      <c r="P272" s="93">
        <f>SUM('1:2'!P272)</f>
        <v>0</v>
      </c>
      <c r="Q272" s="93">
        <f>SUM('1:2'!Q272)</f>
        <v>0</v>
      </c>
      <c r="R272" s="93">
        <f>SUM('1:2'!R272)</f>
        <v>0</v>
      </c>
      <c r="S272" s="93">
        <f>SUM('1:2'!S272)</f>
        <v>0</v>
      </c>
      <c r="T272" s="93">
        <f>SUM('1:2'!T272)</f>
        <v>0</v>
      </c>
      <c r="U272" s="93">
        <f>SUM('1:2'!U272)</f>
        <v>0</v>
      </c>
      <c r="V272" s="206">
        <f t="shared" si="99"/>
        <v>0</v>
      </c>
      <c r="W272" s="33" t="str">
        <f t="shared" si="100"/>
        <v/>
      </c>
      <c r="X272" s="93">
        <f>SUM('1:2'!X272)</f>
        <v>0</v>
      </c>
      <c r="Y272" s="93">
        <f>SUM('1:2'!Y272)</f>
        <v>0</v>
      </c>
      <c r="Z272" s="93">
        <f>SUM('1:2'!Z272)</f>
        <v>0</v>
      </c>
      <c r="AA272" s="93">
        <f>SUM('1:2'!AA272)</f>
        <v>0</v>
      </c>
      <c r="AB272" s="358">
        <v>1.04</v>
      </c>
      <c r="AC272" s="269">
        <f t="shared" si="95"/>
        <v>0</v>
      </c>
      <c r="AD272" s="251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 ht="17.25">
      <c r="A273" s="321">
        <v>30401031</v>
      </c>
      <c r="B273" s="65" t="s">
        <v>88</v>
      </c>
      <c r="C273" s="16" t="s">
        <v>66</v>
      </c>
      <c r="D273" s="17">
        <v>5.03</v>
      </c>
      <c r="E273" s="17"/>
      <c r="F273" s="6"/>
      <c r="G273" s="93">
        <f>SUM('1:2'!G273)</f>
        <v>0</v>
      </c>
      <c r="H273" s="246">
        <f t="shared" si="96"/>
        <v>0</v>
      </c>
      <c r="I273" s="93">
        <f>SUM('1:2'!I273)</f>
        <v>0</v>
      </c>
      <c r="J273" s="31" t="str">
        <f t="array" ref="J273">IF(ISERROR(G273/I273),"",G273/I273)</f>
        <v/>
      </c>
      <c r="K273" s="35" t="str">
        <f t="array" ref="K273">IF(ISERROR(G273/L273),"",G273/L273)</f>
        <v/>
      </c>
      <c r="L273" s="87"/>
      <c r="M273" s="36" t="str">
        <f t="shared" si="97"/>
        <v/>
      </c>
      <c r="N273" s="31">
        <f t="shared" si="98"/>
        <v>0</v>
      </c>
      <c r="O273" s="93">
        <f>SUM('1:2'!O273)</f>
        <v>0</v>
      </c>
      <c r="P273" s="93">
        <f>SUM('1:2'!P273)</f>
        <v>0</v>
      </c>
      <c r="Q273" s="93">
        <f>SUM('1:2'!Q273)</f>
        <v>0</v>
      </c>
      <c r="R273" s="93">
        <f>SUM('1:2'!R273)</f>
        <v>0</v>
      </c>
      <c r="S273" s="93">
        <f>SUM('1:2'!S273)</f>
        <v>0</v>
      </c>
      <c r="T273" s="93">
        <f>SUM('1:2'!T273)</f>
        <v>0</v>
      </c>
      <c r="U273" s="93">
        <f>SUM('1:2'!U273)</f>
        <v>0</v>
      </c>
      <c r="V273" s="206">
        <f t="shared" si="99"/>
        <v>0</v>
      </c>
      <c r="W273" s="33" t="str">
        <f t="shared" si="100"/>
        <v/>
      </c>
      <c r="X273" s="93">
        <f>SUM('1:2'!X273)</f>
        <v>0</v>
      </c>
      <c r="Y273" s="93">
        <f>SUM('1:2'!Y273)</f>
        <v>0</v>
      </c>
      <c r="Z273" s="93">
        <f>SUM('1:2'!Z273)</f>
        <v>0</v>
      </c>
      <c r="AA273" s="93">
        <f>SUM('1:2'!AA273)</f>
        <v>0</v>
      </c>
      <c r="AB273" s="358">
        <v>1.04</v>
      </c>
      <c r="AC273" s="269">
        <f t="shared" si="95"/>
        <v>0</v>
      </c>
      <c r="AD273" s="251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 ht="17.25">
      <c r="A274" s="321">
        <v>30600005</v>
      </c>
      <c r="B274" s="61" t="s">
        <v>90</v>
      </c>
      <c r="C274" s="16" t="s">
        <v>55</v>
      </c>
      <c r="D274" s="17">
        <v>9.36</v>
      </c>
      <c r="E274" s="17"/>
      <c r="F274" s="6"/>
      <c r="G274" s="93">
        <f>SUM('1:2'!G274)</f>
        <v>0</v>
      </c>
      <c r="H274" s="246">
        <f t="shared" si="96"/>
        <v>0</v>
      </c>
      <c r="I274" s="93">
        <f>SUM('1:2'!I274)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87">
        <v>6</v>
      </c>
      <c r="M274" s="36">
        <f t="shared" si="97"/>
        <v>0</v>
      </c>
      <c r="N274" s="31">
        <f t="shared" si="98"/>
        <v>0</v>
      </c>
      <c r="O274" s="93">
        <f>SUM('1:2'!O274)</f>
        <v>0</v>
      </c>
      <c r="P274" s="93">
        <f>SUM('1:2'!P274)</f>
        <v>0</v>
      </c>
      <c r="Q274" s="93">
        <f>SUM('1:2'!Q274)</f>
        <v>0</v>
      </c>
      <c r="R274" s="93">
        <f>SUM('1:2'!R274)</f>
        <v>0</v>
      </c>
      <c r="S274" s="93">
        <f>SUM('1:2'!S274)</f>
        <v>0</v>
      </c>
      <c r="T274" s="93">
        <f>SUM('1:2'!T274)</f>
        <v>0</v>
      </c>
      <c r="U274" s="93">
        <f>SUM('1:2'!U274)</f>
        <v>0</v>
      </c>
      <c r="V274" s="206">
        <f t="shared" si="99"/>
        <v>0</v>
      </c>
      <c r="W274" s="33" t="str">
        <f t="shared" si="100"/>
        <v/>
      </c>
      <c r="X274" s="93">
        <f>SUM('1:2'!X274)</f>
        <v>0</v>
      </c>
      <c r="Y274" s="93">
        <f>SUM('1:2'!Y274)</f>
        <v>0</v>
      </c>
      <c r="Z274" s="93">
        <f>SUM('1:2'!Z274)</f>
        <v>0</v>
      </c>
      <c r="AA274" s="93">
        <f>SUM('1:2'!AA274)</f>
        <v>0</v>
      </c>
      <c r="AB274" s="358">
        <v>1.29</v>
      </c>
      <c r="AC274" s="269">
        <f t="shared" si="95"/>
        <v>0</v>
      </c>
      <c r="AD274" s="251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 ht="17.25">
      <c r="A275" s="321">
        <v>30600008</v>
      </c>
      <c r="B275" s="61" t="s">
        <v>90</v>
      </c>
      <c r="C275" s="16" t="s">
        <v>53</v>
      </c>
      <c r="D275" s="17">
        <v>9.36</v>
      </c>
      <c r="E275" s="17"/>
      <c r="F275" s="6"/>
      <c r="G275" s="93">
        <f>SUM('1:2'!G275)</f>
        <v>0</v>
      </c>
      <c r="H275" s="246">
        <f t="shared" si="96"/>
        <v>0</v>
      </c>
      <c r="I275" s="93">
        <f>SUM('1:2'!I275)</f>
        <v>0</v>
      </c>
      <c r="J275" s="31" t="str">
        <f t="array" ref="J275">IF(ISERROR(G275/I275),"",G275/I275)</f>
        <v/>
      </c>
      <c r="K275" s="35">
        <f t="array" ref="K275">IF(ISERROR(G275/L275),"",G275/L275)</f>
        <v>0</v>
      </c>
      <c r="L275" s="87">
        <v>6</v>
      </c>
      <c r="M275" s="36">
        <f t="shared" si="97"/>
        <v>0</v>
      </c>
      <c r="N275" s="31">
        <f t="shared" si="98"/>
        <v>0</v>
      </c>
      <c r="O275" s="93">
        <f>SUM('1:2'!O275)</f>
        <v>0</v>
      </c>
      <c r="P275" s="93">
        <f>SUM('1:2'!P275)</f>
        <v>0</v>
      </c>
      <c r="Q275" s="93">
        <f>SUM('1:2'!Q275)</f>
        <v>0</v>
      </c>
      <c r="R275" s="93">
        <f>SUM('1:2'!R275)</f>
        <v>0</v>
      </c>
      <c r="S275" s="93">
        <f>SUM('1:2'!S275)</f>
        <v>0</v>
      </c>
      <c r="T275" s="93">
        <f>SUM('1:2'!T275)</f>
        <v>0</v>
      </c>
      <c r="U275" s="93">
        <f>SUM('1:2'!U275)</f>
        <v>0</v>
      </c>
      <c r="V275" s="206">
        <f t="shared" si="99"/>
        <v>0</v>
      </c>
      <c r="W275" s="33" t="str">
        <f t="shared" si="100"/>
        <v/>
      </c>
      <c r="X275" s="93">
        <f>SUM('1:2'!X275)</f>
        <v>0</v>
      </c>
      <c r="Y275" s="93">
        <f>SUM('1:2'!Y275)</f>
        <v>0</v>
      </c>
      <c r="Z275" s="93">
        <f>SUM('1:2'!Z275)</f>
        <v>0</v>
      </c>
      <c r="AA275" s="93">
        <f>SUM('1:2'!AA275)</f>
        <v>0</v>
      </c>
      <c r="AB275" s="358">
        <v>1.29</v>
      </c>
      <c r="AC275" s="269">
        <f t="shared" si="95"/>
        <v>0</v>
      </c>
      <c r="AD275" s="251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 ht="17.25">
      <c r="A276" s="321">
        <v>30600007</v>
      </c>
      <c r="B276" s="61" t="s">
        <v>90</v>
      </c>
      <c r="C276" s="16" t="s">
        <v>89</v>
      </c>
      <c r="D276" s="17">
        <v>9.36</v>
      </c>
      <c r="E276" s="17"/>
      <c r="F276" s="6"/>
      <c r="G276" s="93">
        <f>SUM('1:2'!G276)</f>
        <v>0</v>
      </c>
      <c r="H276" s="246">
        <f t="shared" si="96"/>
        <v>0</v>
      </c>
      <c r="I276" s="93">
        <f>SUM('1:2'!I276)</f>
        <v>0</v>
      </c>
      <c r="J276" s="31" t="str">
        <f t="array" ref="J276">IF(ISERROR(G276/I276),"",G276/I276)</f>
        <v/>
      </c>
      <c r="K276" s="35">
        <f t="array" ref="K276">IF(ISERROR(G276/L276),"",G276/L276)</f>
        <v>0</v>
      </c>
      <c r="L276" s="87">
        <v>6</v>
      </c>
      <c r="M276" s="36">
        <f t="shared" si="97"/>
        <v>0</v>
      </c>
      <c r="N276" s="31">
        <f t="shared" si="98"/>
        <v>0</v>
      </c>
      <c r="O276" s="93">
        <f>SUM('1:2'!O276)</f>
        <v>0</v>
      </c>
      <c r="P276" s="93">
        <f>SUM('1:2'!P276)</f>
        <v>0</v>
      </c>
      <c r="Q276" s="93">
        <f>SUM('1:2'!Q276)</f>
        <v>0</v>
      </c>
      <c r="R276" s="93">
        <f>SUM('1:2'!R276)</f>
        <v>0</v>
      </c>
      <c r="S276" s="93">
        <f>SUM('1:2'!S276)</f>
        <v>0</v>
      </c>
      <c r="T276" s="93">
        <f>SUM('1:2'!T276)</f>
        <v>0</v>
      </c>
      <c r="U276" s="93">
        <f>SUM('1:2'!U276)</f>
        <v>0</v>
      </c>
      <c r="V276" s="206">
        <f t="shared" si="99"/>
        <v>0</v>
      </c>
      <c r="W276" s="33" t="str">
        <f t="shared" si="100"/>
        <v/>
      </c>
      <c r="X276" s="93">
        <f>SUM('1:2'!X276)</f>
        <v>0</v>
      </c>
      <c r="Y276" s="93">
        <f>SUM('1:2'!Y276)</f>
        <v>0</v>
      </c>
      <c r="Z276" s="93">
        <f>SUM('1:2'!Z276)</f>
        <v>0</v>
      </c>
      <c r="AA276" s="93">
        <f>SUM('1:2'!AA276)</f>
        <v>0</v>
      </c>
      <c r="AB276" s="358">
        <v>1.29</v>
      </c>
      <c r="AC276" s="269">
        <f t="shared" si="95"/>
        <v>0</v>
      </c>
      <c r="AD276" s="251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 ht="17.25">
      <c r="A277" s="321">
        <v>30600006</v>
      </c>
      <c r="B277" s="61" t="s">
        <v>90</v>
      </c>
      <c r="C277" s="16" t="s">
        <v>60</v>
      </c>
      <c r="D277" s="17">
        <v>9.36</v>
      </c>
      <c r="E277" s="17"/>
      <c r="F277" s="6"/>
      <c r="G277" s="93">
        <f>SUM('1:2'!G277)</f>
        <v>0</v>
      </c>
      <c r="H277" s="246">
        <f t="shared" si="96"/>
        <v>0</v>
      </c>
      <c r="I277" s="93">
        <f>SUM('1:2'!I277)</f>
        <v>0</v>
      </c>
      <c r="J277" s="31" t="str">
        <f t="array" ref="J277">IF(ISERROR(G277/I277),"",G277/I277)</f>
        <v/>
      </c>
      <c r="K277" s="35">
        <f t="array" ref="K277">IF(ISERROR(G277/L277),"",G277/L277)</f>
        <v>0</v>
      </c>
      <c r="L277" s="87">
        <v>6</v>
      </c>
      <c r="M277" s="36">
        <f t="shared" si="97"/>
        <v>0</v>
      </c>
      <c r="N277" s="31">
        <f t="shared" si="98"/>
        <v>0</v>
      </c>
      <c r="O277" s="93">
        <f>SUM('1:2'!O277)</f>
        <v>0</v>
      </c>
      <c r="P277" s="93">
        <f>SUM('1:2'!P277)</f>
        <v>0</v>
      </c>
      <c r="Q277" s="93">
        <f>SUM('1:2'!Q277)</f>
        <v>0</v>
      </c>
      <c r="R277" s="93">
        <f>SUM('1:2'!R277)</f>
        <v>0</v>
      </c>
      <c r="S277" s="93">
        <f>SUM('1:2'!S277)</f>
        <v>0</v>
      </c>
      <c r="T277" s="93">
        <f>SUM('1:2'!T277)</f>
        <v>0</v>
      </c>
      <c r="U277" s="93">
        <f>SUM('1:2'!U277)</f>
        <v>0</v>
      </c>
      <c r="V277" s="206">
        <f t="shared" si="99"/>
        <v>0</v>
      </c>
      <c r="W277" s="33" t="str">
        <f t="shared" si="100"/>
        <v/>
      </c>
      <c r="X277" s="93">
        <f>SUM('1:2'!X277)</f>
        <v>0</v>
      </c>
      <c r="Y277" s="93">
        <f>SUM('1:2'!Y277)</f>
        <v>0</v>
      </c>
      <c r="Z277" s="93">
        <f>SUM('1:2'!Z277)</f>
        <v>0</v>
      </c>
      <c r="AA277" s="93">
        <f>SUM('1:2'!AA277)</f>
        <v>0</v>
      </c>
      <c r="AB277" s="358">
        <v>1.29</v>
      </c>
      <c r="AC277" s="269">
        <f t="shared" si="95"/>
        <v>0</v>
      </c>
      <c r="AD277" s="251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 ht="17.25">
      <c r="A278" s="320">
        <v>30400026</v>
      </c>
      <c r="B278" s="190" t="s">
        <v>393</v>
      </c>
      <c r="C278" s="187" t="s">
        <v>395</v>
      </c>
      <c r="D278" s="17">
        <v>5</v>
      </c>
      <c r="E278" s="17"/>
      <c r="F278" s="6"/>
      <c r="G278" s="93">
        <f>SUM('1:2'!G278)</f>
        <v>0</v>
      </c>
      <c r="H278" s="246">
        <f t="shared" si="96"/>
        <v>0</v>
      </c>
      <c r="I278" s="93">
        <f>SUM('1:2'!I278)</f>
        <v>0</v>
      </c>
      <c r="J278" s="31"/>
      <c r="K278" s="35">
        <f t="array" ref="K278">IF(ISERROR(G278/L278),"",G278/L278)</f>
        <v>0</v>
      </c>
      <c r="L278" s="87">
        <v>5</v>
      </c>
      <c r="M278" s="36">
        <f t="shared" si="97"/>
        <v>0</v>
      </c>
      <c r="N278" s="31">
        <f t="shared" si="98"/>
        <v>0</v>
      </c>
      <c r="O278" s="93">
        <f>SUM('1:2'!O278)</f>
        <v>0</v>
      </c>
      <c r="P278" s="93">
        <f>SUM('1:2'!P278)</f>
        <v>0</v>
      </c>
      <c r="Q278" s="93">
        <f>SUM('1:2'!Q278)</f>
        <v>0</v>
      </c>
      <c r="R278" s="93">
        <f>SUM('1:2'!R278)</f>
        <v>0</v>
      </c>
      <c r="S278" s="93">
        <f>SUM('1:2'!S278)</f>
        <v>0</v>
      </c>
      <c r="T278" s="93">
        <f>SUM('1:2'!T278)</f>
        <v>0</v>
      </c>
      <c r="U278" s="93">
        <f>SUM('1:2'!U278)</f>
        <v>0</v>
      </c>
      <c r="V278" s="206"/>
      <c r="W278" s="33"/>
      <c r="X278" s="93">
        <f>SUM('1:2'!X278)</f>
        <v>0</v>
      </c>
      <c r="Y278" s="93">
        <f>SUM('1:2'!Y278)</f>
        <v>0</v>
      </c>
      <c r="Z278" s="93">
        <f>SUM('1:2'!Z278)</f>
        <v>0</v>
      </c>
      <c r="AA278" s="93">
        <f>SUM('1:2'!AA278)</f>
        <v>0</v>
      </c>
      <c r="AB278" s="358">
        <v>2.0699999999999998</v>
      </c>
      <c r="AC278" s="269">
        <f t="shared" si="95"/>
        <v>0</v>
      </c>
      <c r="AD278" s="251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 ht="17.25">
      <c r="A279" s="320">
        <v>30400028</v>
      </c>
      <c r="B279" s="190" t="s">
        <v>393</v>
      </c>
      <c r="C279" s="187" t="s">
        <v>402</v>
      </c>
      <c r="D279" s="17">
        <v>5</v>
      </c>
      <c r="E279" s="17"/>
      <c r="F279" s="6"/>
      <c r="G279" s="93">
        <f>SUM('1:2'!G279)</f>
        <v>0</v>
      </c>
      <c r="H279" s="246">
        <f t="shared" si="96"/>
        <v>0</v>
      </c>
      <c r="I279" s="93">
        <f>SUM('1:2'!I279)</f>
        <v>0</v>
      </c>
      <c r="J279" s="31"/>
      <c r="K279" s="35">
        <f t="array" ref="K279">IF(ISERROR(G279/L279),"",G279/L279)</f>
        <v>0</v>
      </c>
      <c r="L279" s="87">
        <v>5</v>
      </c>
      <c r="M279" s="36">
        <f t="shared" si="97"/>
        <v>0</v>
      </c>
      <c r="N279" s="31">
        <f t="shared" si="98"/>
        <v>0</v>
      </c>
      <c r="O279" s="93">
        <f>SUM('1:2'!O279)</f>
        <v>0</v>
      </c>
      <c r="P279" s="93">
        <f>SUM('1:2'!P279)</f>
        <v>0</v>
      </c>
      <c r="Q279" s="93">
        <f>SUM('1:2'!Q279)</f>
        <v>0</v>
      </c>
      <c r="R279" s="93">
        <f>SUM('1:2'!R279)</f>
        <v>0</v>
      </c>
      <c r="S279" s="93">
        <f>SUM('1:2'!S279)</f>
        <v>0</v>
      </c>
      <c r="T279" s="93">
        <f>SUM('1:2'!T279)</f>
        <v>0</v>
      </c>
      <c r="U279" s="93">
        <f>SUM('1:2'!U279)</f>
        <v>0</v>
      </c>
      <c r="V279" s="206"/>
      <c r="W279" s="33"/>
      <c r="X279" s="93">
        <f>SUM('1:2'!X279)</f>
        <v>0</v>
      </c>
      <c r="Y279" s="93">
        <f>SUM('1:2'!Y279)</f>
        <v>0</v>
      </c>
      <c r="Z279" s="93">
        <f>SUM('1:2'!Z279)</f>
        <v>0</v>
      </c>
      <c r="AA279" s="93">
        <f>SUM('1:2'!AA279)</f>
        <v>0</v>
      </c>
      <c r="AB279" s="358">
        <v>2.0699999999999998</v>
      </c>
      <c r="AC279" s="269">
        <f t="shared" si="95"/>
        <v>0</v>
      </c>
      <c r="AD279" s="251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 ht="17.25">
      <c r="A280" s="320">
        <v>30400027</v>
      </c>
      <c r="B280" s="190" t="s">
        <v>404</v>
      </c>
      <c r="C280" s="187" t="s">
        <v>405</v>
      </c>
      <c r="D280" s="17">
        <v>5</v>
      </c>
      <c r="E280" s="17"/>
      <c r="F280" s="6"/>
      <c r="G280" s="93">
        <f>SUM('1:2'!G280)</f>
        <v>0</v>
      </c>
      <c r="H280" s="246">
        <f t="shared" si="96"/>
        <v>0</v>
      </c>
      <c r="I280" s="93">
        <f>SUM('1:2'!I280)</f>
        <v>0</v>
      </c>
      <c r="J280" s="31"/>
      <c r="K280" s="35">
        <f t="array" ref="K280">IF(ISERROR(G280/L280),"",G280/L280)</f>
        <v>0</v>
      </c>
      <c r="L280" s="87">
        <v>5</v>
      </c>
      <c r="M280" s="36">
        <f t="shared" si="97"/>
        <v>0</v>
      </c>
      <c r="N280" s="31">
        <f t="shared" si="98"/>
        <v>0</v>
      </c>
      <c r="O280" s="93">
        <f>SUM('1:2'!O280)</f>
        <v>0</v>
      </c>
      <c r="P280" s="93">
        <f>SUM('1:2'!P280)</f>
        <v>0</v>
      </c>
      <c r="Q280" s="93">
        <f>SUM('1:2'!Q280)</f>
        <v>0</v>
      </c>
      <c r="R280" s="93">
        <f>SUM('1:2'!R280)</f>
        <v>0</v>
      </c>
      <c r="S280" s="93">
        <f>SUM('1:2'!S280)</f>
        <v>0</v>
      </c>
      <c r="T280" s="93">
        <f>SUM('1:2'!T280)</f>
        <v>0</v>
      </c>
      <c r="U280" s="93">
        <f>SUM('1:2'!U280)</f>
        <v>0</v>
      </c>
      <c r="V280" s="206"/>
      <c r="W280" s="33"/>
      <c r="X280" s="93">
        <f>SUM('1:2'!X280)</f>
        <v>0</v>
      </c>
      <c r="Y280" s="93">
        <f>SUM('1:2'!Y280)</f>
        <v>0</v>
      </c>
      <c r="Z280" s="93">
        <f>SUM('1:2'!Z280)</f>
        <v>0</v>
      </c>
      <c r="AA280" s="93">
        <f>SUM('1:2'!AA280)</f>
        <v>0</v>
      </c>
      <c r="AB280" s="358">
        <v>2.0699999999999998</v>
      </c>
      <c r="AC280" s="269">
        <f t="shared" si="95"/>
        <v>0</v>
      </c>
      <c r="AD280" s="251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 ht="17.25">
      <c r="A281" s="320"/>
      <c r="B281" s="61" t="s">
        <v>342</v>
      </c>
      <c r="C281" s="187" t="s">
        <v>372</v>
      </c>
      <c r="D281" s="17">
        <v>5</v>
      </c>
      <c r="E281" s="17"/>
      <c r="F281" s="6"/>
      <c r="G281" s="93">
        <f>SUM('1:2'!G281)</f>
        <v>0</v>
      </c>
      <c r="H281" s="246">
        <f t="shared" si="96"/>
        <v>0</v>
      </c>
      <c r="I281" s="93">
        <f>SUM('1:2'!I281)</f>
        <v>0</v>
      </c>
      <c r="J281" s="31"/>
      <c r="K281" s="35">
        <f t="array" ref="K281">IF(ISERROR(G281/L281),"",G281/L281)</f>
        <v>0</v>
      </c>
      <c r="L281" s="87">
        <v>5</v>
      </c>
      <c r="M281" s="36">
        <f t="shared" si="97"/>
        <v>0</v>
      </c>
      <c r="N281" s="31">
        <f t="shared" si="98"/>
        <v>0</v>
      </c>
      <c r="O281" s="93">
        <f>SUM('1:2'!O281)</f>
        <v>0</v>
      </c>
      <c r="P281" s="93">
        <f>SUM('1:2'!P281)</f>
        <v>0</v>
      </c>
      <c r="Q281" s="93">
        <f>SUM('1:2'!Q281)</f>
        <v>0</v>
      </c>
      <c r="R281" s="93">
        <f>SUM('1:2'!R281)</f>
        <v>0</v>
      </c>
      <c r="S281" s="93">
        <f>SUM('1:2'!S281)</f>
        <v>0</v>
      </c>
      <c r="T281" s="93">
        <f>SUM('1:2'!T281)</f>
        <v>0</v>
      </c>
      <c r="U281" s="93">
        <f>SUM('1:2'!U281)</f>
        <v>0</v>
      </c>
      <c r="V281" s="206"/>
      <c r="W281" s="33"/>
      <c r="X281" s="93">
        <f>SUM('1:2'!X281)</f>
        <v>0</v>
      </c>
      <c r="Y281" s="93">
        <f>SUM('1:2'!Y281)</f>
        <v>0</v>
      </c>
      <c r="Z281" s="93">
        <f>SUM('1:2'!Z281)</f>
        <v>0</v>
      </c>
      <c r="AA281" s="93">
        <f>SUM('1:2'!AA281)</f>
        <v>0</v>
      </c>
      <c r="AB281" s="358">
        <v>2.0699999999999998</v>
      </c>
      <c r="AC281" s="269">
        <f t="shared" si="95"/>
        <v>0</v>
      </c>
      <c r="AD281" s="251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 ht="17.25">
      <c r="A282" s="320">
        <v>30600009</v>
      </c>
      <c r="B282" s="61" t="s">
        <v>343</v>
      </c>
      <c r="C282" s="16" t="s">
        <v>345</v>
      </c>
      <c r="D282" s="17">
        <v>5</v>
      </c>
      <c r="E282" s="17"/>
      <c r="F282" s="6"/>
      <c r="G282" s="93">
        <f>SUM('1:2'!G282)</f>
        <v>0</v>
      </c>
      <c r="H282" s="246">
        <f t="shared" si="96"/>
        <v>0</v>
      </c>
      <c r="I282" s="93">
        <f>SUM('1:2'!I282)</f>
        <v>0</v>
      </c>
      <c r="J282" s="31"/>
      <c r="K282" s="35">
        <f t="array" ref="K282">IF(ISERROR(G282/L282),"",G282/L282)</f>
        <v>0</v>
      </c>
      <c r="L282" s="87">
        <v>5</v>
      </c>
      <c r="M282" s="36">
        <f t="shared" si="97"/>
        <v>0</v>
      </c>
      <c r="N282" s="31">
        <f t="shared" si="98"/>
        <v>0</v>
      </c>
      <c r="O282" s="93">
        <f>SUM('1:2'!O282)</f>
        <v>0</v>
      </c>
      <c r="P282" s="93">
        <f>SUM('1:2'!P282)</f>
        <v>0</v>
      </c>
      <c r="Q282" s="93">
        <f>SUM('1:2'!Q282)</f>
        <v>0</v>
      </c>
      <c r="R282" s="93">
        <f>SUM('1:2'!R282)</f>
        <v>0</v>
      </c>
      <c r="S282" s="93">
        <f>SUM('1:2'!S282)</f>
        <v>0</v>
      </c>
      <c r="T282" s="93">
        <f>SUM('1:2'!T282)</f>
        <v>0</v>
      </c>
      <c r="U282" s="93">
        <f>SUM('1:2'!U282)</f>
        <v>0</v>
      </c>
      <c r="V282" s="206"/>
      <c r="W282" s="33"/>
      <c r="X282" s="93">
        <f>SUM('1:2'!X282)</f>
        <v>0</v>
      </c>
      <c r="Y282" s="93">
        <f>SUM('1:2'!Y282)</f>
        <v>0</v>
      </c>
      <c r="Z282" s="93">
        <f>SUM('1:2'!Z282)</f>
        <v>0</v>
      </c>
      <c r="AA282" s="93">
        <f>SUM('1:2'!AA282)</f>
        <v>0</v>
      </c>
      <c r="AB282" s="358">
        <v>2.0699999999999998</v>
      </c>
      <c r="AC282" s="269">
        <f t="shared" si="95"/>
        <v>0</v>
      </c>
      <c r="AD282" s="251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 ht="17.25">
      <c r="A283" s="320">
        <v>30600010</v>
      </c>
      <c r="B283" s="61" t="s">
        <v>343</v>
      </c>
      <c r="C283" s="16" t="s">
        <v>347</v>
      </c>
      <c r="D283" s="17">
        <v>5</v>
      </c>
      <c r="E283" s="17"/>
      <c r="F283" s="6"/>
      <c r="G283" s="93">
        <f>SUM('1:2'!G283)</f>
        <v>0</v>
      </c>
      <c r="H283" s="246">
        <f t="shared" si="96"/>
        <v>0</v>
      </c>
      <c r="I283" s="93">
        <f>SUM('1:2'!I283)</f>
        <v>0</v>
      </c>
      <c r="J283" s="31"/>
      <c r="K283" s="35">
        <f t="array" ref="K283">IF(ISERROR(G283/L283),"",G283/L283)</f>
        <v>0</v>
      </c>
      <c r="L283" s="87">
        <v>5</v>
      </c>
      <c r="M283" s="36">
        <f t="shared" si="97"/>
        <v>0</v>
      </c>
      <c r="N283" s="31">
        <f t="shared" si="98"/>
        <v>0</v>
      </c>
      <c r="O283" s="93">
        <f>SUM('1:2'!O283)</f>
        <v>0</v>
      </c>
      <c r="P283" s="93">
        <f>SUM('1:2'!P283)</f>
        <v>0</v>
      </c>
      <c r="Q283" s="93">
        <f>SUM('1:2'!Q283)</f>
        <v>0</v>
      </c>
      <c r="R283" s="93">
        <f>SUM('1:2'!R283)</f>
        <v>0</v>
      </c>
      <c r="S283" s="93">
        <f>SUM('1:2'!S283)</f>
        <v>0</v>
      </c>
      <c r="T283" s="93">
        <f>SUM('1:2'!T283)</f>
        <v>0</v>
      </c>
      <c r="U283" s="93">
        <f>SUM('1:2'!U283)</f>
        <v>0</v>
      </c>
      <c r="V283" s="206"/>
      <c r="W283" s="33"/>
      <c r="X283" s="93">
        <f>SUM('1:2'!X283)</f>
        <v>0</v>
      </c>
      <c r="Y283" s="93">
        <f>SUM('1:2'!Y283)</f>
        <v>0</v>
      </c>
      <c r="Z283" s="93">
        <f>SUM('1:2'!Z283)</f>
        <v>0</v>
      </c>
      <c r="AA283" s="93">
        <f>SUM('1:2'!AA283)</f>
        <v>0</v>
      </c>
      <c r="AB283" s="358">
        <v>2.0699999999999998</v>
      </c>
      <c r="AC283" s="269">
        <f t="shared" si="95"/>
        <v>0</v>
      </c>
      <c r="AD283" s="251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 ht="17.25">
      <c r="A284" s="320">
        <v>30400001</v>
      </c>
      <c r="B284" s="65" t="s">
        <v>514</v>
      </c>
      <c r="C284" s="16" t="s">
        <v>61</v>
      </c>
      <c r="D284" s="17">
        <v>5.0599999999999996</v>
      </c>
      <c r="E284" s="17"/>
      <c r="F284" s="6"/>
      <c r="G284" s="93">
        <f>SUM('1:2'!G284)</f>
        <v>0</v>
      </c>
      <c r="H284" s="246">
        <f t="shared" si="96"/>
        <v>0</v>
      </c>
      <c r="I284" s="93">
        <f>SUM('1:2'!I284)</f>
        <v>0</v>
      </c>
      <c r="J284" s="31" t="str">
        <f t="array" ref="J284">IF(ISERROR(G284/I284),"",G284/I284)</f>
        <v/>
      </c>
      <c r="K284" s="35">
        <f t="array" ref="K284">IF(ISERROR(G284/L284),"",G284/L284)</f>
        <v>0</v>
      </c>
      <c r="L284" s="87">
        <v>15.5</v>
      </c>
      <c r="M284" s="36">
        <f t="shared" si="97"/>
        <v>0</v>
      </c>
      <c r="N284" s="31">
        <f t="shared" si="98"/>
        <v>0</v>
      </c>
      <c r="O284" s="93">
        <f>SUM('1:2'!O284)</f>
        <v>0</v>
      </c>
      <c r="P284" s="93">
        <f>SUM('1:2'!P284)</f>
        <v>0</v>
      </c>
      <c r="Q284" s="93">
        <f>SUM('1:2'!Q284)</f>
        <v>0</v>
      </c>
      <c r="R284" s="93">
        <f>SUM('1:2'!R284)</f>
        <v>0</v>
      </c>
      <c r="S284" s="93">
        <f>SUM('1:2'!S284)</f>
        <v>0</v>
      </c>
      <c r="T284" s="93">
        <f>SUM('1:2'!T284)</f>
        <v>0</v>
      </c>
      <c r="U284" s="93">
        <f>SUM('1:2'!U284)</f>
        <v>0</v>
      </c>
      <c r="V284" s="206">
        <f t="shared" ref="V284:V285" si="101">SUM(X284:AA284)</f>
        <v>0</v>
      </c>
      <c r="W284" s="33" t="str">
        <f t="shared" ref="W284:W285" si="102">IF(ISERROR(V284/G284),"",V284/G284)</f>
        <v/>
      </c>
      <c r="X284" s="93">
        <f>SUM('1:2'!X284)</f>
        <v>0</v>
      </c>
      <c r="Y284" s="93">
        <f>SUM('1:2'!Y284)</f>
        <v>0</v>
      </c>
      <c r="Z284" s="93">
        <f>SUM('1:2'!Z284)</f>
        <v>0</v>
      </c>
      <c r="AA284" s="93">
        <f>SUM('1:2'!AA284)</f>
        <v>0</v>
      </c>
      <c r="AB284" s="358">
        <v>0.67</v>
      </c>
      <c r="AC284" s="269">
        <f t="shared" si="95"/>
        <v>0</v>
      </c>
      <c r="AD284" s="251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 ht="17.25">
      <c r="A285" s="320">
        <v>30400002</v>
      </c>
      <c r="B285" s="65" t="s">
        <v>514</v>
      </c>
      <c r="C285" s="16" t="s">
        <v>72</v>
      </c>
      <c r="D285" s="17">
        <v>5.0599999999999996</v>
      </c>
      <c r="E285" s="17"/>
      <c r="F285" s="6"/>
      <c r="G285" s="93">
        <f>SUM('1:2'!G285)</f>
        <v>0</v>
      </c>
      <c r="H285" s="246">
        <f t="shared" si="96"/>
        <v>0</v>
      </c>
      <c r="I285" s="93">
        <f>SUM('1:2'!I285)</f>
        <v>0</v>
      </c>
      <c r="J285" s="31" t="str">
        <f t="array" ref="J285">IF(ISERROR(G285/I285),"",G285/I285)</f>
        <v/>
      </c>
      <c r="K285" s="35">
        <f t="array" ref="K285">IF(ISERROR(G285/L285),"",G285/L285)</f>
        <v>0</v>
      </c>
      <c r="L285" s="87">
        <v>15.5</v>
      </c>
      <c r="M285" s="36">
        <f t="shared" si="97"/>
        <v>0</v>
      </c>
      <c r="N285" s="31">
        <f t="shared" si="98"/>
        <v>0</v>
      </c>
      <c r="O285" s="93">
        <f>SUM('1:2'!O285)</f>
        <v>0</v>
      </c>
      <c r="P285" s="93">
        <f>SUM('1:2'!P285)</f>
        <v>0</v>
      </c>
      <c r="Q285" s="93">
        <f>SUM('1:2'!Q285)</f>
        <v>0</v>
      </c>
      <c r="R285" s="93">
        <f>SUM('1:2'!R285)</f>
        <v>0</v>
      </c>
      <c r="S285" s="93">
        <f>SUM('1:2'!S285)</f>
        <v>0</v>
      </c>
      <c r="T285" s="93">
        <f>SUM('1:2'!T285)</f>
        <v>0</v>
      </c>
      <c r="U285" s="93">
        <f>SUM('1:2'!U285)</f>
        <v>0</v>
      </c>
      <c r="V285" s="206">
        <f t="shared" si="101"/>
        <v>0</v>
      </c>
      <c r="W285" s="33" t="str">
        <f t="shared" si="102"/>
        <v/>
      </c>
      <c r="X285" s="93">
        <f>SUM('1:2'!X285)</f>
        <v>0</v>
      </c>
      <c r="Y285" s="93">
        <f>SUM('1:2'!Y285)</f>
        <v>0</v>
      </c>
      <c r="Z285" s="93">
        <f>SUM('1:2'!Z285)</f>
        <v>0</v>
      </c>
      <c r="AA285" s="93">
        <f>SUM('1:2'!AA285)</f>
        <v>0</v>
      </c>
      <c r="AB285" s="358">
        <v>0.67</v>
      </c>
      <c r="AC285" s="269">
        <f t="shared" si="95"/>
        <v>0</v>
      </c>
      <c r="AD285" s="251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 ht="17.25">
      <c r="A286" s="320">
        <v>30400004</v>
      </c>
      <c r="B286" s="215" t="s">
        <v>419</v>
      </c>
      <c r="C286" s="187" t="s">
        <v>73</v>
      </c>
      <c r="D286" s="17"/>
      <c r="E286" s="17"/>
      <c r="F286" s="6"/>
      <c r="G286" s="93">
        <f>SUM('1:2'!G286)</f>
        <v>132</v>
      </c>
      <c r="H286" s="246">
        <f t="shared" si="96"/>
        <v>0</v>
      </c>
      <c r="I286" s="93">
        <f>SUM('1:2'!I286)</f>
        <v>48</v>
      </c>
      <c r="J286" s="31"/>
      <c r="K286" s="35"/>
      <c r="L286" s="87">
        <v>24</v>
      </c>
      <c r="M286" s="36"/>
      <c r="N286" s="31"/>
      <c r="O286" s="93"/>
      <c r="P286" s="93"/>
      <c r="Q286" s="93"/>
      <c r="R286" s="93"/>
      <c r="S286" s="93"/>
      <c r="T286" s="93"/>
      <c r="U286" s="93"/>
      <c r="V286" s="206"/>
      <c r="W286" s="33"/>
      <c r="X286" s="93"/>
      <c r="Y286" s="93"/>
      <c r="Z286" s="93"/>
      <c r="AA286" s="93"/>
      <c r="AB286" s="358">
        <v>1.73</v>
      </c>
      <c r="AC286" s="269">
        <f t="shared" si="95"/>
        <v>228.35999999999999</v>
      </c>
      <c r="AD286" s="251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 ht="17.25">
      <c r="A287" s="320">
        <v>30400003</v>
      </c>
      <c r="B287" s="215" t="s">
        <v>419</v>
      </c>
      <c r="C287" s="187" t="s">
        <v>60</v>
      </c>
      <c r="D287" s="17"/>
      <c r="E287" s="17"/>
      <c r="F287" s="6"/>
      <c r="G287" s="93">
        <f>SUM('1:2'!G287)</f>
        <v>0</v>
      </c>
      <c r="H287" s="246">
        <f t="shared" si="96"/>
        <v>0</v>
      </c>
      <c r="I287" s="93">
        <f>SUM('1:2'!I287)</f>
        <v>0</v>
      </c>
      <c r="J287" s="31"/>
      <c r="K287" s="35"/>
      <c r="L287" s="87">
        <v>24</v>
      </c>
      <c r="M287" s="36"/>
      <c r="N287" s="31"/>
      <c r="O287" s="93"/>
      <c r="P287" s="93"/>
      <c r="Q287" s="93"/>
      <c r="R287" s="93"/>
      <c r="S287" s="93"/>
      <c r="T287" s="93"/>
      <c r="U287" s="93"/>
      <c r="V287" s="206"/>
      <c r="W287" s="33"/>
      <c r="X287" s="93"/>
      <c r="Y287" s="93"/>
      <c r="Z287" s="93"/>
      <c r="AA287" s="93"/>
      <c r="AB287" s="358">
        <v>1.73</v>
      </c>
      <c r="AC287" s="269">
        <f t="shared" si="95"/>
        <v>0</v>
      </c>
      <c r="AD287" s="251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 ht="17.25">
      <c r="A288" s="320">
        <v>30400005</v>
      </c>
      <c r="B288" s="215" t="s">
        <v>419</v>
      </c>
      <c r="C288" s="187" t="s">
        <v>422</v>
      </c>
      <c r="D288" s="17"/>
      <c r="E288" s="17"/>
      <c r="F288" s="6"/>
      <c r="G288" s="93">
        <f>SUM('1:2'!G288)</f>
        <v>260</v>
      </c>
      <c r="H288" s="246">
        <f t="shared" si="96"/>
        <v>0</v>
      </c>
      <c r="I288" s="93">
        <f>SUM('1:2'!I288)</f>
        <v>48</v>
      </c>
      <c r="J288" s="31"/>
      <c r="K288" s="35"/>
      <c r="L288" s="87">
        <v>24</v>
      </c>
      <c r="M288" s="36"/>
      <c r="N288" s="31"/>
      <c r="O288" s="93"/>
      <c r="P288" s="93"/>
      <c r="Q288" s="93"/>
      <c r="R288" s="93"/>
      <c r="S288" s="93"/>
      <c r="T288" s="93"/>
      <c r="U288" s="93"/>
      <c r="V288" s="206"/>
      <c r="W288" s="33"/>
      <c r="X288" s="93"/>
      <c r="Y288" s="93"/>
      <c r="Z288" s="93"/>
      <c r="AA288" s="93"/>
      <c r="AB288" s="358">
        <v>1.73</v>
      </c>
      <c r="AC288" s="269">
        <f t="shared" si="95"/>
        <v>449.8</v>
      </c>
      <c r="AD288" s="251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 ht="17.25">
      <c r="A289" s="320">
        <v>30400007</v>
      </c>
      <c r="B289" s="65" t="s">
        <v>91</v>
      </c>
      <c r="C289" s="16" t="s">
        <v>74</v>
      </c>
      <c r="D289" s="17">
        <v>5.07</v>
      </c>
      <c r="E289" s="17"/>
      <c r="F289" s="6"/>
      <c r="G289" s="93">
        <f>SUM('1:2'!G289)</f>
        <v>0</v>
      </c>
      <c r="H289" s="246">
        <f t="shared" si="96"/>
        <v>0</v>
      </c>
      <c r="I289" s="93">
        <f>SUM('1:2'!I289)</f>
        <v>0</v>
      </c>
      <c r="J289" s="31" t="str">
        <f t="array" ref="J289">IF(ISERROR(G289/I289),"",G289/I289)</f>
        <v/>
      </c>
      <c r="K289" s="35">
        <f t="array" ref="K289">IF(ISERROR(G289/L289),"",G289/L289)</f>
        <v>0</v>
      </c>
      <c r="L289" s="87">
        <v>9</v>
      </c>
      <c r="M289" s="36">
        <f t="shared" ref="M289:M291" si="103">IF(ISERROR(I289-K289),"",I289-K289)</f>
        <v>0</v>
      </c>
      <c r="N289" s="31">
        <f t="shared" ref="N289:N291" si="104">SUM(O289:U289)</f>
        <v>0</v>
      </c>
      <c r="O289" s="93">
        <f>SUM('1:2'!O289)</f>
        <v>0</v>
      </c>
      <c r="P289" s="93">
        <f>SUM('1:2'!P289)</f>
        <v>0</v>
      </c>
      <c r="Q289" s="93">
        <f>SUM('1:2'!Q289)</f>
        <v>0</v>
      </c>
      <c r="R289" s="93">
        <f>SUM('1:2'!R289)</f>
        <v>0</v>
      </c>
      <c r="S289" s="93">
        <f>SUM('1:2'!S289)</f>
        <v>0</v>
      </c>
      <c r="T289" s="93">
        <f>SUM('1:2'!T289)</f>
        <v>0</v>
      </c>
      <c r="U289" s="93">
        <f>SUM('1:2'!U289)</f>
        <v>0</v>
      </c>
      <c r="V289" s="206">
        <f t="shared" ref="V289:V291" si="105">SUM(X289:AA289)</f>
        <v>0</v>
      </c>
      <c r="W289" s="33" t="str">
        <f t="shared" ref="W289:W323" si="106">IF(ISERROR(V289/G289),"",V289/G289)</f>
        <v/>
      </c>
      <c r="X289" s="93">
        <f>SUM('1:2'!X289)</f>
        <v>0</v>
      </c>
      <c r="Y289" s="93">
        <f>SUM('1:2'!Y289)</f>
        <v>0</v>
      </c>
      <c r="Z289" s="93">
        <f>SUM('1:2'!Z289)</f>
        <v>0</v>
      </c>
      <c r="AA289" s="93">
        <f>SUM('1:2'!AA289)</f>
        <v>0</v>
      </c>
      <c r="AB289" s="358">
        <v>1.22</v>
      </c>
      <c r="AC289" s="269">
        <f t="shared" si="95"/>
        <v>0</v>
      </c>
      <c r="AD289" s="251"/>
      <c r="AE289" s="54"/>
      <c r="AF289" s="54"/>
      <c r="AG289" s="54"/>
      <c r="AH289" s="54"/>
      <c r="AI289" s="57"/>
      <c r="AJ289" s="57"/>
      <c r="AK289" s="57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</row>
    <row r="290" spans="1:53" ht="17.25">
      <c r="A290" s="320">
        <v>30400006</v>
      </c>
      <c r="B290" s="65" t="s">
        <v>91</v>
      </c>
      <c r="C290" s="16" t="s">
        <v>53</v>
      </c>
      <c r="D290" s="17">
        <v>5.07</v>
      </c>
      <c r="E290" s="17"/>
      <c r="F290" s="6"/>
      <c r="G290" s="93">
        <f>SUM('1:2'!G290)</f>
        <v>0</v>
      </c>
      <c r="H290" s="246">
        <f t="shared" si="96"/>
        <v>0</v>
      </c>
      <c r="I290" s="93">
        <f>SUM('1:2'!I290)</f>
        <v>0</v>
      </c>
      <c r="J290" s="31" t="str">
        <f t="array" ref="J290">IF(ISERROR(G290/I290),"",G290/I290)</f>
        <v/>
      </c>
      <c r="K290" s="35">
        <f t="array" ref="K290">IF(ISERROR(G290/L290),"",G290/L290)</f>
        <v>0</v>
      </c>
      <c r="L290" s="87">
        <v>9</v>
      </c>
      <c r="M290" s="36">
        <f t="shared" si="103"/>
        <v>0</v>
      </c>
      <c r="N290" s="31">
        <f t="shared" si="104"/>
        <v>0</v>
      </c>
      <c r="O290" s="93">
        <f>SUM('1:2'!O290)</f>
        <v>0</v>
      </c>
      <c r="P290" s="93">
        <f>SUM('1:2'!P290)</f>
        <v>0</v>
      </c>
      <c r="Q290" s="93">
        <f>SUM('1:2'!Q290)</f>
        <v>0</v>
      </c>
      <c r="R290" s="93">
        <f>SUM('1:2'!R290)</f>
        <v>0</v>
      </c>
      <c r="S290" s="93">
        <f>SUM('1:2'!S290)</f>
        <v>0</v>
      </c>
      <c r="T290" s="93">
        <f>SUM('1:2'!T290)</f>
        <v>0</v>
      </c>
      <c r="U290" s="93">
        <f>SUM('1:2'!U290)</f>
        <v>0</v>
      </c>
      <c r="V290" s="206">
        <f t="shared" si="105"/>
        <v>0</v>
      </c>
      <c r="W290" s="33" t="str">
        <f t="shared" si="106"/>
        <v/>
      </c>
      <c r="X290" s="93">
        <f>SUM('1:2'!X290)</f>
        <v>0</v>
      </c>
      <c r="Y290" s="93">
        <f>SUM('1:2'!Y290)</f>
        <v>0</v>
      </c>
      <c r="Z290" s="93">
        <f>SUM('1:2'!Z290)</f>
        <v>0</v>
      </c>
      <c r="AA290" s="93">
        <f>SUM('1:2'!AA290)</f>
        <v>0</v>
      </c>
      <c r="AB290" s="358">
        <v>1.22</v>
      </c>
      <c r="AC290" s="269">
        <f t="shared" si="95"/>
        <v>0</v>
      </c>
      <c r="AD290" s="251"/>
      <c r="AE290" s="54"/>
      <c r="AF290" s="54"/>
      <c r="AG290" s="54"/>
      <c r="AH290" s="54"/>
      <c r="AI290" s="57"/>
      <c r="AJ290" s="57"/>
      <c r="AK290" s="57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</row>
    <row r="291" spans="1:53" ht="17.25">
      <c r="A291" s="320">
        <v>30400006</v>
      </c>
      <c r="B291" s="65" t="s">
        <v>91</v>
      </c>
      <c r="C291" s="16" t="s">
        <v>60</v>
      </c>
      <c r="D291" s="17">
        <v>5.0599999999999996</v>
      </c>
      <c r="E291" s="17"/>
      <c r="F291" s="53"/>
      <c r="G291" s="93">
        <f>SUM('1:2'!G291)</f>
        <v>0</v>
      </c>
      <c r="H291" s="246">
        <f t="shared" si="96"/>
        <v>0</v>
      </c>
      <c r="I291" s="93">
        <f>SUM('1:2'!I291)</f>
        <v>0</v>
      </c>
      <c r="J291" s="31" t="str">
        <f t="array" ref="J291">IF(ISERROR(G291/I291),"",G291/I291)</f>
        <v/>
      </c>
      <c r="K291" s="246">
        <f t="array" ref="K291">IF(ISERROR(G291/L291),"",G291/L291)</f>
        <v>0</v>
      </c>
      <c r="L291" s="87">
        <v>9</v>
      </c>
      <c r="M291" s="36">
        <f t="shared" si="103"/>
        <v>0</v>
      </c>
      <c r="N291" s="31">
        <f t="shared" si="104"/>
        <v>0</v>
      </c>
      <c r="O291" s="93">
        <f>SUM('1:2'!O291)</f>
        <v>0</v>
      </c>
      <c r="P291" s="93">
        <f>SUM('1:2'!P291)</f>
        <v>0</v>
      </c>
      <c r="Q291" s="93">
        <f>SUM('1:2'!Q291)</f>
        <v>0</v>
      </c>
      <c r="R291" s="93">
        <f>SUM('1:2'!R291)</f>
        <v>0</v>
      </c>
      <c r="S291" s="93">
        <f>SUM('1:2'!S291)</f>
        <v>0</v>
      </c>
      <c r="T291" s="93">
        <f>SUM('1:2'!T291)</f>
        <v>0</v>
      </c>
      <c r="U291" s="93">
        <f>SUM('1:2'!U291)</f>
        <v>0</v>
      </c>
      <c r="V291" s="206">
        <f t="shared" si="105"/>
        <v>0</v>
      </c>
      <c r="W291" s="33" t="str">
        <f t="shared" si="106"/>
        <v/>
      </c>
      <c r="X291" s="93">
        <f>SUM('1:2'!X291)</f>
        <v>0</v>
      </c>
      <c r="Y291" s="93">
        <f>SUM('1:2'!Y291)</f>
        <v>0</v>
      </c>
      <c r="Z291" s="93">
        <f>SUM('1:2'!Z291)</f>
        <v>0</v>
      </c>
      <c r="AA291" s="93">
        <f>SUM('1:2'!AA291)</f>
        <v>0</v>
      </c>
      <c r="AB291" s="358">
        <v>1.22</v>
      </c>
      <c r="AC291" s="269">
        <f t="shared" si="95"/>
        <v>0</v>
      </c>
      <c r="AD291" s="251"/>
      <c r="AE291" s="54"/>
      <c r="AF291" s="54"/>
      <c r="AG291" s="54"/>
      <c r="AH291" s="54"/>
      <c r="AI291" s="57"/>
      <c r="AJ291" s="57"/>
      <c r="AK291" s="57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</row>
    <row r="292" spans="1:53" ht="15.75">
      <c r="A292" s="691" t="s">
        <v>92</v>
      </c>
      <c r="B292" s="692"/>
      <c r="C292" s="243" t="s">
        <v>71</v>
      </c>
      <c r="D292" s="20"/>
      <c r="E292" s="20"/>
      <c r="F292" s="32"/>
      <c r="G292" s="30">
        <f>SUM(G258:G291)</f>
        <v>634</v>
      </c>
      <c r="H292" s="30">
        <f>SUM(H258:H291)</f>
        <v>1217.26</v>
      </c>
      <c r="I292" s="30">
        <f>SUM(I258:I291)</f>
        <v>135</v>
      </c>
      <c r="J292" s="31">
        <f t="array" ref="J292">IF(ISERROR(G292/I292),"",G292/I292)</f>
        <v>4.6962962962962962</v>
      </c>
      <c r="K292" s="30">
        <f>SUM(K258:K291)</f>
        <v>26.021505376344084</v>
      </c>
      <c r="L292" s="98"/>
      <c r="M292" s="89">
        <f t="shared" ref="M292:V292" si="107">SUM(M258:M291)</f>
        <v>12.978494623655916</v>
      </c>
      <c r="N292" s="30">
        <f t="shared" si="107"/>
        <v>0</v>
      </c>
      <c r="O292" s="91">
        <f t="shared" si="107"/>
        <v>0</v>
      </c>
      <c r="P292" s="91">
        <f t="shared" si="107"/>
        <v>0</v>
      </c>
      <c r="Q292" s="91">
        <f t="shared" si="107"/>
        <v>0</v>
      </c>
      <c r="R292" s="91">
        <f t="shared" si="107"/>
        <v>0</v>
      </c>
      <c r="S292" s="92">
        <f t="shared" si="107"/>
        <v>0</v>
      </c>
      <c r="T292" s="91">
        <f t="shared" si="107"/>
        <v>0</v>
      </c>
      <c r="U292" s="91">
        <f t="shared" si="107"/>
        <v>0</v>
      </c>
      <c r="V292" s="206">
        <f t="shared" si="107"/>
        <v>0</v>
      </c>
      <c r="W292" s="33">
        <f t="shared" si="106"/>
        <v>0</v>
      </c>
      <c r="X292" s="92">
        <f>SUM(X258:X291)</f>
        <v>0</v>
      </c>
      <c r="Y292" s="92">
        <f>SUM(Y258:Y291)</f>
        <v>0</v>
      </c>
      <c r="Z292" s="92">
        <f>SUM(Z258:Z291)</f>
        <v>0</v>
      </c>
      <c r="AA292" s="92">
        <f>SUM(AA258:AA291)</f>
        <v>0</v>
      </c>
      <c r="AB292" s="358"/>
      <c r="AC292" s="270">
        <f>SUM(AC258:AC291)</f>
        <v>920.8599999999999</v>
      </c>
      <c r="AD292" s="251"/>
      <c r="AE292" s="74"/>
      <c r="AF292" s="74"/>
      <c r="AG292" s="74"/>
      <c r="AH292" s="74"/>
      <c r="AI292" s="57"/>
      <c r="AJ292" s="57"/>
      <c r="AK292" s="57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</row>
    <row r="293" spans="1:53" ht="17.25">
      <c r="A293" s="320">
        <v>30100038</v>
      </c>
      <c r="B293" s="62" t="s">
        <v>93</v>
      </c>
      <c r="C293" s="16" t="s">
        <v>94</v>
      </c>
      <c r="D293" s="17">
        <v>5.03</v>
      </c>
      <c r="E293" s="17"/>
      <c r="F293" s="6"/>
      <c r="G293" s="93">
        <f>SUM('1:2'!G293)</f>
        <v>0</v>
      </c>
      <c r="H293" s="246">
        <f>D293*G293</f>
        <v>0</v>
      </c>
      <c r="I293" s="93">
        <f>SUM('1:2'!I293)</f>
        <v>0</v>
      </c>
      <c r="J293" s="31" t="str">
        <f t="array" ref="J293">IF(ISERROR(G293/I293),"",G293/I293)</f>
        <v/>
      </c>
      <c r="K293" s="35">
        <f t="array" ref="K293">IF(ISERROR(G293/L293),"",G293/L293)</f>
        <v>0</v>
      </c>
      <c r="L293" s="87">
        <v>25</v>
      </c>
      <c r="M293" s="36">
        <f t="shared" ref="M293:M307" si="108">IF(ISERROR(I293-K293),"",I293-K293)</f>
        <v>0</v>
      </c>
      <c r="N293" s="31">
        <f t="shared" ref="N293:N307" si="109">SUM(O293:U293)</f>
        <v>0</v>
      </c>
      <c r="O293" s="93">
        <f>SUM('1:2'!O293)</f>
        <v>0</v>
      </c>
      <c r="P293" s="93">
        <f>SUM('1:2'!P293)</f>
        <v>0</v>
      </c>
      <c r="Q293" s="93">
        <f>SUM('1:2'!Q293)</f>
        <v>0</v>
      </c>
      <c r="R293" s="93">
        <f>SUM('1:2'!R293)</f>
        <v>0</v>
      </c>
      <c r="S293" s="93">
        <f>SUM('1:2'!S293)</f>
        <v>0</v>
      </c>
      <c r="T293" s="93">
        <f>SUM('1:2'!T293)</f>
        <v>0</v>
      </c>
      <c r="U293" s="93">
        <f>SUM('1:2'!U293)</f>
        <v>0</v>
      </c>
      <c r="V293" s="206">
        <f t="shared" ref="V293:V307" si="110">SUM(X293:AA293)</f>
        <v>0</v>
      </c>
      <c r="W293" s="33" t="str">
        <f t="shared" si="106"/>
        <v/>
      </c>
      <c r="X293" s="93">
        <f>SUM('1:2'!X293)</f>
        <v>0</v>
      </c>
      <c r="Y293" s="93">
        <f>SUM('1:2'!Y293)</f>
        <v>0</v>
      </c>
      <c r="Z293" s="93">
        <f>SUM('1:2'!Z293)</f>
        <v>0</v>
      </c>
      <c r="AA293" s="93">
        <f>SUM('1:2'!AA293)</f>
        <v>0</v>
      </c>
      <c r="AB293" s="358">
        <v>0.41</v>
      </c>
      <c r="AC293" s="269">
        <f t="shared" ref="AC293:AC307" si="111">AB293*G293</f>
        <v>0</v>
      </c>
      <c r="AD293" s="251"/>
      <c r="AE293" s="54"/>
      <c r="AF293" s="54"/>
      <c r="AG293" s="54"/>
      <c r="AH293" s="54"/>
      <c r="AI293" s="57"/>
      <c r="AJ293" s="57"/>
      <c r="AK293" s="57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</row>
    <row r="294" spans="1:53" ht="17.25">
      <c r="A294" s="320">
        <v>30100037</v>
      </c>
      <c r="B294" s="62" t="s">
        <v>93</v>
      </c>
      <c r="C294" s="16" t="s">
        <v>74</v>
      </c>
      <c r="D294" s="17">
        <v>5.03</v>
      </c>
      <c r="E294" s="17"/>
      <c r="F294" s="6"/>
      <c r="G294" s="93">
        <f>SUM('1:2'!G294)</f>
        <v>0</v>
      </c>
      <c r="H294" s="246">
        <f t="shared" ref="H294:H307" si="112">D294*G294</f>
        <v>0</v>
      </c>
      <c r="I294" s="93">
        <f>SUM('1:2'!I294)</f>
        <v>0</v>
      </c>
      <c r="J294" s="31" t="str">
        <f t="array" ref="J294">IF(ISERROR(G294/I294),"",G294/I294)</f>
        <v/>
      </c>
      <c r="K294" s="35">
        <f t="array" ref="K294">IF(ISERROR(G294/L294),"",G294/L294)</f>
        <v>0</v>
      </c>
      <c r="L294" s="87">
        <v>25</v>
      </c>
      <c r="M294" s="36">
        <f t="shared" si="108"/>
        <v>0</v>
      </c>
      <c r="N294" s="31">
        <f t="shared" si="109"/>
        <v>0</v>
      </c>
      <c r="O294" s="93">
        <f>SUM('1:2'!O294)</f>
        <v>0</v>
      </c>
      <c r="P294" s="93">
        <f>SUM('1:2'!P294)</f>
        <v>0</v>
      </c>
      <c r="Q294" s="93">
        <f>SUM('1:2'!Q294)</f>
        <v>0</v>
      </c>
      <c r="R294" s="93">
        <f>SUM('1:2'!R294)</f>
        <v>0</v>
      </c>
      <c r="S294" s="93">
        <f>SUM('1:2'!S294)</f>
        <v>0</v>
      </c>
      <c r="T294" s="93">
        <f>SUM('1:2'!T294)</f>
        <v>0</v>
      </c>
      <c r="U294" s="93">
        <f>SUM('1:2'!U294)</f>
        <v>0</v>
      </c>
      <c r="V294" s="206">
        <f t="shared" si="110"/>
        <v>0</v>
      </c>
      <c r="W294" s="33" t="str">
        <f t="shared" si="106"/>
        <v/>
      </c>
      <c r="X294" s="93">
        <f>SUM('1:2'!X294)</f>
        <v>0</v>
      </c>
      <c r="Y294" s="93">
        <f>SUM('1:2'!Y294)</f>
        <v>0</v>
      </c>
      <c r="Z294" s="93">
        <f>SUM('1:2'!Z294)</f>
        <v>0</v>
      </c>
      <c r="AA294" s="93">
        <f>SUM('1:2'!AA294)</f>
        <v>0</v>
      </c>
      <c r="AB294" s="358">
        <v>0.41</v>
      </c>
      <c r="AC294" s="269">
        <f t="shared" si="111"/>
        <v>0</v>
      </c>
      <c r="AD294" s="251"/>
      <c r="AE294" s="54"/>
      <c r="AF294" s="54"/>
      <c r="AG294" s="54"/>
      <c r="AH294" s="54"/>
      <c r="AI294" s="57"/>
      <c r="AJ294" s="57"/>
      <c r="AK294" s="57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</row>
    <row r="295" spans="1:53" ht="17.25">
      <c r="A295" s="320">
        <v>30100051</v>
      </c>
      <c r="B295" s="62" t="s">
        <v>58</v>
      </c>
      <c r="C295" s="16" t="s">
        <v>65</v>
      </c>
      <c r="D295" s="17">
        <v>5.04</v>
      </c>
      <c r="E295" s="17"/>
      <c r="F295" s="6"/>
      <c r="G295" s="93">
        <f>SUM('1:2'!G295)</f>
        <v>88</v>
      </c>
      <c r="H295" s="246">
        <f t="shared" si="112"/>
        <v>443.52</v>
      </c>
      <c r="I295" s="93">
        <f>SUM('1:2'!I295)</f>
        <v>12</v>
      </c>
      <c r="J295" s="31">
        <f t="array" ref="J295">IF(ISERROR(G295/I295),"",G295/I295)</f>
        <v>7.333333333333333</v>
      </c>
      <c r="K295" s="35">
        <f t="array" ref="K295">IF(ISERROR(G295/L295),"",G295/L295)</f>
        <v>4.4000000000000004</v>
      </c>
      <c r="L295" s="87">
        <v>20</v>
      </c>
      <c r="M295" s="36">
        <f t="shared" si="108"/>
        <v>7.6</v>
      </c>
      <c r="N295" s="31">
        <f t="shared" si="109"/>
        <v>0</v>
      </c>
      <c r="O295" s="93">
        <f>SUM('1:2'!O295)</f>
        <v>0</v>
      </c>
      <c r="P295" s="93">
        <f>SUM('1:2'!P295)</f>
        <v>0</v>
      </c>
      <c r="Q295" s="93">
        <f>SUM('1:2'!Q295)</f>
        <v>0</v>
      </c>
      <c r="R295" s="93">
        <f>SUM('1:2'!R295)</f>
        <v>0</v>
      </c>
      <c r="S295" s="93">
        <f>SUM('1:2'!S295)</f>
        <v>0</v>
      </c>
      <c r="T295" s="93">
        <f>SUM('1:2'!T295)</f>
        <v>0</v>
      </c>
      <c r="U295" s="93">
        <f>SUM('1:2'!U295)</f>
        <v>0</v>
      </c>
      <c r="V295" s="206">
        <f t="shared" si="110"/>
        <v>0</v>
      </c>
      <c r="W295" s="33">
        <f t="shared" si="106"/>
        <v>0</v>
      </c>
      <c r="X295" s="93">
        <f>SUM('1:2'!X295)</f>
        <v>0</v>
      </c>
      <c r="Y295" s="93">
        <f>SUM('1:2'!Y295)</f>
        <v>0</v>
      </c>
      <c r="Z295" s="93">
        <f>SUM('1:2'!Z295)</f>
        <v>0</v>
      </c>
      <c r="AA295" s="93">
        <f>SUM('1:2'!AA295)</f>
        <v>0</v>
      </c>
      <c r="AB295" s="358">
        <v>0.52</v>
      </c>
      <c r="AC295" s="269">
        <f t="shared" si="111"/>
        <v>45.760000000000005</v>
      </c>
      <c r="AD295" s="251"/>
      <c r="AE295" s="54"/>
      <c r="AF295" s="54"/>
      <c r="AG295" s="54"/>
      <c r="AH295" s="54"/>
      <c r="AI295" s="57"/>
      <c r="AJ295" s="57"/>
      <c r="AK295" s="57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</row>
    <row r="296" spans="1:53" ht="17.25">
      <c r="A296" s="320"/>
      <c r="B296" s="63" t="s">
        <v>95</v>
      </c>
      <c r="C296" s="16" t="s">
        <v>82</v>
      </c>
      <c r="D296" s="17">
        <v>5.03</v>
      </c>
      <c r="E296" s="17"/>
      <c r="F296" s="6"/>
      <c r="G296" s="93">
        <f>SUM('1:2'!G296)</f>
        <v>0</v>
      </c>
      <c r="H296" s="246">
        <f t="shared" si="112"/>
        <v>0</v>
      </c>
      <c r="I296" s="93">
        <f>SUM('1:2'!I296)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87">
        <v>4</v>
      </c>
      <c r="M296" s="36">
        <f t="shared" si="108"/>
        <v>0</v>
      </c>
      <c r="N296" s="31">
        <f t="shared" si="109"/>
        <v>0</v>
      </c>
      <c r="O296" s="93">
        <f>SUM('1:2'!O296)</f>
        <v>0</v>
      </c>
      <c r="P296" s="93">
        <f>SUM('1:2'!P296)</f>
        <v>0</v>
      </c>
      <c r="Q296" s="93">
        <f>SUM('1:2'!Q296)</f>
        <v>0</v>
      </c>
      <c r="R296" s="93">
        <f>SUM('1:2'!R296)</f>
        <v>0</v>
      </c>
      <c r="S296" s="93">
        <f>SUM('1:2'!S296)</f>
        <v>0</v>
      </c>
      <c r="T296" s="93">
        <f>SUM('1:2'!T296)</f>
        <v>0</v>
      </c>
      <c r="U296" s="93">
        <f>SUM('1:2'!U296)</f>
        <v>0</v>
      </c>
      <c r="V296" s="206">
        <f t="shared" si="110"/>
        <v>0</v>
      </c>
      <c r="W296" s="33" t="str">
        <f t="shared" si="106"/>
        <v/>
      </c>
      <c r="X296" s="93">
        <f>SUM('1:2'!X296)</f>
        <v>0</v>
      </c>
      <c r="Y296" s="93">
        <f>SUM('1:2'!Y296)</f>
        <v>0</v>
      </c>
      <c r="Z296" s="93">
        <f>SUM('1:2'!Z296)</f>
        <v>0</v>
      </c>
      <c r="AA296" s="93">
        <f>SUM('1:2'!AA296)</f>
        <v>0</v>
      </c>
      <c r="AB296" s="358">
        <v>0.59</v>
      </c>
      <c r="AC296" s="269">
        <f t="shared" si="111"/>
        <v>0</v>
      </c>
      <c r="AD296" s="251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 ht="15.75">
      <c r="A297" s="299">
        <v>30100054</v>
      </c>
      <c r="B297" s="63" t="s">
        <v>95</v>
      </c>
      <c r="C297" s="247" t="s">
        <v>72</v>
      </c>
      <c r="D297" s="17">
        <v>5.03</v>
      </c>
      <c r="E297" s="17"/>
      <c r="F297" s="6"/>
      <c r="G297" s="93">
        <f>SUM('1:2'!G297)</f>
        <v>0</v>
      </c>
      <c r="H297" s="246">
        <f t="shared" si="112"/>
        <v>0</v>
      </c>
      <c r="I297" s="93">
        <f>SUM('1:2'!I297)</f>
        <v>0</v>
      </c>
      <c r="J297" s="31" t="str">
        <f t="array" ref="J297">IF(ISERROR(G297/I297),"",G297/I297)</f>
        <v/>
      </c>
      <c r="K297" s="35">
        <f t="array" ref="K297">IF(ISERROR(G297/L297),"",G297/L297)</f>
        <v>0</v>
      </c>
      <c r="L297" s="87">
        <v>4</v>
      </c>
      <c r="M297" s="36">
        <f t="shared" si="108"/>
        <v>0</v>
      </c>
      <c r="N297" s="31">
        <f t="shared" si="109"/>
        <v>0</v>
      </c>
      <c r="O297" s="93">
        <f>SUM('1:2'!O297)</f>
        <v>0</v>
      </c>
      <c r="P297" s="93">
        <f>SUM('1:2'!P297)</f>
        <v>0</v>
      </c>
      <c r="Q297" s="93">
        <f>SUM('1:2'!Q297)</f>
        <v>0</v>
      </c>
      <c r="R297" s="93">
        <f>SUM('1:2'!R297)</f>
        <v>0</v>
      </c>
      <c r="S297" s="93">
        <f>SUM('1:2'!S297)</f>
        <v>0</v>
      </c>
      <c r="T297" s="93">
        <f>SUM('1:2'!T297)</f>
        <v>0</v>
      </c>
      <c r="U297" s="93">
        <f>SUM('1:2'!U297)</f>
        <v>0</v>
      </c>
      <c r="V297" s="206">
        <f t="shared" si="110"/>
        <v>0</v>
      </c>
      <c r="W297" s="33" t="str">
        <f t="shared" si="106"/>
        <v/>
      </c>
      <c r="X297" s="93">
        <f>SUM('1:2'!X297)</f>
        <v>0</v>
      </c>
      <c r="Y297" s="93">
        <f>SUM('1:2'!Y297)</f>
        <v>0</v>
      </c>
      <c r="Z297" s="93">
        <f>SUM('1:2'!Z297)</f>
        <v>0</v>
      </c>
      <c r="AA297" s="93">
        <f>SUM('1:2'!AA297)</f>
        <v>0</v>
      </c>
      <c r="AB297" s="358">
        <v>0.59</v>
      </c>
      <c r="AC297" s="269">
        <f t="shared" si="111"/>
        <v>0</v>
      </c>
      <c r="AD297" s="251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 ht="15.75">
      <c r="A298" s="299">
        <v>30100053</v>
      </c>
      <c r="B298" s="63" t="s">
        <v>95</v>
      </c>
      <c r="C298" s="16" t="s">
        <v>73</v>
      </c>
      <c r="D298" s="17">
        <v>5.03</v>
      </c>
      <c r="E298" s="17"/>
      <c r="F298" s="6"/>
      <c r="G298" s="93">
        <f>SUM('1:2'!G298)</f>
        <v>0</v>
      </c>
      <c r="H298" s="246">
        <f t="shared" si="112"/>
        <v>0</v>
      </c>
      <c r="I298" s="93">
        <f>SUM('1:2'!I298)</f>
        <v>0</v>
      </c>
      <c r="J298" s="31" t="str">
        <f t="array" ref="J298">IF(ISERROR(G298/I298),"",G298/I298)</f>
        <v/>
      </c>
      <c r="K298" s="35">
        <f t="array" ref="K298">IF(ISERROR(G298/L298),"",G298/L298)</f>
        <v>0</v>
      </c>
      <c r="L298" s="87">
        <v>4</v>
      </c>
      <c r="M298" s="36">
        <f t="shared" si="108"/>
        <v>0</v>
      </c>
      <c r="N298" s="31">
        <f t="shared" si="109"/>
        <v>0</v>
      </c>
      <c r="O298" s="93">
        <f>SUM('1:2'!O298)</f>
        <v>0</v>
      </c>
      <c r="P298" s="93">
        <f>SUM('1:2'!P298)</f>
        <v>0</v>
      </c>
      <c r="Q298" s="93">
        <f>SUM('1:2'!Q298)</f>
        <v>0</v>
      </c>
      <c r="R298" s="93">
        <f>SUM('1:2'!R298)</f>
        <v>0</v>
      </c>
      <c r="S298" s="93">
        <f>SUM('1:2'!S298)</f>
        <v>0</v>
      </c>
      <c r="T298" s="93">
        <f>SUM('1:2'!T298)</f>
        <v>0</v>
      </c>
      <c r="U298" s="93">
        <f>SUM('1:2'!U298)</f>
        <v>0</v>
      </c>
      <c r="V298" s="206">
        <f t="shared" si="110"/>
        <v>0</v>
      </c>
      <c r="W298" s="33" t="str">
        <f t="shared" si="106"/>
        <v/>
      </c>
      <c r="X298" s="93">
        <f>SUM('1:2'!X298)</f>
        <v>0</v>
      </c>
      <c r="Y298" s="93">
        <f>SUM('1:2'!Y298)</f>
        <v>0</v>
      </c>
      <c r="Z298" s="93">
        <f>SUM('1:2'!Z298)</f>
        <v>0</v>
      </c>
      <c r="AA298" s="93">
        <f>SUM('1:2'!AA298)</f>
        <v>0</v>
      </c>
      <c r="AB298" s="358">
        <v>0.59</v>
      </c>
      <c r="AC298" s="269">
        <f t="shared" si="111"/>
        <v>0</v>
      </c>
      <c r="AD298" s="251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 ht="17.25">
      <c r="A299" s="320"/>
      <c r="B299" s="63" t="s">
        <v>95</v>
      </c>
      <c r="C299" s="16" t="s">
        <v>60</v>
      </c>
      <c r="D299" s="17">
        <v>5.03</v>
      </c>
      <c r="E299" s="17"/>
      <c r="F299" s="6"/>
      <c r="G299" s="93">
        <f>SUM('1:2'!G299)</f>
        <v>0</v>
      </c>
      <c r="H299" s="246">
        <f t="shared" si="112"/>
        <v>0</v>
      </c>
      <c r="I299" s="93">
        <f>SUM('1:2'!I299)</f>
        <v>0</v>
      </c>
      <c r="J299" s="31" t="str">
        <f t="array" ref="J299">IF(ISERROR(G299/I299),"",G299/I299)</f>
        <v/>
      </c>
      <c r="K299" s="35">
        <f t="array" ref="K299">IF(ISERROR(G299/L299),"",G299/L299)</f>
        <v>0</v>
      </c>
      <c r="L299" s="87">
        <v>4</v>
      </c>
      <c r="M299" s="36">
        <f t="shared" si="108"/>
        <v>0</v>
      </c>
      <c r="N299" s="31">
        <f t="shared" si="109"/>
        <v>0</v>
      </c>
      <c r="O299" s="93">
        <f>SUM('1:2'!O299)</f>
        <v>0</v>
      </c>
      <c r="P299" s="93">
        <f>SUM('1:2'!P299)</f>
        <v>0</v>
      </c>
      <c r="Q299" s="93">
        <f>SUM('1:2'!Q299)</f>
        <v>0</v>
      </c>
      <c r="R299" s="93">
        <f>SUM('1:2'!R299)</f>
        <v>0</v>
      </c>
      <c r="S299" s="93">
        <f>SUM('1:2'!S299)</f>
        <v>0</v>
      </c>
      <c r="T299" s="93">
        <f>SUM('1:2'!T299)</f>
        <v>0</v>
      </c>
      <c r="U299" s="93">
        <f>SUM('1:2'!U299)</f>
        <v>0</v>
      </c>
      <c r="V299" s="206">
        <f t="shared" si="110"/>
        <v>0</v>
      </c>
      <c r="W299" s="33" t="str">
        <f t="shared" si="106"/>
        <v/>
      </c>
      <c r="X299" s="93">
        <f>SUM('1:2'!X299)</f>
        <v>0</v>
      </c>
      <c r="Y299" s="93">
        <f>SUM('1:2'!Y299)</f>
        <v>0</v>
      </c>
      <c r="Z299" s="93">
        <f>SUM('1:2'!Z299)</f>
        <v>0</v>
      </c>
      <c r="AA299" s="93">
        <f>SUM('1:2'!AA299)</f>
        <v>0</v>
      </c>
      <c r="AB299" s="358">
        <v>0.59</v>
      </c>
      <c r="AC299" s="269">
        <f t="shared" si="111"/>
        <v>0</v>
      </c>
      <c r="AD299" s="251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 ht="17.25">
      <c r="A300" s="320"/>
      <c r="B300" s="63" t="s">
        <v>95</v>
      </c>
      <c r="C300" s="247" t="s">
        <v>96</v>
      </c>
      <c r="D300" s="17">
        <v>5.03</v>
      </c>
      <c r="E300" s="17"/>
      <c r="F300" s="6"/>
      <c r="G300" s="93">
        <f>SUM('1:2'!G300)</f>
        <v>0</v>
      </c>
      <c r="H300" s="246">
        <f t="shared" si="112"/>
        <v>0</v>
      </c>
      <c r="I300" s="93">
        <f>SUM('1:2'!I300)</f>
        <v>0</v>
      </c>
      <c r="J300" s="31" t="str">
        <f t="array" ref="J300">IF(ISERROR(G300/I300),"",G300/I300)</f>
        <v/>
      </c>
      <c r="K300" s="35">
        <f t="array" ref="K300">IF(ISERROR(G300/L300),"",G300/L300)</f>
        <v>0</v>
      </c>
      <c r="L300" s="87">
        <v>4</v>
      </c>
      <c r="M300" s="36">
        <f t="shared" si="108"/>
        <v>0</v>
      </c>
      <c r="N300" s="31">
        <f t="shared" si="109"/>
        <v>0</v>
      </c>
      <c r="O300" s="93">
        <f>SUM('1:2'!O300)</f>
        <v>0</v>
      </c>
      <c r="P300" s="93">
        <f>SUM('1:2'!P300)</f>
        <v>0</v>
      </c>
      <c r="Q300" s="93">
        <f>SUM('1:2'!Q300)</f>
        <v>0</v>
      </c>
      <c r="R300" s="93">
        <f>SUM('1:2'!R300)</f>
        <v>0</v>
      </c>
      <c r="S300" s="93">
        <f>SUM('1:2'!S300)</f>
        <v>0</v>
      </c>
      <c r="T300" s="93">
        <f>SUM('1:2'!T300)</f>
        <v>0</v>
      </c>
      <c r="U300" s="93">
        <f>SUM('1:2'!U300)</f>
        <v>0</v>
      </c>
      <c r="V300" s="206">
        <f t="shared" si="110"/>
        <v>0</v>
      </c>
      <c r="W300" s="33" t="str">
        <f t="shared" si="106"/>
        <v/>
      </c>
      <c r="X300" s="93">
        <f>SUM('1:2'!X300)</f>
        <v>0</v>
      </c>
      <c r="Y300" s="93">
        <f>SUM('1:2'!Y300)</f>
        <v>0</v>
      </c>
      <c r="Z300" s="93">
        <f>SUM('1:2'!Z300)</f>
        <v>0</v>
      </c>
      <c r="AA300" s="93">
        <f>SUM('1:2'!AA300)</f>
        <v>0</v>
      </c>
      <c r="AB300" s="358">
        <v>0.59</v>
      </c>
      <c r="AC300" s="269">
        <f t="shared" si="111"/>
        <v>0</v>
      </c>
      <c r="AD300" s="251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 ht="17.25">
      <c r="A301" s="320">
        <v>30101067</v>
      </c>
      <c r="B301" s="63" t="s">
        <v>97</v>
      </c>
      <c r="C301" s="247" t="s">
        <v>82</v>
      </c>
      <c r="D301" s="17">
        <v>5.03</v>
      </c>
      <c r="E301" s="17"/>
      <c r="F301" s="6"/>
      <c r="G301" s="93">
        <f>SUM('1:2'!G301)</f>
        <v>0</v>
      </c>
      <c r="H301" s="246">
        <f t="shared" si="112"/>
        <v>0</v>
      </c>
      <c r="I301" s="93">
        <f>SUM('1:2'!I301)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87"/>
      <c r="M301" s="36" t="str">
        <f t="shared" si="108"/>
        <v/>
      </c>
      <c r="N301" s="31">
        <f t="shared" si="109"/>
        <v>0</v>
      </c>
      <c r="O301" s="93">
        <f>SUM('1:2'!O301)</f>
        <v>0</v>
      </c>
      <c r="P301" s="93">
        <f>SUM('1:2'!P301)</f>
        <v>0</v>
      </c>
      <c r="Q301" s="93">
        <f>SUM('1:2'!Q301)</f>
        <v>0</v>
      </c>
      <c r="R301" s="93">
        <f>SUM('1:2'!R301)</f>
        <v>0</v>
      </c>
      <c r="S301" s="93">
        <f>SUM('1:2'!S301)</f>
        <v>0</v>
      </c>
      <c r="T301" s="93">
        <f>SUM('1:2'!T301)</f>
        <v>0</v>
      </c>
      <c r="U301" s="93">
        <f>SUM('1:2'!U301)</f>
        <v>0</v>
      </c>
      <c r="V301" s="206">
        <f t="shared" si="110"/>
        <v>0</v>
      </c>
      <c r="W301" s="33" t="str">
        <f t="shared" si="106"/>
        <v/>
      </c>
      <c r="X301" s="93">
        <f>SUM('1:2'!X301)</f>
        <v>0</v>
      </c>
      <c r="Y301" s="93">
        <f>SUM('1:2'!Y301)</f>
        <v>0</v>
      </c>
      <c r="Z301" s="93">
        <f>SUM('1:2'!Z301)</f>
        <v>0</v>
      </c>
      <c r="AA301" s="93">
        <f>SUM('1:2'!AA301)</f>
        <v>0</v>
      </c>
      <c r="AB301" s="358"/>
      <c r="AC301" s="269">
        <f t="shared" si="111"/>
        <v>0</v>
      </c>
      <c r="AD301" s="251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 ht="17.25">
      <c r="A302" s="320">
        <v>30101068</v>
      </c>
      <c r="B302" s="63" t="s">
        <v>97</v>
      </c>
      <c r="C302" s="247" t="s">
        <v>72</v>
      </c>
      <c r="D302" s="17">
        <v>5.03</v>
      </c>
      <c r="E302" s="17"/>
      <c r="F302" s="6"/>
      <c r="G302" s="93">
        <f>SUM('1:2'!G302)</f>
        <v>0</v>
      </c>
      <c r="H302" s="246">
        <f t="shared" si="112"/>
        <v>0</v>
      </c>
      <c r="I302" s="93">
        <f>SUM('1:2'!I302)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87"/>
      <c r="M302" s="36" t="str">
        <f t="shared" si="108"/>
        <v/>
      </c>
      <c r="N302" s="31">
        <f t="shared" si="109"/>
        <v>0</v>
      </c>
      <c r="O302" s="93">
        <f>SUM('1:2'!O302)</f>
        <v>0</v>
      </c>
      <c r="P302" s="93">
        <f>SUM('1:2'!P302)</f>
        <v>0</v>
      </c>
      <c r="Q302" s="93">
        <f>SUM('1:2'!Q302)</f>
        <v>0</v>
      </c>
      <c r="R302" s="93">
        <f>SUM('1:2'!R302)</f>
        <v>0</v>
      </c>
      <c r="S302" s="93">
        <f>SUM('1:2'!S302)</f>
        <v>0</v>
      </c>
      <c r="T302" s="93">
        <f>SUM('1:2'!T302)</f>
        <v>0</v>
      </c>
      <c r="U302" s="93">
        <f>SUM('1:2'!U302)</f>
        <v>0</v>
      </c>
      <c r="V302" s="206">
        <f t="shared" si="110"/>
        <v>0</v>
      </c>
      <c r="W302" s="33" t="str">
        <f t="shared" si="106"/>
        <v/>
      </c>
      <c r="X302" s="93">
        <f>SUM('1:2'!X302)</f>
        <v>0</v>
      </c>
      <c r="Y302" s="93">
        <f>SUM('1:2'!Y302)</f>
        <v>0</v>
      </c>
      <c r="Z302" s="93">
        <f>SUM('1:2'!Z302)</f>
        <v>0</v>
      </c>
      <c r="AA302" s="93">
        <f>SUM('1:2'!AA302)</f>
        <v>0</v>
      </c>
      <c r="AB302" s="358">
        <v>0.59</v>
      </c>
      <c r="AC302" s="269">
        <f t="shared" si="111"/>
        <v>0</v>
      </c>
      <c r="AD302" s="251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 ht="17.25">
      <c r="A303" s="320">
        <v>30101069</v>
      </c>
      <c r="B303" s="63" t="s">
        <v>97</v>
      </c>
      <c r="C303" s="247" t="s">
        <v>60</v>
      </c>
      <c r="D303" s="17">
        <v>5.03</v>
      </c>
      <c r="E303" s="17"/>
      <c r="F303" s="6"/>
      <c r="G303" s="93">
        <f>SUM('1:2'!G303)</f>
        <v>0</v>
      </c>
      <c r="H303" s="246">
        <f t="shared" si="112"/>
        <v>0</v>
      </c>
      <c r="I303" s="93">
        <f>SUM('1:2'!I303)</f>
        <v>0</v>
      </c>
      <c r="J303" s="31" t="str">
        <f t="array" ref="J303">IF(ISERROR(G303/I303),"",G303/I303)</f>
        <v/>
      </c>
      <c r="K303" s="35" t="str">
        <f t="array" ref="K303">IF(ISERROR(G303/L303),"",G303/L303)</f>
        <v/>
      </c>
      <c r="L303" s="87"/>
      <c r="M303" s="36" t="str">
        <f t="shared" si="108"/>
        <v/>
      </c>
      <c r="N303" s="31">
        <f t="shared" si="109"/>
        <v>0</v>
      </c>
      <c r="O303" s="93">
        <f>SUM('1:2'!O303)</f>
        <v>0</v>
      </c>
      <c r="P303" s="93">
        <f>SUM('1:2'!P303)</f>
        <v>0</v>
      </c>
      <c r="Q303" s="93">
        <f>SUM('1:2'!Q303)</f>
        <v>0</v>
      </c>
      <c r="R303" s="93">
        <f>SUM('1:2'!R303)</f>
        <v>0</v>
      </c>
      <c r="S303" s="93">
        <f>SUM('1:2'!S303)</f>
        <v>0</v>
      </c>
      <c r="T303" s="93">
        <f>SUM('1:2'!T303)</f>
        <v>0</v>
      </c>
      <c r="U303" s="93">
        <f>SUM('1:2'!U303)</f>
        <v>0</v>
      </c>
      <c r="V303" s="206">
        <f t="shared" si="110"/>
        <v>0</v>
      </c>
      <c r="W303" s="33" t="str">
        <f t="shared" si="106"/>
        <v/>
      </c>
      <c r="X303" s="93">
        <f>SUM('1:2'!X303)</f>
        <v>0</v>
      </c>
      <c r="Y303" s="93">
        <f>SUM('1:2'!Y303)</f>
        <v>0</v>
      </c>
      <c r="Z303" s="93">
        <f>SUM('1:2'!Z303)</f>
        <v>0</v>
      </c>
      <c r="AA303" s="93">
        <f>SUM('1:2'!AA303)</f>
        <v>0</v>
      </c>
      <c r="AB303" s="358"/>
      <c r="AC303" s="269">
        <f t="shared" si="111"/>
        <v>0</v>
      </c>
      <c r="AD303" s="251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 ht="17.25">
      <c r="A304" s="320">
        <v>30101070</v>
      </c>
      <c r="B304" s="63" t="s">
        <v>97</v>
      </c>
      <c r="C304" s="247" t="s">
        <v>96</v>
      </c>
      <c r="D304" s="17">
        <v>5.03</v>
      </c>
      <c r="E304" s="17"/>
      <c r="F304" s="6"/>
      <c r="G304" s="93">
        <f>SUM('1:2'!G304)</f>
        <v>0</v>
      </c>
      <c r="H304" s="246">
        <f t="shared" si="112"/>
        <v>0</v>
      </c>
      <c r="I304" s="93">
        <f>SUM('1:2'!I304)</f>
        <v>0</v>
      </c>
      <c r="J304" s="31" t="str">
        <f t="array" ref="J304">IF(ISERROR(G304/I304),"",G304/I304)</f>
        <v/>
      </c>
      <c r="K304" s="35" t="str">
        <f t="array" ref="K304">IF(ISERROR(G304/L304),"",G304/L304)</f>
        <v/>
      </c>
      <c r="L304" s="87"/>
      <c r="M304" s="36" t="str">
        <f t="shared" si="108"/>
        <v/>
      </c>
      <c r="N304" s="31">
        <f t="shared" si="109"/>
        <v>0</v>
      </c>
      <c r="O304" s="93">
        <f>SUM('1:2'!O304)</f>
        <v>0</v>
      </c>
      <c r="P304" s="93">
        <f>SUM('1:2'!P304)</f>
        <v>0</v>
      </c>
      <c r="Q304" s="93">
        <f>SUM('1:2'!Q304)</f>
        <v>0</v>
      </c>
      <c r="R304" s="93">
        <f>SUM('1:2'!R304)</f>
        <v>0</v>
      </c>
      <c r="S304" s="93">
        <f>SUM('1:2'!S304)</f>
        <v>0</v>
      </c>
      <c r="T304" s="93">
        <f>SUM('1:2'!T304)</f>
        <v>0</v>
      </c>
      <c r="U304" s="93">
        <f>SUM('1:2'!U304)</f>
        <v>0</v>
      </c>
      <c r="V304" s="206">
        <f t="shared" si="110"/>
        <v>0</v>
      </c>
      <c r="W304" s="33" t="str">
        <f t="shared" si="106"/>
        <v/>
      </c>
      <c r="X304" s="93">
        <f>SUM('1:2'!X304)</f>
        <v>0</v>
      </c>
      <c r="Y304" s="93">
        <f>SUM('1:2'!Y304)</f>
        <v>0</v>
      </c>
      <c r="Z304" s="93">
        <f>SUM('1:2'!Z304)</f>
        <v>0</v>
      </c>
      <c r="AA304" s="93">
        <f>SUM('1:2'!AA304)</f>
        <v>0</v>
      </c>
      <c r="AB304" s="358"/>
      <c r="AC304" s="269">
        <f t="shared" si="111"/>
        <v>0</v>
      </c>
      <c r="AD304" s="251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 ht="17.25">
      <c r="A305" s="320">
        <v>30101071</v>
      </c>
      <c r="B305" s="63" t="s">
        <v>97</v>
      </c>
      <c r="C305" s="247" t="s">
        <v>73</v>
      </c>
      <c r="D305" s="17">
        <v>5.03</v>
      </c>
      <c r="E305" s="17"/>
      <c r="F305" s="6"/>
      <c r="G305" s="93">
        <f>SUM('1:2'!G305)</f>
        <v>0</v>
      </c>
      <c r="H305" s="246">
        <f t="shared" si="112"/>
        <v>0</v>
      </c>
      <c r="I305" s="93">
        <f>SUM('1:2'!I305)</f>
        <v>0</v>
      </c>
      <c r="J305" s="31" t="str">
        <f t="array" ref="J305">IF(ISERROR(G305/I305),"",G305/I305)</f>
        <v/>
      </c>
      <c r="K305" s="35" t="str">
        <f t="array" ref="K305">IF(ISERROR(G305/L305),"",G305/L305)</f>
        <v/>
      </c>
      <c r="L305" s="87"/>
      <c r="M305" s="36" t="str">
        <f t="shared" si="108"/>
        <v/>
      </c>
      <c r="N305" s="31">
        <f t="shared" si="109"/>
        <v>0</v>
      </c>
      <c r="O305" s="93">
        <f>SUM('1:2'!O305)</f>
        <v>0</v>
      </c>
      <c r="P305" s="93">
        <f>SUM('1:2'!P305)</f>
        <v>0</v>
      </c>
      <c r="Q305" s="93">
        <f>SUM('1:2'!Q305)</f>
        <v>0</v>
      </c>
      <c r="R305" s="93">
        <f>SUM('1:2'!R305)</f>
        <v>0</v>
      </c>
      <c r="S305" s="93">
        <f>SUM('1:2'!S305)</f>
        <v>0</v>
      </c>
      <c r="T305" s="93">
        <f>SUM('1:2'!T305)</f>
        <v>0</v>
      </c>
      <c r="U305" s="93">
        <f>SUM('1:2'!U305)</f>
        <v>0</v>
      </c>
      <c r="V305" s="206">
        <f t="shared" si="110"/>
        <v>0</v>
      </c>
      <c r="W305" s="33" t="str">
        <f t="shared" si="106"/>
        <v/>
      </c>
      <c r="X305" s="93">
        <f>SUM('1:2'!X305)</f>
        <v>0</v>
      </c>
      <c r="Y305" s="93">
        <f>SUM('1:2'!Y305)</f>
        <v>0</v>
      </c>
      <c r="Z305" s="93">
        <f>SUM('1:2'!Z305)</f>
        <v>0</v>
      </c>
      <c r="AA305" s="93">
        <f>SUM('1:2'!AA305)</f>
        <v>0</v>
      </c>
      <c r="AB305" s="358"/>
      <c r="AC305" s="269">
        <f t="shared" si="111"/>
        <v>0</v>
      </c>
      <c r="AD305" s="251"/>
      <c r="AE305" s="54"/>
      <c r="AF305" s="54"/>
      <c r="AG305" s="54"/>
      <c r="AH305" s="5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 ht="17.25">
      <c r="A306" s="316">
        <v>30100001</v>
      </c>
      <c r="B306" s="62" t="s">
        <v>98</v>
      </c>
      <c r="C306" s="16" t="s">
        <v>74</v>
      </c>
      <c r="D306" s="17">
        <v>5.0599999999999996</v>
      </c>
      <c r="E306" s="17"/>
      <c r="F306" s="6"/>
      <c r="G306" s="93">
        <f>SUM('1:2'!G306)</f>
        <v>947</v>
      </c>
      <c r="H306" s="246">
        <f t="shared" si="112"/>
        <v>4791.82</v>
      </c>
      <c r="I306" s="93">
        <f>SUM('1:2'!I306)</f>
        <v>59.5</v>
      </c>
      <c r="J306" s="31">
        <f t="array" ref="J306">IF(ISERROR(G306/I306),"",G306/I306)</f>
        <v>15.915966386554622</v>
      </c>
      <c r="K306" s="35">
        <f t="array" ref="K306">IF(ISERROR(G306/L306),"",G306/L306)</f>
        <v>37.880000000000003</v>
      </c>
      <c r="L306" s="87">
        <v>25</v>
      </c>
      <c r="M306" s="36">
        <f t="shared" si="108"/>
        <v>21.619999999999997</v>
      </c>
      <c r="N306" s="31">
        <f t="shared" si="109"/>
        <v>0</v>
      </c>
      <c r="O306" s="93">
        <f>SUM('1:2'!O306)</f>
        <v>0</v>
      </c>
      <c r="P306" s="93">
        <f>SUM('1:2'!P306)</f>
        <v>0</v>
      </c>
      <c r="Q306" s="93">
        <f>SUM('1:2'!Q306)</f>
        <v>0</v>
      </c>
      <c r="R306" s="93">
        <f>SUM('1:2'!R306)</f>
        <v>0</v>
      </c>
      <c r="S306" s="93">
        <f>SUM('1:2'!S306)</f>
        <v>0</v>
      </c>
      <c r="T306" s="93">
        <f>SUM('1:2'!T306)</f>
        <v>0</v>
      </c>
      <c r="U306" s="93">
        <f>SUM('1:2'!U306)</f>
        <v>0</v>
      </c>
      <c r="V306" s="206">
        <f t="shared" si="110"/>
        <v>0</v>
      </c>
      <c r="W306" s="33">
        <f t="shared" si="106"/>
        <v>0</v>
      </c>
      <c r="X306" s="93">
        <f>SUM('1:2'!X306)</f>
        <v>0</v>
      </c>
      <c r="Y306" s="93">
        <f>SUM('1:2'!Y306)</f>
        <v>0</v>
      </c>
      <c r="Z306" s="93">
        <f>SUM('1:2'!Z306)</f>
        <v>0</v>
      </c>
      <c r="AA306" s="93">
        <f>SUM('1:2'!AA306)</f>
        <v>0</v>
      </c>
      <c r="AB306" s="358">
        <v>0.43</v>
      </c>
      <c r="AC306" s="269">
        <f t="shared" si="111"/>
        <v>407.21</v>
      </c>
      <c r="AD306" s="251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 ht="17.25">
      <c r="A307" s="316">
        <v>30100002</v>
      </c>
      <c r="B307" s="62" t="s">
        <v>98</v>
      </c>
      <c r="C307" s="16" t="s">
        <v>94</v>
      </c>
      <c r="D307" s="17">
        <v>5.0599999999999996</v>
      </c>
      <c r="E307" s="17"/>
      <c r="F307" s="6"/>
      <c r="G307" s="93">
        <f>SUM('1:2'!G307)</f>
        <v>721</v>
      </c>
      <c r="H307" s="246">
        <f t="shared" si="112"/>
        <v>3648.2599999999998</v>
      </c>
      <c r="I307" s="93">
        <f>SUM('1:2'!I307)</f>
        <v>34</v>
      </c>
      <c r="J307" s="31">
        <f t="array" ref="J307">IF(ISERROR(G307/I307),"",G307/I307)</f>
        <v>21.205882352941178</v>
      </c>
      <c r="K307" s="35">
        <f t="array" ref="K307">IF(ISERROR(G307/L307),"",G307/L307)</f>
        <v>28.84</v>
      </c>
      <c r="L307" s="87">
        <v>25</v>
      </c>
      <c r="M307" s="36">
        <f t="shared" si="108"/>
        <v>5.16</v>
      </c>
      <c r="N307" s="31">
        <f t="shared" si="109"/>
        <v>0</v>
      </c>
      <c r="O307" s="93">
        <f>SUM('1:2'!O307)</f>
        <v>0</v>
      </c>
      <c r="P307" s="93">
        <f>SUM('1:2'!P307)</f>
        <v>0</v>
      </c>
      <c r="Q307" s="93">
        <f>SUM('1:2'!Q307)</f>
        <v>0</v>
      </c>
      <c r="R307" s="93">
        <f>SUM('1:2'!R307)</f>
        <v>0</v>
      </c>
      <c r="S307" s="93">
        <f>SUM('1:2'!S307)</f>
        <v>0</v>
      </c>
      <c r="T307" s="93">
        <f>SUM('1:2'!T307)</f>
        <v>0</v>
      </c>
      <c r="U307" s="93">
        <f>SUM('1:2'!U307)</f>
        <v>0</v>
      </c>
      <c r="V307" s="206">
        <f t="shared" si="110"/>
        <v>0</v>
      </c>
      <c r="W307" s="33">
        <f t="shared" si="106"/>
        <v>0</v>
      </c>
      <c r="X307" s="93">
        <f>SUM('1:2'!X307)</f>
        <v>0</v>
      </c>
      <c r="Y307" s="93">
        <f>SUM('1:2'!Y307)</f>
        <v>0</v>
      </c>
      <c r="Z307" s="93">
        <f>SUM('1:2'!Z307)</f>
        <v>0</v>
      </c>
      <c r="AA307" s="93">
        <f>SUM('1:2'!AA307)</f>
        <v>0</v>
      </c>
      <c r="AB307" s="358">
        <v>0.43</v>
      </c>
      <c r="AC307" s="269">
        <f t="shared" si="111"/>
        <v>310.02999999999997</v>
      </c>
      <c r="AD307" s="251"/>
      <c r="AE307" s="54"/>
      <c r="AF307" s="54"/>
      <c r="AG307" s="54"/>
      <c r="AH307" s="5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 ht="15.75">
      <c r="A308" s="691" t="s">
        <v>99</v>
      </c>
      <c r="B308" s="692"/>
      <c r="C308" s="243" t="s">
        <v>71</v>
      </c>
      <c r="D308" s="20"/>
      <c r="E308" s="20"/>
      <c r="F308" s="32"/>
      <c r="G308" s="99">
        <f>SUM(G293:G307)</f>
        <v>1756</v>
      </c>
      <c r="H308" s="30">
        <f>SUM(H293:H307)</f>
        <v>8883.6</v>
      </c>
      <c r="I308" s="30">
        <f>SUM(I293:I307)</f>
        <v>105.5</v>
      </c>
      <c r="J308" s="31">
        <f t="array" ref="J308">IF(ISERROR(G308/I308),"",G308/I308)</f>
        <v>16.644549763033176</v>
      </c>
      <c r="K308" s="30">
        <f>SUM(K293:K307)</f>
        <v>71.12</v>
      </c>
      <c r="L308" s="30"/>
      <c r="M308" s="89">
        <f t="shared" ref="M308:V308" si="113">SUM(M293:M307)</f>
        <v>34.379999999999995</v>
      </c>
      <c r="N308" s="30">
        <f t="shared" si="113"/>
        <v>0</v>
      </c>
      <c r="O308" s="30">
        <f t="shared" si="113"/>
        <v>0</v>
      </c>
      <c r="P308" s="30">
        <f t="shared" si="113"/>
        <v>0</v>
      </c>
      <c r="Q308" s="30">
        <f t="shared" si="113"/>
        <v>0</v>
      </c>
      <c r="R308" s="30">
        <f t="shared" si="113"/>
        <v>0</v>
      </c>
      <c r="S308" s="30">
        <f t="shared" si="113"/>
        <v>0</v>
      </c>
      <c r="T308" s="30">
        <f t="shared" si="113"/>
        <v>0</v>
      </c>
      <c r="U308" s="30">
        <f t="shared" si="113"/>
        <v>0</v>
      </c>
      <c r="V308" s="208">
        <f t="shared" si="113"/>
        <v>0</v>
      </c>
      <c r="W308" s="33">
        <f t="shared" si="106"/>
        <v>0</v>
      </c>
      <c r="X308" s="94">
        <f>SUM(X293:X307)</f>
        <v>0</v>
      </c>
      <c r="Y308" s="94">
        <f>SUM(Y293:Y307)</f>
        <v>0</v>
      </c>
      <c r="Z308" s="94">
        <f>SUM(Z293:Z307)</f>
        <v>0</v>
      </c>
      <c r="AA308" s="94">
        <f>SUM(AA293:AA307)</f>
        <v>0</v>
      </c>
      <c r="AB308" s="358"/>
      <c r="AC308" s="270">
        <f>SUM(AC293:AC307)</f>
        <v>763</v>
      </c>
      <c r="AD308" s="251"/>
      <c r="AE308" s="74"/>
      <c r="AF308" s="74"/>
      <c r="AG308" s="74"/>
      <c r="AH308" s="7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 ht="15.75">
      <c r="A309" s="300">
        <v>30400025</v>
      </c>
      <c r="B309" s="62" t="s">
        <v>100</v>
      </c>
      <c r="C309" s="16" t="s">
        <v>53</v>
      </c>
      <c r="D309" s="17">
        <v>5.04</v>
      </c>
      <c r="E309" s="17"/>
      <c r="F309" s="6"/>
      <c r="G309" s="93">
        <f>SUM('1:2'!G309)</f>
        <v>0</v>
      </c>
      <c r="H309" s="246">
        <f t="shared" ref="H309:H318" si="114">D309*G309</f>
        <v>0</v>
      </c>
      <c r="I309" s="93">
        <f>SUM('1:2'!I309)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87">
        <v>22</v>
      </c>
      <c r="M309" s="36">
        <f t="shared" ref="M309:M318" si="115">IF(ISERROR(I309-K309),"",I309-K309)</f>
        <v>0</v>
      </c>
      <c r="N309" s="31">
        <f t="shared" ref="N309:N318" si="116">SUM(O309:U309)</f>
        <v>0</v>
      </c>
      <c r="O309" s="93">
        <f>SUM('1:2'!O309)</f>
        <v>0</v>
      </c>
      <c r="P309" s="93">
        <f>SUM('1:2'!P309)</f>
        <v>0</v>
      </c>
      <c r="Q309" s="93">
        <f>SUM('1:2'!Q309)</f>
        <v>0</v>
      </c>
      <c r="R309" s="93">
        <f>SUM('1:2'!R309)</f>
        <v>0</v>
      </c>
      <c r="S309" s="93">
        <f>SUM('1:2'!S309)</f>
        <v>0</v>
      </c>
      <c r="T309" s="93">
        <f>SUM('1:2'!T309)</f>
        <v>0</v>
      </c>
      <c r="U309" s="93">
        <f>SUM('1:2'!U309)</f>
        <v>0</v>
      </c>
      <c r="V309" s="206">
        <f t="shared" ref="V309:V318" si="117">SUM(X309:AA309)</f>
        <v>0</v>
      </c>
      <c r="W309" s="33" t="str">
        <f t="shared" si="106"/>
        <v/>
      </c>
      <c r="X309" s="93">
        <f>SUM('1:2'!X309)</f>
        <v>0</v>
      </c>
      <c r="Y309" s="93">
        <f>SUM('1:2'!Y309)</f>
        <v>0</v>
      </c>
      <c r="Z309" s="93">
        <f>SUM('1:2'!Z309)</f>
        <v>0</v>
      </c>
      <c r="AA309" s="93">
        <f>SUM('1:2'!AA309)</f>
        <v>0</v>
      </c>
      <c r="AB309" s="358">
        <v>0.48</v>
      </c>
      <c r="AC309" s="269">
        <f t="shared" ref="AC309:AC318" si="118">AB309*G309</f>
        <v>0</v>
      </c>
      <c r="AD309" s="251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 ht="17.25">
      <c r="A310" s="316">
        <v>30400023</v>
      </c>
      <c r="B310" s="62" t="s">
        <v>100</v>
      </c>
      <c r="C310" s="16" t="s">
        <v>60</v>
      </c>
      <c r="D310" s="17">
        <v>5.04</v>
      </c>
      <c r="E310" s="17"/>
      <c r="F310" s="6"/>
      <c r="G310" s="93">
        <f>SUM('1:2'!G310)</f>
        <v>0</v>
      </c>
      <c r="H310" s="246">
        <f t="shared" si="114"/>
        <v>0</v>
      </c>
      <c r="I310" s="93">
        <f>SUM('1:2'!I310)</f>
        <v>0</v>
      </c>
      <c r="J310" s="31" t="str">
        <f t="array" ref="J310">IF(ISERROR(G310/I310),"",G310/I310)</f>
        <v/>
      </c>
      <c r="K310" s="35">
        <f t="array" ref="K310">IF(ISERROR(G310/L310),"",G310/L310)</f>
        <v>0</v>
      </c>
      <c r="L310" s="87">
        <v>22</v>
      </c>
      <c r="M310" s="36">
        <f t="shared" si="115"/>
        <v>0</v>
      </c>
      <c r="N310" s="31">
        <f t="shared" si="116"/>
        <v>0</v>
      </c>
      <c r="O310" s="93">
        <f>SUM('1:2'!O310)</f>
        <v>0</v>
      </c>
      <c r="P310" s="93">
        <f>SUM('1:2'!P310)</f>
        <v>0</v>
      </c>
      <c r="Q310" s="93">
        <f>SUM('1:2'!Q310)</f>
        <v>0</v>
      </c>
      <c r="R310" s="93">
        <f>SUM('1:2'!R310)</f>
        <v>0</v>
      </c>
      <c r="S310" s="93">
        <f>SUM('1:2'!S310)</f>
        <v>0</v>
      </c>
      <c r="T310" s="93">
        <f>SUM('1:2'!T310)</f>
        <v>0</v>
      </c>
      <c r="U310" s="93">
        <f>SUM('1:2'!U310)</f>
        <v>0</v>
      </c>
      <c r="V310" s="206">
        <f t="shared" si="117"/>
        <v>0</v>
      </c>
      <c r="W310" s="33" t="str">
        <f t="shared" si="106"/>
        <v/>
      </c>
      <c r="X310" s="93">
        <f>SUM('1:2'!X310)</f>
        <v>0</v>
      </c>
      <c r="Y310" s="93">
        <f>SUM('1:2'!Y310)</f>
        <v>0</v>
      </c>
      <c r="Z310" s="93">
        <f>SUM('1:2'!Z310)</f>
        <v>0</v>
      </c>
      <c r="AA310" s="93">
        <f>SUM('1:2'!AA310)</f>
        <v>0</v>
      </c>
      <c r="AB310" s="358">
        <v>0.48</v>
      </c>
      <c r="AC310" s="269">
        <f t="shared" si="118"/>
        <v>0</v>
      </c>
      <c r="AD310" s="251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 ht="17.25">
      <c r="A311" s="316">
        <v>30400024</v>
      </c>
      <c r="B311" s="62" t="s">
        <v>100</v>
      </c>
      <c r="C311" s="16" t="s">
        <v>74</v>
      </c>
      <c r="D311" s="17">
        <v>5.04</v>
      </c>
      <c r="E311" s="17"/>
      <c r="F311" s="6"/>
      <c r="G311" s="93">
        <f>SUM('1:2'!G311)</f>
        <v>0</v>
      </c>
      <c r="H311" s="246">
        <f t="shared" si="114"/>
        <v>0</v>
      </c>
      <c r="I311" s="93">
        <f>SUM('1:2'!I311)</f>
        <v>0</v>
      </c>
      <c r="J311" s="31" t="str">
        <f t="array" ref="J311">IF(ISERROR(G311/I311),"",G311/I311)</f>
        <v/>
      </c>
      <c r="K311" s="35">
        <f t="array" ref="K311">IF(ISERROR(G311/L311),"",G311/L311)</f>
        <v>0</v>
      </c>
      <c r="L311" s="87">
        <v>22</v>
      </c>
      <c r="M311" s="36">
        <f t="shared" si="115"/>
        <v>0</v>
      </c>
      <c r="N311" s="31">
        <f t="shared" si="116"/>
        <v>0</v>
      </c>
      <c r="O311" s="93">
        <f>SUM('1:2'!O311)</f>
        <v>0</v>
      </c>
      <c r="P311" s="93">
        <f>SUM('1:2'!P311)</f>
        <v>0</v>
      </c>
      <c r="Q311" s="93">
        <f>SUM('1:2'!Q311)</f>
        <v>0</v>
      </c>
      <c r="R311" s="93">
        <f>SUM('1:2'!R311)</f>
        <v>0</v>
      </c>
      <c r="S311" s="93">
        <f>SUM('1:2'!S311)</f>
        <v>0</v>
      </c>
      <c r="T311" s="93">
        <f>SUM('1:2'!T311)</f>
        <v>0</v>
      </c>
      <c r="U311" s="93">
        <f>SUM('1:2'!U311)</f>
        <v>0</v>
      </c>
      <c r="V311" s="206">
        <f t="shared" si="117"/>
        <v>0</v>
      </c>
      <c r="W311" s="33" t="str">
        <f t="shared" si="106"/>
        <v/>
      </c>
      <c r="X311" s="93">
        <f>SUM('1:2'!X311)</f>
        <v>0</v>
      </c>
      <c r="Y311" s="93">
        <f>SUM('1:2'!Y311)</f>
        <v>0</v>
      </c>
      <c r="Z311" s="93">
        <f>SUM('1:2'!Z311)</f>
        <v>0</v>
      </c>
      <c r="AA311" s="93">
        <f>SUM('1:2'!AA311)</f>
        <v>0</v>
      </c>
      <c r="AB311" s="358">
        <v>0.48</v>
      </c>
      <c r="AC311" s="269">
        <f t="shared" si="118"/>
        <v>0</v>
      </c>
      <c r="AD311" s="251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 ht="17.25">
      <c r="A312" s="316"/>
      <c r="B312" s="62" t="s">
        <v>100</v>
      </c>
      <c r="C312" s="16" t="s">
        <v>66</v>
      </c>
      <c r="D312" s="17">
        <v>5.04</v>
      </c>
      <c r="E312" s="17"/>
      <c r="F312" s="6"/>
      <c r="G312" s="93">
        <f>SUM('1:2'!G312)</f>
        <v>0</v>
      </c>
      <c r="H312" s="246">
        <f t="shared" si="114"/>
        <v>0</v>
      </c>
      <c r="I312" s="93">
        <f>SUM('1:2'!I312)</f>
        <v>0</v>
      </c>
      <c r="J312" s="31" t="str">
        <f t="array" ref="J312">IF(ISERROR(G312/I312),"",G312/I312)</f>
        <v/>
      </c>
      <c r="K312" s="35">
        <f t="array" ref="K312">IF(ISERROR(G312/L312),"",G312/L312)</f>
        <v>0</v>
      </c>
      <c r="L312" s="87">
        <v>22</v>
      </c>
      <c r="M312" s="36">
        <f t="shared" si="115"/>
        <v>0</v>
      </c>
      <c r="N312" s="31">
        <f t="shared" si="116"/>
        <v>0</v>
      </c>
      <c r="O312" s="93">
        <f>SUM('1:2'!O312)</f>
        <v>0</v>
      </c>
      <c r="P312" s="93">
        <f>SUM('1:2'!P312)</f>
        <v>0</v>
      </c>
      <c r="Q312" s="93">
        <f>SUM('1:2'!Q312)</f>
        <v>0</v>
      </c>
      <c r="R312" s="93">
        <f>SUM('1:2'!R312)</f>
        <v>0</v>
      </c>
      <c r="S312" s="93">
        <f>SUM('1:2'!S312)</f>
        <v>0</v>
      </c>
      <c r="T312" s="93">
        <f>SUM('1:2'!T312)</f>
        <v>0</v>
      </c>
      <c r="U312" s="93">
        <f>SUM('1:2'!U312)</f>
        <v>0</v>
      </c>
      <c r="V312" s="206">
        <f t="shared" si="117"/>
        <v>0</v>
      </c>
      <c r="W312" s="33" t="str">
        <f t="shared" si="106"/>
        <v/>
      </c>
      <c r="X312" s="93">
        <f>SUM('1:2'!X312)</f>
        <v>0</v>
      </c>
      <c r="Y312" s="93">
        <f>SUM('1:2'!Y312)</f>
        <v>0</v>
      </c>
      <c r="Z312" s="93">
        <f>SUM('1:2'!Z312)</f>
        <v>0</v>
      </c>
      <c r="AA312" s="93">
        <f>SUM('1:2'!AA312)</f>
        <v>0</v>
      </c>
      <c r="AB312" s="358">
        <v>0.48</v>
      </c>
      <c r="AC312" s="269">
        <f t="shared" si="118"/>
        <v>0</v>
      </c>
      <c r="AD312" s="251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 ht="17.25">
      <c r="A313" s="316"/>
      <c r="B313" s="62" t="s">
        <v>100</v>
      </c>
      <c r="C313" s="16" t="s">
        <v>101</v>
      </c>
      <c r="D313" s="17">
        <v>5.04</v>
      </c>
      <c r="E313" s="17"/>
      <c r="F313" s="6"/>
      <c r="G313" s="93">
        <f>SUM('1:2'!G313)</f>
        <v>0</v>
      </c>
      <c r="H313" s="246">
        <f t="shared" si="114"/>
        <v>0</v>
      </c>
      <c r="I313" s="93">
        <f>SUM('1:2'!I313)</f>
        <v>0</v>
      </c>
      <c r="J313" s="31" t="str">
        <f t="array" ref="J313">IF(ISERROR(G313/I313),"",G313/I313)</f>
        <v/>
      </c>
      <c r="K313" s="35">
        <f t="array" ref="K313">IF(ISERROR(G313/L313),"",G313/L313)</f>
        <v>0</v>
      </c>
      <c r="L313" s="87">
        <v>22</v>
      </c>
      <c r="M313" s="36">
        <f t="shared" si="115"/>
        <v>0</v>
      </c>
      <c r="N313" s="31">
        <f t="shared" si="116"/>
        <v>0</v>
      </c>
      <c r="O313" s="93">
        <f>SUM('1:2'!O313)</f>
        <v>0</v>
      </c>
      <c r="P313" s="93">
        <f>SUM('1:2'!P313)</f>
        <v>0</v>
      </c>
      <c r="Q313" s="93">
        <f>SUM('1:2'!Q313)</f>
        <v>0</v>
      </c>
      <c r="R313" s="93">
        <f>SUM('1:2'!R313)</f>
        <v>0</v>
      </c>
      <c r="S313" s="93">
        <f>SUM('1:2'!S313)</f>
        <v>0</v>
      </c>
      <c r="T313" s="93">
        <f>SUM('1:2'!T313)</f>
        <v>0</v>
      </c>
      <c r="U313" s="93">
        <f>SUM('1:2'!U313)</f>
        <v>0</v>
      </c>
      <c r="V313" s="206">
        <f t="shared" si="117"/>
        <v>0</v>
      </c>
      <c r="W313" s="33" t="str">
        <f t="shared" si="106"/>
        <v/>
      </c>
      <c r="X313" s="93">
        <f>SUM('1:2'!X313)</f>
        <v>0</v>
      </c>
      <c r="Y313" s="93">
        <f>SUM('1:2'!Y313)</f>
        <v>0</v>
      </c>
      <c r="Z313" s="93">
        <f>SUM('1:2'!Z313)</f>
        <v>0</v>
      </c>
      <c r="AA313" s="93">
        <f>SUM('1:2'!AA313)</f>
        <v>0</v>
      </c>
      <c r="AB313" s="358">
        <v>0.48</v>
      </c>
      <c r="AC313" s="269">
        <f t="shared" si="118"/>
        <v>0</v>
      </c>
      <c r="AD313" s="251"/>
      <c r="AE313" s="54"/>
      <c r="AF313" s="54"/>
      <c r="AG313" s="54"/>
      <c r="AH313" s="5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 ht="17.25">
      <c r="A314" s="316">
        <v>30400019</v>
      </c>
      <c r="B314" s="192" t="s">
        <v>440</v>
      </c>
      <c r="C314" s="187" t="s">
        <v>442</v>
      </c>
      <c r="D314" s="17">
        <v>5.03</v>
      </c>
      <c r="E314" s="17"/>
      <c r="F314" s="6"/>
      <c r="G314" s="93">
        <f>SUM('1:2'!G314)</f>
        <v>18</v>
      </c>
      <c r="H314" s="374">
        <f t="shared" si="114"/>
        <v>90.54</v>
      </c>
      <c r="I314" s="93"/>
      <c r="J314" s="31"/>
      <c r="K314" s="35"/>
      <c r="L314" s="87">
        <v>13.5</v>
      </c>
      <c r="M314" s="36"/>
      <c r="N314" s="31"/>
      <c r="O314" s="93"/>
      <c r="P314" s="93"/>
      <c r="Q314" s="93"/>
      <c r="R314" s="93"/>
      <c r="S314" s="93"/>
      <c r="T314" s="93"/>
      <c r="U314" s="93"/>
      <c r="V314" s="206"/>
      <c r="W314" s="33"/>
      <c r="X314" s="93"/>
      <c r="Y314" s="93"/>
      <c r="Z314" s="93"/>
      <c r="AA314" s="93"/>
      <c r="AB314" s="361">
        <v>0.56000000000000005</v>
      </c>
      <c r="AC314" s="269">
        <f t="shared" si="118"/>
        <v>10.080000000000002</v>
      </c>
      <c r="AD314" s="262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 ht="17.25">
      <c r="A315" s="316">
        <v>30400020</v>
      </c>
      <c r="B315" s="192" t="s">
        <v>439</v>
      </c>
      <c r="C315" s="187" t="s">
        <v>516</v>
      </c>
      <c r="D315" s="17">
        <v>5.03</v>
      </c>
      <c r="E315" s="17"/>
      <c r="F315" s="6"/>
      <c r="G315" s="93">
        <f>SUM('1:2'!G315)</f>
        <v>6</v>
      </c>
      <c r="H315" s="374">
        <f t="shared" si="114"/>
        <v>30.18</v>
      </c>
      <c r="I315" s="93"/>
      <c r="J315" s="31"/>
      <c r="K315" s="35"/>
      <c r="L315" s="87">
        <v>13.5</v>
      </c>
      <c r="M315" s="36"/>
      <c r="N315" s="31"/>
      <c r="O315" s="93"/>
      <c r="P315" s="93"/>
      <c r="Q315" s="93"/>
      <c r="R315" s="93"/>
      <c r="S315" s="93"/>
      <c r="T315" s="93"/>
      <c r="U315" s="93"/>
      <c r="V315" s="206"/>
      <c r="W315" s="33"/>
      <c r="X315" s="93"/>
      <c r="Y315" s="93"/>
      <c r="Z315" s="93"/>
      <c r="AA315" s="93"/>
      <c r="AB315" s="386">
        <v>0.56000000000000005</v>
      </c>
      <c r="AC315" s="269">
        <f t="shared" si="118"/>
        <v>3.3600000000000003</v>
      </c>
      <c r="AD315" s="375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 ht="17.25">
      <c r="A316" s="316">
        <v>30400021</v>
      </c>
      <c r="B316" s="192" t="s">
        <v>439</v>
      </c>
      <c r="C316" s="187" t="s">
        <v>517</v>
      </c>
      <c r="D316" s="17">
        <v>5.03</v>
      </c>
      <c r="E316" s="17"/>
      <c r="F316" s="6"/>
      <c r="G316" s="93">
        <f>SUM('1:2'!G316)</f>
        <v>95</v>
      </c>
      <c r="H316" s="378">
        <f t="shared" si="114"/>
        <v>477.85</v>
      </c>
      <c r="I316" s="93"/>
      <c r="J316" s="31"/>
      <c r="K316" s="35"/>
      <c r="L316" s="87">
        <v>13.5</v>
      </c>
      <c r="M316" s="36"/>
      <c r="N316" s="31"/>
      <c r="O316" s="93"/>
      <c r="P316" s="93"/>
      <c r="Q316" s="93"/>
      <c r="R316" s="93"/>
      <c r="S316" s="93"/>
      <c r="T316" s="93"/>
      <c r="U316" s="93"/>
      <c r="V316" s="206"/>
      <c r="W316" s="33"/>
      <c r="X316" s="93"/>
      <c r="Y316" s="93"/>
      <c r="Z316" s="93"/>
      <c r="AA316" s="93"/>
      <c r="AB316" s="386">
        <v>0.56000000000000005</v>
      </c>
      <c r="AC316" s="269">
        <f t="shared" si="118"/>
        <v>53.2</v>
      </c>
      <c r="AD316" s="379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 ht="17.25">
      <c r="A317" s="316">
        <v>30400018</v>
      </c>
      <c r="B317" s="192" t="s">
        <v>439</v>
      </c>
      <c r="C317" s="16" t="s">
        <v>55</v>
      </c>
      <c r="D317" s="17">
        <v>5.03</v>
      </c>
      <c r="E317" s="17"/>
      <c r="F317" s="6"/>
      <c r="G317" s="93">
        <f>SUM('1:2'!G317)</f>
        <v>0</v>
      </c>
      <c r="H317" s="450">
        <f t="shared" si="114"/>
        <v>0</v>
      </c>
      <c r="I317" s="93"/>
      <c r="J317" s="31"/>
      <c r="K317" s="35"/>
      <c r="L317" s="87"/>
      <c r="M317" s="36"/>
      <c r="N317" s="31"/>
      <c r="O317" s="93"/>
      <c r="P317" s="93"/>
      <c r="Q317" s="93"/>
      <c r="R317" s="93"/>
      <c r="S317" s="93"/>
      <c r="T317" s="93"/>
      <c r="U317" s="93"/>
      <c r="V317" s="206"/>
      <c r="W317" s="33"/>
      <c r="X317" s="93"/>
      <c r="Y317" s="93"/>
      <c r="Z317" s="93"/>
      <c r="AA317" s="93"/>
      <c r="AB317" s="449"/>
      <c r="AC317" s="269"/>
      <c r="AD317" s="451"/>
      <c r="AE317" s="54"/>
      <c r="AF317" s="54"/>
      <c r="AG317" s="54"/>
      <c r="AH317" s="5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 ht="17.25">
      <c r="A318" s="316">
        <v>30400022</v>
      </c>
      <c r="B318" s="62" t="s">
        <v>100</v>
      </c>
      <c r="C318" s="16" t="s">
        <v>55</v>
      </c>
      <c r="D318" s="17">
        <v>5.04</v>
      </c>
      <c r="E318" s="17"/>
      <c r="F318" s="6"/>
      <c r="G318" s="93">
        <f>SUM('1:2'!G318)</f>
        <v>0</v>
      </c>
      <c r="H318" s="246">
        <f t="shared" si="114"/>
        <v>0</v>
      </c>
      <c r="I318" s="93">
        <f>SUM('1:2'!I318)</f>
        <v>0</v>
      </c>
      <c r="J318" s="31" t="str">
        <f t="array" ref="J318">IF(ISERROR(G318/I318),"",G318/I318)</f>
        <v/>
      </c>
      <c r="K318" s="35">
        <f t="array" ref="K318">IF(ISERROR(G318/L318),"",G318/L318)</f>
        <v>0</v>
      </c>
      <c r="L318" s="87">
        <v>22</v>
      </c>
      <c r="M318" s="36">
        <f t="shared" si="115"/>
        <v>0</v>
      </c>
      <c r="N318" s="31">
        <f t="shared" si="116"/>
        <v>0</v>
      </c>
      <c r="O318" s="93">
        <f>SUM('1:2'!O318)</f>
        <v>0</v>
      </c>
      <c r="P318" s="93">
        <f>SUM('1:2'!P318)</f>
        <v>0</v>
      </c>
      <c r="Q318" s="93">
        <f>SUM('1:2'!Q318)</f>
        <v>0</v>
      </c>
      <c r="R318" s="93">
        <f>SUM('1:2'!R318)</f>
        <v>0</v>
      </c>
      <c r="S318" s="93">
        <f>SUM('1:2'!S318)</f>
        <v>0</v>
      </c>
      <c r="T318" s="93">
        <f>SUM('1:2'!T318)</f>
        <v>0</v>
      </c>
      <c r="U318" s="93">
        <f>SUM('1:2'!U318)</f>
        <v>0</v>
      </c>
      <c r="V318" s="206">
        <f t="shared" si="117"/>
        <v>0</v>
      </c>
      <c r="W318" s="33" t="str">
        <f t="shared" si="106"/>
        <v/>
      </c>
      <c r="X318" s="93">
        <f>SUM('1:2'!X318)</f>
        <v>0</v>
      </c>
      <c r="Y318" s="93">
        <f>SUM('1:2'!Y318)</f>
        <v>0</v>
      </c>
      <c r="Z318" s="93">
        <f>SUM('1:2'!Z318)</f>
        <v>0</v>
      </c>
      <c r="AA318" s="93">
        <f>SUM('1:2'!AA318)</f>
        <v>0</v>
      </c>
      <c r="AB318" s="358">
        <v>0.48</v>
      </c>
      <c r="AC318" s="269">
        <f t="shared" si="118"/>
        <v>0</v>
      </c>
      <c r="AD318" s="251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 ht="15.75">
      <c r="A319" s="691" t="s">
        <v>102</v>
      </c>
      <c r="B319" s="692"/>
      <c r="C319" s="243" t="s">
        <v>71</v>
      </c>
      <c r="D319" s="20"/>
      <c r="E319" s="20"/>
      <c r="F319" s="32"/>
      <c r="G319" s="103">
        <f>SUM(G309:G318)</f>
        <v>119</v>
      </c>
      <c r="H319" s="30">
        <f>SUM(H309:H318)</f>
        <v>598.57000000000005</v>
      </c>
      <c r="I319" s="30">
        <f>SUM(I309:I318)</f>
        <v>0</v>
      </c>
      <c r="J319" s="31" t="str">
        <f t="array" ref="J319">IF(ISERROR(G319/I319),"",G319/I319)</f>
        <v/>
      </c>
      <c r="K319" s="30">
        <f>SUM(K309:K318)</f>
        <v>0</v>
      </c>
      <c r="L319" s="98"/>
      <c r="M319" s="89">
        <f>SUM(M309:M318)</f>
        <v>0</v>
      </c>
      <c r="N319" s="30">
        <f>SUM(N309:N318)</f>
        <v>0</v>
      </c>
      <c r="O319" s="91">
        <f>SUM(O309:O318)</f>
        <v>0</v>
      </c>
      <c r="P319" s="91">
        <f>SUM(P309:P318)</f>
        <v>0</v>
      </c>
      <c r="Q319" s="91">
        <f>SUM(Q309:Q318)</f>
        <v>0</v>
      </c>
      <c r="R319" s="91"/>
      <c r="S319" s="92">
        <f>SUM(S309:S318)</f>
        <v>0</v>
      </c>
      <c r="T319" s="91">
        <f>SUM(T309:T318)</f>
        <v>0</v>
      </c>
      <c r="U319" s="91">
        <f>SUM(U309:U318)</f>
        <v>0</v>
      </c>
      <c r="V319" s="206">
        <f>SUM(V309:V318)</f>
        <v>0</v>
      </c>
      <c r="W319" s="33">
        <f t="shared" si="106"/>
        <v>0</v>
      </c>
      <c r="X319" s="92">
        <f>SUM(X309:X318)</f>
        <v>0</v>
      </c>
      <c r="Y319" s="92">
        <f>SUM(Y309:Y318)</f>
        <v>0</v>
      </c>
      <c r="Z319" s="92">
        <f>SUM(Z309:Z318)</f>
        <v>0</v>
      </c>
      <c r="AA319" s="92">
        <f>SUM(AA309:AA318)</f>
        <v>0</v>
      </c>
      <c r="AB319" s="358"/>
      <c r="AC319" s="270">
        <f>SUM(AC309:AC318)</f>
        <v>66.64</v>
      </c>
      <c r="AD319" s="251"/>
      <c r="AE319" s="74"/>
      <c r="AF319" s="74"/>
      <c r="AG319" s="74"/>
      <c r="AH319" s="7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 ht="15.75">
      <c r="A320" s="299">
        <v>30700013</v>
      </c>
      <c r="B320" s="64" t="s">
        <v>103</v>
      </c>
      <c r="C320" s="242"/>
      <c r="D320" s="17">
        <v>3.65</v>
      </c>
      <c r="E320" s="17"/>
      <c r="F320" s="53"/>
      <c r="G320" s="93">
        <f>SUM('1:2'!G320)</f>
        <v>0</v>
      </c>
      <c r="H320" s="246">
        <f>D320*G320</f>
        <v>0</v>
      </c>
      <c r="I320" s="93">
        <f>SUM('1:2'!I320)</f>
        <v>0</v>
      </c>
      <c r="J320" s="31" t="str">
        <f t="array" ref="J320">IF(ISERROR(G320/I320),"",G320/I320)</f>
        <v/>
      </c>
      <c r="K320" s="246">
        <f t="array" ref="K320">IF(ISERROR(G320/L320),"",G320/L320)</f>
        <v>0</v>
      </c>
      <c r="L320" s="87">
        <v>5</v>
      </c>
      <c r="M320" s="36">
        <f t="shared" ref="M320:M323" si="119">IF(ISERROR(I320-K320),"",I320-K320)</f>
        <v>0</v>
      </c>
      <c r="N320" s="31">
        <f t="shared" ref="N320:N323" si="120">SUM(O320:U320)</f>
        <v>0</v>
      </c>
      <c r="O320" s="93">
        <f>SUM('1:2'!O320)</f>
        <v>0</v>
      </c>
      <c r="P320" s="93">
        <f>SUM('1:2'!P320)</f>
        <v>0</v>
      </c>
      <c r="Q320" s="93">
        <f>SUM('1:2'!Q320)</f>
        <v>0</v>
      </c>
      <c r="R320" s="93">
        <f>SUM('1:2'!R320)</f>
        <v>0</v>
      </c>
      <c r="S320" s="93">
        <f>SUM('1:2'!S320)</f>
        <v>0</v>
      </c>
      <c r="T320" s="93">
        <f>SUM('1:2'!T320)</f>
        <v>0</v>
      </c>
      <c r="U320" s="93">
        <f>SUM('1:2'!U320)</f>
        <v>0</v>
      </c>
      <c r="V320" s="206">
        <f t="shared" ref="V320:V323" si="121">SUM(X320:AA320)</f>
        <v>0</v>
      </c>
      <c r="W320" s="33" t="str">
        <f t="shared" si="106"/>
        <v/>
      </c>
      <c r="X320" s="93">
        <f>SUM('1:2'!X320)</f>
        <v>0</v>
      </c>
      <c r="Y320" s="93">
        <f>SUM('1:2'!Y320)</f>
        <v>0</v>
      </c>
      <c r="Z320" s="93">
        <f>SUM('1:2'!Z320)</f>
        <v>0</v>
      </c>
      <c r="AA320" s="93">
        <f>SUM('1:2'!AA320)</f>
        <v>0</v>
      </c>
      <c r="AB320" s="358">
        <v>2.0699999999999998</v>
      </c>
      <c r="AC320" s="269">
        <f t="shared" ref="AC320:AC333" si="122">AB320*G320</f>
        <v>0</v>
      </c>
      <c r="AD320" s="251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 ht="15.75">
      <c r="A321" s="299">
        <v>30700014</v>
      </c>
      <c r="B321" s="64" t="s">
        <v>0</v>
      </c>
      <c r="C321" s="242"/>
      <c r="D321" s="17">
        <v>6.58</v>
      </c>
      <c r="E321" s="17"/>
      <c r="F321" s="6"/>
      <c r="G321" s="93">
        <f>SUM('1:2'!G321)</f>
        <v>0</v>
      </c>
      <c r="H321" s="246">
        <f t="shared" ref="H321:H329" si="123">D321*G321</f>
        <v>0</v>
      </c>
      <c r="I321" s="93">
        <f>SUM('1:2'!I321)</f>
        <v>0</v>
      </c>
      <c r="J321" s="31" t="str">
        <f t="array" ref="J321">IF(ISERROR(G321/I321),"",G321/I321)</f>
        <v/>
      </c>
      <c r="K321" s="35">
        <f t="array" ref="K321">IF(ISERROR(G321/L321),"",G321/L321)</f>
        <v>0</v>
      </c>
      <c r="L321" s="87">
        <v>5</v>
      </c>
      <c r="M321" s="36">
        <f t="shared" si="119"/>
        <v>0</v>
      </c>
      <c r="N321" s="31">
        <f t="shared" si="120"/>
        <v>0</v>
      </c>
      <c r="O321" s="93">
        <f>SUM('1:2'!O321)</f>
        <v>0</v>
      </c>
      <c r="P321" s="93">
        <f>SUM('1:2'!P321)</f>
        <v>0</v>
      </c>
      <c r="Q321" s="93">
        <f>SUM('1:2'!Q321)</f>
        <v>0</v>
      </c>
      <c r="R321" s="93">
        <f>SUM('1:2'!R321)</f>
        <v>0</v>
      </c>
      <c r="S321" s="93">
        <f>SUM('1:2'!S321)</f>
        <v>0</v>
      </c>
      <c r="T321" s="93">
        <f>SUM('1:2'!T321)</f>
        <v>0</v>
      </c>
      <c r="U321" s="93">
        <f>SUM('1:2'!U321)</f>
        <v>0</v>
      </c>
      <c r="V321" s="206">
        <f t="shared" si="121"/>
        <v>0</v>
      </c>
      <c r="W321" s="33" t="str">
        <f t="shared" si="106"/>
        <v/>
      </c>
      <c r="X321" s="93">
        <f>SUM('1:2'!X321)</f>
        <v>0</v>
      </c>
      <c r="Y321" s="93">
        <f>SUM('1:2'!Y321)</f>
        <v>0</v>
      </c>
      <c r="Z321" s="93">
        <f>SUM('1:2'!Z321)</f>
        <v>0</v>
      </c>
      <c r="AA321" s="93">
        <f>SUM('1:2'!AA321)</f>
        <v>0</v>
      </c>
      <c r="AB321" s="358">
        <v>2.0699999999999998</v>
      </c>
      <c r="AC321" s="269">
        <f t="shared" si="122"/>
        <v>0</v>
      </c>
      <c r="AD321" s="251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 ht="15.75">
      <c r="A322" s="299">
        <v>30700016</v>
      </c>
      <c r="B322" s="64" t="s">
        <v>1</v>
      </c>
      <c r="C322" s="242"/>
      <c r="D322" s="17">
        <v>7.8</v>
      </c>
      <c r="E322" s="17"/>
      <c r="F322" s="6"/>
      <c r="G322" s="93">
        <f>SUM('1:2'!G322)</f>
        <v>0</v>
      </c>
      <c r="H322" s="246">
        <f t="shared" si="123"/>
        <v>0</v>
      </c>
      <c r="I322" s="93">
        <f>SUM('1:2'!I322)</f>
        <v>0</v>
      </c>
      <c r="J322" s="31" t="str">
        <f t="array" ref="J322">IF(ISERROR(G322/I322),"",G322/I322)</f>
        <v/>
      </c>
      <c r="K322" s="35">
        <f t="array" ref="K322">IF(ISERROR(G322/L322),"",G322/L322)</f>
        <v>0</v>
      </c>
      <c r="L322" s="87">
        <v>4.5999999999999996</v>
      </c>
      <c r="M322" s="36">
        <f t="shared" si="119"/>
        <v>0</v>
      </c>
      <c r="N322" s="31">
        <f t="shared" si="120"/>
        <v>0</v>
      </c>
      <c r="O322" s="93">
        <f>SUM('1:2'!O322)</f>
        <v>0</v>
      </c>
      <c r="P322" s="93">
        <f>SUM('1:2'!P322)</f>
        <v>0</v>
      </c>
      <c r="Q322" s="93">
        <f>SUM('1:2'!Q322)</f>
        <v>0</v>
      </c>
      <c r="R322" s="93">
        <f>SUM('1:2'!R322)</f>
        <v>0</v>
      </c>
      <c r="S322" s="93">
        <f>SUM('1:2'!S322)</f>
        <v>0</v>
      </c>
      <c r="T322" s="93">
        <f>SUM('1:2'!T322)</f>
        <v>0</v>
      </c>
      <c r="U322" s="93">
        <f>SUM('1:2'!U322)</f>
        <v>0</v>
      </c>
      <c r="V322" s="206">
        <f t="shared" si="121"/>
        <v>0</v>
      </c>
      <c r="W322" s="33" t="str">
        <f t="shared" si="106"/>
        <v/>
      </c>
      <c r="X322" s="93">
        <f>SUM('1:2'!X322)</f>
        <v>0</v>
      </c>
      <c r="Y322" s="93">
        <f>SUM('1:2'!Y322)</f>
        <v>0</v>
      </c>
      <c r="Z322" s="93">
        <f>SUM('1:2'!Z322)</f>
        <v>0</v>
      </c>
      <c r="AA322" s="93">
        <f>SUM('1:2'!AA322)</f>
        <v>0</v>
      </c>
      <c r="AB322" s="358">
        <v>2.25</v>
      </c>
      <c r="AC322" s="269">
        <f t="shared" si="122"/>
        <v>0</v>
      </c>
      <c r="AD322" s="251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 ht="15.75">
      <c r="A323" s="299">
        <v>30700017</v>
      </c>
      <c r="B323" s="64" t="s">
        <v>2</v>
      </c>
      <c r="C323" s="242"/>
      <c r="D323" s="17">
        <v>4.4000000000000004</v>
      </c>
      <c r="E323" s="17"/>
      <c r="F323" s="6"/>
      <c r="G323" s="93">
        <f>SUM('1:2'!G323)</f>
        <v>0</v>
      </c>
      <c r="H323" s="246">
        <f t="shared" si="123"/>
        <v>0</v>
      </c>
      <c r="I323" s="93">
        <f>SUM('1:2'!I323)</f>
        <v>0</v>
      </c>
      <c r="J323" s="31" t="str">
        <f t="array" ref="J323">IF(ISERROR(G323/I323),"",G323/I323)</f>
        <v/>
      </c>
      <c r="K323" s="35">
        <f t="array" ref="K323">IF(ISERROR(G323/L323),"",G323/L323)</f>
        <v>0</v>
      </c>
      <c r="L323" s="87">
        <v>5.8</v>
      </c>
      <c r="M323" s="36">
        <f t="shared" si="119"/>
        <v>0</v>
      </c>
      <c r="N323" s="31">
        <f t="shared" si="120"/>
        <v>0</v>
      </c>
      <c r="O323" s="93">
        <f>SUM('1:2'!O323)</f>
        <v>0</v>
      </c>
      <c r="P323" s="93">
        <f>SUM('1:2'!P323)</f>
        <v>0</v>
      </c>
      <c r="Q323" s="93">
        <f>SUM('1:2'!Q323)</f>
        <v>0</v>
      </c>
      <c r="R323" s="93">
        <f>SUM('1:2'!R323)</f>
        <v>0</v>
      </c>
      <c r="S323" s="93">
        <f>SUM('1:2'!S323)</f>
        <v>0</v>
      </c>
      <c r="T323" s="93">
        <f>SUM('1:2'!T323)</f>
        <v>0</v>
      </c>
      <c r="U323" s="93">
        <f>SUM('1:2'!U323)</f>
        <v>0</v>
      </c>
      <c r="V323" s="206">
        <f t="shared" si="121"/>
        <v>0</v>
      </c>
      <c r="W323" s="33" t="str">
        <f t="shared" si="106"/>
        <v/>
      </c>
      <c r="X323" s="93">
        <f>SUM('1:2'!X323)</f>
        <v>0</v>
      </c>
      <c r="Y323" s="93">
        <f>SUM('1:2'!Y323)</f>
        <v>0</v>
      </c>
      <c r="Z323" s="93">
        <f>SUM('1:2'!Z323)</f>
        <v>0</v>
      </c>
      <c r="AA323" s="93">
        <f>SUM('1:2'!AA323)</f>
        <v>0</v>
      </c>
      <c r="AB323" s="358">
        <v>1.79</v>
      </c>
      <c r="AC323" s="269">
        <f t="shared" si="122"/>
        <v>0</v>
      </c>
      <c r="AD323" s="251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 ht="15.75">
      <c r="A324" s="299">
        <v>30700001</v>
      </c>
      <c r="B324" s="191" t="s">
        <v>359</v>
      </c>
      <c r="C324" s="242"/>
      <c r="D324" s="17"/>
      <c r="E324" s="17"/>
      <c r="F324" s="6"/>
      <c r="G324" s="93">
        <f>SUM('1:2'!G324)</f>
        <v>0</v>
      </c>
      <c r="H324" s="296">
        <f t="shared" si="123"/>
        <v>0</v>
      </c>
      <c r="I324" s="93">
        <f>SUM('1:2'!I324)</f>
        <v>0</v>
      </c>
      <c r="J324" s="31"/>
      <c r="K324" s="35"/>
      <c r="L324" s="87">
        <v>6</v>
      </c>
      <c r="M324" s="36"/>
      <c r="N324" s="31"/>
      <c r="O324" s="93">
        <f>SUM('1:2'!O324)</f>
        <v>0</v>
      </c>
      <c r="P324" s="93">
        <f>SUM('1:2'!P324)</f>
        <v>0</v>
      </c>
      <c r="Q324" s="93">
        <f>SUM('1:2'!Q324)</f>
        <v>0</v>
      </c>
      <c r="R324" s="93">
        <f>SUM('1:2'!R324)</f>
        <v>0</v>
      </c>
      <c r="S324" s="93">
        <f>SUM('1:2'!S324)</f>
        <v>0</v>
      </c>
      <c r="T324" s="93">
        <f>SUM('1:2'!T324)</f>
        <v>0</v>
      </c>
      <c r="U324" s="93">
        <f>SUM('1:2'!U324)</f>
        <v>0</v>
      </c>
      <c r="V324" s="206"/>
      <c r="W324" s="33"/>
      <c r="X324" s="93">
        <f>SUM('1:2'!X324)</f>
        <v>0</v>
      </c>
      <c r="Y324" s="93">
        <f>SUM('1:2'!Y324)</f>
        <v>0</v>
      </c>
      <c r="Z324" s="93">
        <f>SUM('1:2'!Z324)</f>
        <v>0</v>
      </c>
      <c r="AA324" s="93">
        <f>SUM('1:2'!AA324)</f>
        <v>0</v>
      </c>
      <c r="AB324" s="358">
        <v>1.92</v>
      </c>
      <c r="AC324" s="269">
        <f t="shared" si="122"/>
        <v>0</v>
      </c>
      <c r="AD324" s="251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 ht="17.25">
      <c r="A325" s="322"/>
      <c r="B325" s="66" t="s">
        <v>104</v>
      </c>
      <c r="C325" s="242" t="s">
        <v>53</v>
      </c>
      <c r="D325" s="17">
        <v>6.04</v>
      </c>
      <c r="E325" s="17"/>
      <c r="F325" s="6"/>
      <c r="G325" s="93">
        <f>SUM('1:2'!G325)</f>
        <v>0</v>
      </c>
      <c r="H325" s="296">
        <f t="shared" si="123"/>
        <v>0</v>
      </c>
      <c r="I325" s="93">
        <f>SUM('1:2'!I325)</f>
        <v>0</v>
      </c>
      <c r="J325" s="31" t="str">
        <f t="array" ref="J325">IF(ISERROR(G325/I325),"",G325/I325)</f>
        <v/>
      </c>
      <c r="K325" s="35">
        <f t="array" ref="K325">IF(ISERROR(G325/L325),"",G325/L325)</f>
        <v>0</v>
      </c>
      <c r="L325" s="87">
        <v>6</v>
      </c>
      <c r="M325" s="36">
        <f t="shared" ref="M325:M326" si="124">IF(ISERROR(I325-K325),"",I325-K325)</f>
        <v>0</v>
      </c>
      <c r="N325" s="31">
        <f t="shared" ref="N325:N326" si="125">SUM(O325:U325)</f>
        <v>0</v>
      </c>
      <c r="O325" s="93">
        <f>SUM('1:2'!O325)</f>
        <v>0</v>
      </c>
      <c r="P325" s="93">
        <f>SUM('1:2'!P325)</f>
        <v>0</v>
      </c>
      <c r="Q325" s="93">
        <f>SUM('1:2'!Q325)</f>
        <v>0</v>
      </c>
      <c r="R325" s="93">
        <f>SUM('1:2'!R325)</f>
        <v>0</v>
      </c>
      <c r="S325" s="93">
        <f>SUM('1:2'!S325)</f>
        <v>0</v>
      </c>
      <c r="T325" s="93">
        <f>SUM('1:2'!T325)</f>
        <v>0</v>
      </c>
      <c r="U325" s="93">
        <f>SUM('1:2'!U325)</f>
        <v>0</v>
      </c>
      <c r="V325" s="206">
        <f t="shared" ref="V325:V326" si="126">SUM(X325:AA325)</f>
        <v>0</v>
      </c>
      <c r="W325" s="33" t="str">
        <f t="shared" ref="W325:W326" si="127">IF(ISERROR(V325/G325),"",V325/G325)</f>
        <v/>
      </c>
      <c r="X325" s="93">
        <f>SUM('1:2'!X325)</f>
        <v>0</v>
      </c>
      <c r="Y325" s="93">
        <f>SUM('1:2'!Y325)</f>
        <v>0</v>
      </c>
      <c r="Z325" s="93">
        <f>SUM('1:2'!Z325)</f>
        <v>0</v>
      </c>
      <c r="AA325" s="93">
        <f>SUM('1:2'!AA325)</f>
        <v>0</v>
      </c>
      <c r="AB325" s="358">
        <v>1.73</v>
      </c>
      <c r="AC325" s="269">
        <f t="shared" si="122"/>
        <v>0</v>
      </c>
      <c r="AD325" s="251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 ht="17.25">
      <c r="A326" s="322">
        <v>30700019</v>
      </c>
      <c r="B326" s="66" t="s">
        <v>104</v>
      </c>
      <c r="C326" s="242" t="s">
        <v>60</v>
      </c>
      <c r="D326" s="17">
        <v>6.04</v>
      </c>
      <c r="E326" s="17"/>
      <c r="F326" s="6"/>
      <c r="G326" s="93">
        <f>SUM('1:2'!G326)</f>
        <v>0</v>
      </c>
      <c r="H326" s="296">
        <f t="shared" si="123"/>
        <v>0</v>
      </c>
      <c r="I326" s="93">
        <f>SUM('1:2'!I326)</f>
        <v>0</v>
      </c>
      <c r="J326" s="31" t="str">
        <f t="array" ref="J326">IF(ISERROR(G326/I326),"",G326/I326)</f>
        <v/>
      </c>
      <c r="K326" s="35">
        <f t="array" ref="K326">IF(ISERROR(G326/L326),"",G326/L326)</f>
        <v>0</v>
      </c>
      <c r="L326" s="87">
        <v>6</v>
      </c>
      <c r="M326" s="36">
        <f t="shared" si="124"/>
        <v>0</v>
      </c>
      <c r="N326" s="31">
        <f t="shared" si="125"/>
        <v>0</v>
      </c>
      <c r="O326" s="93">
        <f>SUM('1:2'!O326)</f>
        <v>0</v>
      </c>
      <c r="P326" s="93">
        <f>SUM('1:2'!P326)</f>
        <v>0</v>
      </c>
      <c r="Q326" s="93">
        <f>SUM('1:2'!Q326)</f>
        <v>0</v>
      </c>
      <c r="R326" s="93">
        <f>SUM('1:2'!R326)</f>
        <v>0</v>
      </c>
      <c r="S326" s="93">
        <f>SUM('1:2'!S326)</f>
        <v>0</v>
      </c>
      <c r="T326" s="93">
        <f>SUM('1:2'!T326)</f>
        <v>0</v>
      </c>
      <c r="U326" s="93">
        <f>SUM('1:2'!U326)</f>
        <v>0</v>
      </c>
      <c r="V326" s="206">
        <f t="shared" si="126"/>
        <v>0</v>
      </c>
      <c r="W326" s="33" t="str">
        <f t="shared" si="127"/>
        <v/>
      </c>
      <c r="X326" s="93">
        <f>SUM('1:2'!X326)</f>
        <v>0</v>
      </c>
      <c r="Y326" s="93">
        <f>SUM('1:2'!Y326)</f>
        <v>0</v>
      </c>
      <c r="Z326" s="93">
        <f>SUM('1:2'!Z326)</f>
        <v>0</v>
      </c>
      <c r="AA326" s="93">
        <f>SUM('1:2'!AA326)</f>
        <v>0</v>
      </c>
      <c r="AB326" s="358">
        <v>1.73</v>
      </c>
      <c r="AC326" s="269">
        <f t="shared" si="122"/>
        <v>0</v>
      </c>
      <c r="AD326" s="251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 ht="15.75">
      <c r="A327" s="305">
        <v>30601015</v>
      </c>
      <c r="B327" s="281" t="s">
        <v>444</v>
      </c>
      <c r="C327" s="280" t="s">
        <v>53</v>
      </c>
      <c r="D327" s="17">
        <v>6</v>
      </c>
      <c r="E327" s="17"/>
      <c r="F327" s="6"/>
      <c r="G327" s="93">
        <f>SUM('1:2'!G327)</f>
        <v>0</v>
      </c>
      <c r="H327" s="296">
        <f t="shared" si="123"/>
        <v>0</v>
      </c>
      <c r="I327" s="93"/>
      <c r="J327" s="31"/>
      <c r="K327" s="35"/>
      <c r="L327" s="87"/>
      <c r="M327" s="36"/>
      <c r="N327" s="31"/>
      <c r="O327" s="93"/>
      <c r="P327" s="93"/>
      <c r="Q327" s="93"/>
      <c r="R327" s="93"/>
      <c r="S327" s="93"/>
      <c r="T327" s="93"/>
      <c r="U327" s="93"/>
      <c r="V327" s="206"/>
      <c r="W327" s="33"/>
      <c r="X327" s="93"/>
      <c r="Y327" s="93"/>
      <c r="Z327" s="93"/>
      <c r="AA327" s="93"/>
      <c r="AB327" s="358">
        <v>1.73</v>
      </c>
      <c r="AC327" s="269">
        <f t="shared" si="122"/>
        <v>0</v>
      </c>
      <c r="AD327" s="279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 ht="15.75">
      <c r="A328" s="305">
        <v>30101016</v>
      </c>
      <c r="B328" s="281" t="s">
        <v>443</v>
      </c>
      <c r="C328" s="283" t="s">
        <v>445</v>
      </c>
      <c r="D328" s="17">
        <v>6</v>
      </c>
      <c r="E328" s="17"/>
      <c r="F328" s="6"/>
      <c r="G328" s="93">
        <f>SUM('1:2'!G328)</f>
        <v>0</v>
      </c>
      <c r="H328" s="296">
        <f t="shared" si="123"/>
        <v>0</v>
      </c>
      <c r="I328" s="93">
        <f>SUM('1:2'!I328)</f>
        <v>0</v>
      </c>
      <c r="J328" s="31"/>
      <c r="K328" s="35">
        <f t="array" ref="K328">IF(ISERROR(G328/L328),"",G328/L328)</f>
        <v>0</v>
      </c>
      <c r="L328" s="87">
        <v>6</v>
      </c>
      <c r="M328" s="36"/>
      <c r="N328" s="31"/>
      <c r="O328" s="93">
        <f>SUM('1:2'!O328)</f>
        <v>0</v>
      </c>
      <c r="P328" s="93">
        <f>SUM('1:2'!P328)</f>
        <v>0</v>
      </c>
      <c r="Q328" s="93">
        <f>SUM('1:2'!Q328)</f>
        <v>0</v>
      </c>
      <c r="R328" s="93">
        <f>SUM('1:2'!R328)</f>
        <v>0</v>
      </c>
      <c r="S328" s="93">
        <f>SUM('1:2'!S328)</f>
        <v>0</v>
      </c>
      <c r="T328" s="93">
        <f>SUM('1:2'!T328)</f>
        <v>0</v>
      </c>
      <c r="U328" s="93">
        <f>SUM('1:2'!U328)</f>
        <v>0</v>
      </c>
      <c r="V328" s="206"/>
      <c r="W328" s="33"/>
      <c r="X328" s="93">
        <f>SUM('1:2'!X328)</f>
        <v>0</v>
      </c>
      <c r="Y328" s="93">
        <f>SUM('1:2'!Y328)</f>
        <v>0</v>
      </c>
      <c r="Z328" s="93">
        <f>SUM('1:2'!Z328)</f>
        <v>0</v>
      </c>
      <c r="AA328" s="93">
        <f>SUM('1:2'!AA328)</f>
        <v>0</v>
      </c>
      <c r="AB328" s="358">
        <v>1.73</v>
      </c>
      <c r="AC328" s="269">
        <f t="shared" si="122"/>
        <v>0</v>
      </c>
      <c r="AD328" s="251"/>
      <c r="AE328" s="54"/>
      <c r="AF328" s="54"/>
      <c r="AG328" s="54"/>
      <c r="AH328" s="54"/>
      <c r="AI328" s="57"/>
      <c r="AJ328" s="57"/>
      <c r="AK328" s="57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</row>
    <row r="329" spans="1:53" ht="15.75">
      <c r="A329" s="299">
        <v>30700018</v>
      </c>
      <c r="B329" s="61" t="s">
        <v>159</v>
      </c>
      <c r="C329" s="16"/>
      <c r="D329" s="17">
        <v>7.3</v>
      </c>
      <c r="E329" s="17"/>
      <c r="F329" s="6"/>
      <c r="G329" s="93"/>
      <c r="H329" s="296">
        <f t="shared" si="123"/>
        <v>0</v>
      </c>
      <c r="I329" s="93"/>
      <c r="J329" s="31"/>
      <c r="K329" s="35"/>
      <c r="L329" s="87"/>
      <c r="M329" s="36"/>
      <c r="N329" s="31"/>
      <c r="O329" s="93"/>
      <c r="P329" s="93"/>
      <c r="Q329" s="93"/>
      <c r="R329" s="93"/>
      <c r="S329" s="93"/>
      <c r="T329" s="93"/>
      <c r="U329" s="93"/>
      <c r="V329" s="206"/>
      <c r="W329" s="33"/>
      <c r="X329" s="93"/>
      <c r="Y329" s="93"/>
      <c r="Z329" s="93"/>
      <c r="AA329" s="93"/>
      <c r="AB329" s="358"/>
      <c r="AC329" s="269"/>
      <c r="AD329" s="295"/>
      <c r="AE329" s="54"/>
      <c r="AF329" s="54"/>
      <c r="AG329" s="54"/>
      <c r="AH329" s="54"/>
      <c r="AI329" s="57"/>
      <c r="AJ329" s="57"/>
      <c r="AK329" s="57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</row>
    <row r="330" spans="1:53" ht="15.75">
      <c r="A330" s="299">
        <v>30700010</v>
      </c>
      <c r="B330" s="61" t="s">
        <v>105</v>
      </c>
      <c r="C330" s="16"/>
      <c r="D330" s="17">
        <f>78*120/1000</f>
        <v>9.36</v>
      </c>
      <c r="E330" s="17"/>
      <c r="F330" s="6"/>
      <c r="G330" s="93">
        <f>SUM('1:2'!G330)</f>
        <v>0</v>
      </c>
      <c r="H330" s="256">
        <f t="shared" ref="H330:H333" si="128">D330*G330</f>
        <v>0</v>
      </c>
      <c r="I330" s="93">
        <f>SUM('1:2'!I330)</f>
        <v>0</v>
      </c>
      <c r="J330" s="31" t="str">
        <f t="array" ref="J330">IF(ISERROR(G330/I330),"",G330/I330)</f>
        <v/>
      </c>
      <c r="K330" s="35">
        <f t="array" ref="K330">IF(ISERROR(G330/L330),"",G330/L330)</f>
        <v>0</v>
      </c>
      <c r="L330" s="87">
        <v>7.5</v>
      </c>
      <c r="M330" s="36">
        <f t="shared" ref="M330" si="129">IF(ISERROR(I330-K330),"",I330-K330)</f>
        <v>0</v>
      </c>
      <c r="N330" s="31">
        <f t="shared" ref="N330" si="130">SUM(O330:U330)</f>
        <v>0</v>
      </c>
      <c r="O330" s="93">
        <f>SUM('1:2'!O330)</f>
        <v>0</v>
      </c>
      <c r="P330" s="93">
        <f>SUM('1:2'!P330)</f>
        <v>0</v>
      </c>
      <c r="Q330" s="93">
        <f>SUM('1:2'!Q330)</f>
        <v>0</v>
      </c>
      <c r="R330" s="93">
        <f>SUM('1:2'!R330)</f>
        <v>0</v>
      </c>
      <c r="S330" s="93">
        <f>SUM('1:2'!S330)</f>
        <v>0</v>
      </c>
      <c r="T330" s="93">
        <f>SUM('1:2'!T330)</f>
        <v>0</v>
      </c>
      <c r="U330" s="93">
        <f>SUM('1:2'!U330)</f>
        <v>0</v>
      </c>
      <c r="V330" s="206">
        <f t="shared" ref="V330" si="131">SUM(X330:AA330)</f>
        <v>0</v>
      </c>
      <c r="W330" s="33" t="str">
        <f t="shared" ref="W330" si="132">IF(ISERROR(V330/G330),"",V330/G330)</f>
        <v/>
      </c>
      <c r="X330" s="93">
        <f>SUM('1:2'!X330)</f>
        <v>0</v>
      </c>
      <c r="Y330" s="93">
        <f>SUM('1:2'!Y330)</f>
        <v>0</v>
      </c>
      <c r="Z330" s="93">
        <f>SUM('1:2'!Z330)</f>
        <v>0</v>
      </c>
      <c r="AA330" s="93">
        <f>SUM('1:2'!AA330)</f>
        <v>0</v>
      </c>
      <c r="AB330" s="358">
        <v>1.27</v>
      </c>
      <c r="AC330" s="269">
        <f t="shared" si="122"/>
        <v>0</v>
      </c>
      <c r="AD330" s="251"/>
      <c r="AE330" s="54"/>
      <c r="AF330" s="54"/>
      <c r="AG330" s="54"/>
      <c r="AH330" s="54"/>
      <c r="AI330" s="57"/>
      <c r="AJ330" s="57"/>
      <c r="AK330" s="57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</row>
    <row r="331" spans="1:53" ht="15.75">
      <c r="A331" s="299">
        <v>30700015</v>
      </c>
      <c r="B331" s="294" t="s">
        <v>159</v>
      </c>
      <c r="C331" s="16"/>
      <c r="D331" s="17">
        <v>4.5</v>
      </c>
      <c r="E331" s="17"/>
      <c r="F331" s="6"/>
      <c r="G331" s="93">
        <f>SUM('1:2'!G331)</f>
        <v>0</v>
      </c>
      <c r="H331" s="256">
        <f t="shared" si="128"/>
        <v>0</v>
      </c>
      <c r="I331" s="93">
        <f>SUM('1:2'!I331)</f>
        <v>0</v>
      </c>
      <c r="J331" s="31"/>
      <c r="K331" s="35" t="str">
        <f t="array" ref="K331">IF(ISERROR(G331/L331),"",G331/L331)</f>
        <v/>
      </c>
      <c r="L331" s="87"/>
      <c r="M331" s="36"/>
      <c r="N331" s="31"/>
      <c r="O331" s="93">
        <f>SUM('1:2'!O331)</f>
        <v>0</v>
      </c>
      <c r="P331" s="93">
        <f>SUM('1:2'!P331)</f>
        <v>0</v>
      </c>
      <c r="Q331" s="93">
        <f>SUM('1:2'!Q331)</f>
        <v>0</v>
      </c>
      <c r="R331" s="93">
        <f>SUM('1:2'!R331)</f>
        <v>0</v>
      </c>
      <c r="S331" s="93">
        <f>SUM('1:2'!S331)</f>
        <v>0</v>
      </c>
      <c r="T331" s="93">
        <f>SUM('1:2'!T331)</f>
        <v>0</v>
      </c>
      <c r="U331" s="93">
        <f>SUM('1:2'!U331)</f>
        <v>0</v>
      </c>
      <c r="V331" s="206"/>
      <c r="W331" s="33"/>
      <c r="X331" s="93">
        <f>SUM('1:2'!X331)</f>
        <v>0</v>
      </c>
      <c r="Y331" s="93">
        <f>SUM('1:2'!Y331)</f>
        <v>0</v>
      </c>
      <c r="Z331" s="93">
        <f>SUM('1:2'!Z331)</f>
        <v>0</v>
      </c>
      <c r="AA331" s="93">
        <f>SUM('1:2'!AA331)</f>
        <v>0</v>
      </c>
      <c r="AB331" s="358"/>
      <c r="AC331" s="269">
        <f t="shared" si="122"/>
        <v>0</v>
      </c>
      <c r="AD331" s="251"/>
      <c r="AE331" s="54"/>
      <c r="AF331" s="54"/>
      <c r="AG331" s="54"/>
      <c r="AH331" s="54"/>
      <c r="AI331" s="57"/>
      <c r="AJ331" s="57"/>
      <c r="AK331" s="57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</row>
    <row r="332" spans="1:53" ht="15.75">
      <c r="A332" s="299">
        <v>30700012</v>
      </c>
      <c r="B332" s="294" t="s">
        <v>160</v>
      </c>
      <c r="C332" s="16"/>
      <c r="D332" s="17">
        <v>4.5</v>
      </c>
      <c r="E332" s="17"/>
      <c r="F332" s="6"/>
      <c r="G332" s="93">
        <f>SUM('1:2'!G332)</f>
        <v>0</v>
      </c>
      <c r="H332" s="256">
        <f t="shared" si="128"/>
        <v>0</v>
      </c>
      <c r="I332" s="93">
        <f>SUM('1:2'!I332)</f>
        <v>0</v>
      </c>
      <c r="J332" s="31"/>
      <c r="K332" s="35">
        <f t="array" ref="K332">IF(ISERROR(G332/L332),"",G332/L332)</f>
        <v>0</v>
      </c>
      <c r="L332" s="87">
        <v>6.5</v>
      </c>
      <c r="M332" s="36">
        <f>IF(ISERROR(I332-K332),"",I332-K332)</f>
        <v>0</v>
      </c>
      <c r="N332" s="31"/>
      <c r="O332" s="93">
        <f>SUM('1:2'!O332)</f>
        <v>0</v>
      </c>
      <c r="P332" s="93">
        <f>SUM('1:2'!P332)</f>
        <v>0</v>
      </c>
      <c r="Q332" s="93">
        <f>SUM('1:2'!Q332)</f>
        <v>0</v>
      </c>
      <c r="R332" s="93">
        <f>SUM('1:2'!R332)</f>
        <v>0</v>
      </c>
      <c r="S332" s="93">
        <f>SUM('1:2'!S332)</f>
        <v>0</v>
      </c>
      <c r="T332" s="93">
        <f>SUM('1:2'!T332)</f>
        <v>0</v>
      </c>
      <c r="U332" s="93">
        <f>SUM('1:2'!U332)</f>
        <v>0</v>
      </c>
      <c r="V332" s="206"/>
      <c r="W332" s="33"/>
      <c r="X332" s="93">
        <f>SUM('1:2'!X332)</f>
        <v>0</v>
      </c>
      <c r="Y332" s="93">
        <f>SUM('1:2'!Y332)</f>
        <v>0</v>
      </c>
      <c r="Z332" s="93">
        <f>SUM('1:2'!Z332)</f>
        <v>0</v>
      </c>
      <c r="AA332" s="93">
        <f>SUM('1:2'!AA332)</f>
        <v>0</v>
      </c>
      <c r="AB332" s="358"/>
      <c r="AC332" s="269">
        <f t="shared" si="122"/>
        <v>0</v>
      </c>
      <c r="AD332" s="251"/>
      <c r="AE332" s="54"/>
      <c r="AF332" s="54"/>
      <c r="AG332" s="54"/>
      <c r="AH332" s="54"/>
      <c r="AI332" s="57"/>
      <c r="AJ332" s="57"/>
      <c r="AK332" s="57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</row>
    <row r="333" spans="1:53" ht="17.25">
      <c r="A333" s="320"/>
      <c r="B333" s="199" t="s">
        <v>438</v>
      </c>
      <c r="C333" s="16"/>
      <c r="D333" s="17">
        <v>4.5</v>
      </c>
      <c r="E333" s="17"/>
      <c r="F333" s="6"/>
      <c r="G333" s="93">
        <f>SUM('1:2'!G333)</f>
        <v>0</v>
      </c>
      <c r="H333" s="256">
        <f t="shared" si="128"/>
        <v>0</v>
      </c>
      <c r="I333" s="93">
        <f>SUM('1:2'!I333)</f>
        <v>0</v>
      </c>
      <c r="J333" s="31"/>
      <c r="K333" s="35">
        <f t="array" ref="K333">IF(ISERROR(G333/L333),"",G333/L333)</f>
        <v>0</v>
      </c>
      <c r="L333" s="87">
        <v>7.5</v>
      </c>
      <c r="M333" s="36">
        <f>IF(ISERROR(I333-K333),"",I333-K333)</f>
        <v>0</v>
      </c>
      <c r="N333" s="31"/>
      <c r="O333" s="93">
        <f>SUM('1:2'!O333)</f>
        <v>0</v>
      </c>
      <c r="P333" s="93">
        <f>SUM('1:2'!P333)</f>
        <v>0</v>
      </c>
      <c r="Q333" s="93">
        <f>SUM('1:2'!Q333)</f>
        <v>0</v>
      </c>
      <c r="R333" s="93">
        <f>SUM('1:2'!R333)</f>
        <v>0</v>
      </c>
      <c r="S333" s="93">
        <f>SUM('1:2'!S333)</f>
        <v>0</v>
      </c>
      <c r="T333" s="93">
        <f>SUM('1:2'!T333)</f>
        <v>0</v>
      </c>
      <c r="U333" s="93">
        <f>SUM('1:2'!U333)</f>
        <v>0</v>
      </c>
      <c r="V333" s="206"/>
      <c r="W333" s="33"/>
      <c r="X333" s="93">
        <f>SUM('1:2'!X333)</f>
        <v>0</v>
      </c>
      <c r="Y333" s="93">
        <f>SUM('1:2'!Y333)</f>
        <v>0</v>
      </c>
      <c r="Z333" s="93">
        <f>SUM('1:2'!Z333)</f>
        <v>0</v>
      </c>
      <c r="AA333" s="93">
        <f>SUM('1:2'!AA333)</f>
        <v>0</v>
      </c>
      <c r="AB333" s="358"/>
      <c r="AC333" s="269">
        <f t="shared" si="122"/>
        <v>0</v>
      </c>
      <c r="AD333" s="251"/>
      <c r="AE333" s="54"/>
      <c r="AF333" s="54"/>
      <c r="AG333" s="54"/>
      <c r="AH333" s="54"/>
      <c r="AI333" s="57"/>
      <c r="AJ333" s="57"/>
      <c r="AK333" s="57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</row>
    <row r="334" spans="1:53" ht="13.5" customHeight="1">
      <c r="A334" s="691" t="s">
        <v>106</v>
      </c>
      <c r="B334" s="692"/>
      <c r="C334" s="243" t="s">
        <v>71</v>
      </c>
      <c r="D334" s="20"/>
      <c r="E334" s="20"/>
      <c r="F334" s="32"/>
      <c r="G334" s="94">
        <f>SUM(G320:G333)</f>
        <v>0</v>
      </c>
      <c r="H334" s="30">
        <f>SUM(H320:H333)</f>
        <v>0</v>
      </c>
      <c r="I334" s="30">
        <f>SUM(I320:I333)</f>
        <v>0</v>
      </c>
      <c r="J334" s="31" t="str">
        <f t="array" ref="J334">IF(ISERROR(G334/I334),"",G334/I334)</f>
        <v/>
      </c>
      <c r="K334" s="30">
        <f>SUM(K320:K330)</f>
        <v>0</v>
      </c>
      <c r="L334" s="98"/>
      <c r="M334" s="89">
        <f t="shared" ref="M334:V334" si="133">SUM(M320:M330)</f>
        <v>0</v>
      </c>
      <c r="N334" s="20">
        <f t="shared" si="133"/>
        <v>0</v>
      </c>
      <c r="O334" s="91">
        <f t="shared" si="133"/>
        <v>0</v>
      </c>
      <c r="P334" s="91">
        <f t="shared" si="133"/>
        <v>0</v>
      </c>
      <c r="Q334" s="91">
        <f t="shared" si="133"/>
        <v>0</v>
      </c>
      <c r="R334" s="91">
        <f t="shared" si="133"/>
        <v>0</v>
      </c>
      <c r="S334" s="92">
        <f t="shared" si="133"/>
        <v>0</v>
      </c>
      <c r="T334" s="91">
        <f t="shared" si="133"/>
        <v>0</v>
      </c>
      <c r="U334" s="91">
        <f t="shared" si="133"/>
        <v>0</v>
      </c>
      <c r="V334" s="206">
        <f t="shared" si="133"/>
        <v>0</v>
      </c>
      <c r="W334" s="33" t="str">
        <f t="shared" ref="W334" si="134">IF(ISERROR(V334/G334),"",V334/G334)</f>
        <v/>
      </c>
      <c r="X334" s="92">
        <f>SUM(X320:X330)</f>
        <v>0</v>
      </c>
      <c r="Y334" s="92">
        <f>SUM(Y320:Y330)</f>
        <v>0</v>
      </c>
      <c r="Z334" s="92">
        <f>SUM(Z320:Z330)</f>
        <v>0</v>
      </c>
      <c r="AA334" s="92">
        <f>SUM(AA320:AA330)</f>
        <v>0</v>
      </c>
      <c r="AB334" s="358"/>
      <c r="AC334" s="91">
        <f>SUM(AC320:AC333)</f>
        <v>0</v>
      </c>
      <c r="AD334" s="58"/>
      <c r="AE334" s="70"/>
      <c r="AF334" s="70"/>
      <c r="AG334" s="70"/>
      <c r="AH334" s="70"/>
      <c r="AI334" s="58"/>
      <c r="AJ334" s="58"/>
      <c r="AK334" s="58"/>
      <c r="AL334" s="58"/>
      <c r="AM334" s="58"/>
      <c r="AN334" s="58"/>
      <c r="AO334" s="58"/>
      <c r="AP334" s="58"/>
      <c r="AQ334" s="58"/>
      <c r="AR334" s="58"/>
      <c r="AS334" s="58"/>
      <c r="AT334" s="58"/>
      <c r="AU334" s="58"/>
      <c r="AV334" s="58"/>
      <c r="AW334" s="58"/>
      <c r="AX334" s="58"/>
      <c r="AY334" s="58"/>
      <c r="AZ334" s="58"/>
      <c r="BA334" s="58"/>
    </row>
    <row r="335" spans="1:53" ht="13.5" customHeight="1">
      <c r="A335" s="693" t="s">
        <v>108</v>
      </c>
      <c r="B335" s="694"/>
      <c r="C335" s="694"/>
      <c r="D335" s="694"/>
      <c r="E335" s="694"/>
      <c r="F335" s="695"/>
      <c r="G335" s="193">
        <f>SUM(G199,G257,G292,G308,G319,G334)</f>
        <v>11738</v>
      </c>
      <c r="H335" s="193">
        <f>SUM(H199,H257,H292,H308,H319,H334)</f>
        <v>57356.32</v>
      </c>
      <c r="I335" s="193">
        <f>SUM(I199,I257,I292,I308,I319,I334)</f>
        <v>725.05</v>
      </c>
      <c r="J335" s="52">
        <f t="array" ref="J335">IF(ISERROR(G335/I335),"",G335/I335)</f>
        <v>16.189228329080755</v>
      </c>
      <c r="K335" s="193">
        <f>SUM(K199,K257,K292,K308,K319,K334)</f>
        <v>456.0303107417833</v>
      </c>
      <c r="L335" s="52">
        <f>IF(ISERROR(G335/K335),"",G335/K335)</f>
        <v>25.73951714066299</v>
      </c>
      <c r="M335" s="193">
        <f t="shared" ref="M335:AA335" si="135">SUM(M199,M257,M292,M308,M319,M334)</f>
        <v>173.01968925821669</v>
      </c>
      <c r="N335" s="193">
        <f t="shared" si="135"/>
        <v>0</v>
      </c>
      <c r="O335" s="193">
        <f t="shared" si="135"/>
        <v>0</v>
      </c>
      <c r="P335" s="193">
        <f t="shared" si="135"/>
        <v>0</v>
      </c>
      <c r="Q335" s="193">
        <f t="shared" si="135"/>
        <v>0</v>
      </c>
      <c r="R335" s="193">
        <f t="shared" si="135"/>
        <v>0</v>
      </c>
      <c r="S335" s="193">
        <f t="shared" si="135"/>
        <v>0</v>
      </c>
      <c r="T335" s="193">
        <f t="shared" si="135"/>
        <v>0</v>
      </c>
      <c r="U335" s="193">
        <f t="shared" si="135"/>
        <v>0</v>
      </c>
      <c r="V335" s="193">
        <f t="shared" si="135"/>
        <v>0</v>
      </c>
      <c r="W335" s="193">
        <f t="shared" si="135"/>
        <v>0</v>
      </c>
      <c r="X335" s="193">
        <f t="shared" si="135"/>
        <v>0</v>
      </c>
      <c r="Y335" s="193">
        <f t="shared" si="135"/>
        <v>0</v>
      </c>
      <c r="Z335" s="193">
        <f t="shared" si="135"/>
        <v>0</v>
      </c>
      <c r="AA335" s="193">
        <f t="shared" si="135"/>
        <v>0</v>
      </c>
      <c r="AB335" s="358"/>
      <c r="AC335" s="271">
        <f>SUM(AC199,AC257,AC292,AC308,AC319,AC334)</f>
        <v>5458.2400000000007</v>
      </c>
      <c r="AD335" s="251"/>
      <c r="AE335" s="77"/>
      <c r="AF335" s="77"/>
      <c r="AG335" s="77"/>
      <c r="AH335" s="77"/>
      <c r="AI335" s="57"/>
      <c r="AJ335" s="57"/>
      <c r="AK335" s="57"/>
      <c r="AL335" s="696"/>
      <c r="AM335" s="696"/>
      <c r="AN335" s="696"/>
      <c r="AO335" s="696"/>
      <c r="AP335" s="696"/>
      <c r="AQ335" s="696"/>
      <c r="AR335" s="696"/>
      <c r="AS335" s="696"/>
      <c r="AT335" s="696"/>
      <c r="AU335" s="696"/>
      <c r="AV335" s="696"/>
      <c r="AW335" s="696"/>
      <c r="AX335" s="696"/>
      <c r="AY335" s="696"/>
      <c r="AZ335" s="696"/>
      <c r="BA335" s="696"/>
    </row>
    <row r="336" spans="1:53" ht="13.5" hidden="1" customHeight="1">
      <c r="A336" s="732" t="s">
        <v>109</v>
      </c>
      <c r="B336" s="245" t="s">
        <v>110</v>
      </c>
      <c r="C336" s="674" t="s">
        <v>111</v>
      </c>
      <c r="D336" s="674"/>
      <c r="E336" s="684" t="s">
        <v>112</v>
      </c>
      <c r="F336" s="684"/>
      <c r="G336" s="654" t="s">
        <v>113</v>
      </c>
      <c r="H336" s="654"/>
      <c r="I336" s="684" t="s">
        <v>114</v>
      </c>
      <c r="J336" s="684"/>
      <c r="K336" s="684" t="s">
        <v>36</v>
      </c>
      <c r="L336" s="684"/>
      <c r="M336" s="684" t="s">
        <v>115</v>
      </c>
      <c r="N336" s="684"/>
      <c r="O336" s="684" t="s">
        <v>116</v>
      </c>
      <c r="P336" s="654" t="s">
        <v>117</v>
      </c>
      <c r="Q336" s="654"/>
      <c r="R336" s="654" t="s">
        <v>36</v>
      </c>
      <c r="S336" s="654"/>
      <c r="T336" s="654" t="s">
        <v>118</v>
      </c>
      <c r="U336" s="654"/>
      <c r="V336" s="654" t="s">
        <v>119</v>
      </c>
      <c r="W336" s="654"/>
      <c r="X336" s="654" t="s">
        <v>36</v>
      </c>
      <c r="Y336" s="654"/>
      <c r="Z336" s="654" t="s">
        <v>118</v>
      </c>
      <c r="AA336" s="654"/>
      <c r="AB336" s="368"/>
      <c r="AC336" s="26"/>
      <c r="AD336" s="12"/>
      <c r="AE336" s="3"/>
      <c r="AF336" s="3"/>
      <c r="AG336" s="3"/>
      <c r="AH336" s="249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21"/>
      <c r="AV336" s="21"/>
      <c r="AW336" s="21"/>
      <c r="AX336" s="21"/>
      <c r="AY336" s="21"/>
      <c r="AZ336" s="21"/>
      <c r="BA336" s="21"/>
    </row>
    <row r="337" spans="1:53" ht="13.5" hidden="1" customHeight="1">
      <c r="A337" s="733"/>
      <c r="B337" s="245" t="s">
        <v>120</v>
      </c>
      <c r="C337" s="689">
        <f>SUM('1:2'!C337)</f>
        <v>2</v>
      </c>
      <c r="D337" s="690"/>
      <c r="E337" s="688">
        <f>D337*11</f>
        <v>0</v>
      </c>
      <c r="F337" s="688"/>
      <c r="G337" s="689">
        <f>SUM('1:2'!G337)</f>
        <v>2</v>
      </c>
      <c r="H337" s="690"/>
      <c r="I337" s="684">
        <f>G337*11</f>
        <v>22</v>
      </c>
      <c r="J337" s="684"/>
      <c r="K337" s="684">
        <f>E337-I337</f>
        <v>-22</v>
      </c>
      <c r="L337" s="684"/>
      <c r="M337" s="686" t="str">
        <f>IF(ISERROR(K337/E337),"",K337/E337)</f>
        <v/>
      </c>
      <c r="N337" s="686"/>
      <c r="O337" s="684"/>
      <c r="P337" s="654" t="s">
        <v>70</v>
      </c>
      <c r="Q337" s="654"/>
      <c r="R337" s="677">
        <f>SUM(O199:U199)</f>
        <v>0</v>
      </c>
      <c r="S337" s="677"/>
      <c r="T337" s="685" t="str">
        <f t="array" ref="T337">IF(ISERROR(R337/R344),"",R337/R344)</f>
        <v/>
      </c>
      <c r="U337" s="685"/>
      <c r="V337" s="654" t="s">
        <v>41</v>
      </c>
      <c r="W337" s="654"/>
      <c r="X337" s="665">
        <f>SUM(P198,P256,P291,P307,P318,P333)</f>
        <v>0</v>
      </c>
      <c r="Y337" s="664"/>
      <c r="Z337" s="685" t="str">
        <f t="array" ref="Z337">IF(ISERROR(X337/X344),"",X337/X344)</f>
        <v/>
      </c>
      <c r="AA337" s="685"/>
      <c r="AB337" s="368"/>
      <c r="AC337" s="26"/>
      <c r="AD337" s="22"/>
      <c r="AE337" s="3"/>
      <c r="AF337" s="3"/>
      <c r="AG337" s="3"/>
      <c r="AH337" s="251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21"/>
      <c r="AV337" s="21"/>
      <c r="AW337" s="21"/>
      <c r="AX337" s="21"/>
      <c r="AY337" s="21"/>
      <c r="AZ337" s="21"/>
      <c r="BA337" s="21"/>
    </row>
    <row r="338" spans="1:53" ht="13.5" hidden="1" customHeight="1">
      <c r="A338" s="733"/>
      <c r="B338" s="245" t="s">
        <v>121</v>
      </c>
      <c r="C338" s="689">
        <f>SUM('1:2'!C338)</f>
        <v>0</v>
      </c>
      <c r="D338" s="690"/>
      <c r="E338" s="688">
        <f>D338*11</f>
        <v>0</v>
      </c>
      <c r="F338" s="688"/>
      <c r="G338" s="689">
        <f>SUM('1:2'!G338)</f>
        <v>0</v>
      </c>
      <c r="H338" s="690"/>
      <c r="I338" s="684">
        <f>G338*11</f>
        <v>0</v>
      </c>
      <c r="J338" s="684"/>
      <c r="K338" s="684">
        <f>E338-I338</f>
        <v>0</v>
      </c>
      <c r="L338" s="684"/>
      <c r="M338" s="686" t="str">
        <f>IF(ISERROR(K338/E338),"",K338/E338)</f>
        <v/>
      </c>
      <c r="N338" s="686"/>
      <c r="O338" s="684"/>
      <c r="P338" s="654" t="s">
        <v>86</v>
      </c>
      <c r="Q338" s="654"/>
      <c r="R338" s="677">
        <f>SUM(O257:U257)</f>
        <v>0</v>
      </c>
      <c r="S338" s="677"/>
      <c r="T338" s="685" t="str">
        <f>IF(ISERROR(R338/R344),"",R338/R344)</f>
        <v/>
      </c>
      <c r="U338" s="685"/>
      <c r="V338" s="654" t="s">
        <v>42</v>
      </c>
      <c r="W338" s="654"/>
      <c r="X338" s="665">
        <f>SUM(P199,P257,P292,P308,P319,P334)</f>
        <v>0</v>
      </c>
      <c r="Y338" s="664"/>
      <c r="Z338" s="685" t="str">
        <f>IF(ISERROR(X338/X344),"",X338/X344)</f>
        <v/>
      </c>
      <c r="AA338" s="685"/>
      <c r="AB338" s="368"/>
      <c r="AC338" s="26"/>
      <c r="AD338" s="22"/>
      <c r="AE338" s="3"/>
      <c r="AF338" s="3"/>
      <c r="AG338" s="3"/>
      <c r="AH338" s="251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21"/>
      <c r="AV338" s="21"/>
      <c r="AW338" s="21"/>
      <c r="AX338" s="21"/>
      <c r="AY338" s="21"/>
      <c r="AZ338" s="21"/>
      <c r="BA338" s="21"/>
    </row>
    <row r="339" spans="1:53" ht="13.5" hidden="1" customHeight="1">
      <c r="A339" s="733"/>
      <c r="B339" s="245" t="s">
        <v>122</v>
      </c>
      <c r="C339" s="689">
        <f>SUM('1:2'!C339)</f>
        <v>0</v>
      </c>
      <c r="D339" s="690"/>
      <c r="E339" s="688">
        <f>D339*11</f>
        <v>0</v>
      </c>
      <c r="F339" s="688"/>
      <c r="G339" s="689">
        <f>SUM('1:2'!G339)</f>
        <v>2</v>
      </c>
      <c r="H339" s="690"/>
      <c r="I339" s="684">
        <f>G339*8</f>
        <v>16</v>
      </c>
      <c r="J339" s="684"/>
      <c r="K339" s="684">
        <f>E339-I339</f>
        <v>-16</v>
      </c>
      <c r="L339" s="684"/>
      <c r="M339" s="686" t="str">
        <f>IF(ISERROR(K339/E339),"",K339/E339)</f>
        <v/>
      </c>
      <c r="N339" s="686"/>
      <c r="O339" s="684"/>
      <c r="P339" s="654" t="s">
        <v>92</v>
      </c>
      <c r="Q339" s="654"/>
      <c r="R339" s="677">
        <f>SUM(O292:U292)</f>
        <v>0</v>
      </c>
      <c r="S339" s="677"/>
      <c r="T339" s="685" t="str">
        <f>IF(ISERROR(R339/R344),"",R339/R344)</f>
        <v/>
      </c>
      <c r="U339" s="685"/>
      <c r="V339" s="654" t="s">
        <v>43</v>
      </c>
      <c r="W339" s="654"/>
      <c r="X339" s="665">
        <f>SUM(P200,P258,P293,P309,P320,P335)</f>
        <v>0</v>
      </c>
      <c r="Y339" s="664"/>
      <c r="Z339" s="685" t="str">
        <f>IF(ISERROR(X339/X344),"",X339/X344)</f>
        <v/>
      </c>
      <c r="AA339" s="685"/>
      <c r="AB339" s="368"/>
      <c r="AC339" s="26"/>
      <c r="AD339" s="22"/>
      <c r="AE339" s="3"/>
      <c r="AF339" s="3"/>
      <c r="AG339" s="251"/>
      <c r="AH339" s="251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21"/>
      <c r="AV339" s="21"/>
      <c r="AW339" s="21"/>
      <c r="AX339" s="21"/>
      <c r="AY339" s="21"/>
      <c r="AZ339" s="21"/>
      <c r="BA339" s="21"/>
    </row>
    <row r="340" spans="1:53" ht="13.5" hidden="1" customHeight="1">
      <c r="A340" s="733"/>
      <c r="B340" s="245" t="s">
        <v>47</v>
      </c>
      <c r="C340" s="689">
        <f>SUM('1:2'!C340)</f>
        <v>2</v>
      </c>
      <c r="D340" s="690"/>
      <c r="E340" s="688">
        <f>D340*11</f>
        <v>0</v>
      </c>
      <c r="F340" s="688"/>
      <c r="G340" s="689">
        <f>SUM('1:2'!G340)</f>
        <v>2</v>
      </c>
      <c r="H340" s="690"/>
      <c r="I340" s="684">
        <f>G340*11</f>
        <v>22</v>
      </c>
      <c r="J340" s="684"/>
      <c r="K340" s="684">
        <f>E340-I340</f>
        <v>-22</v>
      </c>
      <c r="L340" s="684"/>
      <c r="M340" s="686" t="str">
        <f>IF(ISERROR(K340/E340),"",K340/E340)</f>
        <v/>
      </c>
      <c r="N340" s="686"/>
      <c r="O340" s="684"/>
      <c r="P340" s="654" t="s">
        <v>99</v>
      </c>
      <c r="Q340" s="654"/>
      <c r="R340" s="677">
        <f>SUM(O308:U308)</f>
        <v>0</v>
      </c>
      <c r="S340" s="677"/>
      <c r="T340" s="685" t="str">
        <f>IF(ISERROR(R340/R344),"",R340/R344)</f>
        <v/>
      </c>
      <c r="U340" s="685"/>
      <c r="V340" s="654" t="s">
        <v>44</v>
      </c>
      <c r="W340" s="654"/>
      <c r="X340" s="665">
        <f>SUM(P202,P259,P294,P310,P321,P336)</f>
        <v>0</v>
      </c>
      <c r="Y340" s="664"/>
      <c r="Z340" s="685" t="str">
        <f>IF(ISERROR(X340/X344),"",X340/X344)</f>
        <v/>
      </c>
      <c r="AA340" s="685"/>
      <c r="AB340" s="368"/>
      <c r="AC340" s="26"/>
      <c r="AD340" s="22"/>
      <c r="AE340" s="3"/>
      <c r="AF340" s="3"/>
      <c r="AG340" s="251"/>
      <c r="AH340" s="251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21"/>
      <c r="AV340" s="21"/>
      <c r="AW340" s="21"/>
      <c r="AX340" s="21"/>
      <c r="AY340" s="21"/>
      <c r="AZ340" s="21"/>
      <c r="BA340" s="21"/>
    </row>
    <row r="341" spans="1:53" ht="13.5" hidden="1" customHeight="1">
      <c r="A341" s="734"/>
      <c r="B341" s="245" t="s">
        <v>123</v>
      </c>
      <c r="C341" s="687">
        <f>SUM(C337:D340)</f>
        <v>4</v>
      </c>
      <c r="D341" s="684"/>
      <c r="E341" s="688">
        <f>SUM(F337:F340)</f>
        <v>0</v>
      </c>
      <c r="F341" s="684"/>
      <c r="G341" s="687">
        <f>SUM(G337:H340)</f>
        <v>6</v>
      </c>
      <c r="H341" s="684"/>
      <c r="I341" s="684">
        <f>SUM(I337:J340)</f>
        <v>60</v>
      </c>
      <c r="J341" s="684"/>
      <c r="K341" s="684">
        <f>SUM(K337:L340)</f>
        <v>-60</v>
      </c>
      <c r="L341" s="684"/>
      <c r="M341" s="686" t="str">
        <f>IF(ISERROR(K341/E341),"",K341/E341)</f>
        <v/>
      </c>
      <c r="N341" s="686"/>
      <c r="O341" s="684"/>
      <c r="P341" s="654" t="s">
        <v>102</v>
      </c>
      <c r="Q341" s="654"/>
      <c r="R341" s="677">
        <f>SUM(O319:U319)</f>
        <v>0</v>
      </c>
      <c r="S341" s="677"/>
      <c r="T341" s="685" t="str">
        <f>IF(ISERROR(R341/R344),"",R341/R344)</f>
        <v/>
      </c>
      <c r="U341" s="685"/>
      <c r="V341" s="654" t="s">
        <v>45</v>
      </c>
      <c r="W341" s="654"/>
      <c r="X341" s="665">
        <f>SUM(P203,P260,P295,P311,P322,P337)</f>
        <v>0</v>
      </c>
      <c r="Y341" s="664"/>
      <c r="Z341" s="685" t="str">
        <f>IF(ISERROR(X341/X344),"",X341/X344)</f>
        <v/>
      </c>
      <c r="AA341" s="685"/>
      <c r="AB341" s="368"/>
      <c r="AC341" s="26"/>
      <c r="AD341" s="22"/>
      <c r="AE341" s="3"/>
      <c r="AF341" s="3"/>
      <c r="AG341" s="251"/>
      <c r="AH341" s="251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248"/>
      <c r="AV341" s="248"/>
      <c r="AW341" s="248"/>
      <c r="AX341" s="248"/>
      <c r="AY341" s="248"/>
      <c r="AZ341" s="248"/>
      <c r="BA341" s="248"/>
    </row>
    <row r="342" spans="1:53" ht="13.5" hidden="1" customHeight="1">
      <c r="A342" s="324" t="s">
        <v>152</v>
      </c>
      <c r="B342" s="245">
        <f>G335</f>
        <v>11738</v>
      </c>
      <c r="C342" s="677" t="s">
        <v>155</v>
      </c>
      <c r="D342" s="677"/>
      <c r="E342" s="654">
        <f>H335</f>
        <v>57356.32</v>
      </c>
      <c r="F342" s="654"/>
      <c r="G342" s="654" t="s">
        <v>34</v>
      </c>
      <c r="H342" s="654"/>
      <c r="I342" s="683">
        <f>L335</f>
        <v>25.73951714066299</v>
      </c>
      <c r="J342" s="683"/>
      <c r="K342" s="684" t="s">
        <v>32</v>
      </c>
      <c r="L342" s="684"/>
      <c r="M342" s="683">
        <f>J335</f>
        <v>16.189228329080755</v>
      </c>
      <c r="N342" s="683"/>
      <c r="O342" s="684"/>
      <c r="P342" s="654" t="s">
        <v>106</v>
      </c>
      <c r="Q342" s="654"/>
      <c r="R342" s="677">
        <f>SUM(O334:U334)</f>
        <v>0</v>
      </c>
      <c r="S342" s="677"/>
      <c r="T342" s="685" t="str">
        <f>IF(ISERROR(R342/R344),"",R342/R344)</f>
        <v/>
      </c>
      <c r="U342" s="685"/>
      <c r="V342" s="654" t="s">
        <v>46</v>
      </c>
      <c r="W342" s="654"/>
      <c r="X342" s="665">
        <f>SUM(P204,P261,P296,P312,P323,P338)</f>
        <v>0</v>
      </c>
      <c r="Y342" s="664"/>
      <c r="Z342" s="685" t="str">
        <f>IF(ISERROR(X342/X344),"",X342/X344)</f>
        <v/>
      </c>
      <c r="AA342" s="685"/>
      <c r="AB342" s="368"/>
      <c r="AC342" s="26"/>
      <c r="AD342" s="22"/>
      <c r="AE342" s="3"/>
      <c r="AF342" s="3"/>
      <c r="AG342" s="251"/>
      <c r="AH342" s="251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248"/>
      <c r="AV342" s="248"/>
      <c r="AW342" s="248"/>
      <c r="AX342" s="248"/>
      <c r="AY342" s="248"/>
      <c r="AZ342" s="248"/>
      <c r="BA342" s="248"/>
    </row>
    <row r="343" spans="1:53" ht="13.5" hidden="1" customHeight="1">
      <c r="A343" s="325" t="s">
        <v>153</v>
      </c>
      <c r="B343" s="245">
        <f>I335+C341</f>
        <v>729.05</v>
      </c>
      <c r="C343" s="654" t="s">
        <v>114</v>
      </c>
      <c r="D343" s="654"/>
      <c r="E343" s="674">
        <f>K335+I341</f>
        <v>516.0303107417833</v>
      </c>
      <c r="F343" s="674"/>
      <c r="G343" s="654" t="s">
        <v>150</v>
      </c>
      <c r="H343" s="654"/>
      <c r="I343" s="683">
        <f>B343-E343</f>
        <v>213.01968925821666</v>
      </c>
      <c r="J343" s="683"/>
      <c r="K343" s="684" t="s">
        <v>151</v>
      </c>
      <c r="L343" s="684"/>
      <c r="M343" s="686">
        <f>IF(ISERROR(I343/B343),"",I343/B343)</f>
        <v>0.29218803821166817</v>
      </c>
      <c r="N343" s="686"/>
      <c r="O343" s="684"/>
      <c r="P343" s="654" t="s">
        <v>107</v>
      </c>
      <c r="Q343" s="654"/>
      <c r="R343" s="677"/>
      <c r="S343" s="677"/>
      <c r="T343" s="685" t="str">
        <f>IF(ISERROR(R343/R344),"",R343/R344)</f>
        <v/>
      </c>
      <c r="U343" s="685"/>
      <c r="V343" s="654" t="s">
        <v>47</v>
      </c>
      <c r="W343" s="654"/>
      <c r="X343" s="665">
        <f>SUM(P205,P262,P297,P313,P324,P339)</f>
        <v>0</v>
      </c>
      <c r="Y343" s="664"/>
      <c r="Z343" s="685" t="str">
        <f>IF(ISERROR(X343/X344),"",X343/X344)</f>
        <v/>
      </c>
      <c r="AA343" s="685"/>
      <c r="AB343" s="368"/>
      <c r="AC343" s="26"/>
      <c r="AD343" s="22"/>
      <c r="AE343" s="3"/>
      <c r="AF343" s="3"/>
      <c r="AG343" s="251"/>
      <c r="AH343" s="251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248"/>
      <c r="AV343" s="248"/>
      <c r="AW343" s="248"/>
      <c r="AX343" s="248"/>
      <c r="AY343" s="248"/>
      <c r="AZ343" s="248"/>
      <c r="BA343" s="248"/>
    </row>
    <row r="344" spans="1:53" ht="13.5" hidden="1" customHeight="1">
      <c r="A344" s="325" t="s">
        <v>154</v>
      </c>
      <c r="B344" s="245">
        <f>N335</f>
        <v>0</v>
      </c>
      <c r="C344" s="654" t="s">
        <v>149</v>
      </c>
      <c r="D344" s="654"/>
      <c r="E344" s="685">
        <f>IF(ISERROR(B344/B343),"",B344/B343)</f>
        <v>0</v>
      </c>
      <c r="F344" s="685"/>
      <c r="G344" s="654" t="s">
        <v>158</v>
      </c>
      <c r="H344" s="654"/>
      <c r="I344" s="684">
        <f>V335</f>
        <v>0</v>
      </c>
      <c r="J344" s="684"/>
      <c r="K344" s="684" t="s">
        <v>156</v>
      </c>
      <c r="L344" s="684"/>
      <c r="M344" s="686">
        <f t="array" ref="M344">IF(ISERROR(I344/B342),"",I344/B342)</f>
        <v>0</v>
      </c>
      <c r="N344" s="686"/>
      <c r="O344" s="684"/>
      <c r="P344" s="654" t="s">
        <v>123</v>
      </c>
      <c r="Q344" s="654"/>
      <c r="R344" s="677">
        <f>SUM(R337:S343)</f>
        <v>0</v>
      </c>
      <c r="S344" s="677"/>
      <c r="T344" s="685">
        <f>SUM(T337:U343)</f>
        <v>0</v>
      </c>
      <c r="U344" s="685"/>
      <c r="V344" s="654" t="s">
        <v>123</v>
      </c>
      <c r="W344" s="654"/>
      <c r="X344" s="677">
        <f>SUM(X337:Y343)</f>
        <v>0</v>
      </c>
      <c r="Y344" s="677"/>
      <c r="Z344" s="685">
        <f>SUM(Z337:AA343)</f>
        <v>0</v>
      </c>
      <c r="AA344" s="685"/>
      <c r="AB344" s="368"/>
      <c r="AC344" s="26"/>
      <c r="AD344" s="22"/>
      <c r="AE344" s="3"/>
      <c r="AF344" s="3"/>
      <c r="AG344" s="251"/>
      <c r="AH344" s="251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248"/>
      <c r="AV344" s="248"/>
      <c r="AW344" s="248"/>
      <c r="AX344" s="248"/>
      <c r="AY344" s="248"/>
      <c r="AZ344" s="248"/>
      <c r="BA344" s="248"/>
    </row>
    <row r="345" spans="1:53" ht="13.5" customHeight="1">
      <c r="A345" s="716" t="s">
        <v>129</v>
      </c>
      <c r="B345" s="716"/>
      <c r="C345" s="716"/>
      <c r="D345" s="716"/>
      <c r="E345" s="716"/>
      <c r="F345" s="716"/>
      <c r="G345" s="716"/>
      <c r="H345" s="716"/>
      <c r="I345" s="716"/>
      <c r="J345" s="716"/>
      <c r="K345" s="716"/>
      <c r="L345" s="716"/>
      <c r="M345" s="716"/>
      <c r="N345" s="716"/>
      <c r="O345" s="716"/>
      <c r="P345" s="716"/>
      <c r="Q345" s="716"/>
      <c r="R345" s="716"/>
      <c r="S345" s="716"/>
      <c r="T345" s="716"/>
      <c r="U345" s="716"/>
      <c r="V345" s="716"/>
      <c r="W345" s="716"/>
      <c r="X345" s="716"/>
      <c r="Y345" s="716"/>
      <c r="Z345" s="716"/>
      <c r="AA345" s="716"/>
      <c r="AB345" s="716"/>
      <c r="AC345" s="716"/>
      <c r="AD345" s="716"/>
      <c r="AE345" s="716"/>
      <c r="AF345" s="716"/>
      <c r="AG345" s="716"/>
      <c r="AH345" s="716"/>
      <c r="AI345" s="716"/>
      <c r="AJ345" s="716"/>
      <c r="AK345" s="716"/>
      <c r="AL345" s="716"/>
      <c r="AM345" s="716"/>
      <c r="AN345" s="716"/>
      <c r="AO345" s="716"/>
      <c r="AP345" s="716"/>
      <c r="AQ345" s="716"/>
      <c r="AR345" s="716"/>
      <c r="AS345" s="716"/>
      <c r="AT345" s="716"/>
      <c r="AU345" s="716"/>
      <c r="AV345" s="716"/>
      <c r="AW345" s="716"/>
      <c r="AX345" s="716"/>
      <c r="AY345" s="716"/>
      <c r="AZ345" s="716"/>
      <c r="BA345" s="716"/>
    </row>
    <row r="346" spans="1:53" ht="15.75">
      <c r="A346" s="726" t="s">
        <v>12</v>
      </c>
      <c r="B346" s="705" t="s">
        <v>25</v>
      </c>
      <c r="C346" s="705" t="s">
        <v>26</v>
      </c>
      <c r="D346" s="705" t="s">
        <v>27</v>
      </c>
      <c r="E346" s="717" t="s">
        <v>28</v>
      </c>
      <c r="F346" s="720" t="s">
        <v>29</v>
      </c>
      <c r="G346" s="684" t="s">
        <v>30</v>
      </c>
      <c r="H346" s="684"/>
      <c r="I346" s="705" t="s">
        <v>31</v>
      </c>
      <c r="J346" s="708" t="s">
        <v>32</v>
      </c>
      <c r="K346" s="711" t="s">
        <v>33</v>
      </c>
      <c r="L346" s="705" t="s">
        <v>34</v>
      </c>
      <c r="M346" s="714" t="s">
        <v>35</v>
      </c>
      <c r="N346" s="702" t="s">
        <v>36</v>
      </c>
      <c r="O346" s="684" t="s">
        <v>37</v>
      </c>
      <c r="P346" s="684"/>
      <c r="Q346" s="684"/>
      <c r="R346" s="684"/>
      <c r="S346" s="684"/>
      <c r="T346" s="684"/>
      <c r="U346" s="684"/>
      <c r="V346" s="703" t="s">
        <v>38</v>
      </c>
      <c r="W346" s="702" t="s">
        <v>39</v>
      </c>
      <c r="X346" s="684" t="s">
        <v>40</v>
      </c>
      <c r="Y346" s="684"/>
      <c r="Z346" s="684"/>
      <c r="AA346" s="684"/>
      <c r="AB346" s="729" t="s">
        <v>434</v>
      </c>
      <c r="AC346" s="731" t="s">
        <v>435</v>
      </c>
      <c r="AD346" s="21"/>
      <c r="AE346" s="21"/>
      <c r="AF346" s="21"/>
      <c r="AG346" s="21"/>
      <c r="AH346" s="21"/>
      <c r="AI346" s="704"/>
      <c r="AJ346" s="700"/>
      <c r="AK346" s="700"/>
      <c r="AL346" s="700"/>
      <c r="AM346" s="700"/>
      <c r="AN346" s="700"/>
      <c r="AO346" s="700"/>
      <c r="AP346" s="700"/>
      <c r="AQ346" s="700"/>
      <c r="AR346" s="700"/>
      <c r="AS346" s="700"/>
      <c r="AT346" s="700"/>
      <c r="AU346" s="700"/>
      <c r="AV346" s="700"/>
      <c r="AW346" s="700"/>
      <c r="AX346" s="700"/>
      <c r="AY346" s="700"/>
      <c r="AZ346" s="700"/>
      <c r="BA346" s="700"/>
    </row>
    <row r="347" spans="1:53" ht="15.75">
      <c r="A347" s="727"/>
      <c r="B347" s="706"/>
      <c r="C347" s="706"/>
      <c r="D347" s="706"/>
      <c r="E347" s="718"/>
      <c r="F347" s="721"/>
      <c r="G347" s="684"/>
      <c r="H347" s="684"/>
      <c r="I347" s="706"/>
      <c r="J347" s="709"/>
      <c r="K347" s="712"/>
      <c r="L347" s="706"/>
      <c r="M347" s="715"/>
      <c r="N347" s="702"/>
      <c r="O347" s="684" t="s">
        <v>41</v>
      </c>
      <c r="P347" s="684" t="s">
        <v>42</v>
      </c>
      <c r="Q347" s="684" t="s">
        <v>43</v>
      </c>
      <c r="R347" s="701" t="s">
        <v>44</v>
      </c>
      <c r="S347" s="654" t="s">
        <v>45</v>
      </c>
      <c r="T347" s="684" t="s">
        <v>46</v>
      </c>
      <c r="U347" s="684" t="s">
        <v>47</v>
      </c>
      <c r="V347" s="703"/>
      <c r="W347" s="702"/>
      <c r="X347" s="684" t="s">
        <v>13</v>
      </c>
      <c r="Y347" s="684" t="s">
        <v>48</v>
      </c>
      <c r="Z347" s="684" t="s">
        <v>49</v>
      </c>
      <c r="AA347" s="684" t="s">
        <v>47</v>
      </c>
      <c r="AB347" s="730"/>
      <c r="AC347" s="731"/>
      <c r="AD347" s="21"/>
      <c r="AE347" s="21"/>
      <c r="AF347" s="21"/>
      <c r="AG347" s="21"/>
      <c r="AH347" s="21"/>
      <c r="AI347" s="704"/>
      <c r="AJ347" s="700"/>
      <c r="AK347" s="700"/>
      <c r="AL347" s="700"/>
      <c r="AM347" s="700"/>
      <c r="AN347" s="700"/>
      <c r="AO347" s="700"/>
      <c r="AP347" s="700"/>
      <c r="AQ347" s="700"/>
      <c r="AR347" s="700"/>
      <c r="AS347" s="723"/>
      <c r="AT347" s="723"/>
      <c r="AU347" s="723"/>
      <c r="AV347" s="723"/>
      <c r="AW347" s="723"/>
      <c r="AX347" s="723"/>
      <c r="AY347" s="723"/>
      <c r="AZ347" s="723"/>
      <c r="BA347" s="723"/>
    </row>
    <row r="348" spans="1:53" ht="15.75" customHeight="1">
      <c r="A348" s="728"/>
      <c r="B348" s="707"/>
      <c r="C348" s="707"/>
      <c r="D348" s="707"/>
      <c r="E348" s="719"/>
      <c r="F348" s="722"/>
      <c r="G348" s="242" t="s">
        <v>50</v>
      </c>
      <c r="H348" s="242" t="s">
        <v>51</v>
      </c>
      <c r="I348" s="707"/>
      <c r="J348" s="710"/>
      <c r="K348" s="713"/>
      <c r="L348" s="707"/>
      <c r="M348" s="715"/>
      <c r="N348" s="702"/>
      <c r="O348" s="684"/>
      <c r="P348" s="684"/>
      <c r="Q348" s="684"/>
      <c r="R348" s="701"/>
      <c r="S348" s="654"/>
      <c r="T348" s="684"/>
      <c r="U348" s="684"/>
      <c r="V348" s="703"/>
      <c r="W348" s="702"/>
      <c r="X348" s="684"/>
      <c r="Y348" s="684"/>
      <c r="Z348" s="684"/>
      <c r="AA348" s="684"/>
      <c r="AB348" s="730"/>
      <c r="AC348" s="731"/>
      <c r="AD348" s="21"/>
      <c r="AE348" s="21"/>
      <c r="AF348" s="21"/>
      <c r="AG348" s="21"/>
      <c r="AH348" s="21"/>
      <c r="AI348" s="704"/>
      <c r="AJ348" s="700"/>
      <c r="AK348" s="700"/>
      <c r="AL348" s="248"/>
      <c r="AM348" s="248"/>
      <c r="AN348" s="248"/>
      <c r="AO348" s="248"/>
      <c r="AP348" s="248"/>
      <c r="AQ348" s="248"/>
      <c r="AR348" s="248"/>
      <c r="AS348" s="21"/>
      <c r="AT348" s="21"/>
      <c r="AU348" s="21"/>
      <c r="AV348" s="249"/>
      <c r="AW348" s="248"/>
      <c r="AX348" s="248"/>
      <c r="AY348" s="248"/>
      <c r="AZ348" s="248"/>
      <c r="BA348" s="248"/>
    </row>
    <row r="349" spans="1:53" ht="17.25">
      <c r="A349" s="326">
        <v>30100030</v>
      </c>
      <c r="B349" s="82" t="s">
        <v>52</v>
      </c>
      <c r="C349" s="81" t="s">
        <v>53</v>
      </c>
      <c r="D349" s="80">
        <v>5.03</v>
      </c>
      <c r="E349" s="80"/>
      <c r="F349" s="83"/>
      <c r="G349" s="93">
        <f>SUM('1:2'!G349)</f>
        <v>0</v>
      </c>
      <c r="H349" s="95">
        <f t="shared" ref="H349:H369" si="136">D349*G349</f>
        <v>0</v>
      </c>
      <c r="I349" s="93">
        <f>SUM('1:2'!I349)</f>
        <v>0</v>
      </c>
      <c r="J349" s="31" t="str">
        <f t="array" ref="J349">IF(ISERROR(G349/I349),"",G349/I349)</f>
        <v/>
      </c>
      <c r="K349" s="96">
        <f t="array" ref="K349">IF(ISERROR(G349/L349),"",G349/L349)</f>
        <v>0</v>
      </c>
      <c r="L349" s="84">
        <v>16</v>
      </c>
      <c r="M349" s="97">
        <f t="shared" ref="M349:M364" si="137">IF(ISERROR(I349-K349),"",I349-K349)</f>
        <v>0</v>
      </c>
      <c r="N349" s="84">
        <f>SUM(O349:U349)</f>
        <v>0</v>
      </c>
      <c r="O349" s="93">
        <f>SUM('1:2'!O349)</f>
        <v>0</v>
      </c>
      <c r="P349" s="93">
        <f>SUM('1:2'!P349)</f>
        <v>0</v>
      </c>
      <c r="Q349" s="93">
        <f>SUM('1:2'!Q349)</f>
        <v>0</v>
      </c>
      <c r="R349" s="93">
        <f>SUM('1:2'!R349)</f>
        <v>0</v>
      </c>
      <c r="S349" s="93">
        <f>SUM('1:2'!S349)</f>
        <v>0</v>
      </c>
      <c r="T349" s="93">
        <f>SUM('1:2'!T349)</f>
        <v>0</v>
      </c>
      <c r="U349" s="93">
        <f>SUM('1:2'!U349)</f>
        <v>0</v>
      </c>
      <c r="V349" s="206">
        <f t="shared" ref="V349:V364" si="138">SUM(X349:AA349)</f>
        <v>0</v>
      </c>
      <c r="W349" s="33" t="str">
        <f t="shared" ref="W349:W364" si="139">IF(ISERROR(V349/G349),"",V349/G349)</f>
        <v/>
      </c>
      <c r="X349" s="93">
        <f>SUM('1:2'!X349)</f>
        <v>0</v>
      </c>
      <c r="Y349" s="93">
        <f>SUM('1:2'!Y349)</f>
        <v>0</v>
      </c>
      <c r="Z349" s="93">
        <f>SUM('1:2'!Z349)</f>
        <v>0</v>
      </c>
      <c r="AA349" s="93">
        <f>SUM('1:2'!AA349)</f>
        <v>0</v>
      </c>
      <c r="AB349" s="371">
        <v>0.65</v>
      </c>
      <c r="AC349" s="269">
        <f t="shared" ref="AC349:AC414" si="140">AB349*G349</f>
        <v>0</v>
      </c>
      <c r="AD349" s="251"/>
      <c r="AE349" s="54"/>
      <c r="AF349" s="54"/>
      <c r="AG349" s="54"/>
      <c r="AH349" s="54"/>
      <c r="AI349" s="57"/>
      <c r="AJ349" s="57"/>
      <c r="AK349" s="57"/>
      <c r="AL349" s="250"/>
      <c r="AM349" s="54"/>
      <c r="AN349" s="250"/>
      <c r="AO349" s="250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</row>
    <row r="350" spans="1:53" ht="17.25">
      <c r="A350" s="316"/>
      <c r="B350" s="62" t="s">
        <v>54</v>
      </c>
      <c r="C350" s="16" t="s">
        <v>53</v>
      </c>
      <c r="D350" s="17">
        <v>5.03</v>
      </c>
      <c r="E350" s="17"/>
      <c r="F350" s="6"/>
      <c r="G350" s="93">
        <f>SUM('1:2'!G350)</f>
        <v>0</v>
      </c>
      <c r="H350" s="95">
        <f t="shared" si="136"/>
        <v>0</v>
      </c>
      <c r="I350" s="93">
        <f>SUM('1:2'!I350)</f>
        <v>0</v>
      </c>
      <c r="J350" s="31" t="str">
        <f t="array" ref="J350">IF(ISERROR(G350/I350),"",G350/I350)</f>
        <v/>
      </c>
      <c r="K350" s="35">
        <f>IF(ISERROR(G350/L350),"",G350/L350)</f>
        <v>0</v>
      </c>
      <c r="L350" s="87">
        <v>19</v>
      </c>
      <c r="M350" s="36">
        <f t="shared" si="137"/>
        <v>0</v>
      </c>
      <c r="N350" s="31">
        <f t="shared" ref="N350:N364" si="141">SUM(O350:U350)</f>
        <v>0</v>
      </c>
      <c r="O350" s="93">
        <f>SUM('1:2'!O350)</f>
        <v>0</v>
      </c>
      <c r="P350" s="93">
        <f>SUM('1:2'!P350)</f>
        <v>0</v>
      </c>
      <c r="Q350" s="93">
        <f>SUM('1:2'!Q350)</f>
        <v>0</v>
      </c>
      <c r="R350" s="93">
        <f>SUM('1:2'!R350)</f>
        <v>0</v>
      </c>
      <c r="S350" s="93">
        <f>SUM('1:2'!S350)</f>
        <v>0</v>
      </c>
      <c r="T350" s="93">
        <f>SUM('1:2'!T350)</f>
        <v>0</v>
      </c>
      <c r="U350" s="93">
        <f>SUM('1:2'!U350)</f>
        <v>0</v>
      </c>
      <c r="V350" s="206">
        <f t="shared" si="138"/>
        <v>0</v>
      </c>
      <c r="W350" s="33" t="str">
        <f t="shared" si="139"/>
        <v/>
      </c>
      <c r="X350" s="93">
        <f>SUM('1:2'!X350)</f>
        <v>0</v>
      </c>
      <c r="Y350" s="93">
        <f>SUM('1:2'!Y350)</f>
        <v>0</v>
      </c>
      <c r="Z350" s="93">
        <f>SUM('1:2'!Z350)</f>
        <v>0</v>
      </c>
      <c r="AA350" s="93">
        <f>SUM('1:2'!AA350)</f>
        <v>0</v>
      </c>
      <c r="AB350" s="358">
        <v>0.48</v>
      </c>
      <c r="AC350" s="269">
        <f t="shared" si="140"/>
        <v>0</v>
      </c>
      <c r="AD350" s="251"/>
      <c r="AE350" s="54"/>
      <c r="AF350" s="54"/>
      <c r="AG350" s="54"/>
      <c r="AH350" s="54"/>
      <c r="AI350" s="57"/>
      <c r="AJ350" s="57"/>
      <c r="AK350" s="57"/>
      <c r="AL350" s="54"/>
      <c r="AM350" s="54"/>
      <c r="AN350" s="250"/>
      <c r="AO350" s="54"/>
      <c r="AP350" s="250"/>
      <c r="AQ350" s="54"/>
      <c r="AR350" s="54"/>
      <c r="AS350" s="250"/>
      <c r="AT350" s="250"/>
      <c r="AU350" s="250"/>
      <c r="AV350" s="250"/>
      <c r="AW350" s="55"/>
      <c r="AX350" s="54"/>
      <c r="AY350" s="54"/>
      <c r="AZ350" s="54"/>
      <c r="BA350" s="54"/>
    </row>
    <row r="351" spans="1:53" ht="17.25">
      <c r="A351" s="317"/>
      <c r="B351" s="62" t="s">
        <v>54</v>
      </c>
      <c r="C351" s="16" t="s">
        <v>55</v>
      </c>
      <c r="D351" s="17">
        <v>5.03</v>
      </c>
      <c r="E351" s="17"/>
      <c r="F351" s="6"/>
      <c r="G351" s="93">
        <f>SUM('1:2'!G351)</f>
        <v>0</v>
      </c>
      <c r="H351" s="95">
        <f t="shared" si="136"/>
        <v>0</v>
      </c>
      <c r="I351" s="93">
        <f>SUM('1:2'!I351)</f>
        <v>0</v>
      </c>
      <c r="J351" s="31" t="str">
        <f t="array" ref="J351">IF(ISERROR(G351/I351),"",G351/I351)</f>
        <v/>
      </c>
      <c r="K351" s="35">
        <f>IF(ISERROR(G351/L351),"",G351/L351)</f>
        <v>0</v>
      </c>
      <c r="L351" s="87">
        <v>19</v>
      </c>
      <c r="M351" s="36">
        <f t="shared" si="137"/>
        <v>0</v>
      </c>
      <c r="N351" s="31">
        <f t="shared" si="141"/>
        <v>0</v>
      </c>
      <c r="O351" s="93">
        <f>SUM('1:2'!O351)</f>
        <v>0</v>
      </c>
      <c r="P351" s="93">
        <f>SUM('1:2'!P351)</f>
        <v>0</v>
      </c>
      <c r="Q351" s="93">
        <f>SUM('1:2'!Q351)</f>
        <v>0</v>
      </c>
      <c r="R351" s="93">
        <f>SUM('1:2'!R351)</f>
        <v>0</v>
      </c>
      <c r="S351" s="93">
        <f>SUM('1:2'!S351)</f>
        <v>0</v>
      </c>
      <c r="T351" s="93">
        <f>SUM('1:2'!T351)</f>
        <v>0</v>
      </c>
      <c r="U351" s="93">
        <f>SUM('1:2'!U351)</f>
        <v>0</v>
      </c>
      <c r="V351" s="206">
        <f t="shared" si="138"/>
        <v>0</v>
      </c>
      <c r="W351" s="33" t="str">
        <f t="shared" si="139"/>
        <v/>
      </c>
      <c r="X351" s="93">
        <f>SUM('1:2'!X351)</f>
        <v>0</v>
      </c>
      <c r="Y351" s="93">
        <f>SUM('1:2'!Y351)</f>
        <v>0</v>
      </c>
      <c r="Z351" s="93">
        <f>SUM('1:2'!Z351)</f>
        <v>0</v>
      </c>
      <c r="AA351" s="93">
        <f>SUM('1:2'!AA351)</f>
        <v>0</v>
      </c>
      <c r="AB351" s="358">
        <v>0.43</v>
      </c>
      <c r="AC351" s="269">
        <f t="shared" si="140"/>
        <v>0</v>
      </c>
      <c r="AD351" s="251"/>
      <c r="AE351" s="54"/>
      <c r="AF351" s="54"/>
      <c r="AG351" s="54"/>
      <c r="AH351" s="54"/>
      <c r="AI351" s="57"/>
      <c r="AJ351" s="57"/>
      <c r="AK351" s="57"/>
      <c r="AL351" s="54"/>
      <c r="AM351" s="54"/>
      <c r="AN351" s="54"/>
      <c r="AO351" s="250"/>
      <c r="AP351" s="54"/>
      <c r="AQ351" s="54"/>
      <c r="AR351" s="54"/>
      <c r="AS351" s="56"/>
      <c r="AT351" s="56"/>
      <c r="AU351" s="56"/>
      <c r="AV351" s="54"/>
      <c r="AW351" s="54"/>
      <c r="AX351" s="54"/>
      <c r="AY351" s="54"/>
      <c r="AZ351" s="54"/>
      <c r="BA351" s="54"/>
    </row>
    <row r="352" spans="1:53" ht="15.75">
      <c r="A352" s="315">
        <v>30100048</v>
      </c>
      <c r="B352" s="62" t="s">
        <v>56</v>
      </c>
      <c r="C352" s="16" t="s">
        <v>53</v>
      </c>
      <c r="D352" s="17">
        <v>5.03</v>
      </c>
      <c r="E352" s="17"/>
      <c r="F352" s="6"/>
      <c r="G352" s="93">
        <f>SUM('1:2'!G352)</f>
        <v>0</v>
      </c>
      <c r="H352" s="95">
        <f t="shared" si="136"/>
        <v>0</v>
      </c>
      <c r="I352" s="93">
        <f>SUM('1:2'!I352)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87">
        <v>19</v>
      </c>
      <c r="M352" s="36">
        <f t="shared" si="137"/>
        <v>0</v>
      </c>
      <c r="N352" s="31">
        <f t="shared" si="141"/>
        <v>0</v>
      </c>
      <c r="O352" s="93">
        <f>SUM('1:2'!O352)</f>
        <v>0</v>
      </c>
      <c r="P352" s="93">
        <f>SUM('1:2'!P352)</f>
        <v>0</v>
      </c>
      <c r="Q352" s="93">
        <f>SUM('1:2'!Q352)</f>
        <v>0</v>
      </c>
      <c r="R352" s="93">
        <f>SUM('1:2'!R352)</f>
        <v>0</v>
      </c>
      <c r="S352" s="93">
        <f>SUM('1:2'!S352)</f>
        <v>0</v>
      </c>
      <c r="T352" s="93">
        <f>SUM('1:2'!T352)</f>
        <v>0</v>
      </c>
      <c r="U352" s="93">
        <f>SUM('1:2'!U352)</f>
        <v>0</v>
      </c>
      <c r="V352" s="206">
        <f t="shared" si="138"/>
        <v>0</v>
      </c>
      <c r="W352" s="33" t="str">
        <f t="shared" si="139"/>
        <v/>
      </c>
      <c r="X352" s="93">
        <f>SUM('1:2'!X352)</f>
        <v>0</v>
      </c>
      <c r="Y352" s="93">
        <f>SUM('1:2'!Y352)</f>
        <v>0</v>
      </c>
      <c r="Z352" s="93">
        <f>SUM('1:2'!Z352)</f>
        <v>0</v>
      </c>
      <c r="AA352" s="93">
        <f>SUM('1:2'!AA352)</f>
        <v>0</v>
      </c>
      <c r="AB352" s="358">
        <v>0.55000000000000004</v>
      </c>
      <c r="AC352" s="269">
        <f t="shared" si="140"/>
        <v>0</v>
      </c>
      <c r="AD352" s="251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5"/>
      <c r="AW352" s="55"/>
      <c r="AX352" s="55"/>
      <c r="AY352" s="54"/>
      <c r="AZ352" s="54"/>
      <c r="BA352" s="54"/>
    </row>
    <row r="353" spans="1:53" ht="15.75">
      <c r="A353" s="315">
        <v>30100047</v>
      </c>
      <c r="B353" s="62" t="s">
        <v>56</v>
      </c>
      <c r="C353" s="16" t="s">
        <v>57</v>
      </c>
      <c r="D353" s="17">
        <v>5.03</v>
      </c>
      <c r="E353" s="17"/>
      <c r="F353" s="6"/>
      <c r="G353" s="93">
        <f>SUM('1:2'!G353)</f>
        <v>0</v>
      </c>
      <c r="H353" s="95">
        <f t="shared" si="136"/>
        <v>0</v>
      </c>
      <c r="I353" s="93">
        <f>SUM('1:2'!I353)</f>
        <v>0</v>
      </c>
      <c r="J353" s="31" t="str">
        <f t="array" ref="J353">IF(ISERROR(G353/I353),"",G353/I353)</f>
        <v/>
      </c>
      <c r="K353" s="35">
        <f t="array" ref="K353">IF(ISERROR(G353/L353),"",G353/L353)</f>
        <v>0</v>
      </c>
      <c r="L353" s="87">
        <v>20</v>
      </c>
      <c r="M353" s="36">
        <f t="shared" si="137"/>
        <v>0</v>
      </c>
      <c r="N353" s="31">
        <f t="shared" si="141"/>
        <v>0</v>
      </c>
      <c r="O353" s="93">
        <f>SUM('1:2'!O353)</f>
        <v>0</v>
      </c>
      <c r="P353" s="93">
        <f>SUM('1:2'!P353)</f>
        <v>0</v>
      </c>
      <c r="Q353" s="93">
        <f>SUM('1:2'!Q353)</f>
        <v>0</v>
      </c>
      <c r="R353" s="93">
        <f>SUM('1:2'!R353)</f>
        <v>0</v>
      </c>
      <c r="S353" s="93">
        <f>SUM('1:2'!S353)</f>
        <v>0</v>
      </c>
      <c r="T353" s="93">
        <f>SUM('1:2'!T353)</f>
        <v>0</v>
      </c>
      <c r="U353" s="93">
        <f>SUM('1:2'!U353)</f>
        <v>0</v>
      </c>
      <c r="V353" s="206">
        <f t="shared" si="138"/>
        <v>0</v>
      </c>
      <c r="W353" s="33" t="str">
        <f t="shared" si="139"/>
        <v/>
      </c>
      <c r="X353" s="93">
        <f>SUM('1:2'!X353)</f>
        <v>0</v>
      </c>
      <c r="Y353" s="93">
        <f>SUM('1:2'!Y353)</f>
        <v>0</v>
      </c>
      <c r="Z353" s="93">
        <f>SUM('1:2'!Z353)</f>
        <v>0</v>
      </c>
      <c r="AA353" s="93">
        <f>SUM('1:2'!AA353)</f>
        <v>0</v>
      </c>
      <c r="AB353" s="358">
        <v>0.52</v>
      </c>
      <c r="AC353" s="269">
        <f t="shared" si="140"/>
        <v>0</v>
      </c>
      <c r="AD353" s="251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 ht="15.75">
      <c r="A354" s="315">
        <v>30100052</v>
      </c>
      <c r="B354" s="62" t="s">
        <v>58</v>
      </c>
      <c r="C354" s="16" t="s">
        <v>53</v>
      </c>
      <c r="D354" s="17">
        <v>5.04</v>
      </c>
      <c r="E354" s="17"/>
      <c r="F354" s="6"/>
      <c r="G354" s="93">
        <f>SUM('1:2'!G354)</f>
        <v>0</v>
      </c>
      <c r="H354" s="95">
        <f t="shared" si="136"/>
        <v>0</v>
      </c>
      <c r="I354" s="93">
        <f>SUM('1:2'!I354)</f>
        <v>0</v>
      </c>
      <c r="J354" s="31" t="str">
        <f t="array" ref="J354">IF(ISERROR(G354/I354),"",G354/I354)</f>
        <v/>
      </c>
      <c r="K354" s="35">
        <f t="array" ref="K354">IF(ISERROR(G354/L354),"",G354/L354)</f>
        <v>0</v>
      </c>
      <c r="L354" s="87">
        <v>19</v>
      </c>
      <c r="M354" s="36">
        <f t="shared" si="137"/>
        <v>0</v>
      </c>
      <c r="N354" s="31">
        <f t="shared" si="141"/>
        <v>0</v>
      </c>
      <c r="O354" s="93">
        <f>SUM('1:2'!O354)</f>
        <v>0</v>
      </c>
      <c r="P354" s="93">
        <f>SUM('1:2'!P354)</f>
        <v>0</v>
      </c>
      <c r="Q354" s="93">
        <f>SUM('1:2'!Q354)</f>
        <v>0</v>
      </c>
      <c r="R354" s="93">
        <f>SUM('1:2'!R354)</f>
        <v>0</v>
      </c>
      <c r="S354" s="93">
        <f>SUM('1:2'!S354)</f>
        <v>0</v>
      </c>
      <c r="T354" s="93">
        <f>SUM('1:2'!T354)</f>
        <v>0</v>
      </c>
      <c r="U354" s="93">
        <f>SUM('1:2'!U354)</f>
        <v>0</v>
      </c>
      <c r="V354" s="206">
        <f t="shared" si="138"/>
        <v>0</v>
      </c>
      <c r="W354" s="33" t="str">
        <f t="shared" si="139"/>
        <v/>
      </c>
      <c r="X354" s="93">
        <f>SUM('1:2'!X354)</f>
        <v>0</v>
      </c>
      <c r="Y354" s="93">
        <f>SUM('1:2'!Y354)</f>
        <v>0</v>
      </c>
      <c r="Z354" s="93">
        <f>SUM('1:2'!Z354)</f>
        <v>0</v>
      </c>
      <c r="AA354" s="93">
        <f>SUM('1:2'!AA354)</f>
        <v>0</v>
      </c>
      <c r="AB354" s="358">
        <v>0.55000000000000004</v>
      </c>
      <c r="AC354" s="269">
        <f t="shared" si="140"/>
        <v>0</v>
      </c>
      <c r="AD354" s="251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 ht="15.75">
      <c r="A355" s="332">
        <v>30100059</v>
      </c>
      <c r="B355" s="62" t="s">
        <v>59</v>
      </c>
      <c r="C355" s="16" t="s">
        <v>60</v>
      </c>
      <c r="D355" s="17">
        <v>5.03</v>
      </c>
      <c r="E355" s="17"/>
      <c r="F355" s="6"/>
      <c r="G355" s="93">
        <f>SUM('1:2'!G355)</f>
        <v>0</v>
      </c>
      <c r="H355" s="95">
        <f t="shared" si="136"/>
        <v>0</v>
      </c>
      <c r="I355" s="93">
        <f>SUM('1:2'!I355)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87">
        <v>3</v>
      </c>
      <c r="M355" s="36">
        <f t="shared" si="137"/>
        <v>0</v>
      </c>
      <c r="N355" s="31">
        <f t="shared" si="141"/>
        <v>0</v>
      </c>
      <c r="O355" s="93">
        <f>SUM('1:2'!O355)</f>
        <v>0</v>
      </c>
      <c r="P355" s="93">
        <f>SUM('1:2'!P355)</f>
        <v>0</v>
      </c>
      <c r="Q355" s="93">
        <f>SUM('1:2'!Q355)</f>
        <v>0</v>
      </c>
      <c r="R355" s="93">
        <f>SUM('1:2'!R355)</f>
        <v>0</v>
      </c>
      <c r="S355" s="93">
        <f>SUM('1:2'!S355)</f>
        <v>0</v>
      </c>
      <c r="T355" s="93">
        <f>SUM('1:2'!T355)</f>
        <v>0</v>
      </c>
      <c r="U355" s="93">
        <f>SUM('1:2'!U355)</f>
        <v>0</v>
      </c>
      <c r="V355" s="206">
        <f t="shared" si="138"/>
        <v>0</v>
      </c>
      <c r="W355" s="33" t="str">
        <f t="shared" si="139"/>
        <v/>
      </c>
      <c r="X355" s="93">
        <f>SUM('1:2'!X355)</f>
        <v>0</v>
      </c>
      <c r="Y355" s="93">
        <f>SUM('1:2'!Y355)</f>
        <v>0</v>
      </c>
      <c r="Z355" s="93">
        <f>SUM('1:2'!Z355)</f>
        <v>0</v>
      </c>
      <c r="AA355" s="93">
        <f>SUM('1:2'!AA355)</f>
        <v>0</v>
      </c>
      <c r="AB355" s="358">
        <v>0.45</v>
      </c>
      <c r="AC355" s="269">
        <f t="shared" si="140"/>
        <v>0</v>
      </c>
      <c r="AD355" s="251"/>
      <c r="AE355" s="54"/>
      <c r="AF355" s="54"/>
      <c r="AG355" s="54"/>
      <c r="AH355" s="54"/>
      <c r="AI355" s="57"/>
      <c r="AJ355" s="57"/>
      <c r="AK355" s="57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 ht="15.75">
      <c r="A356" s="302">
        <v>30100060</v>
      </c>
      <c r="B356" s="62" t="s">
        <v>59</v>
      </c>
      <c r="C356" s="16" t="s">
        <v>61</v>
      </c>
      <c r="D356" s="17">
        <v>5.03</v>
      </c>
      <c r="E356" s="17"/>
      <c r="F356" s="6"/>
      <c r="G356" s="93">
        <f>SUM('1:2'!G356)</f>
        <v>0</v>
      </c>
      <c r="H356" s="95">
        <f t="shared" si="136"/>
        <v>0</v>
      </c>
      <c r="I356" s="93">
        <f>SUM('1:2'!I356)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87">
        <v>3</v>
      </c>
      <c r="M356" s="36">
        <f t="shared" si="137"/>
        <v>0</v>
      </c>
      <c r="N356" s="31">
        <f t="shared" si="141"/>
        <v>0</v>
      </c>
      <c r="O356" s="93">
        <f>SUM('1:2'!O356)</f>
        <v>0</v>
      </c>
      <c r="P356" s="93">
        <f>SUM('1:2'!P356)</f>
        <v>0</v>
      </c>
      <c r="Q356" s="93">
        <f>SUM('1:2'!Q356)</f>
        <v>0</v>
      </c>
      <c r="R356" s="93">
        <f>SUM('1:2'!R356)</f>
        <v>0</v>
      </c>
      <c r="S356" s="93">
        <f>SUM('1:2'!S356)</f>
        <v>0</v>
      </c>
      <c r="T356" s="93">
        <f>SUM('1:2'!T356)</f>
        <v>0</v>
      </c>
      <c r="U356" s="93">
        <f>SUM('1:2'!U356)</f>
        <v>0</v>
      </c>
      <c r="V356" s="206">
        <f t="shared" si="138"/>
        <v>0</v>
      </c>
      <c r="W356" s="33" t="str">
        <f t="shared" si="139"/>
        <v/>
      </c>
      <c r="X356" s="93">
        <f>SUM('1:2'!X356)</f>
        <v>0</v>
      </c>
      <c r="Y356" s="93">
        <f>SUM('1:2'!Y356)</f>
        <v>0</v>
      </c>
      <c r="Z356" s="93">
        <f>SUM('1:2'!Z356)</f>
        <v>0</v>
      </c>
      <c r="AA356" s="93">
        <f>SUM('1:2'!AA356)</f>
        <v>0</v>
      </c>
      <c r="AB356" s="358">
        <v>0.45</v>
      </c>
      <c r="AC356" s="269">
        <f t="shared" si="140"/>
        <v>0</v>
      </c>
      <c r="AD356" s="251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 ht="17.25">
      <c r="A357" s="316">
        <v>30200006</v>
      </c>
      <c r="B357" s="62" t="s">
        <v>62</v>
      </c>
      <c r="C357" s="16" t="s">
        <v>63</v>
      </c>
      <c r="D357" s="17">
        <v>5.04</v>
      </c>
      <c r="E357" s="17"/>
      <c r="F357" s="79"/>
      <c r="G357" s="93">
        <f>SUM('1:2'!G357)</f>
        <v>0</v>
      </c>
      <c r="H357" s="95">
        <f t="shared" si="136"/>
        <v>0</v>
      </c>
      <c r="I357" s="93">
        <f>SUM('1:2'!I357)</f>
        <v>0</v>
      </c>
      <c r="J357" s="31" t="str">
        <f t="array" ref="J357">IF(ISERROR(G357/I357),"",G357/I357)</f>
        <v/>
      </c>
      <c r="K357" s="35">
        <f t="array" ref="K357">IF(ISERROR(G357/L357),"",G357/L357)</f>
        <v>0</v>
      </c>
      <c r="L357" s="87">
        <v>17</v>
      </c>
      <c r="M357" s="36">
        <f t="shared" si="137"/>
        <v>0</v>
      </c>
      <c r="N357" s="31">
        <f t="shared" si="141"/>
        <v>0</v>
      </c>
      <c r="O357" s="93">
        <f>SUM('1:2'!O357)</f>
        <v>0</v>
      </c>
      <c r="P357" s="93">
        <f>SUM('1:2'!P357)</f>
        <v>0</v>
      </c>
      <c r="Q357" s="93">
        <f>SUM('1:2'!Q357)</f>
        <v>0</v>
      </c>
      <c r="R357" s="93">
        <f>SUM('1:2'!R357)</f>
        <v>0</v>
      </c>
      <c r="S357" s="93">
        <f>SUM('1:2'!S357)</f>
        <v>0</v>
      </c>
      <c r="T357" s="93">
        <f>SUM('1:2'!T357)</f>
        <v>0</v>
      </c>
      <c r="U357" s="93">
        <f>SUM('1:2'!U357)</f>
        <v>0</v>
      </c>
      <c r="V357" s="206">
        <f t="shared" si="138"/>
        <v>0</v>
      </c>
      <c r="W357" s="33" t="str">
        <f t="shared" si="139"/>
        <v/>
      </c>
      <c r="X357" s="93">
        <f>SUM('1:2'!X357)</f>
        <v>0</v>
      </c>
      <c r="Y357" s="93">
        <f>SUM('1:2'!Y357)</f>
        <v>0</v>
      </c>
      <c r="Z357" s="93">
        <f>SUM('1:2'!Z357)</f>
        <v>0</v>
      </c>
      <c r="AA357" s="93">
        <f>SUM('1:2'!AA357)</f>
        <v>0</v>
      </c>
      <c r="AB357" s="358">
        <v>0.61</v>
      </c>
      <c r="AC357" s="269">
        <f t="shared" si="140"/>
        <v>0</v>
      </c>
      <c r="AD357" s="251"/>
      <c r="AE357" s="54"/>
      <c r="AF357" s="54"/>
      <c r="AG357" s="54"/>
      <c r="AH357" s="54"/>
      <c r="AI357" s="57"/>
      <c r="AJ357" s="57"/>
      <c r="AK357" s="57"/>
      <c r="AL357" s="250"/>
      <c r="AM357" s="54"/>
      <c r="AN357" s="54"/>
      <c r="AO357" s="54"/>
      <c r="AP357" s="250"/>
      <c r="AQ357" s="250"/>
      <c r="AR357" s="250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 ht="17.25">
      <c r="A358" s="316">
        <v>30200005</v>
      </c>
      <c r="B358" s="62" t="s">
        <v>62</v>
      </c>
      <c r="C358" s="16" t="s">
        <v>64</v>
      </c>
      <c r="D358" s="17">
        <v>5.04</v>
      </c>
      <c r="E358" s="17"/>
      <c r="F358" s="79"/>
      <c r="G358" s="93">
        <f>SUM('1:2'!G358)</f>
        <v>0</v>
      </c>
      <c r="H358" s="95">
        <f t="shared" si="136"/>
        <v>0</v>
      </c>
      <c r="I358" s="93">
        <f>SUM('1:2'!I358)</f>
        <v>0</v>
      </c>
      <c r="J358" s="31" t="str">
        <f t="array" ref="J358">IF(ISERROR(G358/I358),"",G358/I358)</f>
        <v/>
      </c>
      <c r="K358" s="35">
        <f t="array" ref="K358">IF(ISERROR(G358/L358),"",G358/L358)</f>
        <v>0</v>
      </c>
      <c r="L358" s="87">
        <v>17</v>
      </c>
      <c r="M358" s="36">
        <f t="shared" si="137"/>
        <v>0</v>
      </c>
      <c r="N358" s="31">
        <f t="shared" si="141"/>
        <v>0</v>
      </c>
      <c r="O358" s="93">
        <f>SUM('1:2'!O358)</f>
        <v>0</v>
      </c>
      <c r="P358" s="93">
        <f>SUM('1:2'!P358)</f>
        <v>0</v>
      </c>
      <c r="Q358" s="93">
        <f>SUM('1:2'!Q358)</f>
        <v>0</v>
      </c>
      <c r="R358" s="93">
        <f>SUM('1:2'!R358)</f>
        <v>0</v>
      </c>
      <c r="S358" s="93">
        <f>SUM('1:2'!S358)</f>
        <v>0</v>
      </c>
      <c r="T358" s="93">
        <f>SUM('1:2'!T358)</f>
        <v>0</v>
      </c>
      <c r="U358" s="93">
        <f>SUM('1:2'!U358)</f>
        <v>0</v>
      </c>
      <c r="V358" s="206">
        <f t="shared" si="138"/>
        <v>0</v>
      </c>
      <c r="W358" s="33" t="str">
        <f t="shared" si="139"/>
        <v/>
      </c>
      <c r="X358" s="93">
        <f>SUM('1:2'!X358)</f>
        <v>0</v>
      </c>
      <c r="Y358" s="93">
        <f>SUM('1:2'!Y358)</f>
        <v>0</v>
      </c>
      <c r="Z358" s="93">
        <f>SUM('1:2'!Z358)</f>
        <v>0</v>
      </c>
      <c r="AA358" s="93">
        <f>SUM('1:2'!AA358)</f>
        <v>0</v>
      </c>
      <c r="AB358" s="358">
        <v>0.61</v>
      </c>
      <c r="AC358" s="269">
        <f t="shared" si="140"/>
        <v>0</v>
      </c>
      <c r="AD358" s="251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 ht="17.25">
      <c r="A359" s="318">
        <v>30100063</v>
      </c>
      <c r="B359" s="62" t="s">
        <v>171</v>
      </c>
      <c r="C359" s="16" t="s">
        <v>172</v>
      </c>
      <c r="D359" s="17"/>
      <c r="E359" s="17"/>
      <c r="F359" s="79"/>
      <c r="G359" s="93">
        <f>SUM('1:2'!G359)</f>
        <v>0</v>
      </c>
      <c r="H359" s="95">
        <f t="shared" si="136"/>
        <v>0</v>
      </c>
      <c r="I359" s="93"/>
      <c r="J359" s="31"/>
      <c r="K359" s="35"/>
      <c r="L359" s="87"/>
      <c r="M359" s="36"/>
      <c r="N359" s="31"/>
      <c r="O359" s="93"/>
      <c r="P359" s="93"/>
      <c r="Q359" s="93"/>
      <c r="R359" s="93"/>
      <c r="S359" s="93"/>
      <c r="T359" s="93"/>
      <c r="U359" s="93"/>
      <c r="V359" s="206"/>
      <c r="W359" s="33"/>
      <c r="X359" s="93"/>
      <c r="Y359" s="93"/>
      <c r="Z359" s="93"/>
      <c r="AA359" s="93"/>
      <c r="AB359" s="358"/>
      <c r="AC359" s="269">
        <f t="shared" si="140"/>
        <v>0</v>
      </c>
      <c r="AD359" s="295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 ht="15.75">
      <c r="A360" s="302">
        <v>30100061</v>
      </c>
      <c r="B360" s="62" t="s">
        <v>171</v>
      </c>
      <c r="C360" s="16" t="s">
        <v>173</v>
      </c>
      <c r="D360" s="17"/>
      <c r="E360" s="17"/>
      <c r="F360" s="79"/>
      <c r="G360" s="93">
        <f>SUM('1:2'!G360)</f>
        <v>0</v>
      </c>
      <c r="H360" s="95">
        <f t="shared" si="136"/>
        <v>0</v>
      </c>
      <c r="I360" s="93"/>
      <c r="J360" s="31"/>
      <c r="K360" s="35"/>
      <c r="L360" s="87"/>
      <c r="M360" s="36"/>
      <c r="N360" s="31"/>
      <c r="O360" s="93"/>
      <c r="P360" s="93"/>
      <c r="Q360" s="93"/>
      <c r="R360" s="93"/>
      <c r="S360" s="93"/>
      <c r="T360" s="93"/>
      <c r="U360" s="93"/>
      <c r="V360" s="206"/>
      <c r="W360" s="33"/>
      <c r="X360" s="93"/>
      <c r="Y360" s="93"/>
      <c r="Z360" s="93"/>
      <c r="AA360" s="93"/>
      <c r="AB360" s="358"/>
      <c r="AC360" s="269">
        <f t="shared" si="140"/>
        <v>0</v>
      </c>
      <c r="AD360" s="295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 ht="17.25">
      <c r="A361" s="316">
        <v>30200001</v>
      </c>
      <c r="B361" s="62" t="s">
        <v>67</v>
      </c>
      <c r="C361" s="16" t="s">
        <v>63</v>
      </c>
      <c r="D361" s="17">
        <v>5.0599999999999996</v>
      </c>
      <c r="E361" s="17"/>
      <c r="F361" s="6"/>
      <c r="G361" s="93">
        <f>SUM('1:2'!G361)</f>
        <v>0</v>
      </c>
      <c r="H361" s="95">
        <f t="shared" si="136"/>
        <v>0</v>
      </c>
      <c r="I361" s="93">
        <f>SUM('1:2'!I361)</f>
        <v>0</v>
      </c>
      <c r="J361" s="31" t="str">
        <f t="array" ref="J361">IF(ISERROR(G361/I361),"",G361/I361)</f>
        <v/>
      </c>
      <c r="K361" s="35">
        <f t="array" ref="K361">IF(ISERROR(G361/L361),"",G361/L361)</f>
        <v>0</v>
      </c>
      <c r="L361" s="87">
        <v>19</v>
      </c>
      <c r="M361" s="36">
        <f t="shared" si="137"/>
        <v>0</v>
      </c>
      <c r="N361" s="31">
        <f t="shared" si="141"/>
        <v>0</v>
      </c>
      <c r="O361" s="93">
        <f>SUM('1:2'!O361)</f>
        <v>0</v>
      </c>
      <c r="P361" s="93">
        <f>SUM('1:2'!P361)</f>
        <v>0</v>
      </c>
      <c r="Q361" s="93">
        <f>SUM('1:2'!Q361)</f>
        <v>0</v>
      </c>
      <c r="R361" s="93">
        <f>SUM('1:2'!R361)</f>
        <v>0</v>
      </c>
      <c r="S361" s="93">
        <f>SUM('1:2'!S361)</f>
        <v>0</v>
      </c>
      <c r="T361" s="93">
        <f>SUM('1:2'!T361)</f>
        <v>0</v>
      </c>
      <c r="U361" s="93">
        <f>SUM('1:2'!U361)</f>
        <v>0</v>
      </c>
      <c r="V361" s="206">
        <f t="shared" si="138"/>
        <v>0</v>
      </c>
      <c r="W361" s="33" t="str">
        <f t="shared" si="139"/>
        <v/>
      </c>
      <c r="X361" s="93">
        <f>SUM('1:2'!X361)</f>
        <v>0</v>
      </c>
      <c r="Y361" s="93">
        <f>SUM('1:2'!Y361)</f>
        <v>0</v>
      </c>
      <c r="Z361" s="93">
        <f>SUM('1:2'!Z361)</f>
        <v>0</v>
      </c>
      <c r="AA361" s="93">
        <f>SUM('1:2'!AA361)</f>
        <v>0</v>
      </c>
      <c r="AB361" s="358">
        <v>0.55000000000000004</v>
      </c>
      <c r="AC361" s="269">
        <f t="shared" si="140"/>
        <v>0</v>
      </c>
      <c r="AD361" s="251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 ht="17.25">
      <c r="A362" s="316">
        <v>30200002</v>
      </c>
      <c r="B362" s="62" t="s">
        <v>68</v>
      </c>
      <c r="C362" s="16" t="s">
        <v>63</v>
      </c>
      <c r="D362" s="17">
        <v>5.09</v>
      </c>
      <c r="E362" s="17"/>
      <c r="F362" s="6"/>
      <c r="G362" s="93">
        <f>SUM('1:2'!G362)</f>
        <v>0</v>
      </c>
      <c r="H362" s="95">
        <f t="shared" si="136"/>
        <v>0</v>
      </c>
      <c r="I362" s="93">
        <f>SUM('1:2'!I362)</f>
        <v>0</v>
      </c>
      <c r="J362" s="31" t="str">
        <f t="array" ref="J362">IF(ISERROR(G362/I362),"",G362/I362)</f>
        <v/>
      </c>
      <c r="K362" s="35">
        <f t="array" ref="K362">IF(ISERROR(G362/L362),"",G362/L362)</f>
        <v>0</v>
      </c>
      <c r="L362" s="87">
        <v>23</v>
      </c>
      <c r="M362" s="36">
        <f t="shared" si="137"/>
        <v>0</v>
      </c>
      <c r="N362" s="31">
        <f t="shared" si="141"/>
        <v>0</v>
      </c>
      <c r="O362" s="93">
        <f>SUM('1:2'!O362)</f>
        <v>0</v>
      </c>
      <c r="P362" s="93">
        <f>SUM('1:2'!P362)</f>
        <v>0</v>
      </c>
      <c r="Q362" s="93">
        <f>SUM('1:2'!Q362)</f>
        <v>0</v>
      </c>
      <c r="R362" s="93">
        <f>SUM('1:2'!R362)</f>
        <v>0</v>
      </c>
      <c r="S362" s="93">
        <f>SUM('1:2'!S362)</f>
        <v>0</v>
      </c>
      <c r="T362" s="93">
        <f>SUM('1:2'!T362)</f>
        <v>0</v>
      </c>
      <c r="U362" s="93">
        <f>SUM('1:2'!U362)</f>
        <v>0</v>
      </c>
      <c r="V362" s="206">
        <f t="shared" si="138"/>
        <v>0</v>
      </c>
      <c r="W362" s="33" t="str">
        <f t="shared" si="139"/>
        <v/>
      </c>
      <c r="X362" s="93">
        <f>SUM('1:2'!X362)</f>
        <v>0</v>
      </c>
      <c r="Y362" s="93">
        <f>SUM('1:2'!Y362)</f>
        <v>0</v>
      </c>
      <c r="Z362" s="93">
        <f>SUM('1:2'!Z362)</f>
        <v>0</v>
      </c>
      <c r="AA362" s="93">
        <f>SUM('1:2'!AA362)</f>
        <v>0</v>
      </c>
      <c r="AB362" s="358">
        <v>0.45</v>
      </c>
      <c r="AC362" s="269">
        <f t="shared" si="140"/>
        <v>0</v>
      </c>
      <c r="AD362" s="251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 ht="17.25">
      <c r="A363" s="316">
        <v>30200003</v>
      </c>
      <c r="B363" s="62" t="s">
        <v>68</v>
      </c>
      <c r="C363" s="16" t="s">
        <v>64</v>
      </c>
      <c r="D363" s="17">
        <v>5.09</v>
      </c>
      <c r="E363" s="17"/>
      <c r="F363" s="6"/>
      <c r="G363" s="93">
        <f>SUM('1:2'!G363)</f>
        <v>0</v>
      </c>
      <c r="H363" s="95">
        <f t="shared" si="136"/>
        <v>0</v>
      </c>
      <c r="I363" s="93">
        <f>SUM('1:2'!I363)</f>
        <v>0</v>
      </c>
      <c r="J363" s="31" t="str">
        <f t="array" ref="J363">IF(ISERROR(G363/I363),"",G363/I363)</f>
        <v/>
      </c>
      <c r="K363" s="35">
        <f t="array" ref="K363">IF(ISERROR(G363/L363),"",G363/L363)</f>
        <v>0</v>
      </c>
      <c r="L363" s="87">
        <v>23</v>
      </c>
      <c r="M363" s="36">
        <f t="shared" si="137"/>
        <v>0</v>
      </c>
      <c r="N363" s="31">
        <f t="shared" si="141"/>
        <v>0</v>
      </c>
      <c r="O363" s="93">
        <f>SUM('1:2'!O363)</f>
        <v>0</v>
      </c>
      <c r="P363" s="93">
        <f>SUM('1:2'!P363)</f>
        <v>0</v>
      </c>
      <c r="Q363" s="93">
        <f>SUM('1:2'!Q363)</f>
        <v>0</v>
      </c>
      <c r="R363" s="93">
        <f>SUM('1:2'!R363)</f>
        <v>0</v>
      </c>
      <c r="S363" s="93">
        <f>SUM('1:2'!S363)</f>
        <v>0</v>
      </c>
      <c r="T363" s="93">
        <f>SUM('1:2'!T363)</f>
        <v>0</v>
      </c>
      <c r="U363" s="93">
        <f>SUM('1:2'!U363)</f>
        <v>0</v>
      </c>
      <c r="V363" s="206">
        <f t="shared" si="138"/>
        <v>0</v>
      </c>
      <c r="W363" s="33" t="str">
        <f t="shared" si="139"/>
        <v/>
      </c>
      <c r="X363" s="93">
        <f>SUM('1:2'!X363)</f>
        <v>0</v>
      </c>
      <c r="Y363" s="93">
        <f>SUM('1:2'!Y363)</f>
        <v>0</v>
      </c>
      <c r="Z363" s="93">
        <f>SUM('1:2'!Z363)</f>
        <v>0</v>
      </c>
      <c r="AA363" s="93">
        <f>SUM('1:2'!AA363)</f>
        <v>0</v>
      </c>
      <c r="AB363" s="358">
        <v>0.45</v>
      </c>
      <c r="AC363" s="269">
        <f t="shared" si="140"/>
        <v>0</v>
      </c>
      <c r="AD363" s="251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 ht="17.25">
      <c r="A364" s="316">
        <v>30100003</v>
      </c>
      <c r="B364" s="141" t="s">
        <v>198</v>
      </c>
      <c r="C364" s="241" t="s">
        <v>190</v>
      </c>
      <c r="D364" s="108">
        <v>4.8</v>
      </c>
      <c r="E364" s="17"/>
      <c r="F364" s="6"/>
      <c r="G364" s="93">
        <f>SUM('1:2'!G364)</f>
        <v>0</v>
      </c>
      <c r="H364" s="95">
        <f t="shared" si="136"/>
        <v>0</v>
      </c>
      <c r="I364" s="93">
        <f>SUM('1:2'!I364)</f>
        <v>0</v>
      </c>
      <c r="J364" s="31" t="str">
        <f t="array" ref="J364">IF(ISERROR(G364/I364),"",G364/I364)</f>
        <v/>
      </c>
      <c r="K364" s="35">
        <f t="array" ref="K364">IF(ISERROR(G364/L364),"",G364/L364)</f>
        <v>0</v>
      </c>
      <c r="L364" s="87">
        <v>4</v>
      </c>
      <c r="M364" s="36">
        <f t="shared" si="137"/>
        <v>0</v>
      </c>
      <c r="N364" s="31">
        <f t="shared" si="141"/>
        <v>0</v>
      </c>
      <c r="O364" s="93">
        <f>SUM('1:2'!O364)</f>
        <v>0</v>
      </c>
      <c r="P364" s="93">
        <f>SUM('1:2'!P364)</f>
        <v>0</v>
      </c>
      <c r="Q364" s="93">
        <f>SUM('1:2'!Q364)</f>
        <v>0</v>
      </c>
      <c r="R364" s="93">
        <f>SUM('1:2'!R364)</f>
        <v>0</v>
      </c>
      <c r="S364" s="93">
        <f>SUM('1:2'!S364)</f>
        <v>0</v>
      </c>
      <c r="T364" s="93">
        <f>SUM('1:2'!T364)</f>
        <v>0</v>
      </c>
      <c r="U364" s="93">
        <f>SUM('1:2'!U364)</f>
        <v>0</v>
      </c>
      <c r="V364" s="206">
        <f t="shared" si="138"/>
        <v>0</v>
      </c>
      <c r="W364" s="33" t="str">
        <f t="shared" si="139"/>
        <v/>
      </c>
      <c r="X364" s="93">
        <f>SUM('1:2'!X364)</f>
        <v>0</v>
      </c>
      <c r="Y364" s="93">
        <f>SUM('1:2'!Y364)</f>
        <v>0</v>
      </c>
      <c r="Z364" s="93">
        <f>SUM('1:2'!Z364)</f>
        <v>0</v>
      </c>
      <c r="AA364" s="93">
        <f>SUM('1:2'!AA364)</f>
        <v>0</v>
      </c>
      <c r="AB364" s="358">
        <v>0.95</v>
      </c>
      <c r="AC364" s="269">
        <f t="shared" si="140"/>
        <v>0</v>
      </c>
      <c r="AD364" s="251"/>
      <c r="AE364" s="54"/>
      <c r="AF364" s="54"/>
      <c r="AG364" s="54"/>
      <c r="AH364" s="54"/>
      <c r="AI364" s="57"/>
      <c r="AJ364" s="57"/>
      <c r="AK364" s="57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</row>
    <row r="365" spans="1:53" ht="17.25">
      <c r="A365" s="316">
        <v>30100004</v>
      </c>
      <c r="B365" s="141" t="s">
        <v>198</v>
      </c>
      <c r="C365" s="241" t="s">
        <v>187</v>
      </c>
      <c r="D365" s="108">
        <v>4.8</v>
      </c>
      <c r="E365" s="17"/>
      <c r="F365" s="6"/>
      <c r="G365" s="93">
        <f>SUM('1:2'!G365)</f>
        <v>0</v>
      </c>
      <c r="H365" s="95">
        <f t="shared" si="136"/>
        <v>0</v>
      </c>
      <c r="I365" s="93">
        <f>SUM('1:2'!I365)</f>
        <v>0</v>
      </c>
      <c r="J365" s="31"/>
      <c r="K365" s="35">
        <f t="array" ref="K365">IF(ISERROR(G365/L365),"",G365/L365)</f>
        <v>0</v>
      </c>
      <c r="L365" s="87">
        <v>4</v>
      </c>
      <c r="M365" s="36">
        <f>IF(ISERROR(I365-K365),"",I365-K365)</f>
        <v>0</v>
      </c>
      <c r="N365" s="31"/>
      <c r="O365" s="93">
        <f>SUM('1:2'!O365)</f>
        <v>0</v>
      </c>
      <c r="P365" s="93">
        <f>SUM('1:2'!P365)</f>
        <v>0</v>
      </c>
      <c r="Q365" s="93">
        <f>SUM('1:2'!Q365)</f>
        <v>0</v>
      </c>
      <c r="R365" s="93">
        <f>SUM('1:2'!R365)</f>
        <v>0</v>
      </c>
      <c r="S365" s="93">
        <f>SUM('1:2'!S365)</f>
        <v>0</v>
      </c>
      <c r="T365" s="93">
        <f>SUM('1:2'!T365)</f>
        <v>0</v>
      </c>
      <c r="U365" s="93">
        <f>SUM('1:2'!U365)</f>
        <v>0</v>
      </c>
      <c r="V365" s="206"/>
      <c r="W365" s="33"/>
      <c r="X365" s="93">
        <f>SUM('1:2'!X365)</f>
        <v>0</v>
      </c>
      <c r="Y365" s="93">
        <f>SUM('1:2'!Y365)</f>
        <v>0</v>
      </c>
      <c r="Z365" s="93">
        <f>SUM('1:2'!Z365)</f>
        <v>0</v>
      </c>
      <c r="AA365" s="93">
        <f>SUM('1:2'!AA365)</f>
        <v>0</v>
      </c>
      <c r="AB365" s="358">
        <v>0.95</v>
      </c>
      <c r="AC365" s="269">
        <f t="shared" si="140"/>
        <v>0</v>
      </c>
      <c r="AD365" s="251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 ht="17.25">
      <c r="A366" s="316">
        <v>30100006</v>
      </c>
      <c r="B366" s="141" t="s">
        <v>198</v>
      </c>
      <c r="C366" s="241" t="s">
        <v>179</v>
      </c>
      <c r="D366" s="108">
        <v>4.8</v>
      </c>
      <c r="E366" s="17"/>
      <c r="F366" s="6"/>
      <c r="G366" s="93">
        <f>SUM('1:2'!G366)</f>
        <v>0</v>
      </c>
      <c r="H366" s="95">
        <f t="shared" si="136"/>
        <v>0</v>
      </c>
      <c r="I366" s="93">
        <f>SUM('1:2'!I366)</f>
        <v>0</v>
      </c>
      <c r="J366" s="31"/>
      <c r="K366" s="35">
        <f t="array" ref="K366">IF(ISERROR(G366/L366),"",G366/L366)</f>
        <v>0</v>
      </c>
      <c r="L366" s="87">
        <v>4</v>
      </c>
      <c r="M366" s="36">
        <f>IF(ISERROR(I366-K366),"",I366-K366)</f>
        <v>0</v>
      </c>
      <c r="N366" s="31"/>
      <c r="O366" s="93">
        <f>SUM('1:2'!O366)</f>
        <v>0</v>
      </c>
      <c r="P366" s="93">
        <f>SUM('1:2'!P366)</f>
        <v>0</v>
      </c>
      <c r="Q366" s="93">
        <f>SUM('1:2'!Q366)</f>
        <v>0</v>
      </c>
      <c r="R366" s="93">
        <f>SUM('1:2'!R366)</f>
        <v>0</v>
      </c>
      <c r="S366" s="93">
        <f>SUM('1:2'!S366)</f>
        <v>0</v>
      </c>
      <c r="T366" s="93">
        <f>SUM('1:2'!T366)</f>
        <v>0</v>
      </c>
      <c r="U366" s="93">
        <f>SUM('1:2'!U366)</f>
        <v>0</v>
      </c>
      <c r="V366" s="206"/>
      <c r="W366" s="33"/>
      <c r="X366" s="93">
        <f>SUM('1:2'!X366)</f>
        <v>0</v>
      </c>
      <c r="Y366" s="93">
        <f>SUM('1:2'!Y366)</f>
        <v>0</v>
      </c>
      <c r="Z366" s="93">
        <f>SUM('1:2'!Z366)</f>
        <v>0</v>
      </c>
      <c r="AA366" s="93">
        <f>SUM('1:2'!AA366)</f>
        <v>0</v>
      </c>
      <c r="AB366" s="358">
        <v>0.95</v>
      </c>
      <c r="AC366" s="269">
        <f t="shared" si="140"/>
        <v>0</v>
      </c>
      <c r="AD366" s="251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 ht="17.25">
      <c r="A367" s="316">
        <v>30100005</v>
      </c>
      <c r="B367" s="141" t="s">
        <v>198</v>
      </c>
      <c r="C367" s="241" t="s">
        <v>199</v>
      </c>
      <c r="D367" s="108">
        <v>4.8</v>
      </c>
      <c r="E367" s="17"/>
      <c r="F367" s="6"/>
      <c r="G367" s="93">
        <f>SUM('1:2'!G367)</f>
        <v>0</v>
      </c>
      <c r="H367" s="95">
        <f t="shared" si="136"/>
        <v>0</v>
      </c>
      <c r="I367" s="93">
        <f>SUM('1:2'!I367)</f>
        <v>0</v>
      </c>
      <c r="J367" s="31"/>
      <c r="K367" s="35">
        <f t="array" ref="K367">IF(ISERROR(G367/L367),"",G367/L367)</f>
        <v>0</v>
      </c>
      <c r="L367" s="87">
        <v>4</v>
      </c>
      <c r="M367" s="36">
        <f>IF(ISERROR(I367-K367),"",I367-K367)</f>
        <v>0</v>
      </c>
      <c r="N367" s="31"/>
      <c r="O367" s="93">
        <f>SUM('1:2'!O367)</f>
        <v>0</v>
      </c>
      <c r="P367" s="93">
        <f>SUM('1:2'!P367)</f>
        <v>0</v>
      </c>
      <c r="Q367" s="93">
        <f>SUM('1:2'!Q367)</f>
        <v>0</v>
      </c>
      <c r="R367" s="93">
        <f>SUM('1:2'!R367)</f>
        <v>0</v>
      </c>
      <c r="S367" s="93">
        <f>SUM('1:2'!S367)</f>
        <v>0</v>
      </c>
      <c r="T367" s="93">
        <f>SUM('1:2'!T367)</f>
        <v>0</v>
      </c>
      <c r="U367" s="93">
        <f>SUM('1:2'!U367)</f>
        <v>0</v>
      </c>
      <c r="V367" s="206"/>
      <c r="W367" s="33"/>
      <c r="X367" s="93">
        <f>SUM('1:2'!X367)</f>
        <v>0</v>
      </c>
      <c r="Y367" s="93">
        <f>SUM('1:2'!Y367)</f>
        <v>0</v>
      </c>
      <c r="Z367" s="93">
        <f>SUM('1:2'!Z367)</f>
        <v>0</v>
      </c>
      <c r="AA367" s="93">
        <f>SUM('1:2'!AA367)</f>
        <v>0</v>
      </c>
      <c r="AB367" s="358">
        <v>0.95</v>
      </c>
      <c r="AC367" s="269">
        <f t="shared" si="140"/>
        <v>0</v>
      </c>
      <c r="AD367" s="251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 ht="17.25">
      <c r="A368" s="316">
        <v>30100009</v>
      </c>
      <c r="B368" s="141" t="s">
        <v>200</v>
      </c>
      <c r="C368" s="126" t="s">
        <v>190</v>
      </c>
      <c r="D368" s="108">
        <v>4.99</v>
      </c>
      <c r="E368" s="17"/>
      <c r="F368" s="6"/>
      <c r="G368" s="93">
        <f>SUM('1:2'!G368)</f>
        <v>0</v>
      </c>
      <c r="H368" s="95">
        <f t="shared" si="136"/>
        <v>0</v>
      </c>
      <c r="I368" s="93">
        <f>SUM('1:2'!I368)</f>
        <v>0</v>
      </c>
      <c r="J368" s="31"/>
      <c r="K368" s="35">
        <f t="array" ref="K368">IF(ISERROR(G368/L368),"",G368/L368)</f>
        <v>0</v>
      </c>
      <c r="L368" s="87">
        <v>23.5</v>
      </c>
      <c r="M368" s="36">
        <f>IF(ISERROR(I368-K368),"",I368-K368)</f>
        <v>0</v>
      </c>
      <c r="N368" s="31"/>
      <c r="O368" s="93">
        <f>SUM('1:2'!O368)</f>
        <v>0</v>
      </c>
      <c r="P368" s="93">
        <f>SUM('1:2'!P368)</f>
        <v>0</v>
      </c>
      <c r="Q368" s="93">
        <f>SUM('1:2'!Q368)</f>
        <v>0</v>
      </c>
      <c r="R368" s="93">
        <f>SUM('1:2'!R368)</f>
        <v>0</v>
      </c>
      <c r="S368" s="93">
        <f>SUM('1:2'!S368)</f>
        <v>0</v>
      </c>
      <c r="T368" s="93">
        <f>SUM('1:2'!T368)</f>
        <v>0</v>
      </c>
      <c r="U368" s="93">
        <f>SUM('1:2'!U368)</f>
        <v>0</v>
      </c>
      <c r="V368" s="206"/>
      <c r="W368" s="33"/>
      <c r="X368" s="93">
        <f>SUM('1:2'!X368)</f>
        <v>0</v>
      </c>
      <c r="Y368" s="93">
        <f>SUM('1:2'!Y368)</f>
        <v>0</v>
      </c>
      <c r="Z368" s="93">
        <f>SUM('1:2'!Z368)</f>
        <v>0</v>
      </c>
      <c r="AA368" s="93">
        <f>SUM('1:2'!AA368)</f>
        <v>0</v>
      </c>
      <c r="AB368" s="358">
        <v>0.44</v>
      </c>
      <c r="AC368" s="269">
        <f t="shared" si="140"/>
        <v>0</v>
      </c>
      <c r="AD368" s="251"/>
      <c r="AE368" s="54"/>
      <c r="AF368" s="54"/>
      <c r="AG368" s="54"/>
      <c r="AH368" s="54"/>
      <c r="AI368" s="57"/>
      <c r="AJ368" s="57"/>
      <c r="AK368" s="57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</row>
    <row r="369" spans="1:53" ht="15.75">
      <c r="A369" s="299">
        <v>30200004</v>
      </c>
      <c r="B369" s="141" t="s">
        <v>200</v>
      </c>
      <c r="C369" s="126" t="s">
        <v>189</v>
      </c>
      <c r="D369" s="108">
        <v>4.99</v>
      </c>
      <c r="E369" s="17"/>
      <c r="F369" s="13"/>
      <c r="G369" s="93">
        <f>SUM('1:2'!G369)</f>
        <v>0</v>
      </c>
      <c r="H369" s="95">
        <f t="shared" si="136"/>
        <v>0</v>
      </c>
      <c r="I369" s="93">
        <f>SUM('1:2'!I369)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87">
        <v>23.5</v>
      </c>
      <c r="M369" s="36">
        <f t="shared" ref="M369" si="142">IF(ISERROR(I369-K369),"",I369-K369)</f>
        <v>0</v>
      </c>
      <c r="N369" s="31">
        <f t="shared" ref="N369" si="143">SUM(O369:U369)</f>
        <v>0</v>
      </c>
      <c r="O369" s="93">
        <f>SUM('1:2'!O369)</f>
        <v>0</v>
      </c>
      <c r="P369" s="93">
        <f>SUM('1:2'!P369)</f>
        <v>0</v>
      </c>
      <c r="Q369" s="93">
        <f>SUM('1:2'!Q369)</f>
        <v>0</v>
      </c>
      <c r="R369" s="93">
        <f>SUM('1:2'!R369)</f>
        <v>0</v>
      </c>
      <c r="S369" s="93">
        <f>SUM('1:2'!S369)</f>
        <v>0</v>
      </c>
      <c r="T369" s="93">
        <f>SUM('1:2'!T369)</f>
        <v>0</v>
      </c>
      <c r="U369" s="93">
        <f>SUM('1:2'!U369)</f>
        <v>0</v>
      </c>
      <c r="V369" s="206">
        <f t="shared" ref="V369" si="144">SUM(X369:AA369)</f>
        <v>0</v>
      </c>
      <c r="W369" s="33" t="str">
        <f t="shared" ref="W369" si="145">IF(ISERROR(V369/G369),"",V369/G369)</f>
        <v/>
      </c>
      <c r="X369" s="93">
        <f>SUM('1:2'!X369)</f>
        <v>0</v>
      </c>
      <c r="Y369" s="93">
        <f>SUM('1:2'!Y369)</f>
        <v>0</v>
      </c>
      <c r="Z369" s="93">
        <f>SUM('1:2'!Z369)</f>
        <v>0</v>
      </c>
      <c r="AA369" s="93">
        <f>SUM('1:2'!AA369)</f>
        <v>0</v>
      </c>
      <c r="AB369" s="358">
        <v>0.44</v>
      </c>
      <c r="AC369" s="269">
        <f t="shared" si="140"/>
        <v>0</v>
      </c>
      <c r="AD369" s="251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 ht="15.75">
      <c r="A370" s="697" t="s">
        <v>70</v>
      </c>
      <c r="B370" s="698"/>
      <c r="C370" s="31" t="s">
        <v>71</v>
      </c>
      <c r="D370" s="30"/>
      <c r="E370" s="30"/>
      <c r="F370" s="30"/>
      <c r="G370" s="94">
        <f>SUM(G349:G369)</f>
        <v>0</v>
      </c>
      <c r="H370" s="30">
        <f>SUM(H349:H369)</f>
        <v>0</v>
      </c>
      <c r="I370" s="30">
        <f>SUM(I349:I369)</f>
        <v>0</v>
      </c>
      <c r="J370" s="31" t="str">
        <f t="array" ref="J370">IF(ISERROR(G370/I370),"",G370/I370)</f>
        <v/>
      </c>
      <c r="K370" s="30">
        <f>SUM(K349:K369)</f>
        <v>0</v>
      </c>
      <c r="L370" s="98"/>
      <c r="M370" s="89">
        <f t="shared" ref="M370:AA370" si="146">SUM(M349:M369)</f>
        <v>0</v>
      </c>
      <c r="N370" s="30">
        <f t="shared" si="146"/>
        <v>0</v>
      </c>
      <c r="O370" s="34">
        <f t="shared" si="146"/>
        <v>0</v>
      </c>
      <c r="P370" s="34">
        <f t="shared" si="146"/>
        <v>0</v>
      </c>
      <c r="Q370" s="34">
        <f t="shared" si="146"/>
        <v>0</v>
      </c>
      <c r="R370" s="34">
        <f t="shared" si="146"/>
        <v>0</v>
      </c>
      <c r="S370" s="34">
        <f t="shared" si="146"/>
        <v>0</v>
      </c>
      <c r="T370" s="34">
        <f t="shared" si="146"/>
        <v>0</v>
      </c>
      <c r="U370" s="34">
        <f t="shared" si="146"/>
        <v>0</v>
      </c>
      <c r="V370" s="206">
        <f t="shared" si="146"/>
        <v>0</v>
      </c>
      <c r="W370" s="33">
        <f t="shared" si="146"/>
        <v>0</v>
      </c>
      <c r="X370" s="92">
        <f t="shared" si="146"/>
        <v>0</v>
      </c>
      <c r="Y370" s="92">
        <f t="shared" si="146"/>
        <v>0</v>
      </c>
      <c r="Z370" s="92">
        <f t="shared" si="146"/>
        <v>0</v>
      </c>
      <c r="AA370" s="92">
        <f t="shared" si="146"/>
        <v>0</v>
      </c>
      <c r="AB370" s="358"/>
      <c r="AC370" s="273"/>
      <c r="AD370" s="58"/>
      <c r="AE370" s="70"/>
      <c r="AF370" s="70"/>
      <c r="AG370" s="70"/>
      <c r="AH370" s="70"/>
      <c r="AI370" s="58"/>
      <c r="AJ370" s="58"/>
      <c r="AK370" s="58"/>
      <c r="AL370" s="58"/>
      <c r="AM370" s="58"/>
      <c r="AN370" s="58"/>
      <c r="AO370" s="58"/>
      <c r="AP370" s="58"/>
      <c r="AQ370" s="58"/>
      <c r="AR370" s="58"/>
      <c r="AS370" s="58"/>
      <c r="AT370" s="58"/>
      <c r="AU370" s="58"/>
      <c r="AV370" s="58"/>
      <c r="AW370" s="58"/>
      <c r="AX370" s="58"/>
      <c r="AY370" s="58"/>
      <c r="AZ370" s="58"/>
      <c r="BA370" s="58"/>
    </row>
    <row r="371" spans="1:53" ht="17.25">
      <c r="A371" s="316">
        <v>30100012</v>
      </c>
      <c r="B371" s="61" t="s">
        <v>76</v>
      </c>
      <c r="C371" s="16" t="s">
        <v>73</v>
      </c>
      <c r="D371" s="17">
        <v>5.03</v>
      </c>
      <c r="E371" s="17"/>
      <c r="F371" s="6"/>
      <c r="G371" s="93">
        <f>SUM('1:2'!G371)</f>
        <v>0</v>
      </c>
      <c r="H371" s="246">
        <f t="shared" ref="H371:H427" si="147">D371*G371</f>
        <v>0</v>
      </c>
      <c r="I371" s="93">
        <f>SUM('1:2'!I371)</f>
        <v>0</v>
      </c>
      <c r="J371" s="31" t="str">
        <f t="array" ref="J371">IF(ISERROR(G371/I371),"",G371/I371)</f>
        <v/>
      </c>
      <c r="K371" s="35">
        <f t="array" ref="K371">IF(ISERROR(G371/L371),"",G371/L371)</f>
        <v>0</v>
      </c>
      <c r="L371" s="87">
        <v>52</v>
      </c>
      <c r="M371" s="36">
        <f t="shared" ref="M371" si="148">IF(ISERROR(I371-K371),"",I371-K371)</f>
        <v>0</v>
      </c>
      <c r="N371" s="31">
        <f t="shared" ref="N371" si="149">SUM(O371:U371)</f>
        <v>0</v>
      </c>
      <c r="O371" s="93">
        <f>SUM('1:2'!O371)</f>
        <v>0</v>
      </c>
      <c r="P371" s="93">
        <f>SUM('1:2'!P371)</f>
        <v>0</v>
      </c>
      <c r="Q371" s="93">
        <f>SUM('1:2'!Q371)</f>
        <v>0</v>
      </c>
      <c r="R371" s="93">
        <f>SUM('1:2'!R371)</f>
        <v>0</v>
      </c>
      <c r="S371" s="93">
        <f>SUM('1:2'!S371)</f>
        <v>0</v>
      </c>
      <c r="T371" s="93">
        <f>SUM('1:2'!T371)</f>
        <v>0</v>
      </c>
      <c r="U371" s="93">
        <f>SUM('1:2'!U371)</f>
        <v>0</v>
      </c>
      <c r="V371" s="206">
        <f t="shared" ref="V371" si="150">SUM(X371:AA371)</f>
        <v>0</v>
      </c>
      <c r="W371" s="33" t="str">
        <f t="shared" ref="W371" si="151">IF(ISERROR(V371/G371),"",V371/G371)</f>
        <v/>
      </c>
      <c r="X371" s="93">
        <f>SUM('1:2'!X371)</f>
        <v>0</v>
      </c>
      <c r="Y371" s="93">
        <f>SUM('1:2'!Y371)</f>
        <v>0</v>
      </c>
      <c r="Z371" s="93">
        <f>SUM('1:2'!Z371)</f>
        <v>0</v>
      </c>
      <c r="AA371" s="93">
        <f>SUM('1:2'!AA371)</f>
        <v>0</v>
      </c>
      <c r="AB371" s="358">
        <v>0.19</v>
      </c>
      <c r="AC371" s="269">
        <f t="shared" si="140"/>
        <v>0</v>
      </c>
      <c r="AD371" s="251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 ht="17.25">
      <c r="A372" s="316">
        <v>30100011</v>
      </c>
      <c r="B372" s="190" t="s">
        <v>425</v>
      </c>
      <c r="C372" s="187" t="s">
        <v>427</v>
      </c>
      <c r="D372" s="17">
        <v>5.03</v>
      </c>
      <c r="E372" s="17"/>
      <c r="F372" s="6"/>
      <c r="G372" s="93"/>
      <c r="H372" s="246">
        <f t="shared" si="147"/>
        <v>0</v>
      </c>
      <c r="I372" s="93"/>
      <c r="J372" s="31"/>
      <c r="K372" s="35">
        <f t="array" ref="K372">IF(ISERROR(G372/L372),"",G372/L372)</f>
        <v>0</v>
      </c>
      <c r="L372" s="87">
        <v>52</v>
      </c>
      <c r="M372" s="36"/>
      <c r="N372" s="31"/>
      <c r="O372" s="93"/>
      <c r="P372" s="93"/>
      <c r="Q372" s="93"/>
      <c r="R372" s="93"/>
      <c r="S372" s="93"/>
      <c r="T372" s="93"/>
      <c r="U372" s="93"/>
      <c r="V372" s="206"/>
      <c r="W372" s="33"/>
      <c r="X372" s="93"/>
      <c r="Y372" s="93"/>
      <c r="Z372" s="93"/>
      <c r="AA372" s="93"/>
      <c r="AB372" s="358">
        <v>0.19</v>
      </c>
      <c r="AC372" s="269">
        <f t="shared" si="140"/>
        <v>0</v>
      </c>
      <c r="AD372" s="251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 ht="17.25">
      <c r="A373" s="316">
        <v>30100010</v>
      </c>
      <c r="B373" s="61" t="s">
        <v>76</v>
      </c>
      <c r="C373" s="16" t="s">
        <v>60</v>
      </c>
      <c r="D373" s="17">
        <v>5.03</v>
      </c>
      <c r="E373" s="17"/>
      <c r="F373" s="6"/>
      <c r="G373" s="93">
        <f>SUM('1:2'!G373)</f>
        <v>0</v>
      </c>
      <c r="H373" s="246">
        <f t="shared" si="147"/>
        <v>0</v>
      </c>
      <c r="I373" s="93">
        <f>SUM('1:2'!I373)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87">
        <v>52</v>
      </c>
      <c r="M373" s="36">
        <f t="shared" ref="M373:M408" si="152">IF(ISERROR(I373-K373),"",I373-K373)</f>
        <v>0</v>
      </c>
      <c r="N373" s="31">
        <f t="shared" ref="N373:N375" si="153">SUM(O373:U373)</f>
        <v>0</v>
      </c>
      <c r="O373" s="93">
        <f>SUM('1:2'!O373)</f>
        <v>0</v>
      </c>
      <c r="P373" s="93">
        <f>SUM('1:2'!P373)</f>
        <v>0</v>
      </c>
      <c r="Q373" s="93">
        <f>SUM('1:2'!Q373)</f>
        <v>0</v>
      </c>
      <c r="R373" s="93">
        <f>SUM('1:2'!R373)</f>
        <v>0</v>
      </c>
      <c r="S373" s="93">
        <f>SUM('1:2'!S373)</f>
        <v>0</v>
      </c>
      <c r="T373" s="93">
        <f>SUM('1:2'!T373)</f>
        <v>0</v>
      </c>
      <c r="U373" s="93">
        <f>SUM('1:2'!U373)</f>
        <v>0</v>
      </c>
      <c r="V373" s="206">
        <f t="shared" ref="V373:V375" si="154">SUM(X373:AA373)</f>
        <v>0</v>
      </c>
      <c r="W373" s="33" t="str">
        <f t="shared" ref="W373:W375" si="155">IF(ISERROR(V373/G373),"",V373/G373)</f>
        <v/>
      </c>
      <c r="X373" s="93">
        <f>SUM('1:2'!X373)</f>
        <v>0</v>
      </c>
      <c r="Y373" s="93">
        <f>SUM('1:2'!Y373)</f>
        <v>0</v>
      </c>
      <c r="Z373" s="93">
        <f>SUM('1:2'!Z373)</f>
        <v>0</v>
      </c>
      <c r="AA373" s="93">
        <f>SUM('1:2'!AA373)</f>
        <v>0</v>
      </c>
      <c r="AB373" s="358">
        <v>0.19</v>
      </c>
      <c r="AC373" s="269">
        <f t="shared" si="140"/>
        <v>0</v>
      </c>
      <c r="AD373" s="251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 ht="17.25" customHeight="1">
      <c r="A374" s="316">
        <v>30100014</v>
      </c>
      <c r="B374" s="61" t="s">
        <v>76</v>
      </c>
      <c r="C374" s="16" t="s">
        <v>72</v>
      </c>
      <c r="D374" s="17">
        <v>5.03</v>
      </c>
      <c r="E374" s="17"/>
      <c r="F374" s="6"/>
      <c r="G374" s="93">
        <f>SUM('1:2'!G374)</f>
        <v>0</v>
      </c>
      <c r="H374" s="246">
        <f t="shared" si="147"/>
        <v>0</v>
      </c>
      <c r="I374" s="93">
        <f>SUM('1:2'!I374)</f>
        <v>0</v>
      </c>
      <c r="J374" s="31" t="str">
        <f t="array" ref="J374">IF(ISERROR(G374/I374),"",G374/I374)</f>
        <v/>
      </c>
      <c r="K374" s="35">
        <f t="array" ref="K374">IF(ISERROR(G374/L374),"",G374/L374)</f>
        <v>0</v>
      </c>
      <c r="L374" s="87">
        <v>52</v>
      </c>
      <c r="M374" s="36">
        <f t="shared" si="152"/>
        <v>0</v>
      </c>
      <c r="N374" s="31">
        <f t="shared" si="153"/>
        <v>0</v>
      </c>
      <c r="O374" s="93">
        <f>SUM('1:2'!O374)</f>
        <v>0</v>
      </c>
      <c r="P374" s="93">
        <f>SUM('1:2'!P374)</f>
        <v>0</v>
      </c>
      <c r="Q374" s="93">
        <f>SUM('1:2'!Q374)</f>
        <v>0</v>
      </c>
      <c r="R374" s="93">
        <f>SUM('1:2'!R374)</f>
        <v>0</v>
      </c>
      <c r="S374" s="93">
        <f>SUM('1:2'!S374)</f>
        <v>0</v>
      </c>
      <c r="T374" s="93">
        <f>SUM('1:2'!T374)</f>
        <v>0</v>
      </c>
      <c r="U374" s="93">
        <f>SUM('1:2'!U374)</f>
        <v>0</v>
      </c>
      <c r="V374" s="206">
        <f t="shared" si="154"/>
        <v>0</v>
      </c>
      <c r="W374" s="33" t="str">
        <f t="shared" si="155"/>
        <v/>
      </c>
      <c r="X374" s="93">
        <f>SUM('1:2'!X374)</f>
        <v>0</v>
      </c>
      <c r="Y374" s="93">
        <f>SUM('1:2'!Y374)</f>
        <v>0</v>
      </c>
      <c r="Z374" s="93">
        <f>SUM('1:2'!Z374)</f>
        <v>0</v>
      </c>
      <c r="AA374" s="93">
        <f>SUM('1:2'!AA374)</f>
        <v>0</v>
      </c>
      <c r="AB374" s="358">
        <v>0.19</v>
      </c>
      <c r="AC374" s="269">
        <f t="shared" si="140"/>
        <v>0</v>
      </c>
      <c r="AD374" s="251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 ht="17.25">
      <c r="A375" s="316">
        <v>30100013</v>
      </c>
      <c r="B375" s="61" t="s">
        <v>76</v>
      </c>
      <c r="C375" s="16" t="s">
        <v>77</v>
      </c>
      <c r="D375" s="17">
        <v>5.03</v>
      </c>
      <c r="E375" s="17"/>
      <c r="F375" s="6"/>
      <c r="G375" s="93">
        <f>SUM('1:2'!G375)</f>
        <v>0</v>
      </c>
      <c r="H375" s="246">
        <f t="shared" si="147"/>
        <v>0</v>
      </c>
      <c r="I375" s="93">
        <f>SUM('1:2'!I375)</f>
        <v>0</v>
      </c>
      <c r="J375" s="31" t="str">
        <f t="array" ref="J375">IF(ISERROR(G375/I375),"",G375/I375)</f>
        <v/>
      </c>
      <c r="K375" s="35">
        <f t="array" ref="K375">IF(ISERROR(G375/L375),"",G375/L375)</f>
        <v>0</v>
      </c>
      <c r="L375" s="87">
        <v>52</v>
      </c>
      <c r="M375" s="36">
        <f t="shared" si="152"/>
        <v>0</v>
      </c>
      <c r="N375" s="31">
        <f t="shared" si="153"/>
        <v>0</v>
      </c>
      <c r="O375" s="93">
        <f>SUM('1:2'!O375)</f>
        <v>0</v>
      </c>
      <c r="P375" s="93">
        <f>SUM('1:2'!P375)</f>
        <v>0</v>
      </c>
      <c r="Q375" s="93">
        <f>SUM('1:2'!Q375)</f>
        <v>0</v>
      </c>
      <c r="R375" s="93">
        <f>SUM('1:2'!R375)</f>
        <v>0</v>
      </c>
      <c r="S375" s="93">
        <f>SUM('1:2'!S375)</f>
        <v>0</v>
      </c>
      <c r="T375" s="93">
        <f>SUM('1:2'!T375)</f>
        <v>0</v>
      </c>
      <c r="U375" s="93">
        <f>SUM('1:2'!U375)</f>
        <v>0</v>
      </c>
      <c r="V375" s="206">
        <f t="shared" si="154"/>
        <v>0</v>
      </c>
      <c r="W375" s="33" t="str">
        <f t="shared" si="155"/>
        <v/>
      </c>
      <c r="X375" s="93">
        <f>SUM('1:2'!X375)</f>
        <v>0</v>
      </c>
      <c r="Y375" s="93">
        <f>SUM('1:2'!Y375)</f>
        <v>0</v>
      </c>
      <c r="Z375" s="93">
        <f>SUM('1:2'!Z375)</f>
        <v>0</v>
      </c>
      <c r="AA375" s="93">
        <f>SUM('1:2'!AA375)</f>
        <v>0</v>
      </c>
      <c r="AB375" s="358">
        <v>0.19</v>
      </c>
      <c r="AC375" s="269">
        <f t="shared" si="140"/>
        <v>0</v>
      </c>
      <c r="AD375" s="251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 ht="17.25">
      <c r="A376" s="316">
        <v>30100016</v>
      </c>
      <c r="B376" s="240" t="s">
        <v>414</v>
      </c>
      <c r="C376" s="187" t="s">
        <v>415</v>
      </c>
      <c r="D376" s="17"/>
      <c r="E376" s="17"/>
      <c r="F376" s="6"/>
      <c r="G376" s="93">
        <f>SUM('1:2'!G376)</f>
        <v>0</v>
      </c>
      <c r="H376" s="246">
        <f t="shared" si="147"/>
        <v>0</v>
      </c>
      <c r="I376" s="93">
        <f>SUM('1:2'!I376)</f>
        <v>0</v>
      </c>
      <c r="J376" s="31"/>
      <c r="K376" s="35">
        <f t="array" ref="K376">IF(ISERROR(G376/L376),"",G376/L376)</f>
        <v>0</v>
      </c>
      <c r="L376" s="87">
        <v>52</v>
      </c>
      <c r="M376" s="36">
        <f t="shared" si="152"/>
        <v>0</v>
      </c>
      <c r="N376" s="31"/>
      <c r="O376" s="93"/>
      <c r="P376" s="93"/>
      <c r="Q376" s="93"/>
      <c r="R376" s="93"/>
      <c r="S376" s="93"/>
      <c r="T376" s="93"/>
      <c r="U376" s="93"/>
      <c r="V376" s="206"/>
      <c r="W376" s="33"/>
      <c r="X376" s="93"/>
      <c r="Y376" s="93"/>
      <c r="Z376" s="93"/>
      <c r="AA376" s="93"/>
      <c r="AB376" s="358">
        <v>0.19</v>
      </c>
      <c r="AC376" s="269">
        <f t="shared" si="140"/>
        <v>0</v>
      </c>
      <c r="AD376" s="251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 ht="17.25">
      <c r="A377" s="316">
        <v>30100017</v>
      </c>
      <c r="B377" s="240" t="s">
        <v>414</v>
      </c>
      <c r="C377" s="187" t="s">
        <v>416</v>
      </c>
      <c r="D377" s="17"/>
      <c r="E377" s="17"/>
      <c r="F377" s="6"/>
      <c r="G377" s="93">
        <f>SUM('1:2'!G377)</f>
        <v>0</v>
      </c>
      <c r="H377" s="246">
        <f t="shared" si="147"/>
        <v>0</v>
      </c>
      <c r="I377" s="93">
        <f>SUM('1:2'!I377)</f>
        <v>0</v>
      </c>
      <c r="J377" s="31"/>
      <c r="K377" s="35">
        <f t="array" ref="K377">IF(ISERROR(G377/L377),"",G377/L377)</f>
        <v>0</v>
      </c>
      <c r="L377" s="87">
        <v>52</v>
      </c>
      <c r="M377" s="36">
        <f t="shared" si="152"/>
        <v>0</v>
      </c>
      <c r="N377" s="31"/>
      <c r="O377" s="93"/>
      <c r="P377" s="93"/>
      <c r="Q377" s="93"/>
      <c r="R377" s="93"/>
      <c r="S377" s="93"/>
      <c r="T377" s="93"/>
      <c r="U377" s="93"/>
      <c r="V377" s="206"/>
      <c r="W377" s="33"/>
      <c r="X377" s="93"/>
      <c r="Y377" s="93"/>
      <c r="Z377" s="93"/>
      <c r="AA377" s="93"/>
      <c r="AB377" s="358">
        <v>0.19</v>
      </c>
      <c r="AC377" s="269">
        <f t="shared" si="140"/>
        <v>0</v>
      </c>
      <c r="AD377" s="251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 ht="17.25">
      <c r="A378" s="316">
        <v>30100015</v>
      </c>
      <c r="B378" s="240" t="s">
        <v>414</v>
      </c>
      <c r="C378" s="187" t="s">
        <v>61</v>
      </c>
      <c r="D378" s="17"/>
      <c r="E378" s="17"/>
      <c r="F378" s="6"/>
      <c r="G378" s="93">
        <f>SUM('1:2'!G378)</f>
        <v>0</v>
      </c>
      <c r="H378" s="246">
        <f t="shared" si="147"/>
        <v>0</v>
      </c>
      <c r="I378" s="93">
        <f>SUM('1:2'!I378)</f>
        <v>0</v>
      </c>
      <c r="J378" s="31"/>
      <c r="K378" s="35">
        <f t="array" ref="K378">IF(ISERROR(G378/L378),"",G378/L378)</f>
        <v>0</v>
      </c>
      <c r="L378" s="87">
        <v>52</v>
      </c>
      <c r="M378" s="36">
        <f t="shared" si="152"/>
        <v>0</v>
      </c>
      <c r="N378" s="31"/>
      <c r="O378" s="93"/>
      <c r="P378" s="93"/>
      <c r="Q378" s="93"/>
      <c r="R378" s="93"/>
      <c r="S378" s="93"/>
      <c r="T378" s="93"/>
      <c r="U378" s="93"/>
      <c r="V378" s="206"/>
      <c r="W378" s="33"/>
      <c r="X378" s="93"/>
      <c r="Y378" s="93"/>
      <c r="Z378" s="93"/>
      <c r="AA378" s="93"/>
      <c r="AB378" s="358">
        <v>0.19</v>
      </c>
      <c r="AC378" s="269">
        <f t="shared" si="140"/>
        <v>0</v>
      </c>
      <c r="AD378" s="251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 ht="17.25">
      <c r="A379" s="316">
        <v>30100027</v>
      </c>
      <c r="B379" s="61" t="s">
        <v>78</v>
      </c>
      <c r="C379" s="16" t="s">
        <v>53</v>
      </c>
      <c r="D379" s="17">
        <v>5.08</v>
      </c>
      <c r="E379" s="17"/>
      <c r="F379" s="6"/>
      <c r="G379" s="93">
        <f>SUM('1:2'!G379)</f>
        <v>0</v>
      </c>
      <c r="H379" s="246">
        <f t="shared" si="147"/>
        <v>0</v>
      </c>
      <c r="I379" s="93">
        <f>SUM('1:2'!I379)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87">
        <v>21</v>
      </c>
      <c r="M379" s="36">
        <f t="shared" si="152"/>
        <v>0</v>
      </c>
      <c r="N379" s="31">
        <f t="shared" ref="N379:N394" si="156">SUM(O379:U379)</f>
        <v>0</v>
      </c>
      <c r="O379" s="93">
        <f>SUM('1:2'!O379)</f>
        <v>0</v>
      </c>
      <c r="P379" s="93">
        <f>SUM('1:2'!P379)</f>
        <v>0</v>
      </c>
      <c r="Q379" s="93">
        <f>SUM('1:2'!Q379)</f>
        <v>0</v>
      </c>
      <c r="R379" s="93">
        <f>SUM('1:2'!R379)</f>
        <v>0</v>
      </c>
      <c r="S379" s="93">
        <f>SUM('1:2'!S379)</f>
        <v>0</v>
      </c>
      <c r="T379" s="93">
        <f>SUM('1:2'!T379)</f>
        <v>0</v>
      </c>
      <c r="U379" s="93">
        <f>SUM('1:2'!U379)</f>
        <v>0</v>
      </c>
      <c r="V379" s="206">
        <f t="shared" ref="V379:V390" si="157">SUM(X379:AA379)</f>
        <v>0</v>
      </c>
      <c r="W379" s="33" t="str">
        <f t="shared" ref="W379:W390" si="158">IF(ISERROR(V379/G379),"",V379/G379)</f>
        <v/>
      </c>
      <c r="X379" s="93">
        <f>SUM('1:2'!X379)</f>
        <v>0</v>
      </c>
      <c r="Y379" s="93">
        <f>SUM('1:2'!Y379)</f>
        <v>0</v>
      </c>
      <c r="Z379" s="93">
        <f>SUM('1:2'!Z379)</f>
        <v>0</v>
      </c>
      <c r="AA379" s="93">
        <f>SUM('1:2'!AA379)</f>
        <v>0</v>
      </c>
      <c r="AB379" s="358">
        <v>0.49</v>
      </c>
      <c r="AC379" s="269">
        <f t="shared" si="140"/>
        <v>0</v>
      </c>
      <c r="AD379" s="251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 ht="17.25">
      <c r="A380" s="316">
        <v>30100023</v>
      </c>
      <c r="B380" s="61" t="s">
        <v>78</v>
      </c>
      <c r="C380" s="16" t="s">
        <v>74</v>
      </c>
      <c r="D380" s="17">
        <v>5.08</v>
      </c>
      <c r="E380" s="17"/>
      <c r="F380" s="6"/>
      <c r="G380" s="93">
        <f>SUM('1:2'!G380)</f>
        <v>0</v>
      </c>
      <c r="H380" s="246">
        <f t="shared" si="147"/>
        <v>0</v>
      </c>
      <c r="I380" s="93">
        <f>SUM('1:2'!I380)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87">
        <v>21</v>
      </c>
      <c r="M380" s="36">
        <f t="shared" si="152"/>
        <v>0</v>
      </c>
      <c r="N380" s="31">
        <f t="shared" si="156"/>
        <v>0</v>
      </c>
      <c r="O380" s="93">
        <f>SUM('1:2'!O380)</f>
        <v>0</v>
      </c>
      <c r="P380" s="93">
        <f>SUM('1:2'!P380)</f>
        <v>0</v>
      </c>
      <c r="Q380" s="93">
        <f>SUM('1:2'!Q380)</f>
        <v>0</v>
      </c>
      <c r="R380" s="93">
        <f>SUM('1:2'!R380)</f>
        <v>0</v>
      </c>
      <c r="S380" s="93">
        <f>SUM('1:2'!S380)</f>
        <v>0</v>
      </c>
      <c r="T380" s="93">
        <f>SUM('1:2'!T380)</f>
        <v>0</v>
      </c>
      <c r="U380" s="93">
        <f>SUM('1:2'!U380)</f>
        <v>0</v>
      </c>
      <c r="V380" s="206">
        <f t="shared" si="157"/>
        <v>0</v>
      </c>
      <c r="W380" s="33" t="str">
        <f t="shared" si="158"/>
        <v/>
      </c>
      <c r="X380" s="93">
        <f>SUM('1:2'!X380)</f>
        <v>0</v>
      </c>
      <c r="Y380" s="93">
        <f>SUM('1:2'!Y380)</f>
        <v>0</v>
      </c>
      <c r="Z380" s="93">
        <f>SUM('1:2'!Z380)</f>
        <v>0</v>
      </c>
      <c r="AA380" s="93">
        <f>SUM('1:2'!AA380)</f>
        <v>0</v>
      </c>
      <c r="AB380" s="358">
        <v>0.49</v>
      </c>
      <c r="AC380" s="269">
        <f t="shared" si="140"/>
        <v>0</v>
      </c>
      <c r="AD380" s="251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 ht="17.25">
      <c r="A381" s="316">
        <v>30100024</v>
      </c>
      <c r="B381" s="61" t="s">
        <v>78</v>
      </c>
      <c r="C381" s="16" t="s">
        <v>75</v>
      </c>
      <c r="D381" s="17">
        <v>5.08</v>
      </c>
      <c r="E381" s="17"/>
      <c r="F381" s="6"/>
      <c r="G381" s="93">
        <f>SUM('1:2'!G381)</f>
        <v>0</v>
      </c>
      <c r="H381" s="246">
        <f t="shared" si="147"/>
        <v>0</v>
      </c>
      <c r="I381" s="93">
        <f>SUM('1:2'!I381)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87">
        <v>21</v>
      </c>
      <c r="M381" s="36">
        <f t="shared" si="152"/>
        <v>0</v>
      </c>
      <c r="N381" s="31">
        <f t="shared" si="156"/>
        <v>0</v>
      </c>
      <c r="O381" s="93">
        <f>SUM('1:2'!O381)</f>
        <v>0</v>
      </c>
      <c r="P381" s="93">
        <f>SUM('1:2'!P381)</f>
        <v>0</v>
      </c>
      <c r="Q381" s="93">
        <f>SUM('1:2'!Q381)</f>
        <v>0</v>
      </c>
      <c r="R381" s="93">
        <f>SUM('1:2'!R381)</f>
        <v>0</v>
      </c>
      <c r="S381" s="93">
        <f>SUM('1:2'!S381)</f>
        <v>0</v>
      </c>
      <c r="T381" s="93">
        <f>SUM('1:2'!T381)</f>
        <v>0</v>
      </c>
      <c r="U381" s="93">
        <f>SUM('1:2'!U381)</f>
        <v>0</v>
      </c>
      <c r="V381" s="206">
        <f t="shared" si="157"/>
        <v>0</v>
      </c>
      <c r="W381" s="33" t="str">
        <f t="shared" si="158"/>
        <v/>
      </c>
      <c r="X381" s="93">
        <f>SUM('1:2'!X381)</f>
        <v>0</v>
      </c>
      <c r="Y381" s="93">
        <f>SUM('1:2'!Y381)</f>
        <v>0</v>
      </c>
      <c r="Z381" s="93">
        <f>SUM('1:2'!Z381)</f>
        <v>0</v>
      </c>
      <c r="AA381" s="93">
        <f>SUM('1:2'!AA381)</f>
        <v>0</v>
      </c>
      <c r="AB381" s="358">
        <v>0.49</v>
      </c>
      <c r="AC381" s="269">
        <f t="shared" si="140"/>
        <v>0</v>
      </c>
      <c r="AD381" s="251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 ht="17.25">
      <c r="A382" s="316">
        <v>30100022</v>
      </c>
      <c r="B382" s="61" t="s">
        <v>78</v>
      </c>
      <c r="C382" s="16" t="s">
        <v>60</v>
      </c>
      <c r="D382" s="17">
        <v>5.08</v>
      </c>
      <c r="E382" s="17"/>
      <c r="F382" s="6"/>
      <c r="G382" s="93">
        <f>SUM('1:2'!G382)</f>
        <v>0</v>
      </c>
      <c r="H382" s="246">
        <f t="shared" si="147"/>
        <v>0</v>
      </c>
      <c r="I382" s="93">
        <f>SUM('1:2'!I382)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87">
        <v>21</v>
      </c>
      <c r="M382" s="36">
        <f t="shared" si="152"/>
        <v>0</v>
      </c>
      <c r="N382" s="31">
        <f t="shared" si="156"/>
        <v>0</v>
      </c>
      <c r="O382" s="93">
        <f>SUM('1:2'!O382)</f>
        <v>0</v>
      </c>
      <c r="P382" s="93">
        <f>SUM('1:2'!P382)</f>
        <v>0</v>
      </c>
      <c r="Q382" s="93">
        <f>SUM('1:2'!Q382)</f>
        <v>0</v>
      </c>
      <c r="R382" s="93">
        <f>SUM('1:2'!R382)</f>
        <v>0</v>
      </c>
      <c r="S382" s="93">
        <f>SUM('1:2'!S382)</f>
        <v>0</v>
      </c>
      <c r="T382" s="93">
        <f>SUM('1:2'!T382)</f>
        <v>0</v>
      </c>
      <c r="U382" s="93">
        <f>SUM('1:2'!U382)</f>
        <v>0</v>
      </c>
      <c r="V382" s="206">
        <f t="shared" si="157"/>
        <v>0</v>
      </c>
      <c r="W382" s="33" t="str">
        <f t="shared" si="158"/>
        <v/>
      </c>
      <c r="X382" s="93">
        <f>SUM('1:2'!X382)</f>
        <v>0</v>
      </c>
      <c r="Y382" s="93">
        <f>SUM('1:2'!Y382)</f>
        <v>0</v>
      </c>
      <c r="Z382" s="93">
        <f>SUM('1:2'!Z382)</f>
        <v>0</v>
      </c>
      <c r="AA382" s="93">
        <f>SUM('1:2'!AA382)</f>
        <v>0</v>
      </c>
      <c r="AB382" s="358">
        <v>0.49</v>
      </c>
      <c r="AC382" s="269">
        <f t="shared" si="140"/>
        <v>0</v>
      </c>
      <c r="AD382" s="251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 ht="17.25">
      <c r="A383" s="316">
        <v>30100029</v>
      </c>
      <c r="B383" s="61" t="s">
        <v>78</v>
      </c>
      <c r="C383" s="16" t="s">
        <v>72</v>
      </c>
      <c r="D383" s="17">
        <v>5.08</v>
      </c>
      <c r="E383" s="17"/>
      <c r="F383" s="6"/>
      <c r="G383" s="93">
        <f>SUM('1:2'!G383)</f>
        <v>0</v>
      </c>
      <c r="H383" s="246">
        <f t="shared" si="147"/>
        <v>0</v>
      </c>
      <c r="I383" s="93">
        <f>SUM('1:2'!I383)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87">
        <v>21</v>
      </c>
      <c r="M383" s="36">
        <f t="shared" si="152"/>
        <v>0</v>
      </c>
      <c r="N383" s="31">
        <f t="shared" si="156"/>
        <v>0</v>
      </c>
      <c r="O383" s="93">
        <f>SUM('1:2'!O383)</f>
        <v>0</v>
      </c>
      <c r="P383" s="93">
        <f>SUM('1:2'!P383)</f>
        <v>0</v>
      </c>
      <c r="Q383" s="93">
        <f>SUM('1:2'!Q383)</f>
        <v>0</v>
      </c>
      <c r="R383" s="93">
        <f>SUM('1:2'!R383)</f>
        <v>0</v>
      </c>
      <c r="S383" s="93">
        <f>SUM('1:2'!S383)</f>
        <v>0</v>
      </c>
      <c r="T383" s="93">
        <f>SUM('1:2'!T383)</f>
        <v>0</v>
      </c>
      <c r="U383" s="93">
        <f>SUM('1:2'!U383)</f>
        <v>0</v>
      </c>
      <c r="V383" s="206">
        <f t="shared" si="157"/>
        <v>0</v>
      </c>
      <c r="W383" s="33" t="str">
        <f t="shared" si="158"/>
        <v/>
      </c>
      <c r="X383" s="93">
        <f>SUM('1:2'!X383)</f>
        <v>0</v>
      </c>
      <c r="Y383" s="93">
        <f>SUM('1:2'!Y383)</f>
        <v>0</v>
      </c>
      <c r="Z383" s="93">
        <f>SUM('1:2'!Z383)</f>
        <v>0</v>
      </c>
      <c r="AA383" s="93">
        <f>SUM('1:2'!AA383)</f>
        <v>0</v>
      </c>
      <c r="AB383" s="358">
        <v>0.49</v>
      </c>
      <c r="AC383" s="269">
        <f t="shared" si="140"/>
        <v>0</v>
      </c>
      <c r="AD383" s="251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 ht="17.25">
      <c r="A384" s="316">
        <v>30100026</v>
      </c>
      <c r="B384" s="61" t="s">
        <v>78</v>
      </c>
      <c r="C384" s="16" t="s">
        <v>73</v>
      </c>
      <c r="D384" s="17">
        <v>5.08</v>
      </c>
      <c r="E384" s="17"/>
      <c r="F384" s="6"/>
      <c r="G384" s="93">
        <f>SUM('1:2'!G384)</f>
        <v>0</v>
      </c>
      <c r="H384" s="246">
        <f t="shared" si="147"/>
        <v>0</v>
      </c>
      <c r="I384" s="93">
        <f>SUM('1:2'!I384)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87">
        <v>21</v>
      </c>
      <c r="M384" s="36">
        <f t="shared" si="152"/>
        <v>0</v>
      </c>
      <c r="N384" s="31">
        <f t="shared" si="156"/>
        <v>0</v>
      </c>
      <c r="O384" s="93">
        <f>SUM('1:2'!O384)</f>
        <v>0</v>
      </c>
      <c r="P384" s="93">
        <f>SUM('1:2'!P384)</f>
        <v>0</v>
      </c>
      <c r="Q384" s="93">
        <f>SUM('1:2'!Q384)</f>
        <v>0</v>
      </c>
      <c r="R384" s="93">
        <f>SUM('1:2'!R384)</f>
        <v>0</v>
      </c>
      <c r="S384" s="93">
        <f>SUM('1:2'!S384)</f>
        <v>0</v>
      </c>
      <c r="T384" s="93">
        <f>SUM('1:2'!T384)</f>
        <v>0</v>
      </c>
      <c r="U384" s="93">
        <f>SUM('1:2'!U384)</f>
        <v>0</v>
      </c>
      <c r="V384" s="206">
        <f t="shared" si="157"/>
        <v>0</v>
      </c>
      <c r="W384" s="33" t="str">
        <f t="shared" si="158"/>
        <v/>
      </c>
      <c r="X384" s="93">
        <f>SUM('1:2'!X384)</f>
        <v>0</v>
      </c>
      <c r="Y384" s="93">
        <f>SUM('1:2'!Y384)</f>
        <v>0</v>
      </c>
      <c r="Z384" s="93">
        <f>SUM('1:2'!Z384)</f>
        <v>0</v>
      </c>
      <c r="AA384" s="93">
        <f>SUM('1:2'!AA384)</f>
        <v>0</v>
      </c>
      <c r="AB384" s="358">
        <v>0.49</v>
      </c>
      <c r="AC384" s="269">
        <f t="shared" si="140"/>
        <v>0</v>
      </c>
      <c r="AD384" s="251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 ht="17.25">
      <c r="A385" s="316">
        <v>30100025</v>
      </c>
      <c r="B385" s="61" t="s">
        <v>78</v>
      </c>
      <c r="C385" s="16" t="s">
        <v>61</v>
      </c>
      <c r="D385" s="17">
        <v>5.08</v>
      </c>
      <c r="E385" s="17"/>
      <c r="F385" s="6"/>
      <c r="G385" s="93">
        <f>SUM('1:2'!G385)</f>
        <v>0</v>
      </c>
      <c r="H385" s="246">
        <f t="shared" si="147"/>
        <v>0</v>
      </c>
      <c r="I385" s="93">
        <f>SUM('1:2'!I385)</f>
        <v>0</v>
      </c>
      <c r="J385" s="31" t="str">
        <f t="array" ref="J385">IF(ISERROR(G385/I385),"",G385/I385)</f>
        <v/>
      </c>
      <c r="K385" s="35">
        <f t="array" ref="K385">IF(ISERROR(G385/L385),"",G385/L385)</f>
        <v>0</v>
      </c>
      <c r="L385" s="87">
        <v>21</v>
      </c>
      <c r="M385" s="36">
        <f t="shared" si="152"/>
        <v>0</v>
      </c>
      <c r="N385" s="31">
        <f t="shared" si="156"/>
        <v>0</v>
      </c>
      <c r="O385" s="93">
        <f>SUM('1:2'!O385)</f>
        <v>0</v>
      </c>
      <c r="P385" s="93">
        <f>SUM('1:2'!P385)</f>
        <v>0</v>
      </c>
      <c r="Q385" s="93">
        <f>SUM('1:2'!Q385)</f>
        <v>0</v>
      </c>
      <c r="R385" s="93">
        <f>SUM('1:2'!R385)</f>
        <v>0</v>
      </c>
      <c r="S385" s="93">
        <f>SUM('1:2'!S385)</f>
        <v>0</v>
      </c>
      <c r="T385" s="93">
        <f>SUM('1:2'!T385)</f>
        <v>0</v>
      </c>
      <c r="U385" s="93">
        <f>SUM('1:2'!U385)</f>
        <v>0</v>
      </c>
      <c r="V385" s="206">
        <f t="shared" si="157"/>
        <v>0</v>
      </c>
      <c r="W385" s="33" t="str">
        <f t="shared" si="158"/>
        <v/>
      </c>
      <c r="X385" s="93">
        <f>SUM('1:2'!X385)</f>
        <v>0</v>
      </c>
      <c r="Y385" s="93">
        <f>SUM('1:2'!Y385)</f>
        <v>0</v>
      </c>
      <c r="Z385" s="93">
        <f>SUM('1:2'!Z385)</f>
        <v>0</v>
      </c>
      <c r="AA385" s="93">
        <f>SUM('1:2'!AA385)</f>
        <v>0</v>
      </c>
      <c r="AB385" s="358">
        <v>0.49</v>
      </c>
      <c r="AC385" s="269">
        <f t="shared" si="140"/>
        <v>0</v>
      </c>
      <c r="AD385" s="251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 ht="17.25">
      <c r="A386" s="316">
        <v>30100028</v>
      </c>
      <c r="B386" s="61" t="s">
        <v>78</v>
      </c>
      <c r="C386" s="16" t="s">
        <v>77</v>
      </c>
      <c r="D386" s="17">
        <v>5.08</v>
      </c>
      <c r="E386" s="17"/>
      <c r="F386" s="6"/>
      <c r="G386" s="93">
        <f>SUM('1:2'!G386)</f>
        <v>0</v>
      </c>
      <c r="H386" s="246">
        <f t="shared" si="147"/>
        <v>0</v>
      </c>
      <c r="I386" s="93">
        <f>SUM('1:2'!I386)</f>
        <v>0</v>
      </c>
      <c r="J386" s="31" t="str">
        <f t="array" ref="J386">IF(ISERROR(G386/I386),"",G386/I386)</f>
        <v/>
      </c>
      <c r="K386" s="35">
        <f t="array" ref="K386">IF(ISERROR(G386/L386),"",G386/L386)</f>
        <v>0</v>
      </c>
      <c r="L386" s="87">
        <v>21</v>
      </c>
      <c r="M386" s="36">
        <f t="shared" si="152"/>
        <v>0</v>
      </c>
      <c r="N386" s="31">
        <f t="shared" si="156"/>
        <v>0</v>
      </c>
      <c r="O386" s="93">
        <f>SUM('1:2'!O386)</f>
        <v>0</v>
      </c>
      <c r="P386" s="93">
        <f>SUM('1:2'!P386)</f>
        <v>0</v>
      </c>
      <c r="Q386" s="93">
        <f>SUM('1:2'!Q386)</f>
        <v>0</v>
      </c>
      <c r="R386" s="93">
        <f>SUM('1:2'!R386)</f>
        <v>0</v>
      </c>
      <c r="S386" s="93">
        <f>SUM('1:2'!S386)</f>
        <v>0</v>
      </c>
      <c r="T386" s="93">
        <f>SUM('1:2'!T386)</f>
        <v>0</v>
      </c>
      <c r="U386" s="93">
        <f>SUM('1:2'!U386)</f>
        <v>0</v>
      </c>
      <c r="V386" s="206">
        <f t="shared" si="157"/>
        <v>0</v>
      </c>
      <c r="W386" s="33" t="str">
        <f t="shared" si="158"/>
        <v/>
      </c>
      <c r="X386" s="93">
        <f>SUM('1:2'!X386)</f>
        <v>0</v>
      </c>
      <c r="Y386" s="93">
        <f>SUM('1:2'!Y386)</f>
        <v>0</v>
      </c>
      <c r="Z386" s="93">
        <f>SUM('1:2'!Z386)</f>
        <v>0</v>
      </c>
      <c r="AA386" s="93">
        <f>SUM('1:2'!AA386)</f>
        <v>0</v>
      </c>
      <c r="AB386" s="358">
        <v>0.49</v>
      </c>
      <c r="AC386" s="269">
        <f t="shared" si="140"/>
        <v>0</v>
      </c>
      <c r="AD386" s="251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 ht="17.25">
      <c r="A387" s="316">
        <v>30100032</v>
      </c>
      <c r="B387" s="61" t="s">
        <v>79</v>
      </c>
      <c r="C387" s="16" t="s">
        <v>65</v>
      </c>
      <c r="D387" s="17">
        <v>5.03</v>
      </c>
      <c r="E387" s="17"/>
      <c r="F387" s="6"/>
      <c r="G387" s="93">
        <f>SUM('1:2'!G387)</f>
        <v>0</v>
      </c>
      <c r="H387" s="246">
        <f t="shared" si="147"/>
        <v>0</v>
      </c>
      <c r="I387" s="93">
        <f>SUM('1:2'!I387)</f>
        <v>0</v>
      </c>
      <c r="J387" s="31" t="str">
        <f t="array" ref="J387">IF(ISERROR(G387/I387),"",G387/I387)</f>
        <v/>
      </c>
      <c r="K387" s="35">
        <f t="array" ref="K387">IF(ISERROR(G387/L387),"",G387/L387)</f>
        <v>0</v>
      </c>
      <c r="L387" s="87">
        <v>56</v>
      </c>
      <c r="M387" s="36">
        <f t="shared" si="152"/>
        <v>0</v>
      </c>
      <c r="N387" s="31">
        <f t="shared" si="156"/>
        <v>0</v>
      </c>
      <c r="O387" s="93">
        <f>SUM('1:2'!O387)</f>
        <v>0</v>
      </c>
      <c r="P387" s="93">
        <f>SUM('1:2'!P387)</f>
        <v>0</v>
      </c>
      <c r="Q387" s="93">
        <f>SUM('1:2'!Q387)</f>
        <v>0</v>
      </c>
      <c r="R387" s="93">
        <f>SUM('1:2'!R387)</f>
        <v>0</v>
      </c>
      <c r="S387" s="93">
        <f>SUM('1:2'!S387)</f>
        <v>0</v>
      </c>
      <c r="T387" s="93">
        <f>SUM('1:2'!T387)</f>
        <v>0</v>
      </c>
      <c r="U387" s="93">
        <f>SUM('1:2'!U387)</f>
        <v>0</v>
      </c>
      <c r="V387" s="206">
        <f t="shared" si="157"/>
        <v>0</v>
      </c>
      <c r="W387" s="33" t="str">
        <f t="shared" si="158"/>
        <v/>
      </c>
      <c r="X387" s="93">
        <f>SUM('1:2'!X387)</f>
        <v>0</v>
      </c>
      <c r="Y387" s="93">
        <f>SUM('1:2'!Y387)</f>
        <v>0</v>
      </c>
      <c r="Z387" s="93">
        <f>SUM('1:2'!Z387)</f>
        <v>0</v>
      </c>
      <c r="AA387" s="93">
        <f>SUM('1:2'!AA387)</f>
        <v>0</v>
      </c>
      <c r="AB387" s="358">
        <v>0.18</v>
      </c>
      <c r="AC387" s="269">
        <f t="shared" si="140"/>
        <v>0</v>
      </c>
      <c r="AD387" s="251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 ht="17.25">
      <c r="A388" s="316">
        <v>30100033</v>
      </c>
      <c r="B388" s="61" t="s">
        <v>79</v>
      </c>
      <c r="C388" s="16" t="s">
        <v>53</v>
      </c>
      <c r="D388" s="17">
        <v>5.03</v>
      </c>
      <c r="E388" s="17"/>
      <c r="F388" s="6"/>
      <c r="G388" s="93">
        <f>SUM('1:2'!G388)</f>
        <v>0</v>
      </c>
      <c r="H388" s="246">
        <f t="shared" si="147"/>
        <v>0</v>
      </c>
      <c r="I388" s="93">
        <f>SUM('1:2'!I388)</f>
        <v>0</v>
      </c>
      <c r="J388" s="31" t="str">
        <f t="array" ref="J388">IF(ISERROR(G388/I388),"",G388/I388)</f>
        <v/>
      </c>
      <c r="K388" s="35">
        <f t="array" ref="K388">IF(ISERROR(G388/L388),"",G388/L388)</f>
        <v>0</v>
      </c>
      <c r="L388" s="87">
        <v>56</v>
      </c>
      <c r="M388" s="36">
        <f t="shared" si="152"/>
        <v>0</v>
      </c>
      <c r="N388" s="31">
        <f t="shared" si="156"/>
        <v>0</v>
      </c>
      <c r="O388" s="93">
        <f>SUM('1:2'!O388)</f>
        <v>0</v>
      </c>
      <c r="P388" s="93">
        <f>SUM('1:2'!P388)</f>
        <v>0</v>
      </c>
      <c r="Q388" s="93">
        <f>SUM('1:2'!Q388)</f>
        <v>0</v>
      </c>
      <c r="R388" s="93">
        <f>SUM('1:2'!R388)</f>
        <v>0</v>
      </c>
      <c r="S388" s="93">
        <f>SUM('1:2'!S388)</f>
        <v>0</v>
      </c>
      <c r="T388" s="93">
        <f>SUM('1:2'!T388)</f>
        <v>0</v>
      </c>
      <c r="U388" s="93">
        <f>SUM('1:2'!U388)</f>
        <v>0</v>
      </c>
      <c r="V388" s="206">
        <f t="shared" si="157"/>
        <v>0</v>
      </c>
      <c r="W388" s="33" t="str">
        <f t="shared" si="158"/>
        <v/>
      </c>
      <c r="X388" s="93">
        <f>SUM('1:2'!X388)</f>
        <v>0</v>
      </c>
      <c r="Y388" s="93">
        <f>SUM('1:2'!Y388)</f>
        <v>0</v>
      </c>
      <c r="Z388" s="93">
        <f>SUM('1:2'!Z388)</f>
        <v>0</v>
      </c>
      <c r="AA388" s="93">
        <f>SUM('1:2'!AA388)</f>
        <v>0</v>
      </c>
      <c r="AB388" s="358">
        <v>0.18</v>
      </c>
      <c r="AC388" s="269">
        <f t="shared" si="140"/>
        <v>0</v>
      </c>
      <c r="AD388" s="251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 ht="17.25">
      <c r="A389" s="316">
        <v>30100062</v>
      </c>
      <c r="B389" s="61" t="s">
        <v>79</v>
      </c>
      <c r="C389" s="16" t="s">
        <v>66</v>
      </c>
      <c r="D389" s="17">
        <v>5.03</v>
      </c>
      <c r="E389" s="17"/>
      <c r="F389" s="6"/>
      <c r="G389" s="93">
        <f>SUM('1:2'!G389)</f>
        <v>0</v>
      </c>
      <c r="H389" s="246">
        <f t="shared" si="147"/>
        <v>0</v>
      </c>
      <c r="I389" s="93">
        <f>SUM('1:2'!I389)</f>
        <v>0</v>
      </c>
      <c r="J389" s="31" t="str">
        <f t="array" ref="J389">IF(ISERROR(G389/I389),"",G389/I389)</f>
        <v/>
      </c>
      <c r="K389" s="35">
        <f t="array" ref="K389">IF(ISERROR(G389/L389),"",G389/L389)</f>
        <v>0</v>
      </c>
      <c r="L389" s="87">
        <v>56</v>
      </c>
      <c r="M389" s="36">
        <f t="shared" si="152"/>
        <v>0</v>
      </c>
      <c r="N389" s="31">
        <f t="shared" si="156"/>
        <v>0</v>
      </c>
      <c r="O389" s="93">
        <f>SUM('1:2'!O389)</f>
        <v>0</v>
      </c>
      <c r="P389" s="93">
        <f>SUM('1:2'!P389)</f>
        <v>0</v>
      </c>
      <c r="Q389" s="93">
        <f>SUM('1:2'!Q389)</f>
        <v>0</v>
      </c>
      <c r="R389" s="93">
        <f>SUM('1:2'!R389)</f>
        <v>0</v>
      </c>
      <c r="S389" s="93">
        <f>SUM('1:2'!S389)</f>
        <v>0</v>
      </c>
      <c r="T389" s="93">
        <f>SUM('1:2'!T389)</f>
        <v>0</v>
      </c>
      <c r="U389" s="93">
        <f>SUM('1:2'!U389)</f>
        <v>0</v>
      </c>
      <c r="V389" s="206">
        <f t="shared" si="157"/>
        <v>0</v>
      </c>
      <c r="W389" s="33" t="str">
        <f t="shared" si="158"/>
        <v/>
      </c>
      <c r="X389" s="93">
        <f>SUM('1:2'!X389)</f>
        <v>0</v>
      </c>
      <c r="Y389" s="93">
        <f>SUM('1:2'!Y389)</f>
        <v>0</v>
      </c>
      <c r="Z389" s="93">
        <f>SUM('1:2'!Z389)</f>
        <v>0</v>
      </c>
      <c r="AA389" s="93">
        <f>SUM('1:2'!AA389)</f>
        <v>0</v>
      </c>
      <c r="AB389" s="358">
        <v>0.18</v>
      </c>
      <c r="AC389" s="269">
        <f t="shared" si="140"/>
        <v>0</v>
      </c>
      <c r="AD389" s="251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 ht="17.25">
      <c r="A390" s="316">
        <v>30100031</v>
      </c>
      <c r="B390" s="61" t="s">
        <v>79</v>
      </c>
      <c r="C390" s="16" t="s">
        <v>74</v>
      </c>
      <c r="D390" s="17">
        <v>5.03</v>
      </c>
      <c r="E390" s="17"/>
      <c r="F390" s="6"/>
      <c r="G390" s="93">
        <f>SUM('1:2'!G390)</f>
        <v>0</v>
      </c>
      <c r="H390" s="246">
        <f t="shared" si="147"/>
        <v>0</v>
      </c>
      <c r="I390" s="93">
        <f>SUM('1:2'!I390)</f>
        <v>0</v>
      </c>
      <c r="J390" s="31" t="str">
        <f t="array" ref="J390">IF(ISERROR(G390/I390),"",G390/I390)</f>
        <v/>
      </c>
      <c r="K390" s="35">
        <f t="array" ref="K390">IF(ISERROR(G390/L390),"",G390/L390)</f>
        <v>0</v>
      </c>
      <c r="L390" s="87">
        <v>56</v>
      </c>
      <c r="M390" s="36">
        <f t="shared" si="152"/>
        <v>0</v>
      </c>
      <c r="N390" s="31">
        <f t="shared" si="156"/>
        <v>0</v>
      </c>
      <c r="O390" s="93">
        <f>SUM('1:2'!O390)</f>
        <v>0</v>
      </c>
      <c r="P390" s="93">
        <f>SUM('1:2'!P390)</f>
        <v>0</v>
      </c>
      <c r="Q390" s="93">
        <f>SUM('1:2'!Q390)</f>
        <v>0</v>
      </c>
      <c r="R390" s="93">
        <f>SUM('1:2'!R390)</f>
        <v>0</v>
      </c>
      <c r="S390" s="93">
        <f>SUM('1:2'!S390)</f>
        <v>0</v>
      </c>
      <c r="T390" s="93">
        <f>SUM('1:2'!T390)</f>
        <v>0</v>
      </c>
      <c r="U390" s="93">
        <f>SUM('1:2'!U390)</f>
        <v>0</v>
      </c>
      <c r="V390" s="206">
        <f t="shared" si="157"/>
        <v>0</v>
      </c>
      <c r="W390" s="33" t="str">
        <f t="shared" si="158"/>
        <v/>
      </c>
      <c r="X390" s="93">
        <f>SUM('1:2'!X390)</f>
        <v>0</v>
      </c>
      <c r="Y390" s="93">
        <f>SUM('1:2'!Y390)</f>
        <v>0</v>
      </c>
      <c r="Z390" s="93">
        <f>SUM('1:2'!Z390)</f>
        <v>0</v>
      </c>
      <c r="AA390" s="93">
        <f>SUM('1:2'!AA390)</f>
        <v>0</v>
      </c>
      <c r="AB390" s="358">
        <v>0.18</v>
      </c>
      <c r="AC390" s="269">
        <f t="shared" si="140"/>
        <v>0</v>
      </c>
      <c r="AD390" s="251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 ht="17.25">
      <c r="A391" s="316">
        <v>30100019</v>
      </c>
      <c r="B391" s="61" t="s">
        <v>385</v>
      </c>
      <c r="C391" s="16" t="s">
        <v>386</v>
      </c>
      <c r="D391" s="17">
        <v>5.03</v>
      </c>
      <c r="E391" s="17"/>
      <c r="F391" s="6"/>
      <c r="G391" s="93">
        <f>SUM('1:2'!G391)</f>
        <v>0</v>
      </c>
      <c r="H391" s="246">
        <f t="shared" si="147"/>
        <v>0</v>
      </c>
      <c r="I391" s="93">
        <f>SUM('1:2'!I391)</f>
        <v>0</v>
      </c>
      <c r="J391" s="31"/>
      <c r="K391" s="35">
        <f t="array" ref="K391">IF(ISERROR(G391/L391),"",G391/L391)</f>
        <v>0</v>
      </c>
      <c r="L391" s="87">
        <v>54</v>
      </c>
      <c r="M391" s="36">
        <f t="shared" si="152"/>
        <v>0</v>
      </c>
      <c r="N391" s="31">
        <f t="shared" si="156"/>
        <v>0</v>
      </c>
      <c r="O391" s="93">
        <f>SUM('1:2'!O391)</f>
        <v>0</v>
      </c>
      <c r="P391" s="93">
        <f>SUM('1:2'!P391)</f>
        <v>0</v>
      </c>
      <c r="Q391" s="93">
        <f>SUM('1:2'!Q391)</f>
        <v>0</v>
      </c>
      <c r="R391" s="93">
        <f>SUM('1:2'!R391)</f>
        <v>0</v>
      </c>
      <c r="S391" s="93">
        <f>SUM('1:2'!S391)</f>
        <v>0</v>
      </c>
      <c r="T391" s="93">
        <f>SUM('1:2'!T391)</f>
        <v>0</v>
      </c>
      <c r="U391" s="93">
        <f>SUM('1:2'!U391)</f>
        <v>0</v>
      </c>
      <c r="V391" s="206"/>
      <c r="W391" s="33"/>
      <c r="X391" s="93">
        <f>SUM('1:2'!X391)</f>
        <v>0</v>
      </c>
      <c r="Y391" s="93">
        <f>SUM('1:2'!Y391)</f>
        <v>0</v>
      </c>
      <c r="Z391" s="93">
        <f>SUM('1:2'!Z391)</f>
        <v>0</v>
      </c>
      <c r="AA391" s="93">
        <f>SUM('1:2'!AA391)</f>
        <v>0</v>
      </c>
      <c r="AB391" s="358">
        <v>0.19</v>
      </c>
      <c r="AC391" s="269">
        <f t="shared" si="140"/>
        <v>0</v>
      </c>
      <c r="AD391" s="251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 ht="17.25">
      <c r="A392" s="316">
        <v>30100020</v>
      </c>
      <c r="B392" s="61" t="s">
        <v>385</v>
      </c>
      <c r="C392" s="16" t="s">
        <v>387</v>
      </c>
      <c r="D392" s="17">
        <v>5.03</v>
      </c>
      <c r="E392" s="17"/>
      <c r="F392" s="6"/>
      <c r="G392" s="93">
        <f>SUM('1:2'!G392)</f>
        <v>0</v>
      </c>
      <c r="H392" s="246">
        <f t="shared" si="147"/>
        <v>0</v>
      </c>
      <c r="I392" s="93">
        <f>SUM('1:2'!I392)</f>
        <v>0</v>
      </c>
      <c r="J392" s="31"/>
      <c r="K392" s="35">
        <f t="array" ref="K392">IF(ISERROR(G392/L392),"",G392/L392)</f>
        <v>0</v>
      </c>
      <c r="L392" s="87">
        <v>54</v>
      </c>
      <c r="M392" s="36">
        <f t="shared" si="152"/>
        <v>0</v>
      </c>
      <c r="N392" s="31">
        <f t="shared" si="156"/>
        <v>0</v>
      </c>
      <c r="O392" s="93">
        <f>SUM('1:2'!O392)</f>
        <v>0</v>
      </c>
      <c r="P392" s="93">
        <f>SUM('1:2'!P392)</f>
        <v>0</v>
      </c>
      <c r="Q392" s="93">
        <f>SUM('1:2'!Q392)</f>
        <v>0</v>
      </c>
      <c r="R392" s="93">
        <f>SUM('1:2'!R392)</f>
        <v>0</v>
      </c>
      <c r="S392" s="93">
        <f>SUM('1:2'!S392)</f>
        <v>0</v>
      </c>
      <c r="T392" s="93">
        <f>SUM('1:2'!T392)</f>
        <v>0</v>
      </c>
      <c r="U392" s="93">
        <f>SUM('1:2'!U392)</f>
        <v>0</v>
      </c>
      <c r="V392" s="206"/>
      <c r="W392" s="33"/>
      <c r="X392" s="93">
        <f>SUM('1:2'!X392)</f>
        <v>0</v>
      </c>
      <c r="Y392" s="93">
        <f>SUM('1:2'!Y392)</f>
        <v>0</v>
      </c>
      <c r="Z392" s="93">
        <f>SUM('1:2'!Z392)</f>
        <v>0</v>
      </c>
      <c r="AA392" s="93">
        <f>SUM('1:2'!AA392)</f>
        <v>0</v>
      </c>
      <c r="AB392" s="358">
        <v>0.19</v>
      </c>
      <c r="AC392" s="269">
        <f t="shared" si="140"/>
        <v>0</v>
      </c>
      <c r="AD392" s="251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 ht="17.25">
      <c r="A393" s="316">
        <v>30100021</v>
      </c>
      <c r="B393" s="190" t="s">
        <v>382</v>
      </c>
      <c r="C393" s="16" t="s">
        <v>389</v>
      </c>
      <c r="D393" s="17">
        <v>5.03</v>
      </c>
      <c r="E393" s="17"/>
      <c r="F393" s="6"/>
      <c r="G393" s="93">
        <f>SUM('1:2'!G393)</f>
        <v>0</v>
      </c>
      <c r="H393" s="246">
        <f t="shared" si="147"/>
        <v>0</v>
      </c>
      <c r="I393" s="93">
        <f>SUM('1:2'!I393)</f>
        <v>0</v>
      </c>
      <c r="J393" s="31"/>
      <c r="K393" s="35">
        <f t="array" ref="K393">IF(ISERROR(G393/L393),"",G393/L393)</f>
        <v>0</v>
      </c>
      <c r="L393" s="87">
        <v>54</v>
      </c>
      <c r="M393" s="36">
        <f t="shared" si="152"/>
        <v>0</v>
      </c>
      <c r="N393" s="31">
        <f t="shared" si="156"/>
        <v>0</v>
      </c>
      <c r="O393" s="93">
        <f>SUM('1:2'!O393)</f>
        <v>0</v>
      </c>
      <c r="P393" s="93">
        <f>SUM('1:2'!P393)</f>
        <v>0</v>
      </c>
      <c r="Q393" s="93">
        <f>SUM('1:2'!Q393)</f>
        <v>0</v>
      </c>
      <c r="R393" s="93">
        <f>SUM('1:2'!R393)</f>
        <v>0</v>
      </c>
      <c r="S393" s="93">
        <f>SUM('1:2'!S393)</f>
        <v>0</v>
      </c>
      <c r="T393" s="93">
        <f>SUM('1:2'!T393)</f>
        <v>0</v>
      </c>
      <c r="U393" s="93">
        <f>SUM('1:2'!U393)</f>
        <v>0</v>
      </c>
      <c r="V393" s="206"/>
      <c r="W393" s="33"/>
      <c r="X393" s="93">
        <f>SUM('1:2'!X393)</f>
        <v>0</v>
      </c>
      <c r="Y393" s="93">
        <f>SUM('1:2'!Y393)</f>
        <v>0</v>
      </c>
      <c r="Z393" s="93">
        <f>SUM('1:2'!Z393)</f>
        <v>0</v>
      </c>
      <c r="AA393" s="93">
        <f>SUM('1:2'!AA393)</f>
        <v>0</v>
      </c>
      <c r="AB393" s="358">
        <v>0.19</v>
      </c>
      <c r="AC393" s="269">
        <f t="shared" si="140"/>
        <v>0</v>
      </c>
      <c r="AD393" s="251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 ht="17.25">
      <c r="A394" s="316">
        <v>30100018</v>
      </c>
      <c r="B394" s="190" t="s">
        <v>382</v>
      </c>
      <c r="C394" s="16" t="s">
        <v>391</v>
      </c>
      <c r="D394" s="17">
        <v>5.03</v>
      </c>
      <c r="E394" s="17"/>
      <c r="F394" s="6"/>
      <c r="G394" s="93">
        <f>SUM('1:2'!G394)</f>
        <v>0</v>
      </c>
      <c r="H394" s="246">
        <f t="shared" si="147"/>
        <v>0</v>
      </c>
      <c r="I394" s="93">
        <f>SUM('1:2'!I394)</f>
        <v>0</v>
      </c>
      <c r="J394" s="31"/>
      <c r="K394" s="35">
        <f t="array" ref="K394">IF(ISERROR(G394/L394),"",G394/L394)</f>
        <v>0</v>
      </c>
      <c r="L394" s="87">
        <v>54</v>
      </c>
      <c r="M394" s="36">
        <f t="shared" si="152"/>
        <v>0</v>
      </c>
      <c r="N394" s="31">
        <f t="shared" si="156"/>
        <v>0</v>
      </c>
      <c r="O394" s="93">
        <f>SUM('1:2'!O394)</f>
        <v>0</v>
      </c>
      <c r="P394" s="93">
        <f>SUM('1:2'!P394)</f>
        <v>0</v>
      </c>
      <c r="Q394" s="93">
        <f>SUM('1:2'!Q394)</f>
        <v>0</v>
      </c>
      <c r="R394" s="93">
        <f>SUM('1:2'!R394)</f>
        <v>0</v>
      </c>
      <c r="S394" s="93">
        <f>SUM('1:2'!S394)</f>
        <v>0</v>
      </c>
      <c r="T394" s="93">
        <f>SUM('1:2'!T394)</f>
        <v>0</v>
      </c>
      <c r="U394" s="93">
        <f>SUM('1:2'!U394)</f>
        <v>0</v>
      </c>
      <c r="V394" s="206"/>
      <c r="W394" s="33"/>
      <c r="X394" s="93">
        <f>SUM('1:2'!X394)</f>
        <v>0</v>
      </c>
      <c r="Y394" s="93">
        <f>SUM('1:2'!Y394)</f>
        <v>0</v>
      </c>
      <c r="Z394" s="93">
        <f>SUM('1:2'!Z394)</f>
        <v>0</v>
      </c>
      <c r="AA394" s="93">
        <f>SUM('1:2'!AA394)</f>
        <v>0</v>
      </c>
      <c r="AB394" s="358">
        <v>0.19</v>
      </c>
      <c r="AC394" s="269">
        <f t="shared" si="140"/>
        <v>0</v>
      </c>
      <c r="AD394" s="251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 ht="17.25">
      <c r="A395" s="319">
        <v>30700007</v>
      </c>
      <c r="B395" s="190" t="s">
        <v>418</v>
      </c>
      <c r="C395" s="187" t="s">
        <v>364</v>
      </c>
      <c r="D395" s="17">
        <v>5.03</v>
      </c>
      <c r="E395" s="17"/>
      <c r="F395" s="6"/>
      <c r="G395" s="93">
        <f>SUM('1:2'!G395)</f>
        <v>0</v>
      </c>
      <c r="H395" s="246">
        <f t="shared" si="147"/>
        <v>0</v>
      </c>
      <c r="I395" s="93">
        <f>SUM('1:2'!I395)</f>
        <v>0</v>
      </c>
      <c r="J395" s="31"/>
      <c r="K395" s="35">
        <f t="array" ref="K395">IF(ISERROR(G395/L395),"",G395/L395)</f>
        <v>0</v>
      </c>
      <c r="L395" s="87">
        <v>4</v>
      </c>
      <c r="M395" s="36">
        <f t="shared" si="152"/>
        <v>0</v>
      </c>
      <c r="N395" s="31"/>
      <c r="O395" s="93">
        <f>SUM('1:2'!O395)</f>
        <v>0</v>
      </c>
      <c r="P395" s="93">
        <f>SUM('1:2'!P395)</f>
        <v>0</v>
      </c>
      <c r="Q395" s="93">
        <f>SUM('1:2'!Q395)</f>
        <v>0</v>
      </c>
      <c r="R395" s="93">
        <f>SUM('1:2'!R395)</f>
        <v>0</v>
      </c>
      <c r="S395" s="93">
        <f>SUM('1:2'!S395)</f>
        <v>0</v>
      </c>
      <c r="T395" s="93">
        <f>SUM('1:2'!T395)</f>
        <v>0</v>
      </c>
      <c r="U395" s="93">
        <f>SUM('1:2'!U395)</f>
        <v>0</v>
      </c>
      <c r="V395" s="206"/>
      <c r="W395" s="33"/>
      <c r="X395" s="93">
        <f>SUM('1:2'!X395)</f>
        <v>0</v>
      </c>
      <c r="Y395" s="93">
        <f>SUM('1:2'!Y395)</f>
        <v>0</v>
      </c>
      <c r="Z395" s="93">
        <f>SUM('1:2'!Z395)</f>
        <v>0</v>
      </c>
      <c r="AA395" s="93">
        <f>SUM('1:2'!AA395)</f>
        <v>0</v>
      </c>
      <c r="AB395" s="361">
        <v>0.94</v>
      </c>
      <c r="AC395" s="269">
        <f t="shared" si="140"/>
        <v>0</v>
      </c>
      <c r="AD395" s="251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 ht="17.25">
      <c r="A396" s="319">
        <v>30700006</v>
      </c>
      <c r="B396" s="190" t="s">
        <v>418</v>
      </c>
      <c r="C396" s="187" t="s">
        <v>365</v>
      </c>
      <c r="D396" s="17">
        <v>5.03</v>
      </c>
      <c r="E396" s="17"/>
      <c r="F396" s="6"/>
      <c r="G396" s="93">
        <f>SUM('1:2'!G396)</f>
        <v>0</v>
      </c>
      <c r="H396" s="246">
        <f t="shared" si="147"/>
        <v>0</v>
      </c>
      <c r="I396" s="93">
        <f>SUM('1:2'!I396)</f>
        <v>0</v>
      </c>
      <c r="J396" s="31"/>
      <c r="K396" s="35">
        <f t="array" ref="K396">IF(ISERROR(G396/L396),"",G396/L396)</f>
        <v>0</v>
      </c>
      <c r="L396" s="87">
        <v>4</v>
      </c>
      <c r="M396" s="36">
        <f t="shared" si="152"/>
        <v>0</v>
      </c>
      <c r="N396" s="31"/>
      <c r="O396" s="93">
        <f>SUM('1:2'!O396)</f>
        <v>0</v>
      </c>
      <c r="P396" s="93">
        <f>SUM('1:2'!P396)</f>
        <v>0</v>
      </c>
      <c r="Q396" s="93">
        <f>SUM('1:2'!Q396)</f>
        <v>0</v>
      </c>
      <c r="R396" s="93">
        <f>SUM('1:2'!R396)</f>
        <v>0</v>
      </c>
      <c r="S396" s="93">
        <f>SUM('1:2'!S396)</f>
        <v>0</v>
      </c>
      <c r="T396" s="93">
        <f>SUM('1:2'!T396)</f>
        <v>0</v>
      </c>
      <c r="U396" s="93">
        <f>SUM('1:2'!U396)</f>
        <v>0</v>
      </c>
      <c r="V396" s="206"/>
      <c r="W396" s="33"/>
      <c r="X396" s="93">
        <f>SUM('1:2'!X396)</f>
        <v>0</v>
      </c>
      <c r="Y396" s="93">
        <f>SUM('1:2'!Y396)</f>
        <v>0</v>
      </c>
      <c r="Z396" s="93">
        <f>SUM('1:2'!Z396)</f>
        <v>0</v>
      </c>
      <c r="AA396" s="93">
        <f>SUM('1:2'!AA396)</f>
        <v>0</v>
      </c>
      <c r="AB396" s="361">
        <v>0.94</v>
      </c>
      <c r="AC396" s="269">
        <f t="shared" si="140"/>
        <v>0</v>
      </c>
      <c r="AD396" s="251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 ht="17.25">
      <c r="A397" s="319">
        <v>30700008</v>
      </c>
      <c r="B397" s="190" t="s">
        <v>418</v>
      </c>
      <c r="C397" s="187" t="s">
        <v>366</v>
      </c>
      <c r="D397" s="17">
        <v>5.03</v>
      </c>
      <c r="E397" s="17"/>
      <c r="F397" s="6"/>
      <c r="G397" s="93">
        <f>SUM('1:2'!G397)</f>
        <v>0</v>
      </c>
      <c r="H397" s="246">
        <f t="shared" si="147"/>
        <v>0</v>
      </c>
      <c r="I397" s="93">
        <f>SUM('1:2'!I397)</f>
        <v>0</v>
      </c>
      <c r="J397" s="31"/>
      <c r="K397" s="35">
        <f t="array" ref="K397">IF(ISERROR(G397/L397),"",G397/L397)</f>
        <v>0</v>
      </c>
      <c r="L397" s="87">
        <v>4</v>
      </c>
      <c r="M397" s="36">
        <f t="shared" si="152"/>
        <v>0</v>
      </c>
      <c r="N397" s="31"/>
      <c r="O397" s="93">
        <f>SUM('1:2'!O397)</f>
        <v>0</v>
      </c>
      <c r="P397" s="93">
        <f>SUM('1:2'!P397)</f>
        <v>0</v>
      </c>
      <c r="Q397" s="93">
        <f>SUM('1:2'!Q397)</f>
        <v>0</v>
      </c>
      <c r="R397" s="93">
        <f>SUM('1:2'!R397)</f>
        <v>0</v>
      </c>
      <c r="S397" s="93">
        <f>SUM('1:2'!S397)</f>
        <v>0</v>
      </c>
      <c r="T397" s="93">
        <f>SUM('1:2'!T397)</f>
        <v>0</v>
      </c>
      <c r="U397" s="93">
        <f>SUM('1:2'!U397)</f>
        <v>0</v>
      </c>
      <c r="V397" s="206"/>
      <c r="W397" s="33"/>
      <c r="X397" s="93">
        <f>SUM('1:2'!X397)</f>
        <v>0</v>
      </c>
      <c r="Y397" s="93">
        <f>SUM('1:2'!Y397)</f>
        <v>0</v>
      </c>
      <c r="Z397" s="93">
        <f>SUM('1:2'!Z397)</f>
        <v>0</v>
      </c>
      <c r="AA397" s="93">
        <f>SUM('1:2'!AA397)</f>
        <v>0</v>
      </c>
      <c r="AB397" s="361">
        <v>0.94</v>
      </c>
      <c r="AC397" s="269">
        <f t="shared" si="140"/>
        <v>0</v>
      </c>
      <c r="AD397" s="251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 ht="17.25">
      <c r="A398" s="319">
        <v>30700009</v>
      </c>
      <c r="B398" s="190" t="s">
        <v>418</v>
      </c>
      <c r="C398" s="187" t="s">
        <v>367</v>
      </c>
      <c r="D398" s="17">
        <v>5.03</v>
      </c>
      <c r="E398" s="17"/>
      <c r="F398" s="6"/>
      <c r="G398" s="93">
        <f>SUM('1:2'!G398)</f>
        <v>0</v>
      </c>
      <c r="H398" s="246">
        <f t="shared" si="147"/>
        <v>0</v>
      </c>
      <c r="I398" s="93">
        <f>SUM('1:2'!I398)</f>
        <v>0</v>
      </c>
      <c r="J398" s="31"/>
      <c r="K398" s="35">
        <f t="array" ref="K398">IF(ISERROR(G398/L398),"",G398/L398)</f>
        <v>0</v>
      </c>
      <c r="L398" s="87">
        <v>4</v>
      </c>
      <c r="M398" s="36">
        <f t="shared" si="152"/>
        <v>0</v>
      </c>
      <c r="N398" s="31"/>
      <c r="O398" s="93">
        <f>SUM('1:2'!O398)</f>
        <v>0</v>
      </c>
      <c r="P398" s="93">
        <f>SUM('1:2'!P398)</f>
        <v>0</v>
      </c>
      <c r="Q398" s="93">
        <f>SUM('1:2'!Q398)</f>
        <v>0</v>
      </c>
      <c r="R398" s="93">
        <f>SUM('1:2'!R398)</f>
        <v>0</v>
      </c>
      <c r="S398" s="93">
        <f>SUM('1:2'!S398)</f>
        <v>0</v>
      </c>
      <c r="T398" s="93">
        <f>SUM('1:2'!T398)</f>
        <v>0</v>
      </c>
      <c r="U398" s="93">
        <f>SUM('1:2'!U398)</f>
        <v>0</v>
      </c>
      <c r="V398" s="206"/>
      <c r="W398" s="33"/>
      <c r="X398" s="93">
        <f>SUM('1:2'!X398)</f>
        <v>0</v>
      </c>
      <c r="Y398" s="93">
        <f>SUM('1:2'!Y398)</f>
        <v>0</v>
      </c>
      <c r="Z398" s="93">
        <f>SUM('1:2'!Z398)</f>
        <v>0</v>
      </c>
      <c r="AA398" s="93">
        <f>SUM('1:2'!AA398)</f>
        <v>0</v>
      </c>
      <c r="AB398" s="361">
        <v>0.94</v>
      </c>
      <c r="AC398" s="269">
        <f t="shared" si="140"/>
        <v>0</v>
      </c>
      <c r="AD398" s="251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 ht="17.25">
      <c r="A399" s="316">
        <v>30100036</v>
      </c>
      <c r="B399" s="62" t="s">
        <v>80</v>
      </c>
      <c r="C399" s="16" t="s">
        <v>61</v>
      </c>
      <c r="D399" s="17">
        <v>5.03</v>
      </c>
      <c r="E399" s="17"/>
      <c r="F399" s="6"/>
      <c r="G399" s="93">
        <f>SUM('1:2'!G399)</f>
        <v>0</v>
      </c>
      <c r="H399" s="246">
        <f t="shared" si="147"/>
        <v>0</v>
      </c>
      <c r="I399" s="93">
        <f>SUM('1:2'!I399)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87">
        <v>40</v>
      </c>
      <c r="M399" s="36">
        <f t="shared" si="152"/>
        <v>0</v>
      </c>
      <c r="N399" s="31">
        <f t="shared" ref="N399:N408" si="159">SUM(O399:U399)</f>
        <v>0</v>
      </c>
      <c r="O399" s="93">
        <f>SUM('1:2'!O399)</f>
        <v>0</v>
      </c>
      <c r="P399" s="93">
        <f>SUM('1:2'!P399)</f>
        <v>0</v>
      </c>
      <c r="Q399" s="93">
        <f>SUM('1:2'!Q399)</f>
        <v>0</v>
      </c>
      <c r="R399" s="93">
        <f>SUM('1:2'!R399)</f>
        <v>0</v>
      </c>
      <c r="S399" s="93">
        <f>SUM('1:2'!S399)</f>
        <v>0</v>
      </c>
      <c r="T399" s="93">
        <f>SUM('1:2'!T399)</f>
        <v>0</v>
      </c>
      <c r="U399" s="93">
        <f>SUM('1:2'!U399)</f>
        <v>0</v>
      </c>
      <c r="V399" s="206">
        <f t="shared" ref="V399:V408" si="160">SUM(X399:AA399)</f>
        <v>0</v>
      </c>
      <c r="W399" s="33" t="str">
        <f t="shared" ref="W399:W408" si="161">IF(ISERROR(V399/G399),"",V399/G399)</f>
        <v/>
      </c>
      <c r="X399" s="93">
        <f>SUM('1:2'!X399)</f>
        <v>0</v>
      </c>
      <c r="Y399" s="93">
        <f>SUM('1:2'!Y399)</f>
        <v>0</v>
      </c>
      <c r="Z399" s="93">
        <f>SUM('1:2'!Z399)</f>
        <v>0</v>
      </c>
      <c r="AA399" s="93">
        <f>SUM('1:2'!AA399)</f>
        <v>0</v>
      </c>
      <c r="AB399" s="358">
        <v>0.19</v>
      </c>
      <c r="AC399" s="269">
        <f t="shared" si="140"/>
        <v>0</v>
      </c>
      <c r="AD399" s="251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 ht="17.25">
      <c r="A400" s="316">
        <v>30100034</v>
      </c>
      <c r="B400" s="62" t="s">
        <v>80</v>
      </c>
      <c r="C400" s="16" t="s">
        <v>60</v>
      </c>
      <c r="D400" s="17">
        <v>5.03</v>
      </c>
      <c r="E400" s="17"/>
      <c r="F400" s="6"/>
      <c r="G400" s="93">
        <f>SUM('1:2'!G400)</f>
        <v>0</v>
      </c>
      <c r="H400" s="246">
        <f t="shared" si="147"/>
        <v>0</v>
      </c>
      <c r="I400" s="93">
        <f>SUM('1:2'!I400)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87">
        <v>40</v>
      </c>
      <c r="M400" s="36">
        <f t="shared" si="152"/>
        <v>0</v>
      </c>
      <c r="N400" s="31">
        <f t="shared" si="159"/>
        <v>0</v>
      </c>
      <c r="O400" s="93">
        <f>SUM('1:2'!O400)</f>
        <v>0</v>
      </c>
      <c r="P400" s="93">
        <f>SUM('1:2'!P400)</f>
        <v>0</v>
      </c>
      <c r="Q400" s="93">
        <f>SUM('1:2'!Q400)</f>
        <v>0</v>
      </c>
      <c r="R400" s="93">
        <f>SUM('1:2'!R400)</f>
        <v>0</v>
      </c>
      <c r="S400" s="93">
        <f>SUM('1:2'!S400)</f>
        <v>0</v>
      </c>
      <c r="T400" s="93">
        <f>SUM('1:2'!T400)</f>
        <v>0</v>
      </c>
      <c r="U400" s="93">
        <f>SUM('1:2'!U400)</f>
        <v>0</v>
      </c>
      <c r="V400" s="206">
        <f t="shared" si="160"/>
        <v>0</v>
      </c>
      <c r="W400" s="33" t="str">
        <f t="shared" si="161"/>
        <v/>
      </c>
      <c r="X400" s="93">
        <f>SUM('1:2'!X400)</f>
        <v>0</v>
      </c>
      <c r="Y400" s="93">
        <f>SUM('1:2'!Y400)</f>
        <v>0</v>
      </c>
      <c r="Z400" s="93">
        <f>SUM('1:2'!Z400)</f>
        <v>0</v>
      </c>
      <c r="AA400" s="93">
        <f>SUM('1:2'!AA400)</f>
        <v>0</v>
      </c>
      <c r="AB400" s="358">
        <v>0.19</v>
      </c>
      <c r="AC400" s="269">
        <f t="shared" si="140"/>
        <v>0</v>
      </c>
      <c r="AD400" s="251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 ht="17.25">
      <c r="A401" s="316">
        <v>30100035</v>
      </c>
      <c r="B401" s="62" t="s">
        <v>80</v>
      </c>
      <c r="C401" s="16" t="s">
        <v>65</v>
      </c>
      <c r="D401" s="17">
        <v>5.03</v>
      </c>
      <c r="E401" s="17"/>
      <c r="F401" s="6"/>
      <c r="G401" s="93">
        <f>SUM('1:2'!G401)</f>
        <v>0</v>
      </c>
      <c r="H401" s="246">
        <f t="shared" si="147"/>
        <v>0</v>
      </c>
      <c r="I401" s="93">
        <f>SUM('1:2'!I401)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87">
        <v>40</v>
      </c>
      <c r="M401" s="36">
        <f t="shared" si="152"/>
        <v>0</v>
      </c>
      <c r="N401" s="31">
        <f t="shared" si="159"/>
        <v>0</v>
      </c>
      <c r="O401" s="93">
        <f>SUM('1:2'!O401)</f>
        <v>0</v>
      </c>
      <c r="P401" s="93">
        <f>SUM('1:2'!P401)</f>
        <v>0</v>
      </c>
      <c r="Q401" s="93">
        <f>SUM('1:2'!Q401)</f>
        <v>0</v>
      </c>
      <c r="R401" s="93">
        <f>SUM('1:2'!R401)</f>
        <v>0</v>
      </c>
      <c r="S401" s="93">
        <f>SUM('1:2'!S401)</f>
        <v>0</v>
      </c>
      <c r="T401" s="93">
        <f>SUM('1:2'!T401)</f>
        <v>0</v>
      </c>
      <c r="U401" s="93">
        <f>SUM('1:2'!U401)</f>
        <v>0</v>
      </c>
      <c r="V401" s="206">
        <f t="shared" si="160"/>
        <v>0</v>
      </c>
      <c r="W401" s="33" t="str">
        <f t="shared" si="161"/>
        <v/>
      </c>
      <c r="X401" s="93">
        <f>SUM('1:2'!X401)</f>
        <v>0</v>
      </c>
      <c r="Y401" s="93">
        <f>SUM('1:2'!Y401)</f>
        <v>0</v>
      </c>
      <c r="Z401" s="93">
        <f>SUM('1:2'!Z401)</f>
        <v>0</v>
      </c>
      <c r="AA401" s="93">
        <f>SUM('1:2'!AA401)</f>
        <v>0</v>
      </c>
      <c r="AB401" s="358">
        <v>0.19</v>
      </c>
      <c r="AC401" s="269">
        <f t="shared" si="140"/>
        <v>0</v>
      </c>
      <c r="AD401" s="251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 ht="17.25">
      <c r="A402" s="316">
        <v>30100040</v>
      </c>
      <c r="B402" s="62" t="s">
        <v>81</v>
      </c>
      <c r="C402" s="16" t="s">
        <v>82</v>
      </c>
      <c r="D402" s="17">
        <v>5.03</v>
      </c>
      <c r="E402" s="17"/>
      <c r="F402" s="6"/>
      <c r="G402" s="93">
        <f>SUM('1:2'!G402)</f>
        <v>0</v>
      </c>
      <c r="H402" s="246">
        <f t="shared" si="147"/>
        <v>0</v>
      </c>
      <c r="I402" s="93">
        <f>SUM('1:2'!I402)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87">
        <v>50</v>
      </c>
      <c r="M402" s="36">
        <f t="shared" si="152"/>
        <v>0</v>
      </c>
      <c r="N402" s="31">
        <f t="shared" si="159"/>
        <v>0</v>
      </c>
      <c r="O402" s="93">
        <f>SUM('1:2'!O402)</f>
        <v>0</v>
      </c>
      <c r="P402" s="93">
        <f>SUM('1:2'!P402)</f>
        <v>0</v>
      </c>
      <c r="Q402" s="93">
        <f>SUM('1:2'!Q402)</f>
        <v>0</v>
      </c>
      <c r="R402" s="93">
        <f>SUM('1:2'!R402)</f>
        <v>0</v>
      </c>
      <c r="S402" s="93">
        <f>SUM('1:2'!S402)</f>
        <v>0</v>
      </c>
      <c r="T402" s="93">
        <f>SUM('1:2'!T402)</f>
        <v>0</v>
      </c>
      <c r="U402" s="93">
        <f>SUM('1:2'!U402)</f>
        <v>0</v>
      </c>
      <c r="V402" s="206">
        <f t="shared" si="160"/>
        <v>0</v>
      </c>
      <c r="W402" s="33" t="str">
        <f t="shared" si="161"/>
        <v/>
      </c>
      <c r="X402" s="93">
        <f>SUM('1:2'!X402)</f>
        <v>0</v>
      </c>
      <c r="Y402" s="93">
        <f>SUM('1:2'!Y402)</f>
        <v>0</v>
      </c>
      <c r="Z402" s="93">
        <f>SUM('1:2'!Z402)</f>
        <v>0</v>
      </c>
      <c r="AA402" s="93">
        <f>SUM('1:2'!AA402)</f>
        <v>0</v>
      </c>
      <c r="AB402" s="358">
        <v>0.21</v>
      </c>
      <c r="AC402" s="269">
        <f t="shared" si="140"/>
        <v>0</v>
      </c>
      <c r="AD402" s="251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 ht="17.25">
      <c r="A403" s="316">
        <v>30100039</v>
      </c>
      <c r="B403" s="62" t="s">
        <v>81</v>
      </c>
      <c r="C403" s="16" t="s">
        <v>60</v>
      </c>
      <c r="D403" s="17">
        <v>5.03</v>
      </c>
      <c r="E403" s="17"/>
      <c r="F403" s="6"/>
      <c r="G403" s="93">
        <f>SUM('1:2'!G403)</f>
        <v>0</v>
      </c>
      <c r="H403" s="246">
        <f t="shared" si="147"/>
        <v>0</v>
      </c>
      <c r="I403" s="93">
        <f>SUM('1:2'!I403)</f>
        <v>0</v>
      </c>
      <c r="J403" s="31" t="str">
        <f t="array" ref="J403">IF(ISERROR(G403/I403),"",G403/I403)</f>
        <v/>
      </c>
      <c r="K403" s="35">
        <f t="array" ref="K403">IF(ISERROR(G403/L403),"",G403/L403)</f>
        <v>0</v>
      </c>
      <c r="L403" s="87">
        <v>50</v>
      </c>
      <c r="M403" s="36">
        <f t="shared" si="152"/>
        <v>0</v>
      </c>
      <c r="N403" s="31">
        <f t="shared" si="159"/>
        <v>0</v>
      </c>
      <c r="O403" s="93">
        <f>SUM('1:2'!O403)</f>
        <v>0</v>
      </c>
      <c r="P403" s="93">
        <f>SUM('1:2'!P403)</f>
        <v>0</v>
      </c>
      <c r="Q403" s="93">
        <f>SUM('1:2'!Q403)</f>
        <v>0</v>
      </c>
      <c r="R403" s="93">
        <f>SUM('1:2'!R403)</f>
        <v>0</v>
      </c>
      <c r="S403" s="93">
        <f>SUM('1:2'!S403)</f>
        <v>0</v>
      </c>
      <c r="T403" s="93">
        <f>SUM('1:2'!T403)</f>
        <v>0</v>
      </c>
      <c r="U403" s="93">
        <f>SUM('1:2'!U403)</f>
        <v>0</v>
      </c>
      <c r="V403" s="206">
        <f t="shared" si="160"/>
        <v>0</v>
      </c>
      <c r="W403" s="33" t="str">
        <f t="shared" si="161"/>
        <v/>
      </c>
      <c r="X403" s="93">
        <f>SUM('1:2'!X403)</f>
        <v>0</v>
      </c>
      <c r="Y403" s="93">
        <f>SUM('1:2'!Y403)</f>
        <v>0</v>
      </c>
      <c r="Z403" s="93">
        <f>SUM('1:2'!Z403)</f>
        <v>0</v>
      </c>
      <c r="AA403" s="93">
        <f>SUM('1:2'!AA403)</f>
        <v>0</v>
      </c>
      <c r="AB403" s="358">
        <v>0.21</v>
      </c>
      <c r="AC403" s="269">
        <f t="shared" si="140"/>
        <v>0</v>
      </c>
      <c r="AD403" s="251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 ht="17.25">
      <c r="A404" s="316">
        <v>30100042</v>
      </c>
      <c r="B404" s="62" t="s">
        <v>81</v>
      </c>
      <c r="C404" s="16" t="s">
        <v>61</v>
      </c>
      <c r="D404" s="17">
        <v>5.03</v>
      </c>
      <c r="E404" s="17"/>
      <c r="F404" s="6"/>
      <c r="G404" s="93">
        <f>SUM('1:2'!G404)</f>
        <v>0</v>
      </c>
      <c r="H404" s="246">
        <f t="shared" si="147"/>
        <v>0</v>
      </c>
      <c r="I404" s="93">
        <f>SUM('1:2'!I404)</f>
        <v>0</v>
      </c>
      <c r="J404" s="31" t="str">
        <f t="array" ref="J404">IF(ISERROR(G404/I404),"",G404/I404)</f>
        <v/>
      </c>
      <c r="K404" s="35">
        <f t="array" ref="K404">IF(ISERROR(G404/L404),"",G404/L404)</f>
        <v>0</v>
      </c>
      <c r="L404" s="87">
        <v>50</v>
      </c>
      <c r="M404" s="36">
        <f t="shared" si="152"/>
        <v>0</v>
      </c>
      <c r="N404" s="31">
        <f t="shared" si="159"/>
        <v>0</v>
      </c>
      <c r="O404" s="93">
        <f>SUM('1:2'!O404)</f>
        <v>0</v>
      </c>
      <c r="P404" s="93">
        <f>SUM('1:2'!P404)</f>
        <v>0</v>
      </c>
      <c r="Q404" s="93">
        <f>SUM('1:2'!Q404)</f>
        <v>0</v>
      </c>
      <c r="R404" s="93">
        <f>SUM('1:2'!R404)</f>
        <v>0</v>
      </c>
      <c r="S404" s="93">
        <f>SUM('1:2'!S404)</f>
        <v>0</v>
      </c>
      <c r="T404" s="93">
        <f>SUM('1:2'!T404)</f>
        <v>0</v>
      </c>
      <c r="U404" s="93">
        <f>SUM('1:2'!U404)</f>
        <v>0</v>
      </c>
      <c r="V404" s="206">
        <f t="shared" si="160"/>
        <v>0</v>
      </c>
      <c r="W404" s="33" t="str">
        <f t="shared" si="161"/>
        <v/>
      </c>
      <c r="X404" s="93">
        <f>SUM('1:2'!X404)</f>
        <v>0</v>
      </c>
      <c r="Y404" s="93">
        <f>SUM('1:2'!Y404)</f>
        <v>0</v>
      </c>
      <c r="Z404" s="93">
        <f>SUM('1:2'!Z404)</f>
        <v>0</v>
      </c>
      <c r="AA404" s="93">
        <f>SUM('1:2'!AA404)</f>
        <v>0</v>
      </c>
      <c r="AB404" s="358">
        <v>0.21</v>
      </c>
      <c r="AC404" s="269">
        <f t="shared" si="140"/>
        <v>0</v>
      </c>
      <c r="AD404" s="251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 ht="17.25">
      <c r="A405" s="316">
        <v>30100041</v>
      </c>
      <c r="B405" s="62" t="s">
        <v>81</v>
      </c>
      <c r="C405" s="16" t="s">
        <v>65</v>
      </c>
      <c r="D405" s="17">
        <v>5.03</v>
      </c>
      <c r="E405" s="17"/>
      <c r="F405" s="6"/>
      <c r="G405" s="93">
        <f>SUM('1:2'!G405)</f>
        <v>0</v>
      </c>
      <c r="H405" s="246">
        <f t="shared" si="147"/>
        <v>0</v>
      </c>
      <c r="I405" s="93">
        <f>SUM('1:2'!I405)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87">
        <v>50</v>
      </c>
      <c r="M405" s="36">
        <f t="shared" si="152"/>
        <v>0</v>
      </c>
      <c r="N405" s="31">
        <f t="shared" si="159"/>
        <v>0</v>
      </c>
      <c r="O405" s="93">
        <f>SUM('1:2'!O405)</f>
        <v>0</v>
      </c>
      <c r="P405" s="93">
        <f>SUM('1:2'!P405)</f>
        <v>0</v>
      </c>
      <c r="Q405" s="93">
        <f>SUM('1:2'!Q405)</f>
        <v>0</v>
      </c>
      <c r="R405" s="93">
        <f>SUM('1:2'!R405)</f>
        <v>0</v>
      </c>
      <c r="S405" s="93">
        <f>SUM('1:2'!S405)</f>
        <v>0</v>
      </c>
      <c r="T405" s="93">
        <f>SUM('1:2'!T405)</f>
        <v>0</v>
      </c>
      <c r="U405" s="93">
        <f>SUM('1:2'!U405)</f>
        <v>0</v>
      </c>
      <c r="V405" s="206">
        <f t="shared" si="160"/>
        <v>0</v>
      </c>
      <c r="W405" s="33" t="str">
        <f t="shared" si="161"/>
        <v/>
      </c>
      <c r="X405" s="93">
        <f>SUM('1:2'!X405)</f>
        <v>0</v>
      </c>
      <c r="Y405" s="93">
        <f>SUM('1:2'!Y405)</f>
        <v>0</v>
      </c>
      <c r="Z405" s="93">
        <f>SUM('1:2'!Z405)</f>
        <v>0</v>
      </c>
      <c r="AA405" s="93">
        <f>SUM('1:2'!AA405)</f>
        <v>0</v>
      </c>
      <c r="AB405" s="358">
        <v>0.21</v>
      </c>
      <c r="AC405" s="269">
        <f t="shared" si="140"/>
        <v>0</v>
      </c>
      <c r="AD405" s="251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 ht="17.25">
      <c r="A406" s="316">
        <v>30100045</v>
      </c>
      <c r="B406" s="62" t="s">
        <v>83</v>
      </c>
      <c r="C406" s="16" t="s">
        <v>73</v>
      </c>
      <c r="D406" s="17">
        <v>5.03</v>
      </c>
      <c r="E406" s="17"/>
      <c r="F406" s="6"/>
      <c r="G406" s="93">
        <f>SUM('1:2'!G406)</f>
        <v>0</v>
      </c>
      <c r="H406" s="246">
        <f t="shared" si="147"/>
        <v>0</v>
      </c>
      <c r="I406" s="93">
        <f>SUM('1:2'!I406)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87">
        <v>50</v>
      </c>
      <c r="M406" s="36">
        <f t="shared" si="152"/>
        <v>0</v>
      </c>
      <c r="N406" s="31">
        <f t="shared" si="159"/>
        <v>0</v>
      </c>
      <c r="O406" s="93">
        <f>SUM('1:2'!O406)</f>
        <v>0</v>
      </c>
      <c r="P406" s="93">
        <f>SUM('1:2'!P406)</f>
        <v>0</v>
      </c>
      <c r="Q406" s="93">
        <f>SUM('1:2'!Q406)</f>
        <v>0</v>
      </c>
      <c r="R406" s="93">
        <f>SUM('1:2'!R406)</f>
        <v>0</v>
      </c>
      <c r="S406" s="93">
        <f>SUM('1:2'!S406)</f>
        <v>0</v>
      </c>
      <c r="T406" s="93">
        <f>SUM('1:2'!T406)</f>
        <v>0</v>
      </c>
      <c r="U406" s="93">
        <f>SUM('1:2'!U406)</f>
        <v>0</v>
      </c>
      <c r="V406" s="206">
        <f t="shared" si="160"/>
        <v>0</v>
      </c>
      <c r="W406" s="33" t="str">
        <f t="shared" si="161"/>
        <v/>
      </c>
      <c r="X406" s="93">
        <f>SUM('1:2'!X406)</f>
        <v>0</v>
      </c>
      <c r="Y406" s="93">
        <f>SUM('1:2'!Y406)</f>
        <v>0</v>
      </c>
      <c r="Z406" s="93">
        <f>SUM('1:2'!Z406)</f>
        <v>0</v>
      </c>
      <c r="AA406" s="93">
        <f>SUM('1:2'!AA406)</f>
        <v>0</v>
      </c>
      <c r="AB406" s="358">
        <v>0.21</v>
      </c>
      <c r="AC406" s="269">
        <f t="shared" si="140"/>
        <v>0</v>
      </c>
      <c r="AD406" s="251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 ht="17.25">
      <c r="A407" s="316">
        <v>30100044</v>
      </c>
      <c r="B407" s="62" t="s">
        <v>83</v>
      </c>
      <c r="C407" s="16" t="s">
        <v>61</v>
      </c>
      <c r="D407" s="17">
        <v>5.03</v>
      </c>
      <c r="E407" s="17"/>
      <c r="F407" s="6"/>
      <c r="G407" s="93">
        <f>SUM('1:2'!G407)</f>
        <v>0</v>
      </c>
      <c r="H407" s="246">
        <f t="shared" si="147"/>
        <v>0</v>
      </c>
      <c r="I407" s="93">
        <f>SUM('1:2'!I407)</f>
        <v>0</v>
      </c>
      <c r="J407" s="31" t="str">
        <f t="array" ref="J407">IF(ISERROR(G407/I407),"",G407/I407)</f>
        <v/>
      </c>
      <c r="K407" s="35">
        <f t="array" ref="K407">IF(ISERROR(G407/L407),"",G407/L407)</f>
        <v>0</v>
      </c>
      <c r="L407" s="87">
        <v>50</v>
      </c>
      <c r="M407" s="36">
        <f t="shared" si="152"/>
        <v>0</v>
      </c>
      <c r="N407" s="31">
        <f t="shared" si="159"/>
        <v>0</v>
      </c>
      <c r="O407" s="93">
        <f>SUM('1:2'!O407)</f>
        <v>0</v>
      </c>
      <c r="P407" s="93">
        <f>SUM('1:2'!P407)</f>
        <v>0</v>
      </c>
      <c r="Q407" s="93">
        <f>SUM('1:2'!Q407)</f>
        <v>0</v>
      </c>
      <c r="R407" s="93">
        <f>SUM('1:2'!R407)</f>
        <v>0</v>
      </c>
      <c r="S407" s="93">
        <f>SUM('1:2'!S407)</f>
        <v>0</v>
      </c>
      <c r="T407" s="93">
        <f>SUM('1:2'!T407)</f>
        <v>0</v>
      </c>
      <c r="U407" s="93">
        <f>SUM('1:2'!U407)</f>
        <v>0</v>
      </c>
      <c r="V407" s="206">
        <f t="shared" si="160"/>
        <v>0</v>
      </c>
      <c r="W407" s="33" t="str">
        <f t="shared" si="161"/>
        <v/>
      </c>
      <c r="X407" s="93">
        <f>SUM('1:2'!X407)</f>
        <v>0</v>
      </c>
      <c r="Y407" s="93">
        <f>SUM('1:2'!Y407)</f>
        <v>0</v>
      </c>
      <c r="Z407" s="93">
        <f>SUM('1:2'!Z407)</f>
        <v>0</v>
      </c>
      <c r="AA407" s="93">
        <f>SUM('1:2'!AA407)</f>
        <v>0</v>
      </c>
      <c r="AB407" s="358">
        <v>0.21</v>
      </c>
      <c r="AC407" s="269">
        <f t="shared" si="140"/>
        <v>0</v>
      </c>
      <c r="AD407" s="251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 ht="17.25">
      <c r="A408" s="316">
        <v>30100046</v>
      </c>
      <c r="B408" s="62" t="s">
        <v>83</v>
      </c>
      <c r="C408" s="16" t="s">
        <v>77</v>
      </c>
      <c r="D408" s="17">
        <v>5.03</v>
      </c>
      <c r="E408" s="17"/>
      <c r="F408" s="6"/>
      <c r="G408" s="93">
        <f>SUM('1:2'!G408)</f>
        <v>0</v>
      </c>
      <c r="H408" s="246">
        <f t="shared" si="147"/>
        <v>0</v>
      </c>
      <c r="I408" s="93">
        <f>SUM('1:2'!I408)</f>
        <v>0</v>
      </c>
      <c r="J408" s="31" t="str">
        <f t="array" ref="J408">IF(ISERROR(G408/I408),"",G408/I408)</f>
        <v/>
      </c>
      <c r="K408" s="35">
        <f t="array" ref="K408">IF(ISERROR(G408/L408),"",G408/L408)</f>
        <v>0</v>
      </c>
      <c r="L408" s="87">
        <v>50</v>
      </c>
      <c r="M408" s="36">
        <f t="shared" si="152"/>
        <v>0</v>
      </c>
      <c r="N408" s="31">
        <f t="shared" si="159"/>
        <v>0</v>
      </c>
      <c r="O408" s="93">
        <f>SUM('1:2'!O408)</f>
        <v>0</v>
      </c>
      <c r="P408" s="93">
        <f>SUM('1:2'!P408)</f>
        <v>0</v>
      </c>
      <c r="Q408" s="93">
        <f>SUM('1:2'!Q408)</f>
        <v>0</v>
      </c>
      <c r="R408" s="93">
        <f>SUM('1:2'!R408)</f>
        <v>0</v>
      </c>
      <c r="S408" s="93">
        <f>SUM('1:2'!S408)</f>
        <v>0</v>
      </c>
      <c r="T408" s="93">
        <f>SUM('1:2'!T408)</f>
        <v>0</v>
      </c>
      <c r="U408" s="93">
        <f>SUM('1:2'!U408)</f>
        <v>0</v>
      </c>
      <c r="V408" s="206">
        <f t="shared" si="160"/>
        <v>0</v>
      </c>
      <c r="W408" s="33" t="str">
        <f t="shared" si="161"/>
        <v/>
      </c>
      <c r="X408" s="93">
        <f>SUM('1:2'!X408)</f>
        <v>0</v>
      </c>
      <c r="Y408" s="93">
        <f>SUM('1:2'!Y408)</f>
        <v>0</v>
      </c>
      <c r="Z408" s="93">
        <f>SUM('1:2'!Z408)</f>
        <v>0</v>
      </c>
      <c r="AA408" s="93">
        <f>SUM('1:2'!AA408)</f>
        <v>0</v>
      </c>
      <c r="AB408" s="358">
        <v>0.21</v>
      </c>
      <c r="AC408" s="269">
        <f t="shared" si="140"/>
        <v>0</v>
      </c>
      <c r="AD408" s="251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 ht="17.25">
      <c r="A409" s="316">
        <v>30100043</v>
      </c>
      <c r="B409" s="192" t="s">
        <v>429</v>
      </c>
      <c r="C409" s="187" t="s">
        <v>427</v>
      </c>
      <c r="D409" s="17">
        <v>50.3</v>
      </c>
      <c r="E409" s="17"/>
      <c r="F409" s="6"/>
      <c r="G409" s="93"/>
      <c r="H409" s="246">
        <f t="shared" si="147"/>
        <v>0</v>
      </c>
      <c r="I409" s="93"/>
      <c r="J409" s="31"/>
      <c r="K409" s="35">
        <f t="array" ref="K409">IF(ISERROR(G409/L409),"",G409/L409)</f>
        <v>0</v>
      </c>
      <c r="L409" s="87">
        <v>50</v>
      </c>
      <c r="M409" s="36"/>
      <c r="N409" s="31"/>
      <c r="O409" s="93"/>
      <c r="P409" s="93"/>
      <c r="Q409" s="93"/>
      <c r="R409" s="93"/>
      <c r="S409" s="93"/>
      <c r="T409" s="93"/>
      <c r="U409" s="93"/>
      <c r="V409" s="206"/>
      <c r="W409" s="33"/>
      <c r="X409" s="93"/>
      <c r="Y409" s="93"/>
      <c r="Z409" s="93"/>
      <c r="AA409" s="93"/>
      <c r="AB409" s="358">
        <v>0.21</v>
      </c>
      <c r="AC409" s="269">
        <f t="shared" si="140"/>
        <v>0</v>
      </c>
      <c r="AD409" s="251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 ht="17.25">
      <c r="A410" s="316">
        <v>30100064</v>
      </c>
      <c r="B410" s="192" t="s">
        <v>400</v>
      </c>
      <c r="C410" s="187" t="s">
        <v>398</v>
      </c>
      <c r="D410" s="17">
        <v>5</v>
      </c>
      <c r="E410" s="17"/>
      <c r="F410" s="6"/>
      <c r="G410" s="93">
        <f>SUM('1:2'!G410)</f>
        <v>0</v>
      </c>
      <c r="H410" s="246">
        <f t="shared" si="147"/>
        <v>0</v>
      </c>
      <c r="I410" s="93">
        <f>SUM('1:2'!I410)</f>
        <v>0</v>
      </c>
      <c r="J410" s="31"/>
      <c r="K410" s="35"/>
      <c r="L410" s="87">
        <v>50</v>
      </c>
      <c r="M410" s="36"/>
      <c r="N410" s="31"/>
      <c r="O410" s="93">
        <f>SUM('1:2'!O410)</f>
        <v>0</v>
      </c>
      <c r="P410" s="93">
        <f>SUM('1:2'!P410)</f>
        <v>0</v>
      </c>
      <c r="Q410" s="93">
        <f>SUM('1:2'!Q410)</f>
        <v>0</v>
      </c>
      <c r="R410" s="93">
        <f>SUM('1:2'!R410)</f>
        <v>0</v>
      </c>
      <c r="S410" s="93">
        <f>SUM('1:2'!S410)</f>
        <v>0</v>
      </c>
      <c r="T410" s="93">
        <f>SUM('1:2'!T410)</f>
        <v>0</v>
      </c>
      <c r="U410" s="93">
        <f>SUM('1:2'!U410)</f>
        <v>0</v>
      </c>
      <c r="V410" s="206"/>
      <c r="W410" s="33"/>
      <c r="X410" s="93">
        <f>SUM('1:2'!X410)</f>
        <v>0</v>
      </c>
      <c r="Y410" s="93">
        <f>SUM('1:2'!Y410)</f>
        <v>0</v>
      </c>
      <c r="Z410" s="93">
        <f>SUM('1:2'!Z410)</f>
        <v>0</v>
      </c>
      <c r="AA410" s="93">
        <f>SUM('1:2'!AA410)</f>
        <v>0</v>
      </c>
      <c r="AB410" s="361">
        <v>0.21</v>
      </c>
      <c r="AC410" s="269">
        <f t="shared" si="140"/>
        <v>0</v>
      </c>
      <c r="AD410" s="251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 ht="17.25">
      <c r="A411" s="316">
        <v>30100049</v>
      </c>
      <c r="B411" s="62" t="s">
        <v>84</v>
      </c>
      <c r="C411" s="16" t="s">
        <v>64</v>
      </c>
      <c r="D411" s="17">
        <v>5.03</v>
      </c>
      <c r="E411" s="17"/>
      <c r="F411" s="6"/>
      <c r="G411" s="93">
        <f>SUM('1:2'!G411)</f>
        <v>0</v>
      </c>
      <c r="H411" s="246">
        <f t="shared" si="147"/>
        <v>0</v>
      </c>
      <c r="I411" s="93">
        <f>SUM('1:2'!I411)</f>
        <v>0</v>
      </c>
      <c r="J411" s="31" t="str">
        <f t="array" ref="J411">IF(ISERROR(G411/I411),"",G411/I411)</f>
        <v/>
      </c>
      <c r="K411" s="35">
        <f t="array" ref="K411">IF(ISERROR(G411/L411),"",G411/L411)</f>
        <v>0</v>
      </c>
      <c r="L411" s="87">
        <v>21.5</v>
      </c>
      <c r="M411" s="36">
        <f t="shared" ref="M411:M412" si="162">IF(ISERROR(I411-K411),"",I411-K411)</f>
        <v>0</v>
      </c>
      <c r="N411" s="31">
        <f t="shared" ref="N411:N412" si="163">SUM(O411:U411)</f>
        <v>0</v>
      </c>
      <c r="O411" s="93">
        <f>SUM('1:2'!O411)</f>
        <v>0</v>
      </c>
      <c r="P411" s="93">
        <f>SUM('1:2'!P411)</f>
        <v>0</v>
      </c>
      <c r="Q411" s="93">
        <f>SUM('1:2'!Q411)</f>
        <v>0</v>
      </c>
      <c r="R411" s="93">
        <f>SUM('1:2'!R411)</f>
        <v>0</v>
      </c>
      <c r="S411" s="93">
        <f>SUM('1:2'!S411)</f>
        <v>0</v>
      </c>
      <c r="T411" s="93">
        <f>SUM('1:2'!T411)</f>
        <v>0</v>
      </c>
      <c r="U411" s="93">
        <f>SUM('1:2'!U411)</f>
        <v>0</v>
      </c>
      <c r="V411" s="206">
        <f t="shared" ref="V411:V412" si="164">SUM(X411:AA411)</f>
        <v>0</v>
      </c>
      <c r="W411" s="33" t="str">
        <f t="shared" ref="W411:W412" si="165">IF(ISERROR(V411/G411),"",V411/G411)</f>
        <v/>
      </c>
      <c r="X411" s="93">
        <f>SUM('1:2'!X411)</f>
        <v>0</v>
      </c>
      <c r="Y411" s="93">
        <f>SUM('1:2'!Y411)</f>
        <v>0</v>
      </c>
      <c r="Z411" s="93">
        <f>SUM('1:2'!Z411)</f>
        <v>0</v>
      </c>
      <c r="AA411" s="93">
        <f>SUM('1:2'!AA411)</f>
        <v>0</v>
      </c>
      <c r="AB411" s="358">
        <v>0.49</v>
      </c>
      <c r="AC411" s="269">
        <f t="shared" si="140"/>
        <v>0</v>
      </c>
      <c r="AD411" s="251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 ht="17.25">
      <c r="A412" s="316">
        <v>30100050</v>
      </c>
      <c r="B412" s="62" t="s">
        <v>84</v>
      </c>
      <c r="C412" s="16" t="s">
        <v>65</v>
      </c>
      <c r="D412" s="17">
        <v>5.03</v>
      </c>
      <c r="E412" s="17"/>
      <c r="F412" s="6"/>
      <c r="G412" s="93">
        <f>SUM('1:2'!G412)</f>
        <v>0</v>
      </c>
      <c r="H412" s="246">
        <f t="shared" si="147"/>
        <v>0</v>
      </c>
      <c r="I412" s="93">
        <f>SUM('1:2'!I412)</f>
        <v>0</v>
      </c>
      <c r="J412" s="31" t="str">
        <f t="array" ref="J412">IF(ISERROR(G412/I412),"",G412/I412)</f>
        <v/>
      </c>
      <c r="K412" s="35">
        <f t="array" ref="K412">IF(ISERROR(G412/L412),"",G412/L412)</f>
        <v>0</v>
      </c>
      <c r="L412" s="87">
        <v>21.5</v>
      </c>
      <c r="M412" s="36">
        <f t="shared" si="162"/>
        <v>0</v>
      </c>
      <c r="N412" s="31">
        <f t="shared" si="163"/>
        <v>0</v>
      </c>
      <c r="O412" s="93">
        <f>SUM('1:2'!O412)</f>
        <v>0</v>
      </c>
      <c r="P412" s="93">
        <f>SUM('1:2'!P412)</f>
        <v>0</v>
      </c>
      <c r="Q412" s="93">
        <f>SUM('1:2'!Q412)</f>
        <v>0</v>
      </c>
      <c r="R412" s="93">
        <f>SUM('1:2'!R412)</f>
        <v>0</v>
      </c>
      <c r="S412" s="93">
        <f>SUM('1:2'!S412)</f>
        <v>0</v>
      </c>
      <c r="T412" s="93">
        <f>SUM('1:2'!T412)</f>
        <v>0</v>
      </c>
      <c r="U412" s="93">
        <f>SUM('1:2'!U412)</f>
        <v>0</v>
      </c>
      <c r="V412" s="206">
        <f t="shared" si="164"/>
        <v>0</v>
      </c>
      <c r="W412" s="33" t="str">
        <f t="shared" si="165"/>
        <v/>
      </c>
      <c r="X412" s="93">
        <f>SUM('1:2'!X412)</f>
        <v>0</v>
      </c>
      <c r="Y412" s="93">
        <f>SUM('1:2'!Y412)</f>
        <v>0</v>
      </c>
      <c r="Z412" s="93">
        <f>SUM('1:2'!Z412)</f>
        <v>0</v>
      </c>
      <c r="AA412" s="93">
        <f>SUM('1:2'!AA412)</f>
        <v>0</v>
      </c>
      <c r="AB412" s="358">
        <v>0.49</v>
      </c>
      <c r="AC412" s="269">
        <f t="shared" si="140"/>
        <v>0</v>
      </c>
      <c r="AD412" s="251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 ht="17.25">
      <c r="A413" s="316"/>
      <c r="B413" s="192" t="s">
        <v>360</v>
      </c>
      <c r="C413" s="187" t="s">
        <v>361</v>
      </c>
      <c r="D413" s="17"/>
      <c r="E413" s="17"/>
      <c r="F413" s="6"/>
      <c r="G413" s="93">
        <f>SUM('1:2'!G413)</f>
        <v>0</v>
      </c>
      <c r="H413" s="246">
        <f t="shared" si="147"/>
        <v>0</v>
      </c>
      <c r="I413" s="93">
        <f>SUM('1:2'!I413)</f>
        <v>0</v>
      </c>
      <c r="J413" s="31"/>
      <c r="K413" s="35"/>
      <c r="L413" s="87"/>
      <c r="M413" s="36"/>
      <c r="N413" s="31"/>
      <c r="O413" s="93">
        <f>SUM('1:2'!O413)</f>
        <v>0</v>
      </c>
      <c r="P413" s="93">
        <f>SUM('1:2'!P413)</f>
        <v>0</v>
      </c>
      <c r="Q413" s="93">
        <f>SUM('1:2'!Q413)</f>
        <v>0</v>
      </c>
      <c r="R413" s="93">
        <f>SUM('1:2'!R413)</f>
        <v>0</v>
      </c>
      <c r="S413" s="93">
        <f>SUM('1:2'!S413)</f>
        <v>0</v>
      </c>
      <c r="T413" s="93">
        <f>SUM('1:2'!T413)</f>
        <v>0</v>
      </c>
      <c r="U413" s="93">
        <f>SUM('1:2'!U413)</f>
        <v>0</v>
      </c>
      <c r="V413" s="206"/>
      <c r="W413" s="33"/>
      <c r="X413" s="93">
        <f>SUM('1:2'!X413)</f>
        <v>0</v>
      </c>
      <c r="Y413" s="93">
        <f>SUM('1:2'!Y413)</f>
        <v>0</v>
      </c>
      <c r="Z413" s="93">
        <f>SUM('1:2'!Z413)</f>
        <v>0</v>
      </c>
      <c r="AA413" s="93">
        <f>SUM('1:2'!AA413)</f>
        <v>0</v>
      </c>
      <c r="AB413" s="358"/>
      <c r="AC413" s="269">
        <f t="shared" si="140"/>
        <v>0</v>
      </c>
      <c r="AD413" s="251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 ht="17.25">
      <c r="A414" s="316">
        <v>30100055</v>
      </c>
      <c r="B414" s="63" t="s">
        <v>85</v>
      </c>
      <c r="C414" s="16" t="s">
        <v>60</v>
      </c>
      <c r="D414" s="17">
        <v>5.0599999999999996</v>
      </c>
      <c r="E414" s="17"/>
      <c r="F414" s="6"/>
      <c r="G414" s="93">
        <f>SUM('1:2'!G414)</f>
        <v>0</v>
      </c>
      <c r="H414" s="246">
        <f t="shared" si="147"/>
        <v>0</v>
      </c>
      <c r="I414" s="93">
        <f>SUM('1:2'!I414)</f>
        <v>0</v>
      </c>
      <c r="J414" s="31" t="str">
        <f t="array" ref="J414">IF(ISERROR(G414/I414),"",G414/I414)</f>
        <v/>
      </c>
      <c r="K414" s="35" t="str">
        <f t="array" ref="K414">IF(ISERROR(G414/L414),"",G414/L414)</f>
        <v/>
      </c>
      <c r="L414" s="87"/>
      <c r="M414" s="36" t="str">
        <f t="shared" ref="M414:M427" si="166">IF(ISERROR(I414-K414),"",I414-K414)</f>
        <v/>
      </c>
      <c r="N414" s="31">
        <f t="shared" ref="N414:N417" si="167">SUM(O414:U414)</f>
        <v>0</v>
      </c>
      <c r="O414" s="93">
        <f>SUM('1:2'!O414)</f>
        <v>0</v>
      </c>
      <c r="P414" s="93">
        <f>SUM('1:2'!P414)</f>
        <v>0</v>
      </c>
      <c r="Q414" s="93">
        <f>SUM('1:2'!Q414)</f>
        <v>0</v>
      </c>
      <c r="R414" s="93">
        <f>SUM('1:2'!R414)</f>
        <v>0</v>
      </c>
      <c r="S414" s="93">
        <f>SUM('1:2'!S414)</f>
        <v>0</v>
      </c>
      <c r="T414" s="93">
        <f>SUM('1:2'!T414)</f>
        <v>0</v>
      </c>
      <c r="U414" s="93">
        <f>SUM('1:2'!U414)</f>
        <v>0</v>
      </c>
      <c r="V414" s="206">
        <f t="shared" ref="V414:V417" si="168">SUM(X414:AA414)</f>
        <v>0</v>
      </c>
      <c r="W414" s="33" t="str">
        <f t="shared" ref="W414:W417" si="169">IF(ISERROR(V414/G414),"",V414/G414)</f>
        <v/>
      </c>
      <c r="X414" s="93">
        <f>SUM('1:2'!X414)</f>
        <v>0</v>
      </c>
      <c r="Y414" s="93">
        <f>SUM('1:2'!Y414)</f>
        <v>0</v>
      </c>
      <c r="Z414" s="93">
        <f>SUM('1:2'!Z414)</f>
        <v>0</v>
      </c>
      <c r="AA414" s="93">
        <f>SUM('1:2'!AA414)</f>
        <v>0</v>
      </c>
      <c r="AB414" s="358">
        <v>0.43</v>
      </c>
      <c r="AC414" s="269">
        <f t="shared" si="140"/>
        <v>0</v>
      </c>
      <c r="AD414" s="251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 ht="17.25">
      <c r="A415" s="316">
        <v>30100056</v>
      </c>
      <c r="B415" s="63" t="s">
        <v>85</v>
      </c>
      <c r="C415" s="16" t="s">
        <v>74</v>
      </c>
      <c r="D415" s="17">
        <v>5.0599999999999996</v>
      </c>
      <c r="E415" s="17"/>
      <c r="F415" s="6"/>
      <c r="G415" s="93">
        <f>SUM('1:2'!G415)</f>
        <v>0</v>
      </c>
      <c r="H415" s="246">
        <f t="shared" si="147"/>
        <v>0</v>
      </c>
      <c r="I415" s="93">
        <f>SUM('1:2'!I415)</f>
        <v>0</v>
      </c>
      <c r="J415" s="31" t="str">
        <f t="array" ref="J415">IF(ISERROR(G415/I415),"",G415/I415)</f>
        <v/>
      </c>
      <c r="K415" s="35" t="str">
        <f t="array" ref="K415">IF(ISERROR(G415/L415),"",G415/L415)</f>
        <v/>
      </c>
      <c r="L415" s="87"/>
      <c r="M415" s="36" t="str">
        <f t="shared" si="166"/>
        <v/>
      </c>
      <c r="N415" s="31">
        <f t="shared" si="167"/>
        <v>0</v>
      </c>
      <c r="O415" s="93">
        <f>SUM('1:2'!O415)</f>
        <v>0</v>
      </c>
      <c r="P415" s="93">
        <f>SUM('1:2'!P415)</f>
        <v>0</v>
      </c>
      <c r="Q415" s="93">
        <f>SUM('1:2'!Q415)</f>
        <v>0</v>
      </c>
      <c r="R415" s="93">
        <f>SUM('1:2'!R415)</f>
        <v>0</v>
      </c>
      <c r="S415" s="93">
        <f>SUM('1:2'!S415)</f>
        <v>0</v>
      </c>
      <c r="T415" s="93">
        <f>SUM('1:2'!T415)</f>
        <v>0</v>
      </c>
      <c r="U415" s="93">
        <f>SUM('1:2'!U415)</f>
        <v>0</v>
      </c>
      <c r="V415" s="206">
        <f t="shared" si="168"/>
        <v>0</v>
      </c>
      <c r="W415" s="33" t="str">
        <f t="shared" si="169"/>
        <v/>
      </c>
      <c r="X415" s="93">
        <f>SUM('1:2'!X415)</f>
        <v>0</v>
      </c>
      <c r="Y415" s="93">
        <f>SUM('1:2'!Y415)</f>
        <v>0</v>
      </c>
      <c r="Z415" s="93">
        <f>SUM('1:2'!Z415)</f>
        <v>0</v>
      </c>
      <c r="AA415" s="93">
        <f>SUM('1:2'!AA415)</f>
        <v>0</v>
      </c>
      <c r="AB415" s="358">
        <v>0.43</v>
      </c>
      <c r="AC415" s="269">
        <f t="shared" ref="AC415:AC480" si="170">AB415*G415</f>
        <v>0</v>
      </c>
      <c r="AD415" s="251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 ht="17.25">
      <c r="A416" s="316">
        <v>30100057</v>
      </c>
      <c r="B416" s="63" t="s">
        <v>85</v>
      </c>
      <c r="C416" s="16" t="s">
        <v>65</v>
      </c>
      <c r="D416" s="17">
        <v>5.0599999999999996</v>
      </c>
      <c r="E416" s="17"/>
      <c r="F416" s="6"/>
      <c r="G416" s="93">
        <f>SUM('1:2'!G416)</f>
        <v>0</v>
      </c>
      <c r="H416" s="246">
        <f t="shared" si="147"/>
        <v>0</v>
      </c>
      <c r="I416" s="93">
        <f>SUM('1:2'!I416)</f>
        <v>0</v>
      </c>
      <c r="J416" s="31" t="str">
        <f t="array" ref="J416">IF(ISERROR(G416/I416),"",G416/I416)</f>
        <v/>
      </c>
      <c r="K416" s="35" t="str">
        <f t="array" ref="K416">IF(ISERROR(G416/L416),"",G416/L416)</f>
        <v/>
      </c>
      <c r="L416" s="87"/>
      <c r="M416" s="36" t="str">
        <f t="shared" si="166"/>
        <v/>
      </c>
      <c r="N416" s="31">
        <f t="shared" si="167"/>
        <v>0</v>
      </c>
      <c r="O416" s="93">
        <f>SUM('1:2'!O416)</f>
        <v>0</v>
      </c>
      <c r="P416" s="93">
        <f>SUM('1:2'!P416)</f>
        <v>0</v>
      </c>
      <c r="Q416" s="93">
        <f>SUM('1:2'!Q416)</f>
        <v>0</v>
      </c>
      <c r="R416" s="93">
        <f>SUM('1:2'!R416)</f>
        <v>0</v>
      </c>
      <c r="S416" s="93">
        <f>SUM('1:2'!S416)</f>
        <v>0</v>
      </c>
      <c r="T416" s="93">
        <f>SUM('1:2'!T416)</f>
        <v>0</v>
      </c>
      <c r="U416" s="93">
        <f>SUM('1:2'!U416)</f>
        <v>0</v>
      </c>
      <c r="V416" s="206">
        <f t="shared" si="168"/>
        <v>0</v>
      </c>
      <c r="W416" s="33" t="str">
        <f t="shared" si="169"/>
        <v/>
      </c>
      <c r="X416" s="93">
        <f>SUM('1:2'!X416)</f>
        <v>0</v>
      </c>
      <c r="Y416" s="93">
        <f>SUM('1:2'!Y416)</f>
        <v>0</v>
      </c>
      <c r="Z416" s="93">
        <f>SUM('1:2'!Z416)</f>
        <v>0</v>
      </c>
      <c r="AA416" s="93">
        <f>SUM('1:2'!AA416)</f>
        <v>0</v>
      </c>
      <c r="AB416" s="358">
        <v>0.43</v>
      </c>
      <c r="AC416" s="269">
        <f t="shared" si="170"/>
        <v>0</v>
      </c>
      <c r="AD416" s="251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 ht="17.25">
      <c r="A417" s="316">
        <v>30100058</v>
      </c>
      <c r="B417" s="63" t="s">
        <v>85</v>
      </c>
      <c r="C417" s="16" t="s">
        <v>61</v>
      </c>
      <c r="D417" s="17">
        <v>5.0599999999999996</v>
      </c>
      <c r="E417" s="17"/>
      <c r="F417" s="6"/>
      <c r="G417" s="93">
        <f>SUM('1:2'!G417)</f>
        <v>0</v>
      </c>
      <c r="H417" s="246">
        <f t="shared" si="147"/>
        <v>0</v>
      </c>
      <c r="I417" s="93">
        <f>SUM('1:2'!I417)</f>
        <v>0</v>
      </c>
      <c r="J417" s="31" t="str">
        <f t="array" ref="J417">IF(ISERROR(G417/I417),"",G417/I417)</f>
        <v/>
      </c>
      <c r="K417" s="35" t="str">
        <f t="array" ref="K417">IF(ISERROR(G417/L417),"",G417/L417)</f>
        <v/>
      </c>
      <c r="L417" s="87"/>
      <c r="M417" s="36" t="str">
        <f t="shared" si="166"/>
        <v/>
      </c>
      <c r="N417" s="31">
        <f t="shared" si="167"/>
        <v>0</v>
      </c>
      <c r="O417" s="93">
        <f>SUM('1:2'!O417)</f>
        <v>0</v>
      </c>
      <c r="P417" s="93">
        <f>SUM('1:2'!P417)</f>
        <v>0</v>
      </c>
      <c r="Q417" s="93">
        <f>SUM('1:2'!Q417)</f>
        <v>0</v>
      </c>
      <c r="R417" s="93">
        <f>SUM('1:2'!R417)</f>
        <v>0</v>
      </c>
      <c r="S417" s="93">
        <f>SUM('1:2'!S417)</f>
        <v>0</v>
      </c>
      <c r="T417" s="93">
        <f>SUM('1:2'!T417)</f>
        <v>0</v>
      </c>
      <c r="U417" s="93">
        <f>SUM('1:2'!U417)</f>
        <v>0</v>
      </c>
      <c r="V417" s="206">
        <f t="shared" si="168"/>
        <v>0</v>
      </c>
      <c r="W417" s="33" t="str">
        <f t="shared" si="169"/>
        <v/>
      </c>
      <c r="X417" s="93">
        <f>SUM('1:2'!X417)</f>
        <v>0</v>
      </c>
      <c r="Y417" s="93">
        <f>SUM('1:2'!Y417)</f>
        <v>0</v>
      </c>
      <c r="Z417" s="93">
        <f>SUM('1:2'!Z417)</f>
        <v>0</v>
      </c>
      <c r="AA417" s="93">
        <f>SUM('1:2'!AA417)</f>
        <v>0</v>
      </c>
      <c r="AB417" s="358">
        <v>0.43</v>
      </c>
      <c r="AC417" s="269">
        <f t="shared" si="170"/>
        <v>0</v>
      </c>
      <c r="AD417" s="251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318">
        <v>30600013</v>
      </c>
      <c r="B418" s="197" t="s">
        <v>368</v>
      </c>
      <c r="C418" s="187" t="s">
        <v>374</v>
      </c>
      <c r="D418" s="17"/>
      <c r="E418" s="17"/>
      <c r="F418" s="6"/>
      <c r="G418" s="93">
        <f>SUM('1:2'!G418)</f>
        <v>0</v>
      </c>
      <c r="H418" s="246">
        <f t="shared" si="147"/>
        <v>0</v>
      </c>
      <c r="I418" s="93">
        <f>SUM('1:2'!I418)</f>
        <v>0</v>
      </c>
      <c r="J418" s="31"/>
      <c r="K418" s="35">
        <f t="array" ref="K418">IF(ISERROR(G418/L418),"",G418/L418)</f>
        <v>0</v>
      </c>
      <c r="L418" s="87">
        <v>24</v>
      </c>
      <c r="M418" s="36">
        <f t="shared" si="166"/>
        <v>0</v>
      </c>
      <c r="N418" s="31"/>
      <c r="O418" s="93">
        <f>SUM('1:2'!O418)</f>
        <v>0</v>
      </c>
      <c r="P418" s="93">
        <f>SUM('1:2'!P418)</f>
        <v>0</v>
      </c>
      <c r="Q418" s="93">
        <f>SUM('1:2'!Q418)</f>
        <v>0</v>
      </c>
      <c r="R418" s="93">
        <f>SUM('1:2'!R418)</f>
        <v>0</v>
      </c>
      <c r="S418" s="93">
        <f>SUM('1:2'!S418)</f>
        <v>0</v>
      </c>
      <c r="T418" s="93">
        <f>SUM('1:2'!T418)</f>
        <v>0</v>
      </c>
      <c r="U418" s="93">
        <f>SUM('1:2'!U418)</f>
        <v>0</v>
      </c>
      <c r="V418" s="206"/>
      <c r="W418" s="33"/>
      <c r="X418" s="93">
        <f>SUM('1:2'!X418)</f>
        <v>0</v>
      </c>
      <c r="Y418" s="93">
        <f>SUM('1:2'!Y418)</f>
        <v>0</v>
      </c>
      <c r="Z418" s="93">
        <f>SUM('1:2'!Z418)</f>
        <v>0</v>
      </c>
      <c r="AA418" s="93">
        <f>SUM('1:2'!AA418)</f>
        <v>0</v>
      </c>
      <c r="AB418" s="358">
        <v>0.43</v>
      </c>
      <c r="AC418" s="269">
        <f t="shared" si="170"/>
        <v>0</v>
      </c>
      <c r="AD418" s="251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318">
        <v>30600014</v>
      </c>
      <c r="B419" s="197" t="s">
        <v>368</v>
      </c>
      <c r="C419" s="187" t="s">
        <v>369</v>
      </c>
      <c r="D419" s="17"/>
      <c r="E419" s="17"/>
      <c r="F419" s="6"/>
      <c r="G419" s="93">
        <f>SUM('1:2'!G419)</f>
        <v>0</v>
      </c>
      <c r="H419" s="246">
        <f t="shared" si="147"/>
        <v>0</v>
      </c>
      <c r="I419" s="93">
        <f>SUM('1:2'!I419)</f>
        <v>0</v>
      </c>
      <c r="J419" s="31"/>
      <c r="K419" s="35">
        <f t="array" ref="K419">IF(ISERROR(G419/L419),"",G419/L419)</f>
        <v>0</v>
      </c>
      <c r="L419" s="87">
        <v>24</v>
      </c>
      <c r="M419" s="36">
        <f t="shared" si="166"/>
        <v>0</v>
      </c>
      <c r="N419" s="31"/>
      <c r="O419" s="93">
        <f>SUM('1:2'!O419)</f>
        <v>0</v>
      </c>
      <c r="P419" s="93">
        <f>SUM('1:2'!P419)</f>
        <v>0</v>
      </c>
      <c r="Q419" s="93">
        <f>SUM('1:2'!Q419)</f>
        <v>0</v>
      </c>
      <c r="R419" s="93">
        <f>SUM('1:2'!R419)</f>
        <v>0</v>
      </c>
      <c r="S419" s="93">
        <f>SUM('1:2'!S419)</f>
        <v>0</v>
      </c>
      <c r="T419" s="93">
        <f>SUM('1:2'!T419)</f>
        <v>0</v>
      </c>
      <c r="U419" s="93">
        <f>SUM('1:2'!U419)</f>
        <v>0</v>
      </c>
      <c r="V419" s="206"/>
      <c r="W419" s="33"/>
      <c r="X419" s="93">
        <f>SUM('1:2'!X419)</f>
        <v>0</v>
      </c>
      <c r="Y419" s="93">
        <f>SUM('1:2'!Y419)</f>
        <v>0</v>
      </c>
      <c r="Z419" s="93">
        <f>SUM('1:2'!Z419)</f>
        <v>0</v>
      </c>
      <c r="AA419" s="93">
        <f>SUM('1:2'!AA419)</f>
        <v>0</v>
      </c>
      <c r="AB419" s="358">
        <v>0.43</v>
      </c>
      <c r="AC419" s="269">
        <f t="shared" si="170"/>
        <v>0</v>
      </c>
      <c r="AD419" s="251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318">
        <v>30600012</v>
      </c>
      <c r="B420" s="197" t="s">
        <v>368</v>
      </c>
      <c r="C420" s="187" t="s">
        <v>370</v>
      </c>
      <c r="D420" s="17"/>
      <c r="E420" s="17"/>
      <c r="F420" s="6"/>
      <c r="G420" s="93">
        <f>SUM('1:2'!G420)</f>
        <v>0</v>
      </c>
      <c r="H420" s="246">
        <f t="shared" si="147"/>
        <v>0</v>
      </c>
      <c r="I420" s="93">
        <f>SUM('1:2'!I420)</f>
        <v>0</v>
      </c>
      <c r="J420" s="31"/>
      <c r="K420" s="35">
        <f t="array" ref="K420">IF(ISERROR(G420/L420),"",G420/L420)</f>
        <v>0</v>
      </c>
      <c r="L420" s="87">
        <v>24</v>
      </c>
      <c r="M420" s="36">
        <f t="shared" si="166"/>
        <v>0</v>
      </c>
      <c r="N420" s="31"/>
      <c r="O420" s="93">
        <f>SUM('1:2'!O420)</f>
        <v>0</v>
      </c>
      <c r="P420" s="93">
        <f>SUM('1:2'!P420)</f>
        <v>0</v>
      </c>
      <c r="Q420" s="93">
        <f>SUM('1:2'!Q420)</f>
        <v>0</v>
      </c>
      <c r="R420" s="93">
        <f>SUM('1:2'!R420)</f>
        <v>0</v>
      </c>
      <c r="S420" s="93">
        <f>SUM('1:2'!S420)</f>
        <v>0</v>
      </c>
      <c r="T420" s="93">
        <f>SUM('1:2'!T420)</f>
        <v>0</v>
      </c>
      <c r="U420" s="93">
        <f>SUM('1:2'!U420)</f>
        <v>0</v>
      </c>
      <c r="V420" s="206"/>
      <c r="W420" s="33"/>
      <c r="X420" s="93">
        <f>SUM('1:2'!X420)</f>
        <v>0</v>
      </c>
      <c r="Y420" s="93">
        <f>SUM('1:2'!Y420)</f>
        <v>0</v>
      </c>
      <c r="Z420" s="93">
        <f>SUM('1:2'!Z420)</f>
        <v>0</v>
      </c>
      <c r="AA420" s="93">
        <f>SUM('1:2'!AA420)</f>
        <v>0</v>
      </c>
      <c r="AB420" s="358">
        <v>0.43</v>
      </c>
      <c r="AC420" s="269">
        <f t="shared" si="170"/>
        <v>0</v>
      </c>
      <c r="AD420" s="251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318">
        <v>30600011</v>
      </c>
      <c r="B421" s="197" t="s">
        <v>368</v>
      </c>
      <c r="C421" s="187" t="s">
        <v>371</v>
      </c>
      <c r="D421" s="17"/>
      <c r="E421" s="17"/>
      <c r="F421" s="6"/>
      <c r="G421" s="93">
        <f>SUM('1:2'!G421)</f>
        <v>0</v>
      </c>
      <c r="H421" s="246">
        <f t="shared" si="147"/>
        <v>0</v>
      </c>
      <c r="I421" s="93">
        <f>SUM('1:2'!I421)</f>
        <v>0</v>
      </c>
      <c r="J421" s="31"/>
      <c r="K421" s="35">
        <f t="array" ref="K421">IF(ISERROR(G421/L421),"",G421/L421)</f>
        <v>0</v>
      </c>
      <c r="L421" s="87">
        <v>24</v>
      </c>
      <c r="M421" s="36">
        <f t="shared" si="166"/>
        <v>0</v>
      </c>
      <c r="N421" s="31"/>
      <c r="O421" s="93">
        <f>SUM('1:2'!O421)</f>
        <v>0</v>
      </c>
      <c r="P421" s="93">
        <f>SUM('1:2'!P421)</f>
        <v>0</v>
      </c>
      <c r="Q421" s="93">
        <f>SUM('1:2'!Q421)</f>
        <v>0</v>
      </c>
      <c r="R421" s="93">
        <f>SUM('1:2'!R421)</f>
        <v>0</v>
      </c>
      <c r="S421" s="93">
        <f>SUM('1:2'!S421)</f>
        <v>0</v>
      </c>
      <c r="T421" s="93">
        <f>SUM('1:2'!T421)</f>
        <v>0</v>
      </c>
      <c r="U421" s="93">
        <f>SUM('1:2'!U421)</f>
        <v>0</v>
      </c>
      <c r="V421" s="206"/>
      <c r="W421" s="33"/>
      <c r="X421" s="93">
        <f>SUM('1:2'!X421)</f>
        <v>0</v>
      </c>
      <c r="Y421" s="93">
        <f>SUM('1:2'!Y421)</f>
        <v>0</v>
      </c>
      <c r="Z421" s="93">
        <f>SUM('1:2'!Z421)</f>
        <v>0</v>
      </c>
      <c r="AA421" s="93">
        <f>SUM('1:2'!AA421)</f>
        <v>0</v>
      </c>
      <c r="AB421" s="358">
        <v>0.43</v>
      </c>
      <c r="AC421" s="269">
        <f t="shared" si="170"/>
        <v>0</v>
      </c>
      <c r="AD421" s="251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 ht="15" customHeight="1">
      <c r="A422" s="318">
        <v>30300002</v>
      </c>
      <c r="B422" s="197" t="s">
        <v>407</v>
      </c>
      <c r="C422" s="187" t="s">
        <v>408</v>
      </c>
      <c r="D422" s="17"/>
      <c r="E422" s="17"/>
      <c r="F422" s="6"/>
      <c r="G422" s="93">
        <f>SUM('1:2'!G422)</f>
        <v>0</v>
      </c>
      <c r="H422" s="246">
        <f t="shared" si="147"/>
        <v>0</v>
      </c>
      <c r="I422" s="93">
        <f>SUM('1:2'!I422)</f>
        <v>0</v>
      </c>
      <c r="J422" s="31"/>
      <c r="K422" s="35">
        <f t="array" ref="K422">IF(ISERROR(G422/L422),"",G422/L422)</f>
        <v>0</v>
      </c>
      <c r="L422" s="87">
        <v>4</v>
      </c>
      <c r="M422" s="36">
        <f t="shared" si="166"/>
        <v>0</v>
      </c>
      <c r="N422" s="31"/>
      <c r="O422" s="93"/>
      <c r="P422" s="93"/>
      <c r="Q422" s="93"/>
      <c r="R422" s="93"/>
      <c r="S422" s="93"/>
      <c r="T422" s="93"/>
      <c r="U422" s="93"/>
      <c r="V422" s="206"/>
      <c r="W422" s="33"/>
      <c r="X422" s="93"/>
      <c r="Y422" s="93"/>
      <c r="Z422" s="93"/>
      <c r="AA422" s="93"/>
      <c r="AB422" s="361">
        <v>0.69</v>
      </c>
      <c r="AC422" s="269">
        <f t="shared" si="170"/>
        <v>0</v>
      </c>
      <c r="AD422" s="251"/>
      <c r="AE422" s="54"/>
      <c r="AF422" s="54"/>
      <c r="AG422" s="54"/>
      <c r="AH422" s="5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 ht="15" customHeight="1">
      <c r="A423" s="318">
        <v>30300001</v>
      </c>
      <c r="B423" s="197" t="s">
        <v>407</v>
      </c>
      <c r="C423" s="187" t="s">
        <v>409</v>
      </c>
      <c r="D423" s="17"/>
      <c r="E423" s="17"/>
      <c r="F423" s="6"/>
      <c r="G423" s="93">
        <f>SUM('1:2'!G423)</f>
        <v>0</v>
      </c>
      <c r="H423" s="246">
        <f t="shared" si="147"/>
        <v>0</v>
      </c>
      <c r="I423" s="93">
        <f>SUM('1:2'!I423)</f>
        <v>0</v>
      </c>
      <c r="J423" s="31"/>
      <c r="K423" s="35">
        <f t="array" ref="K423">IF(ISERROR(G423/L423),"",G423/L423)</f>
        <v>0</v>
      </c>
      <c r="L423" s="87">
        <v>4</v>
      </c>
      <c r="M423" s="36">
        <f t="shared" si="166"/>
        <v>0</v>
      </c>
      <c r="N423" s="31"/>
      <c r="O423" s="93"/>
      <c r="P423" s="93"/>
      <c r="Q423" s="93"/>
      <c r="R423" s="93"/>
      <c r="S423" s="93"/>
      <c r="T423" s="93"/>
      <c r="U423" s="93"/>
      <c r="V423" s="206"/>
      <c r="W423" s="33"/>
      <c r="X423" s="93"/>
      <c r="Y423" s="93"/>
      <c r="Z423" s="93"/>
      <c r="AA423" s="93"/>
      <c r="AB423" s="361">
        <v>0.69</v>
      </c>
      <c r="AC423" s="269">
        <f t="shared" si="170"/>
        <v>0</v>
      </c>
      <c r="AD423" s="251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 ht="15" customHeight="1">
      <c r="A424" s="318">
        <v>30300003</v>
      </c>
      <c r="B424" s="197" t="s">
        <v>407</v>
      </c>
      <c r="C424" s="187" t="s">
        <v>410</v>
      </c>
      <c r="D424" s="17"/>
      <c r="E424" s="17"/>
      <c r="F424" s="6"/>
      <c r="G424" s="93">
        <f>SUM('1:2'!G424)</f>
        <v>0</v>
      </c>
      <c r="H424" s="246">
        <f t="shared" si="147"/>
        <v>0</v>
      </c>
      <c r="I424" s="93">
        <f>SUM('1:2'!I424)</f>
        <v>0</v>
      </c>
      <c r="J424" s="31"/>
      <c r="K424" s="35">
        <f t="array" ref="K424">IF(ISERROR(G424/L424),"",G424/L424)</f>
        <v>0</v>
      </c>
      <c r="L424" s="87">
        <v>4</v>
      </c>
      <c r="M424" s="36">
        <f t="shared" si="166"/>
        <v>0</v>
      </c>
      <c r="N424" s="31"/>
      <c r="O424" s="93"/>
      <c r="P424" s="93"/>
      <c r="Q424" s="93"/>
      <c r="R424" s="93"/>
      <c r="S424" s="93"/>
      <c r="T424" s="93"/>
      <c r="U424" s="93"/>
      <c r="V424" s="206"/>
      <c r="W424" s="33"/>
      <c r="X424" s="93"/>
      <c r="Y424" s="93"/>
      <c r="Z424" s="93"/>
      <c r="AA424" s="93"/>
      <c r="AB424" s="361">
        <v>0.69</v>
      </c>
      <c r="AC424" s="269">
        <f t="shared" si="170"/>
        <v>0</v>
      </c>
      <c r="AD424" s="251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 ht="15" customHeight="1">
      <c r="A425" s="318">
        <v>30300005</v>
      </c>
      <c r="B425" s="63" t="s">
        <v>362</v>
      </c>
      <c r="C425" s="16" t="s">
        <v>337</v>
      </c>
      <c r="D425" s="17"/>
      <c r="E425" s="17"/>
      <c r="F425" s="6"/>
      <c r="G425" s="93">
        <f>SUM('1:2'!G425)</f>
        <v>0</v>
      </c>
      <c r="H425" s="246">
        <f t="shared" si="147"/>
        <v>0</v>
      </c>
      <c r="I425" s="93">
        <f>SUM('1:2'!I425)</f>
        <v>0</v>
      </c>
      <c r="J425" s="31"/>
      <c r="K425" s="35">
        <f t="array" ref="K425">IF(ISERROR(G425/L425),"",G425/L425)</f>
        <v>0</v>
      </c>
      <c r="L425" s="87">
        <v>4</v>
      </c>
      <c r="M425" s="36">
        <f t="shared" si="166"/>
        <v>0</v>
      </c>
      <c r="N425" s="31"/>
      <c r="O425" s="93">
        <f>SUM('1:2'!O425)</f>
        <v>0</v>
      </c>
      <c r="P425" s="93">
        <f>SUM('1:2'!P425)</f>
        <v>0</v>
      </c>
      <c r="Q425" s="93">
        <f>SUM('1:2'!Q425)</f>
        <v>0</v>
      </c>
      <c r="R425" s="93">
        <f>SUM('1:2'!R425)</f>
        <v>0</v>
      </c>
      <c r="S425" s="93">
        <f>SUM('1:2'!S425)</f>
        <v>0</v>
      </c>
      <c r="T425" s="93">
        <f>SUM('1:2'!T425)</f>
        <v>0</v>
      </c>
      <c r="U425" s="93">
        <f>SUM('1:2'!U425)</f>
        <v>0</v>
      </c>
      <c r="V425" s="206"/>
      <c r="W425" s="33"/>
      <c r="X425" s="93">
        <f>SUM('1:2'!X425)</f>
        <v>0</v>
      </c>
      <c r="Y425" s="93">
        <f>SUM('1:2'!Y425)</f>
        <v>0</v>
      </c>
      <c r="Z425" s="93">
        <f>SUM('1:2'!Z425)</f>
        <v>0</v>
      </c>
      <c r="AA425" s="93">
        <f>SUM('1:2'!AA425)</f>
        <v>0</v>
      </c>
      <c r="AB425" s="358">
        <v>0.95</v>
      </c>
      <c r="AC425" s="269">
        <f t="shared" si="170"/>
        <v>0</v>
      </c>
      <c r="AD425" s="251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 ht="15" customHeight="1">
      <c r="A426" s="318">
        <v>30300004</v>
      </c>
      <c r="B426" s="63" t="s">
        <v>362</v>
      </c>
      <c r="C426" s="16" t="s">
        <v>339</v>
      </c>
      <c r="D426" s="17"/>
      <c r="E426" s="17"/>
      <c r="F426" s="6"/>
      <c r="G426" s="93">
        <f>SUM('1:2'!G426)</f>
        <v>0</v>
      </c>
      <c r="H426" s="246">
        <f t="shared" si="147"/>
        <v>0</v>
      </c>
      <c r="I426" s="93">
        <f>SUM('1:2'!I426)</f>
        <v>0</v>
      </c>
      <c r="J426" s="31"/>
      <c r="K426" s="35">
        <f t="array" ref="K426">IF(ISERROR(G426/L426),"",G426/L426)</f>
        <v>0</v>
      </c>
      <c r="L426" s="87">
        <v>4</v>
      </c>
      <c r="M426" s="36">
        <f t="shared" si="166"/>
        <v>0</v>
      </c>
      <c r="N426" s="31"/>
      <c r="O426" s="93">
        <f>SUM('1:2'!O426)</f>
        <v>0</v>
      </c>
      <c r="P426" s="93">
        <f>SUM('1:2'!P426)</f>
        <v>0</v>
      </c>
      <c r="Q426" s="93">
        <f>SUM('1:2'!Q426)</f>
        <v>0</v>
      </c>
      <c r="R426" s="93">
        <f>SUM('1:2'!R426)</f>
        <v>0</v>
      </c>
      <c r="S426" s="93">
        <f>SUM('1:2'!S426)</f>
        <v>0</v>
      </c>
      <c r="T426" s="93">
        <f>SUM('1:2'!T426)</f>
        <v>0</v>
      </c>
      <c r="U426" s="93">
        <f>SUM('1:2'!U426)</f>
        <v>0</v>
      </c>
      <c r="V426" s="206"/>
      <c r="W426" s="33"/>
      <c r="X426" s="93">
        <f>SUM('1:2'!X426)</f>
        <v>0</v>
      </c>
      <c r="Y426" s="93">
        <f>SUM('1:2'!Y426)</f>
        <v>0</v>
      </c>
      <c r="Z426" s="93">
        <f>SUM('1:2'!Z426)</f>
        <v>0</v>
      </c>
      <c r="AA426" s="93">
        <f>SUM('1:2'!AA426)</f>
        <v>0</v>
      </c>
      <c r="AB426" s="358">
        <v>0.95</v>
      </c>
      <c r="AC426" s="269">
        <f t="shared" si="170"/>
        <v>0</v>
      </c>
      <c r="AD426" s="251"/>
      <c r="AE426" s="54"/>
      <c r="AF426" s="54"/>
      <c r="AG426" s="54"/>
      <c r="AH426" s="5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 ht="15" customHeight="1">
      <c r="A427" s="318">
        <v>30300006</v>
      </c>
      <c r="B427" s="63" t="s">
        <v>362</v>
      </c>
      <c r="C427" s="16" t="s">
        <v>341</v>
      </c>
      <c r="D427" s="17"/>
      <c r="E427" s="17"/>
      <c r="F427" s="6"/>
      <c r="G427" s="93">
        <f>SUM('1:2'!G427)</f>
        <v>0</v>
      </c>
      <c r="H427" s="246">
        <f t="shared" si="147"/>
        <v>0</v>
      </c>
      <c r="I427" s="93">
        <f>SUM('1:2'!I427)</f>
        <v>0</v>
      </c>
      <c r="J427" s="31"/>
      <c r="K427" s="35">
        <f t="array" ref="K427">IF(ISERROR(G427/L427),"",G427/L427)</f>
        <v>0</v>
      </c>
      <c r="L427" s="87">
        <v>4</v>
      </c>
      <c r="M427" s="36">
        <f t="shared" si="166"/>
        <v>0</v>
      </c>
      <c r="N427" s="31"/>
      <c r="O427" s="93">
        <f>SUM('1:2'!O427)</f>
        <v>0</v>
      </c>
      <c r="P427" s="93">
        <f>SUM('1:2'!P427)</f>
        <v>0</v>
      </c>
      <c r="Q427" s="93">
        <f>SUM('1:2'!Q427)</f>
        <v>0</v>
      </c>
      <c r="R427" s="93">
        <f>SUM('1:2'!R427)</f>
        <v>0</v>
      </c>
      <c r="S427" s="93">
        <f>SUM('1:2'!S427)</f>
        <v>0</v>
      </c>
      <c r="T427" s="93">
        <f>SUM('1:2'!T427)</f>
        <v>0</v>
      </c>
      <c r="U427" s="93">
        <f>SUM('1:2'!U427)</f>
        <v>0</v>
      </c>
      <c r="V427" s="206"/>
      <c r="W427" s="33"/>
      <c r="X427" s="93">
        <f>SUM('1:2'!X427)</f>
        <v>0</v>
      </c>
      <c r="Y427" s="93">
        <f>SUM('1:2'!Y427)</f>
        <v>0</v>
      </c>
      <c r="Z427" s="93">
        <f>SUM('1:2'!Z427)</f>
        <v>0</v>
      </c>
      <c r="AA427" s="93">
        <f>SUM('1:2'!AA427)</f>
        <v>0</v>
      </c>
      <c r="AB427" s="358">
        <v>0.95</v>
      </c>
      <c r="AC427" s="269">
        <f t="shared" si="170"/>
        <v>0</v>
      </c>
      <c r="AD427" s="251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 ht="15.75">
      <c r="A428" s="699" t="s">
        <v>86</v>
      </c>
      <c r="B428" s="699"/>
      <c r="C428" s="243" t="s">
        <v>71</v>
      </c>
      <c r="D428" s="20"/>
      <c r="E428" s="20"/>
      <c r="F428" s="32"/>
      <c r="G428" s="94">
        <f>SUM(G371:G427)</f>
        <v>0</v>
      </c>
      <c r="H428" s="30">
        <f>SUM(H371:H427)</f>
        <v>0</v>
      </c>
      <c r="I428" s="30">
        <f>SUM(I371:I427)</f>
        <v>0</v>
      </c>
      <c r="J428" s="31" t="str">
        <f t="array" ref="J428">IF(ISERROR(G428/I428),"",G428/I428)</f>
        <v/>
      </c>
      <c r="K428" s="30">
        <f>SUM(K371:K427)</f>
        <v>0</v>
      </c>
      <c r="L428" s="87"/>
      <c r="M428" s="89">
        <f t="shared" ref="M428:V428" si="171">SUM(M371:M427)</f>
        <v>0</v>
      </c>
      <c r="N428" s="30">
        <f t="shared" si="171"/>
        <v>0</v>
      </c>
      <c r="O428" s="91">
        <f t="shared" si="171"/>
        <v>0</v>
      </c>
      <c r="P428" s="91">
        <f t="shared" si="171"/>
        <v>0</v>
      </c>
      <c r="Q428" s="91">
        <f t="shared" si="171"/>
        <v>0</v>
      </c>
      <c r="R428" s="91">
        <f t="shared" si="171"/>
        <v>0</v>
      </c>
      <c r="S428" s="92">
        <f t="shared" si="171"/>
        <v>0</v>
      </c>
      <c r="T428" s="91">
        <f t="shared" si="171"/>
        <v>0</v>
      </c>
      <c r="U428" s="91">
        <f t="shared" si="171"/>
        <v>0</v>
      </c>
      <c r="V428" s="206">
        <f t="shared" si="171"/>
        <v>0</v>
      </c>
      <c r="W428" s="33" t="str">
        <f t="shared" ref="W428:W435" si="172">IF(ISERROR(V428/G428),"",V428/G428)</f>
        <v/>
      </c>
      <c r="X428" s="92">
        <f>SUM(X371:X427)</f>
        <v>0</v>
      </c>
      <c r="Y428" s="92">
        <f>SUM(Y371:Y427)</f>
        <v>0</v>
      </c>
      <c r="Z428" s="92">
        <f>SUM(Z371:Z427)</f>
        <v>0</v>
      </c>
      <c r="AA428" s="92">
        <f>SUM(AA371:AA427)</f>
        <v>0</v>
      </c>
      <c r="AB428" s="75"/>
      <c r="AC428" s="273"/>
      <c r="AD428" s="251"/>
      <c r="AE428" s="74"/>
      <c r="AF428" s="74"/>
      <c r="AG428" s="74"/>
      <c r="AH428" s="7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 ht="17.25">
      <c r="A429" s="320">
        <v>30400012</v>
      </c>
      <c r="B429" s="61" t="s">
        <v>87</v>
      </c>
      <c r="C429" s="16" t="s">
        <v>53</v>
      </c>
      <c r="D429" s="17">
        <v>5.03</v>
      </c>
      <c r="E429" s="17"/>
      <c r="F429" s="6"/>
      <c r="G429" s="93">
        <f>SUM('1:2'!G429)</f>
        <v>841</v>
      </c>
      <c r="H429" s="246">
        <f>D429*G429</f>
        <v>4230.2300000000005</v>
      </c>
      <c r="I429" s="93">
        <f>SUM('1:2'!I429)</f>
        <v>65</v>
      </c>
      <c r="J429" s="31">
        <f t="array" ref="J429">IF(ISERROR(G429/I429),"",G429/I429)</f>
        <v>12.938461538461539</v>
      </c>
      <c r="K429" s="35">
        <f t="array" ref="K429">IF(ISERROR(G429/L429),"",G429/L429)</f>
        <v>95.568181818181813</v>
      </c>
      <c r="L429" s="87">
        <v>8.8000000000000007</v>
      </c>
      <c r="M429" s="36">
        <f t="shared" ref="M429:M436" si="173">IF(ISERROR(I429-K429),"",I429-K429)</f>
        <v>-30.568181818181813</v>
      </c>
      <c r="N429" s="31">
        <f t="shared" ref="N429:N436" si="174">SUM(O429:U429)</f>
        <v>0</v>
      </c>
      <c r="O429" s="93">
        <f>SUM('1:2'!O429)</f>
        <v>0</v>
      </c>
      <c r="P429" s="93">
        <f>SUM('1:2'!P429)</f>
        <v>0</v>
      </c>
      <c r="Q429" s="93">
        <f>SUM('1:2'!Q429)</f>
        <v>0</v>
      </c>
      <c r="R429" s="93">
        <f>SUM('1:2'!R429)</f>
        <v>0</v>
      </c>
      <c r="S429" s="93">
        <f>SUM('1:2'!S429)</f>
        <v>0</v>
      </c>
      <c r="T429" s="93">
        <f>SUM('1:2'!T429)</f>
        <v>0</v>
      </c>
      <c r="U429" s="93">
        <f>SUM('1:2'!U429)</f>
        <v>0</v>
      </c>
      <c r="V429" s="206">
        <f t="shared" ref="V429:V435" si="175">SUM(X429:AA429)</f>
        <v>0</v>
      </c>
      <c r="W429" s="33">
        <f t="shared" si="172"/>
        <v>0</v>
      </c>
      <c r="X429" s="93">
        <f>SUM('1:2'!X429)</f>
        <v>0</v>
      </c>
      <c r="Y429" s="93">
        <f>SUM('1:2'!Y429)</f>
        <v>0</v>
      </c>
      <c r="Z429" s="93">
        <f>SUM('1:2'!Z429)</f>
        <v>0</v>
      </c>
      <c r="AA429" s="93">
        <f>SUM('1:2'!AA429)</f>
        <v>0</v>
      </c>
      <c r="AB429" s="358">
        <v>1.18</v>
      </c>
      <c r="AC429" s="269">
        <f t="shared" si="170"/>
        <v>992.38</v>
      </c>
      <c r="AD429" s="251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 ht="17.25">
      <c r="A430" s="320">
        <v>30400010</v>
      </c>
      <c r="B430" s="61" t="s">
        <v>87</v>
      </c>
      <c r="C430" s="16" t="s">
        <v>60</v>
      </c>
      <c r="D430" s="17">
        <v>5.03</v>
      </c>
      <c r="E430" s="17"/>
      <c r="F430" s="6"/>
      <c r="G430" s="93">
        <f>SUM('1:2'!G430)</f>
        <v>0</v>
      </c>
      <c r="H430" s="246">
        <f t="shared" ref="H430:H462" si="176">D430*G430</f>
        <v>0</v>
      </c>
      <c r="I430" s="93">
        <f>SUM('1:2'!I430)</f>
        <v>0</v>
      </c>
      <c r="J430" s="31" t="str">
        <f t="array" ref="J430">IF(ISERROR(G430/I430),"",G430/I430)</f>
        <v/>
      </c>
      <c r="K430" s="35">
        <f t="array" ref="K430">IF(ISERROR(G430/L430),"",G430/L430)</f>
        <v>0</v>
      </c>
      <c r="L430" s="87">
        <v>8.8000000000000007</v>
      </c>
      <c r="M430" s="36">
        <f t="shared" si="173"/>
        <v>0</v>
      </c>
      <c r="N430" s="31">
        <f t="shared" si="174"/>
        <v>0</v>
      </c>
      <c r="O430" s="93">
        <f>SUM('1:2'!O430)</f>
        <v>0</v>
      </c>
      <c r="P430" s="93">
        <f>SUM('1:2'!P430)</f>
        <v>0</v>
      </c>
      <c r="Q430" s="93">
        <f>SUM('1:2'!Q430)</f>
        <v>0</v>
      </c>
      <c r="R430" s="93">
        <f>SUM('1:2'!R430)</f>
        <v>0</v>
      </c>
      <c r="S430" s="93">
        <f>SUM('1:2'!S430)</f>
        <v>0</v>
      </c>
      <c r="T430" s="93">
        <f>SUM('1:2'!T430)</f>
        <v>0</v>
      </c>
      <c r="U430" s="93">
        <f>SUM('1:2'!U430)</f>
        <v>0</v>
      </c>
      <c r="V430" s="206">
        <f t="shared" si="175"/>
        <v>0</v>
      </c>
      <c r="W430" s="33" t="str">
        <f t="shared" si="172"/>
        <v/>
      </c>
      <c r="X430" s="93">
        <f>SUM('1:2'!X430)</f>
        <v>0</v>
      </c>
      <c r="Y430" s="93">
        <f>SUM('1:2'!Y430)</f>
        <v>0</v>
      </c>
      <c r="Z430" s="93">
        <f>SUM('1:2'!Z430)</f>
        <v>0</v>
      </c>
      <c r="AA430" s="93">
        <f>SUM('1:2'!AA430)</f>
        <v>0</v>
      </c>
      <c r="AB430" s="358">
        <v>1.18</v>
      </c>
      <c r="AC430" s="269">
        <f t="shared" si="170"/>
        <v>0</v>
      </c>
      <c r="AD430" s="251"/>
      <c r="AE430" s="54"/>
      <c r="AF430" s="54"/>
      <c r="AG430" s="54"/>
      <c r="AH430" s="54"/>
      <c r="AI430" s="57"/>
      <c r="AJ430" s="57"/>
      <c r="AK430" s="57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</row>
    <row r="431" spans="1:53" ht="17.25">
      <c r="A431" s="320">
        <v>30400011</v>
      </c>
      <c r="B431" s="61" t="s">
        <v>87</v>
      </c>
      <c r="C431" s="16" t="s">
        <v>74</v>
      </c>
      <c r="D431" s="17">
        <v>5.03</v>
      </c>
      <c r="E431" s="17"/>
      <c r="F431" s="6"/>
      <c r="G431" s="93">
        <f>SUM('1:2'!G431)</f>
        <v>0</v>
      </c>
      <c r="H431" s="246">
        <f t="shared" si="176"/>
        <v>0</v>
      </c>
      <c r="I431" s="93">
        <f>SUM('1:2'!I431)</f>
        <v>0</v>
      </c>
      <c r="J431" s="31" t="str">
        <f t="array" ref="J431">IF(ISERROR(G431/I431),"",G431/I431)</f>
        <v/>
      </c>
      <c r="K431" s="35">
        <f t="array" ref="K431">IF(ISERROR(G431/L431),"",G431/L431)</f>
        <v>0</v>
      </c>
      <c r="L431" s="87">
        <v>8.8000000000000007</v>
      </c>
      <c r="M431" s="36">
        <f t="shared" si="173"/>
        <v>0</v>
      </c>
      <c r="N431" s="31">
        <f t="shared" si="174"/>
        <v>0</v>
      </c>
      <c r="O431" s="93">
        <f>SUM('1:2'!O431)</f>
        <v>0</v>
      </c>
      <c r="P431" s="93">
        <f>SUM('1:2'!P431)</f>
        <v>0</v>
      </c>
      <c r="Q431" s="93">
        <f>SUM('1:2'!Q431)</f>
        <v>0</v>
      </c>
      <c r="R431" s="93">
        <f>SUM('1:2'!R431)</f>
        <v>0</v>
      </c>
      <c r="S431" s="93">
        <f>SUM('1:2'!S431)</f>
        <v>0</v>
      </c>
      <c r="T431" s="93">
        <f>SUM('1:2'!T431)</f>
        <v>0</v>
      </c>
      <c r="U431" s="93">
        <f>SUM('1:2'!U431)</f>
        <v>0</v>
      </c>
      <c r="V431" s="206">
        <f t="shared" si="175"/>
        <v>0</v>
      </c>
      <c r="W431" s="33" t="str">
        <f t="shared" si="172"/>
        <v/>
      </c>
      <c r="X431" s="93">
        <f>SUM('1:2'!X431)</f>
        <v>0</v>
      </c>
      <c r="Y431" s="93">
        <f>SUM('1:2'!Y431)</f>
        <v>0</v>
      </c>
      <c r="Z431" s="93">
        <f>SUM('1:2'!Z431)</f>
        <v>0</v>
      </c>
      <c r="AA431" s="93">
        <f>SUM('1:2'!AA431)</f>
        <v>0</v>
      </c>
      <c r="AB431" s="358">
        <v>1.18</v>
      </c>
      <c r="AC431" s="269">
        <f t="shared" si="170"/>
        <v>0</v>
      </c>
      <c r="AD431" s="251"/>
      <c r="AE431" s="54"/>
      <c r="AF431" s="54"/>
      <c r="AG431" s="54"/>
      <c r="AH431" s="54"/>
      <c r="AI431" s="57"/>
      <c r="AJ431" s="57"/>
      <c r="AK431" s="57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</row>
    <row r="432" spans="1:53" ht="17.25">
      <c r="A432" s="320">
        <v>30400014</v>
      </c>
      <c r="B432" s="215" t="s">
        <v>513</v>
      </c>
      <c r="C432" s="16" t="s">
        <v>53</v>
      </c>
      <c r="D432" s="17">
        <v>5.03</v>
      </c>
      <c r="E432" s="17"/>
      <c r="F432" s="6"/>
      <c r="G432" s="93">
        <f>SUM('1:2'!G432)</f>
        <v>0</v>
      </c>
      <c r="H432" s="246">
        <f t="shared" si="176"/>
        <v>0</v>
      </c>
      <c r="I432" s="93">
        <f>SUM('1:2'!I432)</f>
        <v>0</v>
      </c>
      <c r="J432" s="31" t="str">
        <f t="array" ref="J432">IF(ISERROR(G432/I432),"",G432/I432)</f>
        <v/>
      </c>
      <c r="K432" s="35">
        <f t="array" ref="K432">IF(ISERROR(G432/L432),"",G432/L432)</f>
        <v>0</v>
      </c>
      <c r="L432" s="87">
        <v>9.3000000000000007</v>
      </c>
      <c r="M432" s="36">
        <f t="shared" si="173"/>
        <v>0</v>
      </c>
      <c r="N432" s="31">
        <f t="shared" si="174"/>
        <v>0</v>
      </c>
      <c r="O432" s="93">
        <f>SUM('1:2'!O432)</f>
        <v>0</v>
      </c>
      <c r="P432" s="93">
        <f>SUM('1:2'!P432)</f>
        <v>0</v>
      </c>
      <c r="Q432" s="93">
        <f>SUM('1:2'!Q432)</f>
        <v>0</v>
      </c>
      <c r="R432" s="93">
        <f>SUM('1:2'!R432)</f>
        <v>0</v>
      </c>
      <c r="S432" s="93">
        <f>SUM('1:2'!S432)</f>
        <v>0</v>
      </c>
      <c r="T432" s="93">
        <f>SUM('1:2'!T432)</f>
        <v>0</v>
      </c>
      <c r="U432" s="93">
        <f>SUM('1:2'!U432)</f>
        <v>0</v>
      </c>
      <c r="V432" s="206">
        <f t="shared" si="175"/>
        <v>0</v>
      </c>
      <c r="W432" s="33" t="str">
        <f t="shared" si="172"/>
        <v/>
      </c>
      <c r="X432" s="93">
        <f>SUM('1:2'!X432)</f>
        <v>0</v>
      </c>
      <c r="Y432" s="93">
        <f>SUM('1:2'!Y432)</f>
        <v>0</v>
      </c>
      <c r="Z432" s="93">
        <f>SUM('1:2'!Z432)</f>
        <v>0</v>
      </c>
      <c r="AA432" s="93">
        <f>SUM('1:2'!AA432)</f>
        <v>0</v>
      </c>
      <c r="AB432" s="358">
        <v>1.1100000000000001</v>
      </c>
      <c r="AC432" s="269">
        <f t="shared" si="170"/>
        <v>0</v>
      </c>
      <c r="AD432" s="251"/>
      <c r="AE432" s="54"/>
      <c r="AF432" s="54"/>
      <c r="AG432" s="54"/>
      <c r="AH432" s="54"/>
      <c r="AI432" s="57"/>
      <c r="AJ432" s="57"/>
      <c r="AK432" s="57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</row>
    <row r="433" spans="1:53" ht="17.25">
      <c r="A433" s="320">
        <v>30400013</v>
      </c>
      <c r="B433" s="215" t="s">
        <v>473</v>
      </c>
      <c r="C433" s="16" t="s">
        <v>72</v>
      </c>
      <c r="D433" s="17">
        <v>5.03</v>
      </c>
      <c r="E433" s="17"/>
      <c r="F433" s="6"/>
      <c r="G433" s="93">
        <f>SUM('1:2'!G433)</f>
        <v>0</v>
      </c>
      <c r="H433" s="246">
        <f t="shared" si="176"/>
        <v>0</v>
      </c>
      <c r="I433" s="93">
        <f>SUM('1:2'!I433)</f>
        <v>0</v>
      </c>
      <c r="J433" s="31" t="str">
        <f t="array" ref="J433">IF(ISERROR(G433/I433),"",G433/I433)</f>
        <v/>
      </c>
      <c r="K433" s="35">
        <f t="array" ref="K433">IF(ISERROR(G433/L433),"",G433/L433)</f>
        <v>0</v>
      </c>
      <c r="L433" s="87">
        <v>9.3000000000000007</v>
      </c>
      <c r="M433" s="36">
        <f t="shared" si="173"/>
        <v>0</v>
      </c>
      <c r="N433" s="31">
        <f t="shared" si="174"/>
        <v>0</v>
      </c>
      <c r="O433" s="93">
        <f>SUM('1:2'!O433)</f>
        <v>0</v>
      </c>
      <c r="P433" s="93">
        <f>SUM('1:2'!P433)</f>
        <v>0</v>
      </c>
      <c r="Q433" s="93">
        <f>SUM('1:2'!Q433)</f>
        <v>0</v>
      </c>
      <c r="R433" s="93">
        <f>SUM('1:2'!R433)</f>
        <v>0</v>
      </c>
      <c r="S433" s="93">
        <f>SUM('1:2'!S433)</f>
        <v>0</v>
      </c>
      <c r="T433" s="93">
        <f>SUM('1:2'!T433)</f>
        <v>0</v>
      </c>
      <c r="U433" s="93">
        <f>SUM('1:2'!U433)</f>
        <v>0</v>
      </c>
      <c r="V433" s="206">
        <f t="shared" si="175"/>
        <v>0</v>
      </c>
      <c r="W433" s="33" t="str">
        <f t="shared" si="172"/>
        <v/>
      </c>
      <c r="X433" s="93">
        <f>SUM('1:2'!X433)</f>
        <v>0</v>
      </c>
      <c r="Y433" s="93">
        <f>SUM('1:2'!Y433)</f>
        <v>0</v>
      </c>
      <c r="Z433" s="93">
        <f>SUM('1:2'!Z433)</f>
        <v>0</v>
      </c>
      <c r="AA433" s="93">
        <f>SUM('1:2'!AA433)</f>
        <v>0</v>
      </c>
      <c r="AB433" s="358">
        <v>1.1100000000000001</v>
      </c>
      <c r="AC433" s="269">
        <f t="shared" si="170"/>
        <v>0</v>
      </c>
      <c r="AD433" s="251"/>
      <c r="AE433" s="54"/>
      <c r="AF433" s="54"/>
      <c r="AG433" s="54"/>
      <c r="AH433" s="54"/>
      <c r="AI433" s="57"/>
      <c r="AJ433" s="57"/>
      <c r="AK433" s="57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</row>
    <row r="434" spans="1:53" ht="17.25">
      <c r="A434" s="320">
        <v>30400016</v>
      </c>
      <c r="B434" s="215" t="s">
        <v>513</v>
      </c>
      <c r="C434" s="16" t="s">
        <v>60</v>
      </c>
      <c r="D434" s="17">
        <v>5.03</v>
      </c>
      <c r="E434" s="17"/>
      <c r="F434" s="6"/>
      <c r="G434" s="93">
        <f>SUM('1:2'!G434)</f>
        <v>57</v>
      </c>
      <c r="H434" s="246">
        <f t="shared" si="176"/>
        <v>286.71000000000004</v>
      </c>
      <c r="I434" s="93">
        <f>SUM('1:2'!I434)</f>
        <v>31.5</v>
      </c>
      <c r="J434" s="31">
        <f t="array" ref="J434">IF(ISERROR(G434/I434),"",G434/I434)</f>
        <v>1.8095238095238095</v>
      </c>
      <c r="K434" s="35">
        <f t="array" ref="K434">IF(ISERROR(G434/L434),"",G434/L434)</f>
        <v>6.129032258064516</v>
      </c>
      <c r="L434" s="87">
        <v>9.3000000000000007</v>
      </c>
      <c r="M434" s="36">
        <f t="shared" si="173"/>
        <v>25.370967741935484</v>
      </c>
      <c r="N434" s="31">
        <f t="shared" si="174"/>
        <v>0</v>
      </c>
      <c r="O434" s="93">
        <f>SUM('1:2'!O434)</f>
        <v>0</v>
      </c>
      <c r="P434" s="93">
        <f>SUM('1:2'!P434)</f>
        <v>0</v>
      </c>
      <c r="Q434" s="93">
        <f>SUM('1:2'!Q434)</f>
        <v>0</v>
      </c>
      <c r="R434" s="93">
        <f>SUM('1:2'!R434)</f>
        <v>0</v>
      </c>
      <c r="S434" s="93">
        <f>SUM('1:2'!S434)</f>
        <v>0</v>
      </c>
      <c r="T434" s="93">
        <f>SUM('1:2'!T434)</f>
        <v>0</v>
      </c>
      <c r="U434" s="93">
        <f>SUM('1:2'!U434)</f>
        <v>0</v>
      </c>
      <c r="V434" s="206">
        <f t="shared" si="175"/>
        <v>0</v>
      </c>
      <c r="W434" s="33">
        <f t="shared" si="172"/>
        <v>0</v>
      </c>
      <c r="X434" s="93">
        <f>SUM('1:2'!X434)</f>
        <v>0</v>
      </c>
      <c r="Y434" s="93">
        <f>SUM('1:2'!Y434)</f>
        <v>0</v>
      </c>
      <c r="Z434" s="93">
        <f>SUM('1:2'!Z434)</f>
        <v>0</v>
      </c>
      <c r="AA434" s="93">
        <f>SUM('1:2'!AA434)</f>
        <v>0</v>
      </c>
      <c r="AB434" s="358">
        <v>1.1100000000000001</v>
      </c>
      <c r="AC434" s="269">
        <f t="shared" si="170"/>
        <v>63.27</v>
      </c>
      <c r="AD434" s="251"/>
      <c r="AE434" s="54"/>
      <c r="AF434" s="54"/>
      <c r="AG434" s="54"/>
      <c r="AH434" s="54"/>
      <c r="AI434" s="57"/>
      <c r="AJ434" s="57"/>
      <c r="AK434" s="57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</row>
    <row r="435" spans="1:53" ht="17.25">
      <c r="A435" s="320">
        <v>30400017</v>
      </c>
      <c r="B435" s="215" t="s">
        <v>513</v>
      </c>
      <c r="C435" s="16" t="s">
        <v>66</v>
      </c>
      <c r="D435" s="17">
        <v>5.03</v>
      </c>
      <c r="E435" s="17"/>
      <c r="F435" s="6"/>
      <c r="G435" s="93">
        <f>SUM('1:2'!G435)</f>
        <v>0</v>
      </c>
      <c r="H435" s="246">
        <f t="shared" si="176"/>
        <v>0</v>
      </c>
      <c r="I435" s="93">
        <f>SUM('1:2'!I435)</f>
        <v>0</v>
      </c>
      <c r="J435" s="31" t="str">
        <f t="array" ref="J435">IF(ISERROR(G435/I435),"",G435/I435)</f>
        <v/>
      </c>
      <c r="K435" s="35">
        <f t="array" ref="K435">IF(ISERROR(G435/L435),"",G435/L435)</f>
        <v>0</v>
      </c>
      <c r="L435" s="87">
        <v>9.3000000000000007</v>
      </c>
      <c r="M435" s="36">
        <f t="shared" si="173"/>
        <v>0</v>
      </c>
      <c r="N435" s="31">
        <f t="shared" si="174"/>
        <v>0</v>
      </c>
      <c r="O435" s="93">
        <f>SUM('1:2'!O435)</f>
        <v>0</v>
      </c>
      <c r="P435" s="93">
        <f>SUM('1:2'!P435)</f>
        <v>0</v>
      </c>
      <c r="Q435" s="93">
        <f>SUM('1:2'!Q435)</f>
        <v>0</v>
      </c>
      <c r="R435" s="93">
        <f>SUM('1:2'!R435)</f>
        <v>0</v>
      </c>
      <c r="S435" s="93">
        <f>SUM('1:2'!S435)</f>
        <v>0</v>
      </c>
      <c r="T435" s="93">
        <f>SUM('1:2'!T435)</f>
        <v>0</v>
      </c>
      <c r="U435" s="93">
        <f>SUM('1:2'!U435)</f>
        <v>0</v>
      </c>
      <c r="V435" s="206">
        <f t="shared" si="175"/>
        <v>0</v>
      </c>
      <c r="W435" s="33" t="str">
        <f t="shared" si="172"/>
        <v/>
      </c>
      <c r="X435" s="93">
        <f>SUM('1:2'!X435)</f>
        <v>0</v>
      </c>
      <c r="Y435" s="93">
        <f>SUM('1:2'!Y435)</f>
        <v>0</v>
      </c>
      <c r="Z435" s="93">
        <f>SUM('1:2'!Z435)</f>
        <v>0</v>
      </c>
      <c r="AA435" s="93">
        <f>SUM('1:2'!AA435)</f>
        <v>0</v>
      </c>
      <c r="AB435" s="358">
        <v>1.1100000000000001</v>
      </c>
      <c r="AC435" s="269">
        <f t="shared" si="170"/>
        <v>0</v>
      </c>
      <c r="AD435" s="251"/>
      <c r="AE435" s="54"/>
      <c r="AF435" s="54"/>
      <c r="AG435" s="54"/>
      <c r="AH435" s="54"/>
      <c r="AI435" s="57"/>
      <c r="AJ435" s="57"/>
      <c r="AK435" s="57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</row>
    <row r="436" spans="1:53" ht="17.25">
      <c r="A436" s="320">
        <v>30400015</v>
      </c>
      <c r="B436" s="65" t="s">
        <v>512</v>
      </c>
      <c r="C436" s="16" t="s">
        <v>177</v>
      </c>
      <c r="D436" s="17">
        <v>5.03</v>
      </c>
      <c r="E436" s="17"/>
      <c r="F436" s="6"/>
      <c r="G436" s="93">
        <f>SUM('1:2'!G436)</f>
        <v>834</v>
      </c>
      <c r="H436" s="246">
        <f t="shared" si="176"/>
        <v>4195.0200000000004</v>
      </c>
      <c r="I436" s="93">
        <f>SUM('1:2'!I436)</f>
        <v>77</v>
      </c>
      <c r="J436" s="31"/>
      <c r="K436" s="35">
        <f t="array" ref="K436">IF(ISERROR(G436/L436),"",G436/L436)</f>
        <v>89.677419354838705</v>
      </c>
      <c r="L436" s="87">
        <v>9.3000000000000007</v>
      </c>
      <c r="M436" s="36">
        <f t="shared" si="173"/>
        <v>-12.677419354838705</v>
      </c>
      <c r="N436" s="31">
        <f t="shared" si="174"/>
        <v>0</v>
      </c>
      <c r="O436" s="93">
        <f>SUM('1:2'!O436)</f>
        <v>0</v>
      </c>
      <c r="P436" s="93">
        <f>SUM('1:2'!P436)</f>
        <v>0</v>
      </c>
      <c r="Q436" s="93">
        <f>SUM('1:2'!Q436)</f>
        <v>0</v>
      </c>
      <c r="R436" s="93">
        <f>SUM('1:2'!R436)</f>
        <v>0</v>
      </c>
      <c r="S436" s="93">
        <f>SUM('1:2'!S436)</f>
        <v>0</v>
      </c>
      <c r="T436" s="93">
        <f>SUM('1:2'!T436)</f>
        <v>0</v>
      </c>
      <c r="U436" s="93">
        <f>SUM('1:2'!U436)</f>
        <v>0</v>
      </c>
      <c r="V436" s="207"/>
      <c r="W436" s="33"/>
      <c r="X436" s="93">
        <f>SUM('1:2'!X436)</f>
        <v>0</v>
      </c>
      <c r="Y436" s="93">
        <f>SUM('1:2'!Y436)</f>
        <v>0</v>
      </c>
      <c r="Z436" s="93">
        <f>SUM('1:2'!Z436)</f>
        <v>0</v>
      </c>
      <c r="AA436" s="93">
        <f>SUM('1:2'!AA436)</f>
        <v>0</v>
      </c>
      <c r="AB436" s="358">
        <v>0.84</v>
      </c>
      <c r="AC436" s="269">
        <f t="shared" si="170"/>
        <v>700.56</v>
      </c>
      <c r="AD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</row>
    <row r="437" spans="1:53" ht="17.25">
      <c r="A437" s="321">
        <v>30600004</v>
      </c>
      <c r="B437" s="65" t="s">
        <v>162</v>
      </c>
      <c r="C437" s="16" t="s">
        <v>53</v>
      </c>
      <c r="D437" s="17">
        <v>5.03</v>
      </c>
      <c r="E437" s="17"/>
      <c r="F437" s="6"/>
      <c r="G437" s="93">
        <f>SUM('1:2'!G437)</f>
        <v>0</v>
      </c>
      <c r="H437" s="246">
        <f t="shared" si="176"/>
        <v>0</v>
      </c>
      <c r="I437" s="93">
        <f>SUM('1:2'!I437)</f>
        <v>0</v>
      </c>
      <c r="J437" s="31" t="str">
        <f t="array" ref="J437">IF(ISERROR(G437/I437),"",G437/I437)</f>
        <v/>
      </c>
      <c r="K437" s="35">
        <f t="array" ref="K437">IF(ISERROR(G437/L437),"",G437/L437)</f>
        <v>0</v>
      </c>
      <c r="L437" s="87">
        <v>8</v>
      </c>
      <c r="M437" s="36">
        <f>IF(ISERROR(I437-K437),"",I437-K437)</f>
        <v>0</v>
      </c>
      <c r="N437" s="31">
        <f>SUM(O437:U437)</f>
        <v>0</v>
      </c>
      <c r="O437" s="93">
        <f>SUM('1:2'!O437)</f>
        <v>0</v>
      </c>
      <c r="P437" s="93">
        <f>SUM('1:2'!P437)</f>
        <v>0</v>
      </c>
      <c r="Q437" s="93">
        <f>SUM('1:2'!Q437)</f>
        <v>0</v>
      </c>
      <c r="R437" s="93">
        <f>SUM('1:2'!R437)</f>
        <v>0</v>
      </c>
      <c r="S437" s="93">
        <f>SUM('1:2'!S437)</f>
        <v>0</v>
      </c>
      <c r="T437" s="93">
        <f>SUM('1:2'!T437)</f>
        <v>0</v>
      </c>
      <c r="U437" s="93">
        <f>SUM('1:2'!U437)</f>
        <v>0</v>
      </c>
      <c r="V437" s="207">
        <f>SUM(X437:AA437)</f>
        <v>0</v>
      </c>
      <c r="W437" s="33" t="str">
        <f>IF(ISERROR(V437/G437),"",V437/G437)</f>
        <v/>
      </c>
      <c r="X437" s="93">
        <f>SUM('1:2'!X437)</f>
        <v>0</v>
      </c>
      <c r="Y437" s="93">
        <f>SUM('1:2'!Y437)</f>
        <v>0</v>
      </c>
      <c r="Z437" s="93">
        <f>SUM('1:2'!Z437)</f>
        <v>0</v>
      </c>
      <c r="AA437" s="93">
        <f>SUM('1:2'!AA437)</f>
        <v>0</v>
      </c>
      <c r="AB437" s="358">
        <v>1.06</v>
      </c>
      <c r="AC437" s="269">
        <f t="shared" si="170"/>
        <v>0</v>
      </c>
      <c r="AD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</row>
    <row r="438" spans="1:53" ht="17.25">
      <c r="A438" s="321">
        <v>30600001</v>
      </c>
      <c r="B438" s="65" t="s">
        <v>162</v>
      </c>
      <c r="C438" s="16" t="s">
        <v>55</v>
      </c>
      <c r="D438" s="17">
        <v>5.03</v>
      </c>
      <c r="E438" s="17"/>
      <c r="F438" s="6"/>
      <c r="G438" s="93">
        <f>SUM('1:2'!G438)</f>
        <v>0</v>
      </c>
      <c r="H438" s="246">
        <f t="shared" si="176"/>
        <v>0</v>
      </c>
      <c r="I438" s="93">
        <f>SUM('1:2'!I438)</f>
        <v>0</v>
      </c>
      <c r="J438" s="31" t="str">
        <f t="array" ref="J438">IF(ISERROR(G438/I438),"",G438/I438)</f>
        <v/>
      </c>
      <c r="K438" s="35">
        <f t="array" ref="K438">IF(ISERROR(G438/L438),"",G438/L438)</f>
        <v>0</v>
      </c>
      <c r="L438" s="87">
        <v>8</v>
      </c>
      <c r="M438" s="36">
        <f>IF(ISERROR(I438-K438),"",I438-K438)</f>
        <v>0</v>
      </c>
      <c r="N438" s="31">
        <f>SUM(O438:U438)</f>
        <v>0</v>
      </c>
      <c r="O438" s="93">
        <f>SUM('1:2'!O438)</f>
        <v>0</v>
      </c>
      <c r="P438" s="93">
        <f>SUM('1:2'!P438)</f>
        <v>0</v>
      </c>
      <c r="Q438" s="93">
        <f>SUM('1:2'!Q438)</f>
        <v>0</v>
      </c>
      <c r="R438" s="93">
        <f>SUM('1:2'!R438)</f>
        <v>0</v>
      </c>
      <c r="S438" s="93">
        <f>SUM('1:2'!S438)</f>
        <v>0</v>
      </c>
      <c r="T438" s="93">
        <f>SUM('1:2'!T438)</f>
        <v>0</v>
      </c>
      <c r="U438" s="93">
        <f>SUM('1:2'!U438)</f>
        <v>0</v>
      </c>
      <c r="V438" s="207">
        <f>SUM(X438:AA438)</f>
        <v>0</v>
      </c>
      <c r="W438" s="33" t="str">
        <f>IF(ISERROR(V438/G438),"",V438/G438)</f>
        <v/>
      </c>
      <c r="X438" s="93">
        <f>SUM('1:2'!X438)</f>
        <v>0</v>
      </c>
      <c r="Y438" s="93">
        <f>SUM('1:2'!Y438)</f>
        <v>0</v>
      </c>
      <c r="Z438" s="93">
        <f>SUM('1:2'!Z438)</f>
        <v>0</v>
      </c>
      <c r="AA438" s="93">
        <f>SUM('1:2'!AA438)</f>
        <v>0</v>
      </c>
      <c r="AB438" s="358">
        <v>1.06</v>
      </c>
      <c r="AC438" s="269">
        <f t="shared" si="170"/>
        <v>0</v>
      </c>
      <c r="AD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</row>
    <row r="439" spans="1:53" ht="17.25">
      <c r="A439" s="321">
        <v>30600002</v>
      </c>
      <c r="B439" s="65" t="s">
        <v>162</v>
      </c>
      <c r="C439" s="16" t="s">
        <v>60</v>
      </c>
      <c r="D439" s="17">
        <v>5.03</v>
      </c>
      <c r="E439" s="17"/>
      <c r="F439" s="6"/>
      <c r="G439" s="93">
        <f>SUM('1:2'!G439)</f>
        <v>0</v>
      </c>
      <c r="H439" s="246">
        <f t="shared" si="176"/>
        <v>0</v>
      </c>
      <c r="I439" s="93">
        <f>SUM('1:2'!I439)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87">
        <v>8</v>
      </c>
      <c r="M439" s="36">
        <f>IF(ISERROR(I439-K439),"",I439-K439)</f>
        <v>0</v>
      </c>
      <c r="N439" s="31">
        <f>SUM(O439:U439)</f>
        <v>0</v>
      </c>
      <c r="O439" s="93">
        <f>SUM('1:2'!O439)</f>
        <v>0</v>
      </c>
      <c r="P439" s="93">
        <f>SUM('1:2'!P439)</f>
        <v>0</v>
      </c>
      <c r="Q439" s="93">
        <f>SUM('1:2'!Q439)</f>
        <v>0</v>
      </c>
      <c r="R439" s="93">
        <f>SUM('1:2'!R439)</f>
        <v>0</v>
      </c>
      <c r="S439" s="93">
        <f>SUM('1:2'!S439)</f>
        <v>0</v>
      </c>
      <c r="T439" s="93">
        <f>SUM('1:2'!T439)</f>
        <v>0</v>
      </c>
      <c r="U439" s="93">
        <f>SUM('1:2'!U439)</f>
        <v>0</v>
      </c>
      <c r="V439" s="207">
        <f>SUM(X439:AA439)</f>
        <v>0</v>
      </c>
      <c r="W439" s="33" t="str">
        <f>IF(ISERROR(V439/G439),"",V439/G439)</f>
        <v/>
      </c>
      <c r="X439" s="93">
        <f>SUM('1:2'!X439)</f>
        <v>0</v>
      </c>
      <c r="Y439" s="93">
        <f>SUM('1:2'!Y439)</f>
        <v>0</v>
      </c>
      <c r="Z439" s="93">
        <f>SUM('1:2'!Z439)</f>
        <v>0</v>
      </c>
      <c r="AA439" s="93">
        <f>SUM('1:2'!AA439)</f>
        <v>0</v>
      </c>
      <c r="AB439" s="358">
        <v>1.06</v>
      </c>
      <c r="AC439" s="269">
        <f t="shared" si="170"/>
        <v>0</v>
      </c>
      <c r="AD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</row>
    <row r="440" spans="1:53" ht="17.25">
      <c r="A440" s="321">
        <v>30600003</v>
      </c>
      <c r="B440" s="65" t="s">
        <v>162</v>
      </c>
      <c r="C440" s="195" t="s">
        <v>89</v>
      </c>
      <c r="D440" s="17">
        <v>5.03</v>
      </c>
      <c r="E440" s="17"/>
      <c r="F440" s="6"/>
      <c r="G440" s="93">
        <f>SUM('1:2'!G440)</f>
        <v>0</v>
      </c>
      <c r="H440" s="246">
        <f t="shared" si="176"/>
        <v>0</v>
      </c>
      <c r="I440" s="93">
        <f>SUM('1:2'!I440)</f>
        <v>0</v>
      </c>
      <c r="J440" s="31" t="str">
        <f t="array" ref="J440">IF(ISERROR(G440/I440),"",G440/I440)</f>
        <v/>
      </c>
      <c r="K440" s="35">
        <f t="array" ref="K440">IF(ISERROR(G440/L440),"",G440/L440)</f>
        <v>0</v>
      </c>
      <c r="L440" s="87">
        <v>8</v>
      </c>
      <c r="M440" s="36">
        <f>IF(ISERROR(I440-K440),"",I440-K440)</f>
        <v>0</v>
      </c>
      <c r="N440" s="31">
        <f>SUM(O440:U440)</f>
        <v>0</v>
      </c>
      <c r="O440" s="93">
        <f>SUM('1:2'!O440)</f>
        <v>0</v>
      </c>
      <c r="P440" s="93">
        <f>SUM('1:2'!P440)</f>
        <v>0</v>
      </c>
      <c r="Q440" s="93">
        <f>SUM('1:2'!Q440)</f>
        <v>0</v>
      </c>
      <c r="R440" s="93">
        <f>SUM('1:2'!R440)</f>
        <v>0</v>
      </c>
      <c r="S440" s="93">
        <f>SUM('1:2'!S440)</f>
        <v>0</v>
      </c>
      <c r="T440" s="93">
        <f>SUM('1:2'!T440)</f>
        <v>0</v>
      </c>
      <c r="U440" s="93">
        <f>SUM('1:2'!U440)</f>
        <v>0</v>
      </c>
      <c r="V440" s="207">
        <f>SUM(X440:AA440)</f>
        <v>0</v>
      </c>
      <c r="W440" s="33" t="str">
        <f>IF(ISERROR(V440/G440),"",V440/G440)</f>
        <v/>
      </c>
      <c r="X440" s="93">
        <f>SUM('1:2'!X440)</f>
        <v>0</v>
      </c>
      <c r="Y440" s="93">
        <f>SUM('1:2'!Y440)</f>
        <v>0</v>
      </c>
      <c r="Z440" s="93">
        <f>SUM('1:2'!Z440)</f>
        <v>0</v>
      </c>
      <c r="AA440" s="93">
        <f>SUM('1:2'!AA440)</f>
        <v>0</v>
      </c>
      <c r="AB440" s="358">
        <v>1.06</v>
      </c>
      <c r="AC440" s="269">
        <f t="shared" si="170"/>
        <v>0</v>
      </c>
      <c r="AD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</row>
    <row r="441" spans="1:53" ht="17.25">
      <c r="A441" s="321">
        <v>30400030</v>
      </c>
      <c r="B441" s="65" t="s">
        <v>88</v>
      </c>
      <c r="C441" s="16" t="s">
        <v>53</v>
      </c>
      <c r="D441" s="17">
        <v>5.03</v>
      </c>
      <c r="E441" s="17"/>
      <c r="F441" s="6"/>
      <c r="G441" s="93">
        <f>SUM('1:2'!G441)</f>
        <v>0</v>
      </c>
      <c r="H441" s="246">
        <f t="shared" si="176"/>
        <v>0</v>
      </c>
      <c r="I441" s="93">
        <f>SUM('1:2'!I441)</f>
        <v>0</v>
      </c>
      <c r="J441" s="31" t="str">
        <f t="array" ref="J441">IF(ISERROR(G441/I441),"",G441/I441)</f>
        <v/>
      </c>
      <c r="K441" s="35">
        <f t="array" ref="K441">IF(ISERROR(G441/L441),"",G441/L441)</f>
        <v>0</v>
      </c>
      <c r="L441" s="87">
        <v>10</v>
      </c>
      <c r="M441" s="36">
        <f t="shared" ref="M441:M462" si="177">IF(ISERROR(I441-K441),"",I441-K441)</f>
        <v>0</v>
      </c>
      <c r="N441" s="31">
        <f t="shared" ref="N441:N456" si="178">SUM(O441:U441)</f>
        <v>0</v>
      </c>
      <c r="O441" s="93">
        <f>SUM('1:2'!O441)</f>
        <v>0</v>
      </c>
      <c r="P441" s="93">
        <f>SUM('1:2'!P441)</f>
        <v>0</v>
      </c>
      <c r="Q441" s="93">
        <f>SUM('1:2'!Q441)</f>
        <v>0</v>
      </c>
      <c r="R441" s="93">
        <f>SUM('1:2'!R441)</f>
        <v>0</v>
      </c>
      <c r="S441" s="93">
        <f>SUM('1:2'!S441)</f>
        <v>0</v>
      </c>
      <c r="T441" s="93">
        <f>SUM('1:2'!T441)</f>
        <v>0</v>
      </c>
      <c r="U441" s="93">
        <f>SUM('1:2'!U441)</f>
        <v>0</v>
      </c>
      <c r="V441" s="206">
        <f t="shared" ref="V441:V448" si="179">SUM(X441:AA441)</f>
        <v>0</v>
      </c>
      <c r="W441" s="33" t="str">
        <f t="shared" ref="W441:W448" si="180">IF(ISERROR(V441/G441),"",V441/G441)</f>
        <v/>
      </c>
      <c r="X441" s="93">
        <f>SUM('1:2'!X441)</f>
        <v>0</v>
      </c>
      <c r="Y441" s="93">
        <f>SUM('1:2'!Y441)</f>
        <v>0</v>
      </c>
      <c r="Z441" s="93">
        <f>SUM('1:2'!Z441)</f>
        <v>0</v>
      </c>
      <c r="AA441" s="93">
        <f>SUM('1:2'!AA441)</f>
        <v>0</v>
      </c>
      <c r="AB441" s="358">
        <v>1.04</v>
      </c>
      <c r="AC441" s="269">
        <f t="shared" si="170"/>
        <v>0</v>
      </c>
      <c r="AD441" s="251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 ht="17.25">
      <c r="A442" s="321"/>
      <c r="B442" s="65" t="s">
        <v>88</v>
      </c>
      <c r="C442" s="16" t="s">
        <v>72</v>
      </c>
      <c r="D442" s="17">
        <v>5.03</v>
      </c>
      <c r="E442" s="17"/>
      <c r="F442" s="6"/>
      <c r="G442" s="93">
        <f>SUM('1:2'!G442)</f>
        <v>0</v>
      </c>
      <c r="H442" s="246">
        <f t="shared" si="176"/>
        <v>0</v>
      </c>
      <c r="I442" s="93">
        <f>SUM('1:2'!I442)</f>
        <v>0</v>
      </c>
      <c r="J442" s="31" t="str">
        <f t="array" ref="J442">IF(ISERROR(G442/I442),"",G442/I442)</f>
        <v/>
      </c>
      <c r="K442" s="35" t="str">
        <f t="array" ref="K442">IF(ISERROR(G442/L442),"",G442/L442)</f>
        <v/>
      </c>
      <c r="L442" s="87"/>
      <c r="M442" s="36" t="str">
        <f t="shared" si="177"/>
        <v/>
      </c>
      <c r="N442" s="31">
        <f t="shared" si="178"/>
        <v>0</v>
      </c>
      <c r="O442" s="93">
        <f>SUM('1:2'!O442)</f>
        <v>0</v>
      </c>
      <c r="P442" s="93">
        <f>SUM('1:2'!P442)</f>
        <v>0</v>
      </c>
      <c r="Q442" s="93">
        <f>SUM('1:2'!Q442)</f>
        <v>0</v>
      </c>
      <c r="R442" s="93">
        <f>SUM('1:2'!R442)</f>
        <v>0</v>
      </c>
      <c r="S442" s="93">
        <f>SUM('1:2'!S442)</f>
        <v>0</v>
      </c>
      <c r="T442" s="93">
        <f>SUM('1:2'!T442)</f>
        <v>0</v>
      </c>
      <c r="U442" s="93">
        <f>SUM('1:2'!U442)</f>
        <v>0</v>
      </c>
      <c r="V442" s="206">
        <f t="shared" si="179"/>
        <v>0</v>
      </c>
      <c r="W442" s="33" t="str">
        <f t="shared" si="180"/>
        <v/>
      </c>
      <c r="X442" s="93">
        <f>SUM('1:2'!X442)</f>
        <v>0</v>
      </c>
      <c r="Y442" s="93">
        <f>SUM('1:2'!Y442)</f>
        <v>0</v>
      </c>
      <c r="Z442" s="93">
        <f>SUM('1:2'!Z442)</f>
        <v>0</v>
      </c>
      <c r="AA442" s="93">
        <f>SUM('1:2'!AA442)</f>
        <v>0</v>
      </c>
      <c r="AB442" s="358">
        <v>1.04</v>
      </c>
      <c r="AC442" s="269">
        <f t="shared" si="170"/>
        <v>0</v>
      </c>
      <c r="AD442" s="251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 ht="17.25">
      <c r="A443" s="321"/>
      <c r="B443" s="65" t="s">
        <v>88</v>
      </c>
      <c r="C443" s="16" t="s">
        <v>60</v>
      </c>
      <c r="D443" s="17">
        <v>5.03</v>
      </c>
      <c r="E443" s="17"/>
      <c r="F443" s="6"/>
      <c r="G443" s="93">
        <f>SUM('1:2'!G443)</f>
        <v>0</v>
      </c>
      <c r="H443" s="246">
        <f t="shared" si="176"/>
        <v>0</v>
      </c>
      <c r="I443" s="93">
        <f>SUM('1:2'!I443)</f>
        <v>0</v>
      </c>
      <c r="J443" s="31" t="str">
        <f t="array" ref="J443">IF(ISERROR(G443/I443),"",G443/I443)</f>
        <v/>
      </c>
      <c r="K443" s="35" t="str">
        <f t="array" ref="K443">IF(ISERROR(G443/L443),"",G443/L443)</f>
        <v/>
      </c>
      <c r="L443" s="87"/>
      <c r="M443" s="36" t="str">
        <f t="shared" si="177"/>
        <v/>
      </c>
      <c r="N443" s="31">
        <f t="shared" si="178"/>
        <v>0</v>
      </c>
      <c r="O443" s="93">
        <f>SUM('1:2'!O443)</f>
        <v>0</v>
      </c>
      <c r="P443" s="93">
        <f>SUM('1:2'!P443)</f>
        <v>0</v>
      </c>
      <c r="Q443" s="93">
        <f>SUM('1:2'!Q443)</f>
        <v>0</v>
      </c>
      <c r="R443" s="93">
        <f>SUM('1:2'!R443)</f>
        <v>0</v>
      </c>
      <c r="S443" s="93">
        <f>SUM('1:2'!S443)</f>
        <v>0</v>
      </c>
      <c r="T443" s="93">
        <f>SUM('1:2'!T443)</f>
        <v>0</v>
      </c>
      <c r="U443" s="93">
        <f>SUM('1:2'!U443)</f>
        <v>0</v>
      </c>
      <c r="V443" s="206">
        <f t="shared" si="179"/>
        <v>0</v>
      </c>
      <c r="W443" s="33" t="str">
        <f t="shared" si="180"/>
        <v/>
      </c>
      <c r="X443" s="93">
        <f>SUM('1:2'!X443)</f>
        <v>0</v>
      </c>
      <c r="Y443" s="93">
        <f>SUM('1:2'!Y443)</f>
        <v>0</v>
      </c>
      <c r="Z443" s="93">
        <f>SUM('1:2'!Z443)</f>
        <v>0</v>
      </c>
      <c r="AA443" s="93">
        <f>SUM('1:2'!AA443)</f>
        <v>0</v>
      </c>
      <c r="AB443" s="358">
        <v>1.04</v>
      </c>
      <c r="AC443" s="269">
        <f t="shared" si="170"/>
        <v>0</v>
      </c>
      <c r="AD443" s="251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 ht="17.25">
      <c r="A444" s="321">
        <v>30401031</v>
      </c>
      <c r="B444" s="65" t="s">
        <v>88</v>
      </c>
      <c r="C444" s="16" t="s">
        <v>66</v>
      </c>
      <c r="D444" s="17">
        <v>5.03</v>
      </c>
      <c r="E444" s="17"/>
      <c r="F444" s="6"/>
      <c r="G444" s="93">
        <f>SUM('1:2'!G444)</f>
        <v>0</v>
      </c>
      <c r="H444" s="246">
        <f t="shared" si="176"/>
        <v>0</v>
      </c>
      <c r="I444" s="93">
        <f>SUM('1:2'!I444)</f>
        <v>0</v>
      </c>
      <c r="J444" s="31" t="str">
        <f t="array" ref="J444">IF(ISERROR(G444/I444),"",G444/I444)</f>
        <v/>
      </c>
      <c r="K444" s="35" t="str">
        <f t="array" ref="K444">IF(ISERROR(G444/L444),"",G444/L444)</f>
        <v/>
      </c>
      <c r="L444" s="87"/>
      <c r="M444" s="36" t="str">
        <f t="shared" si="177"/>
        <v/>
      </c>
      <c r="N444" s="31">
        <f t="shared" si="178"/>
        <v>0</v>
      </c>
      <c r="O444" s="93">
        <f>SUM('1:2'!O444)</f>
        <v>0</v>
      </c>
      <c r="P444" s="93">
        <f>SUM('1:2'!P444)</f>
        <v>0</v>
      </c>
      <c r="Q444" s="93">
        <f>SUM('1:2'!Q444)</f>
        <v>0</v>
      </c>
      <c r="R444" s="93">
        <f>SUM('1:2'!R444)</f>
        <v>0</v>
      </c>
      <c r="S444" s="93">
        <f>SUM('1:2'!S444)</f>
        <v>0</v>
      </c>
      <c r="T444" s="93">
        <f>SUM('1:2'!T444)</f>
        <v>0</v>
      </c>
      <c r="U444" s="93">
        <f>SUM('1:2'!U444)</f>
        <v>0</v>
      </c>
      <c r="V444" s="206">
        <f t="shared" si="179"/>
        <v>0</v>
      </c>
      <c r="W444" s="33" t="str">
        <f t="shared" si="180"/>
        <v/>
      </c>
      <c r="X444" s="93">
        <f>SUM('1:2'!X444)</f>
        <v>0</v>
      </c>
      <c r="Y444" s="93">
        <f>SUM('1:2'!Y444)</f>
        <v>0</v>
      </c>
      <c r="Z444" s="93">
        <f>SUM('1:2'!Z444)</f>
        <v>0</v>
      </c>
      <c r="AA444" s="93">
        <f>SUM('1:2'!AA444)</f>
        <v>0</v>
      </c>
      <c r="AB444" s="358">
        <v>1.04</v>
      </c>
      <c r="AC444" s="269">
        <f t="shared" si="170"/>
        <v>0</v>
      </c>
      <c r="AD444" s="251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 ht="17.25">
      <c r="A445" s="321">
        <v>30600005</v>
      </c>
      <c r="B445" s="61" t="s">
        <v>90</v>
      </c>
      <c r="C445" s="16" t="s">
        <v>55</v>
      </c>
      <c r="D445" s="17">
        <v>9.36</v>
      </c>
      <c r="E445" s="17"/>
      <c r="F445" s="6"/>
      <c r="G445" s="93">
        <f>SUM('1:2'!G445)</f>
        <v>0</v>
      </c>
      <c r="H445" s="246">
        <f t="shared" si="176"/>
        <v>0</v>
      </c>
      <c r="I445" s="93">
        <f>SUM('1:2'!I445)</f>
        <v>0</v>
      </c>
      <c r="J445" s="31" t="str">
        <f t="array" ref="J445">IF(ISERROR(G445/I445),"",G445/I445)</f>
        <v/>
      </c>
      <c r="K445" s="35">
        <f t="array" ref="K445">IF(ISERROR(G445/L445),"",G445/L445)</f>
        <v>0</v>
      </c>
      <c r="L445" s="87">
        <v>6</v>
      </c>
      <c r="M445" s="36">
        <f t="shared" si="177"/>
        <v>0</v>
      </c>
      <c r="N445" s="31">
        <f t="shared" si="178"/>
        <v>0</v>
      </c>
      <c r="O445" s="93">
        <f>SUM('1:2'!O445)</f>
        <v>0</v>
      </c>
      <c r="P445" s="93">
        <f>SUM('1:2'!P445)</f>
        <v>0</v>
      </c>
      <c r="Q445" s="93">
        <f>SUM('1:2'!Q445)</f>
        <v>0</v>
      </c>
      <c r="R445" s="93">
        <f>SUM('1:2'!R445)</f>
        <v>0</v>
      </c>
      <c r="S445" s="93">
        <f>SUM('1:2'!S445)</f>
        <v>0</v>
      </c>
      <c r="T445" s="93">
        <f>SUM('1:2'!T445)</f>
        <v>0</v>
      </c>
      <c r="U445" s="93">
        <f>SUM('1:2'!U445)</f>
        <v>0</v>
      </c>
      <c r="V445" s="206">
        <f t="shared" si="179"/>
        <v>0</v>
      </c>
      <c r="W445" s="33" t="str">
        <f t="shared" si="180"/>
        <v/>
      </c>
      <c r="X445" s="93">
        <f>SUM('1:2'!X445)</f>
        <v>0</v>
      </c>
      <c r="Y445" s="93">
        <f>SUM('1:2'!Y445)</f>
        <v>0</v>
      </c>
      <c r="Z445" s="93">
        <f>SUM('1:2'!Z445)</f>
        <v>0</v>
      </c>
      <c r="AA445" s="93">
        <f>SUM('1:2'!AA445)</f>
        <v>0</v>
      </c>
      <c r="AB445" s="358">
        <v>1.29</v>
      </c>
      <c r="AC445" s="269">
        <f t="shared" si="170"/>
        <v>0</v>
      </c>
      <c r="AD445" s="251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 ht="17.25">
      <c r="A446" s="321">
        <v>30600008</v>
      </c>
      <c r="B446" s="61" t="s">
        <v>90</v>
      </c>
      <c r="C446" s="16" t="s">
        <v>53</v>
      </c>
      <c r="D446" s="17">
        <v>9.36</v>
      </c>
      <c r="E446" s="17"/>
      <c r="F446" s="6"/>
      <c r="G446" s="93">
        <f>SUM('1:2'!G446)</f>
        <v>0</v>
      </c>
      <c r="H446" s="246">
        <f t="shared" si="176"/>
        <v>0</v>
      </c>
      <c r="I446" s="93">
        <f>SUM('1:2'!I446)</f>
        <v>0</v>
      </c>
      <c r="J446" s="31" t="str">
        <f t="array" ref="J446">IF(ISERROR(G446/I446),"",G446/I446)</f>
        <v/>
      </c>
      <c r="K446" s="35">
        <f t="array" ref="K446">IF(ISERROR(G446/L446),"",G446/L446)</f>
        <v>0</v>
      </c>
      <c r="L446" s="87">
        <v>6</v>
      </c>
      <c r="M446" s="36">
        <f t="shared" si="177"/>
        <v>0</v>
      </c>
      <c r="N446" s="31">
        <f t="shared" si="178"/>
        <v>0</v>
      </c>
      <c r="O446" s="93">
        <f>SUM('1:2'!O446)</f>
        <v>0</v>
      </c>
      <c r="P446" s="93">
        <f>SUM('1:2'!P446)</f>
        <v>0</v>
      </c>
      <c r="Q446" s="93">
        <f>SUM('1:2'!Q446)</f>
        <v>0</v>
      </c>
      <c r="R446" s="93">
        <f>SUM('1:2'!R446)</f>
        <v>0</v>
      </c>
      <c r="S446" s="93">
        <f>SUM('1:2'!S446)</f>
        <v>0</v>
      </c>
      <c r="T446" s="93">
        <f>SUM('1:2'!T446)</f>
        <v>0</v>
      </c>
      <c r="U446" s="93">
        <f>SUM('1:2'!U446)</f>
        <v>0</v>
      </c>
      <c r="V446" s="206">
        <f t="shared" si="179"/>
        <v>0</v>
      </c>
      <c r="W446" s="33" t="str">
        <f t="shared" si="180"/>
        <v/>
      </c>
      <c r="X446" s="93">
        <f>SUM('1:2'!X446)</f>
        <v>0</v>
      </c>
      <c r="Y446" s="93">
        <f>SUM('1:2'!Y446)</f>
        <v>0</v>
      </c>
      <c r="Z446" s="93">
        <f>SUM('1:2'!Z446)</f>
        <v>0</v>
      </c>
      <c r="AA446" s="93">
        <f>SUM('1:2'!AA446)</f>
        <v>0</v>
      </c>
      <c r="AB446" s="358">
        <v>1.29</v>
      </c>
      <c r="AC446" s="269">
        <f t="shared" si="170"/>
        <v>0</v>
      </c>
      <c r="AD446" s="251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 ht="17.25">
      <c r="A447" s="321">
        <v>30600007</v>
      </c>
      <c r="B447" s="61" t="s">
        <v>90</v>
      </c>
      <c r="C447" s="16" t="s">
        <v>89</v>
      </c>
      <c r="D447" s="17">
        <v>9.36</v>
      </c>
      <c r="E447" s="17"/>
      <c r="F447" s="6"/>
      <c r="G447" s="93">
        <f>SUM('1:2'!G447)</f>
        <v>0</v>
      </c>
      <c r="H447" s="246">
        <f t="shared" si="176"/>
        <v>0</v>
      </c>
      <c r="I447" s="93">
        <f>SUM('1:2'!I447)</f>
        <v>0</v>
      </c>
      <c r="J447" s="31" t="str">
        <f t="array" ref="J447">IF(ISERROR(G447/I447),"",G447/I447)</f>
        <v/>
      </c>
      <c r="K447" s="35">
        <f t="array" ref="K447">IF(ISERROR(G447/L447),"",G447/L447)</f>
        <v>0</v>
      </c>
      <c r="L447" s="87">
        <v>6</v>
      </c>
      <c r="M447" s="36">
        <f t="shared" si="177"/>
        <v>0</v>
      </c>
      <c r="N447" s="31">
        <f t="shared" si="178"/>
        <v>0</v>
      </c>
      <c r="O447" s="93">
        <f>SUM('1:2'!O447)</f>
        <v>0</v>
      </c>
      <c r="P447" s="93">
        <f>SUM('1:2'!P447)</f>
        <v>0</v>
      </c>
      <c r="Q447" s="93">
        <f>SUM('1:2'!Q447)</f>
        <v>0</v>
      </c>
      <c r="R447" s="93">
        <f>SUM('1:2'!R447)</f>
        <v>0</v>
      </c>
      <c r="S447" s="93">
        <f>SUM('1:2'!S447)</f>
        <v>0</v>
      </c>
      <c r="T447" s="93">
        <f>SUM('1:2'!T447)</f>
        <v>0</v>
      </c>
      <c r="U447" s="93">
        <f>SUM('1:2'!U447)</f>
        <v>0</v>
      </c>
      <c r="V447" s="206">
        <f t="shared" si="179"/>
        <v>0</v>
      </c>
      <c r="W447" s="33" t="str">
        <f t="shared" si="180"/>
        <v/>
      </c>
      <c r="X447" s="93">
        <f>SUM('1:2'!X447)</f>
        <v>0</v>
      </c>
      <c r="Y447" s="93">
        <f>SUM('1:2'!Y447)</f>
        <v>0</v>
      </c>
      <c r="Z447" s="93">
        <f>SUM('1:2'!Z447)</f>
        <v>0</v>
      </c>
      <c r="AA447" s="93">
        <f>SUM('1:2'!AA447)</f>
        <v>0</v>
      </c>
      <c r="AB447" s="358">
        <v>1.29</v>
      </c>
      <c r="AC447" s="269">
        <f t="shared" si="170"/>
        <v>0</v>
      </c>
      <c r="AD447" s="251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 ht="17.25">
      <c r="A448" s="321">
        <v>30600006</v>
      </c>
      <c r="B448" s="61" t="s">
        <v>90</v>
      </c>
      <c r="C448" s="16" t="s">
        <v>60</v>
      </c>
      <c r="D448" s="17">
        <v>9.36</v>
      </c>
      <c r="E448" s="17"/>
      <c r="F448" s="6"/>
      <c r="G448" s="93">
        <f>SUM('1:2'!G448)</f>
        <v>0</v>
      </c>
      <c r="H448" s="246">
        <f t="shared" si="176"/>
        <v>0</v>
      </c>
      <c r="I448" s="93">
        <f>SUM('1:2'!I448)</f>
        <v>0</v>
      </c>
      <c r="J448" s="31" t="str">
        <f t="array" ref="J448">IF(ISERROR(G448/I448),"",G448/I448)</f>
        <v/>
      </c>
      <c r="K448" s="35">
        <f t="array" ref="K448">IF(ISERROR(G448/L448),"",G448/L448)</f>
        <v>0</v>
      </c>
      <c r="L448" s="87">
        <v>6</v>
      </c>
      <c r="M448" s="36">
        <f t="shared" si="177"/>
        <v>0</v>
      </c>
      <c r="N448" s="31">
        <f t="shared" si="178"/>
        <v>0</v>
      </c>
      <c r="O448" s="93">
        <f>SUM('1:2'!O448)</f>
        <v>0</v>
      </c>
      <c r="P448" s="93">
        <f>SUM('1:2'!P448)</f>
        <v>0</v>
      </c>
      <c r="Q448" s="93">
        <f>SUM('1:2'!Q448)</f>
        <v>0</v>
      </c>
      <c r="R448" s="93">
        <f>SUM('1:2'!R448)</f>
        <v>0</v>
      </c>
      <c r="S448" s="93">
        <f>SUM('1:2'!S448)</f>
        <v>0</v>
      </c>
      <c r="T448" s="93">
        <f>SUM('1:2'!T448)</f>
        <v>0</v>
      </c>
      <c r="U448" s="93">
        <f>SUM('1:2'!U448)</f>
        <v>0</v>
      </c>
      <c r="V448" s="206">
        <f t="shared" si="179"/>
        <v>0</v>
      </c>
      <c r="W448" s="33" t="str">
        <f t="shared" si="180"/>
        <v/>
      </c>
      <c r="X448" s="93">
        <f>SUM('1:2'!X448)</f>
        <v>0</v>
      </c>
      <c r="Y448" s="93">
        <f>SUM('1:2'!Y448)</f>
        <v>0</v>
      </c>
      <c r="Z448" s="93">
        <f>SUM('1:2'!Z448)</f>
        <v>0</v>
      </c>
      <c r="AA448" s="93">
        <f>SUM('1:2'!AA448)</f>
        <v>0</v>
      </c>
      <c r="AB448" s="358">
        <v>1.29</v>
      </c>
      <c r="AC448" s="269">
        <f t="shared" si="170"/>
        <v>0</v>
      </c>
      <c r="AD448" s="251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 ht="17.25">
      <c r="A449" s="320">
        <v>30400026</v>
      </c>
      <c r="B449" s="190" t="s">
        <v>393</v>
      </c>
      <c r="C449" s="187" t="s">
        <v>395</v>
      </c>
      <c r="D449" s="17">
        <v>5</v>
      </c>
      <c r="E449" s="17"/>
      <c r="F449" s="6"/>
      <c r="G449" s="93">
        <f>SUM('1:2'!G449)</f>
        <v>0</v>
      </c>
      <c r="H449" s="246">
        <f t="shared" si="176"/>
        <v>0</v>
      </c>
      <c r="I449" s="93">
        <f>SUM('1:2'!I449)</f>
        <v>0</v>
      </c>
      <c r="J449" s="31"/>
      <c r="K449" s="35">
        <f t="array" ref="K449">IF(ISERROR(G449/L449),"",G449/L449)</f>
        <v>0</v>
      </c>
      <c r="L449" s="87">
        <v>5</v>
      </c>
      <c r="M449" s="36">
        <f t="shared" si="177"/>
        <v>0</v>
      </c>
      <c r="N449" s="31">
        <f t="shared" si="178"/>
        <v>0</v>
      </c>
      <c r="O449" s="93">
        <f>SUM('1:2'!O449)</f>
        <v>0</v>
      </c>
      <c r="P449" s="93">
        <f>SUM('1:2'!P449)</f>
        <v>0</v>
      </c>
      <c r="Q449" s="93">
        <f>SUM('1:2'!Q449)</f>
        <v>0</v>
      </c>
      <c r="R449" s="93">
        <f>SUM('1:2'!R449)</f>
        <v>0</v>
      </c>
      <c r="S449" s="93">
        <f>SUM('1:2'!S449)</f>
        <v>0</v>
      </c>
      <c r="T449" s="93">
        <f>SUM('1:2'!T449)</f>
        <v>0</v>
      </c>
      <c r="U449" s="93">
        <f>SUM('1:2'!U449)</f>
        <v>0</v>
      </c>
      <c r="V449" s="206"/>
      <c r="W449" s="33"/>
      <c r="X449" s="93">
        <f>SUM('1:2'!X449)</f>
        <v>0</v>
      </c>
      <c r="Y449" s="93">
        <f>SUM('1:2'!Y449)</f>
        <v>0</v>
      </c>
      <c r="Z449" s="93">
        <f>SUM('1:2'!Z449)</f>
        <v>0</v>
      </c>
      <c r="AA449" s="93">
        <f>SUM('1:2'!AA449)</f>
        <v>0</v>
      </c>
      <c r="AB449" s="358">
        <v>2.0699999999999998</v>
      </c>
      <c r="AC449" s="269">
        <f t="shared" si="170"/>
        <v>0</v>
      </c>
      <c r="AD449" s="251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 ht="17.25">
      <c r="A450" s="320">
        <v>30400028</v>
      </c>
      <c r="B450" s="190" t="s">
        <v>393</v>
      </c>
      <c r="C450" s="187" t="s">
        <v>402</v>
      </c>
      <c r="D450" s="17">
        <v>5</v>
      </c>
      <c r="E450" s="17"/>
      <c r="F450" s="6"/>
      <c r="G450" s="93">
        <f>SUM('1:2'!G450)</f>
        <v>0</v>
      </c>
      <c r="H450" s="246">
        <f t="shared" si="176"/>
        <v>0</v>
      </c>
      <c r="I450" s="93">
        <f>SUM('1:2'!I450)</f>
        <v>0</v>
      </c>
      <c r="J450" s="31"/>
      <c r="K450" s="35">
        <f t="array" ref="K450">IF(ISERROR(G450/L450),"",G450/L450)</f>
        <v>0</v>
      </c>
      <c r="L450" s="87">
        <v>5</v>
      </c>
      <c r="M450" s="36">
        <f t="shared" si="177"/>
        <v>0</v>
      </c>
      <c r="N450" s="31">
        <f t="shared" si="178"/>
        <v>0</v>
      </c>
      <c r="O450" s="93">
        <f>SUM('1:2'!O450)</f>
        <v>0</v>
      </c>
      <c r="P450" s="93">
        <f>SUM('1:2'!P450)</f>
        <v>0</v>
      </c>
      <c r="Q450" s="93">
        <f>SUM('1:2'!Q450)</f>
        <v>0</v>
      </c>
      <c r="R450" s="93">
        <f>SUM('1:2'!R450)</f>
        <v>0</v>
      </c>
      <c r="S450" s="93">
        <f>SUM('1:2'!S450)</f>
        <v>0</v>
      </c>
      <c r="T450" s="93">
        <f>SUM('1:2'!T450)</f>
        <v>0</v>
      </c>
      <c r="U450" s="93">
        <f>SUM('1:2'!U450)</f>
        <v>0</v>
      </c>
      <c r="V450" s="206"/>
      <c r="W450" s="33"/>
      <c r="X450" s="93">
        <f>SUM('1:2'!X450)</f>
        <v>0</v>
      </c>
      <c r="Y450" s="93">
        <f>SUM('1:2'!Y450)</f>
        <v>0</v>
      </c>
      <c r="Z450" s="93">
        <f>SUM('1:2'!Z450)</f>
        <v>0</v>
      </c>
      <c r="AA450" s="93">
        <f>SUM('1:2'!AA450)</f>
        <v>0</v>
      </c>
      <c r="AB450" s="358">
        <v>2.0699999999999998</v>
      </c>
      <c r="AC450" s="269">
        <f t="shared" si="170"/>
        <v>0</v>
      </c>
      <c r="AD450" s="251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 ht="17.25">
      <c r="A451" s="320">
        <v>30400027</v>
      </c>
      <c r="B451" s="190" t="s">
        <v>404</v>
      </c>
      <c r="C451" s="187" t="s">
        <v>405</v>
      </c>
      <c r="D451" s="17">
        <v>5</v>
      </c>
      <c r="E451" s="17"/>
      <c r="F451" s="6"/>
      <c r="G451" s="93">
        <f>SUM('1:2'!G451)</f>
        <v>0</v>
      </c>
      <c r="H451" s="246">
        <f t="shared" si="176"/>
        <v>0</v>
      </c>
      <c r="I451" s="93">
        <f>SUM('1:2'!I451)</f>
        <v>0</v>
      </c>
      <c r="J451" s="31"/>
      <c r="K451" s="35">
        <f t="array" ref="K451">IF(ISERROR(G451/L451),"",G451/L451)</f>
        <v>0</v>
      </c>
      <c r="L451" s="87">
        <v>5</v>
      </c>
      <c r="M451" s="36">
        <f t="shared" si="177"/>
        <v>0</v>
      </c>
      <c r="N451" s="31">
        <f t="shared" si="178"/>
        <v>0</v>
      </c>
      <c r="O451" s="93">
        <f>SUM('1:2'!O451)</f>
        <v>0</v>
      </c>
      <c r="P451" s="93">
        <f>SUM('1:2'!P451)</f>
        <v>0</v>
      </c>
      <c r="Q451" s="93">
        <f>SUM('1:2'!Q451)</f>
        <v>0</v>
      </c>
      <c r="R451" s="93">
        <f>SUM('1:2'!R451)</f>
        <v>0</v>
      </c>
      <c r="S451" s="93">
        <f>SUM('1:2'!S451)</f>
        <v>0</v>
      </c>
      <c r="T451" s="93">
        <f>SUM('1:2'!T451)</f>
        <v>0</v>
      </c>
      <c r="U451" s="93">
        <f>SUM('1:2'!U451)</f>
        <v>0</v>
      </c>
      <c r="V451" s="206"/>
      <c r="W451" s="33"/>
      <c r="X451" s="93">
        <f>SUM('1:2'!X451)</f>
        <v>0</v>
      </c>
      <c r="Y451" s="93">
        <f>SUM('1:2'!Y451)</f>
        <v>0</v>
      </c>
      <c r="Z451" s="93">
        <f>SUM('1:2'!Z451)</f>
        <v>0</v>
      </c>
      <c r="AA451" s="93">
        <f>SUM('1:2'!AA451)</f>
        <v>0</v>
      </c>
      <c r="AB451" s="358">
        <v>2.0699999999999998</v>
      </c>
      <c r="AC451" s="269">
        <f t="shared" si="170"/>
        <v>0</v>
      </c>
      <c r="AD451" s="251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 ht="17.25">
      <c r="A452" s="320"/>
      <c r="B452" s="61" t="s">
        <v>342</v>
      </c>
      <c r="C452" s="187" t="s">
        <v>372</v>
      </c>
      <c r="D452" s="17">
        <v>5</v>
      </c>
      <c r="E452" s="17"/>
      <c r="F452" s="6"/>
      <c r="G452" s="93">
        <f>SUM('1:2'!G452)</f>
        <v>0</v>
      </c>
      <c r="H452" s="246">
        <f t="shared" si="176"/>
        <v>0</v>
      </c>
      <c r="I452" s="93">
        <f>SUM('1:2'!I452)</f>
        <v>0</v>
      </c>
      <c r="J452" s="31"/>
      <c r="K452" s="35">
        <f t="array" ref="K452">IF(ISERROR(G452/L452),"",G452/L452)</f>
        <v>0</v>
      </c>
      <c r="L452" s="87">
        <v>5</v>
      </c>
      <c r="M452" s="36">
        <f t="shared" si="177"/>
        <v>0</v>
      </c>
      <c r="N452" s="31">
        <f t="shared" si="178"/>
        <v>0</v>
      </c>
      <c r="O452" s="93">
        <f>SUM('1:2'!O452)</f>
        <v>0</v>
      </c>
      <c r="P452" s="93">
        <f>SUM('1:2'!P452)</f>
        <v>0</v>
      </c>
      <c r="Q452" s="93">
        <f>SUM('1:2'!Q452)</f>
        <v>0</v>
      </c>
      <c r="R452" s="93">
        <f>SUM('1:2'!R452)</f>
        <v>0</v>
      </c>
      <c r="S452" s="93">
        <f>SUM('1:2'!S452)</f>
        <v>0</v>
      </c>
      <c r="T452" s="93">
        <f>SUM('1:2'!T452)</f>
        <v>0</v>
      </c>
      <c r="U452" s="93">
        <f>SUM('1:2'!U452)</f>
        <v>0</v>
      </c>
      <c r="V452" s="206"/>
      <c r="W452" s="33"/>
      <c r="X452" s="93">
        <f>SUM('1:2'!X452)</f>
        <v>0</v>
      </c>
      <c r="Y452" s="93">
        <f>SUM('1:2'!Y452)</f>
        <v>0</v>
      </c>
      <c r="Z452" s="93">
        <f>SUM('1:2'!Z452)</f>
        <v>0</v>
      </c>
      <c r="AA452" s="93">
        <f>SUM('1:2'!AA452)</f>
        <v>0</v>
      </c>
      <c r="AB452" s="358">
        <v>2.0699999999999998</v>
      </c>
      <c r="AC452" s="269">
        <f t="shared" si="170"/>
        <v>0</v>
      </c>
      <c r="AD452" s="251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 ht="17.25">
      <c r="A453" s="320">
        <v>30600009</v>
      </c>
      <c r="B453" s="61" t="s">
        <v>343</v>
      </c>
      <c r="C453" s="16" t="s">
        <v>345</v>
      </c>
      <c r="D453" s="17">
        <v>5</v>
      </c>
      <c r="E453" s="17"/>
      <c r="F453" s="6"/>
      <c r="G453" s="93">
        <f>SUM('1:2'!G453)</f>
        <v>0</v>
      </c>
      <c r="H453" s="246">
        <f t="shared" si="176"/>
        <v>0</v>
      </c>
      <c r="I453" s="93">
        <f>SUM('1:2'!I453)</f>
        <v>0</v>
      </c>
      <c r="J453" s="31"/>
      <c r="K453" s="35">
        <f t="array" ref="K453">IF(ISERROR(G453/L453),"",G453/L453)</f>
        <v>0</v>
      </c>
      <c r="L453" s="87">
        <v>5</v>
      </c>
      <c r="M453" s="36">
        <f t="shared" si="177"/>
        <v>0</v>
      </c>
      <c r="N453" s="31">
        <f t="shared" si="178"/>
        <v>0</v>
      </c>
      <c r="O453" s="93">
        <f>SUM('1:2'!O453)</f>
        <v>0</v>
      </c>
      <c r="P453" s="93">
        <f>SUM('1:2'!P453)</f>
        <v>0</v>
      </c>
      <c r="Q453" s="93">
        <f>SUM('1:2'!Q453)</f>
        <v>0</v>
      </c>
      <c r="R453" s="93">
        <f>SUM('1:2'!R453)</f>
        <v>0</v>
      </c>
      <c r="S453" s="93">
        <f>SUM('1:2'!S453)</f>
        <v>0</v>
      </c>
      <c r="T453" s="93">
        <f>SUM('1:2'!T453)</f>
        <v>0</v>
      </c>
      <c r="U453" s="93">
        <f>SUM('1:2'!U453)</f>
        <v>0</v>
      </c>
      <c r="V453" s="206"/>
      <c r="W453" s="33"/>
      <c r="X453" s="93">
        <f>SUM('1:2'!X453)</f>
        <v>0</v>
      </c>
      <c r="Y453" s="93">
        <f>SUM('1:2'!Y453)</f>
        <v>0</v>
      </c>
      <c r="Z453" s="93">
        <f>SUM('1:2'!Z453)</f>
        <v>0</v>
      </c>
      <c r="AA453" s="93">
        <f>SUM('1:2'!AA453)</f>
        <v>0</v>
      </c>
      <c r="AB453" s="358">
        <v>2.0699999999999998</v>
      </c>
      <c r="AC453" s="269">
        <f t="shared" si="170"/>
        <v>0</v>
      </c>
      <c r="AD453" s="251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 ht="17.25">
      <c r="A454" s="320">
        <v>30600010</v>
      </c>
      <c r="B454" s="61" t="s">
        <v>343</v>
      </c>
      <c r="C454" s="16" t="s">
        <v>347</v>
      </c>
      <c r="D454" s="17">
        <v>5</v>
      </c>
      <c r="E454" s="17"/>
      <c r="F454" s="6"/>
      <c r="G454" s="93">
        <f>SUM('1:2'!G454)</f>
        <v>0</v>
      </c>
      <c r="H454" s="246">
        <f t="shared" si="176"/>
        <v>0</v>
      </c>
      <c r="I454" s="93">
        <f>SUM('1:2'!I454)</f>
        <v>0</v>
      </c>
      <c r="J454" s="31"/>
      <c r="K454" s="35">
        <f t="array" ref="K454">IF(ISERROR(G454/L454),"",G454/L454)</f>
        <v>0</v>
      </c>
      <c r="L454" s="87">
        <v>5</v>
      </c>
      <c r="M454" s="36">
        <f t="shared" si="177"/>
        <v>0</v>
      </c>
      <c r="N454" s="31">
        <f t="shared" si="178"/>
        <v>0</v>
      </c>
      <c r="O454" s="93">
        <f>SUM('1:2'!O454)</f>
        <v>0</v>
      </c>
      <c r="P454" s="93">
        <f>SUM('1:2'!P454)</f>
        <v>0</v>
      </c>
      <c r="Q454" s="93">
        <f>SUM('1:2'!Q454)</f>
        <v>0</v>
      </c>
      <c r="R454" s="93">
        <f>SUM('1:2'!R454)</f>
        <v>0</v>
      </c>
      <c r="S454" s="93">
        <f>SUM('1:2'!S454)</f>
        <v>0</v>
      </c>
      <c r="T454" s="93">
        <f>SUM('1:2'!T454)</f>
        <v>0</v>
      </c>
      <c r="U454" s="93">
        <f>SUM('1:2'!U454)</f>
        <v>0</v>
      </c>
      <c r="V454" s="206"/>
      <c r="W454" s="33"/>
      <c r="X454" s="93">
        <f>SUM('1:2'!X454)</f>
        <v>0</v>
      </c>
      <c r="Y454" s="93">
        <f>SUM('1:2'!Y454)</f>
        <v>0</v>
      </c>
      <c r="Z454" s="93">
        <f>SUM('1:2'!Z454)</f>
        <v>0</v>
      </c>
      <c r="AA454" s="93">
        <f>SUM('1:2'!AA454)</f>
        <v>0</v>
      </c>
      <c r="AB454" s="358">
        <v>2.0699999999999998</v>
      </c>
      <c r="AC454" s="269">
        <f t="shared" si="170"/>
        <v>0</v>
      </c>
      <c r="AD454" s="251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 ht="17.25">
      <c r="A455" s="320">
        <v>30400001</v>
      </c>
      <c r="B455" s="65" t="s">
        <v>514</v>
      </c>
      <c r="C455" s="16" t="s">
        <v>61</v>
      </c>
      <c r="D455" s="17">
        <v>5.0599999999999996</v>
      </c>
      <c r="E455" s="17"/>
      <c r="F455" s="6"/>
      <c r="G455" s="93">
        <f>SUM('1:2'!G455)</f>
        <v>0</v>
      </c>
      <c r="H455" s="246">
        <f t="shared" si="176"/>
        <v>0</v>
      </c>
      <c r="I455" s="93">
        <f>SUM('1:2'!I455)</f>
        <v>0</v>
      </c>
      <c r="J455" s="31" t="str">
        <f t="array" ref="J455">IF(ISERROR(G455/I455),"",G455/I455)</f>
        <v/>
      </c>
      <c r="K455" s="35">
        <f t="array" ref="K455">IF(ISERROR(G455/L455),"",G455/L455)</f>
        <v>0</v>
      </c>
      <c r="L455" s="87">
        <v>15.5</v>
      </c>
      <c r="M455" s="36">
        <f t="shared" si="177"/>
        <v>0</v>
      </c>
      <c r="N455" s="31">
        <f t="shared" si="178"/>
        <v>0</v>
      </c>
      <c r="O455" s="93">
        <f>SUM('1:2'!O455)</f>
        <v>0</v>
      </c>
      <c r="P455" s="93">
        <f>SUM('1:2'!P455)</f>
        <v>0</v>
      </c>
      <c r="Q455" s="93">
        <f>SUM('1:2'!Q455)</f>
        <v>0</v>
      </c>
      <c r="R455" s="93">
        <f>SUM('1:2'!R455)</f>
        <v>0</v>
      </c>
      <c r="S455" s="93">
        <f>SUM('1:2'!S455)</f>
        <v>0</v>
      </c>
      <c r="T455" s="93">
        <f>SUM('1:2'!T455)</f>
        <v>0</v>
      </c>
      <c r="U455" s="93">
        <f>SUM('1:2'!U455)</f>
        <v>0</v>
      </c>
      <c r="V455" s="206">
        <f t="shared" ref="V455:V456" si="181">SUM(X455:AA455)</f>
        <v>0</v>
      </c>
      <c r="W455" s="33" t="str">
        <f t="shared" ref="W455:W456" si="182">IF(ISERROR(V455/G455),"",V455/G455)</f>
        <v/>
      </c>
      <c r="X455" s="93">
        <f>SUM('1:2'!X455)</f>
        <v>0</v>
      </c>
      <c r="Y455" s="93">
        <f>SUM('1:2'!Y455)</f>
        <v>0</v>
      </c>
      <c r="Z455" s="93">
        <f>SUM('1:2'!Z455)</f>
        <v>0</v>
      </c>
      <c r="AA455" s="93">
        <f>SUM('1:2'!AA455)</f>
        <v>0</v>
      </c>
      <c r="AB455" s="358">
        <v>0.67</v>
      </c>
      <c r="AC455" s="269">
        <f t="shared" si="170"/>
        <v>0</v>
      </c>
      <c r="AD455" s="251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 ht="17.25">
      <c r="A456" s="320">
        <v>30400002</v>
      </c>
      <c r="B456" s="65" t="s">
        <v>514</v>
      </c>
      <c r="C456" s="16" t="s">
        <v>72</v>
      </c>
      <c r="D456" s="17">
        <v>5.0599999999999996</v>
      </c>
      <c r="E456" s="17"/>
      <c r="F456" s="6"/>
      <c r="G456" s="93">
        <f>SUM('1:2'!G456)</f>
        <v>0</v>
      </c>
      <c r="H456" s="246">
        <f t="shared" si="176"/>
        <v>0</v>
      </c>
      <c r="I456" s="93">
        <f>SUM('1:2'!I456)</f>
        <v>0</v>
      </c>
      <c r="J456" s="31" t="str">
        <f t="array" ref="J456">IF(ISERROR(G456/I456),"",G456/I456)</f>
        <v/>
      </c>
      <c r="K456" s="35">
        <f t="array" ref="K456">IF(ISERROR(G456/L456),"",G456/L456)</f>
        <v>0</v>
      </c>
      <c r="L456" s="87">
        <v>15.5</v>
      </c>
      <c r="M456" s="36">
        <f t="shared" si="177"/>
        <v>0</v>
      </c>
      <c r="N456" s="31">
        <f t="shared" si="178"/>
        <v>0</v>
      </c>
      <c r="O456" s="93">
        <f>SUM('1:2'!O456)</f>
        <v>0</v>
      </c>
      <c r="P456" s="93">
        <f>SUM('1:2'!P456)</f>
        <v>0</v>
      </c>
      <c r="Q456" s="93">
        <f>SUM('1:2'!Q456)</f>
        <v>0</v>
      </c>
      <c r="R456" s="93">
        <f>SUM('1:2'!R456)</f>
        <v>0</v>
      </c>
      <c r="S456" s="93">
        <f>SUM('1:2'!S456)</f>
        <v>0</v>
      </c>
      <c r="T456" s="93">
        <f>SUM('1:2'!T456)</f>
        <v>0</v>
      </c>
      <c r="U456" s="93">
        <f>SUM('1:2'!U456)</f>
        <v>0</v>
      </c>
      <c r="V456" s="206">
        <f t="shared" si="181"/>
        <v>0</v>
      </c>
      <c r="W456" s="33" t="str">
        <f t="shared" si="182"/>
        <v/>
      </c>
      <c r="X456" s="93">
        <f>SUM('1:2'!X456)</f>
        <v>0</v>
      </c>
      <c r="Y456" s="93">
        <f>SUM('1:2'!Y456)</f>
        <v>0</v>
      </c>
      <c r="Z456" s="93">
        <f>SUM('1:2'!Z456)</f>
        <v>0</v>
      </c>
      <c r="AA456" s="93">
        <f>SUM('1:2'!AA456)</f>
        <v>0</v>
      </c>
      <c r="AB456" s="358">
        <v>0.67</v>
      </c>
      <c r="AC456" s="269">
        <f t="shared" si="170"/>
        <v>0</v>
      </c>
      <c r="AD456" s="251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 ht="17.25">
      <c r="A457" s="320">
        <v>30400004</v>
      </c>
      <c r="B457" s="215" t="s">
        <v>419</v>
      </c>
      <c r="C457" s="187" t="s">
        <v>73</v>
      </c>
      <c r="D457" s="17"/>
      <c r="E457" s="17"/>
      <c r="F457" s="6"/>
      <c r="G457" s="93">
        <f>SUM('1:2'!G457)</f>
        <v>0</v>
      </c>
      <c r="H457" s="246">
        <f t="shared" si="176"/>
        <v>0</v>
      </c>
      <c r="I457" s="93">
        <f>SUM('1:2'!I457)</f>
        <v>0</v>
      </c>
      <c r="J457" s="31"/>
      <c r="K457" s="35">
        <f t="array" ref="K457">IF(ISERROR(G457/L457),"",G457/L457)</f>
        <v>0</v>
      </c>
      <c r="L457" s="87">
        <v>24</v>
      </c>
      <c r="M457" s="36">
        <f t="shared" si="177"/>
        <v>0</v>
      </c>
      <c r="N457" s="31"/>
      <c r="O457" s="93"/>
      <c r="P457" s="93"/>
      <c r="Q457" s="93"/>
      <c r="R457" s="93"/>
      <c r="S457" s="93"/>
      <c r="T457" s="93"/>
      <c r="U457" s="93"/>
      <c r="V457" s="206"/>
      <c r="W457" s="33"/>
      <c r="X457" s="93"/>
      <c r="Y457" s="93"/>
      <c r="Z457" s="93"/>
      <c r="AA457" s="93"/>
      <c r="AB457" s="358">
        <v>1.73</v>
      </c>
      <c r="AC457" s="269">
        <f t="shared" si="170"/>
        <v>0</v>
      </c>
      <c r="AD457" s="251"/>
      <c r="AE457" s="54"/>
      <c r="AF457" s="54"/>
      <c r="AG457" s="54"/>
      <c r="AH457" s="5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 ht="17.25">
      <c r="A458" s="320">
        <v>30400003</v>
      </c>
      <c r="B458" s="215" t="s">
        <v>419</v>
      </c>
      <c r="C458" s="187" t="s">
        <v>60</v>
      </c>
      <c r="D458" s="17"/>
      <c r="E458" s="17"/>
      <c r="F458" s="6"/>
      <c r="G458" s="93">
        <f>SUM('1:2'!G458)</f>
        <v>0</v>
      </c>
      <c r="H458" s="246">
        <f t="shared" si="176"/>
        <v>0</v>
      </c>
      <c r="I458" s="93">
        <f>SUM('1:2'!I458)</f>
        <v>0</v>
      </c>
      <c r="J458" s="31"/>
      <c r="K458" s="35">
        <f t="array" ref="K458">IF(ISERROR(G458/L458),"",G458/L458)</f>
        <v>0</v>
      </c>
      <c r="L458" s="87">
        <v>24</v>
      </c>
      <c r="M458" s="36">
        <f t="shared" si="177"/>
        <v>0</v>
      </c>
      <c r="N458" s="31"/>
      <c r="O458" s="93"/>
      <c r="P458" s="93"/>
      <c r="Q458" s="93"/>
      <c r="R458" s="93"/>
      <c r="S458" s="93"/>
      <c r="T458" s="93"/>
      <c r="U458" s="93"/>
      <c r="V458" s="206"/>
      <c r="W458" s="33"/>
      <c r="X458" s="93"/>
      <c r="Y458" s="93"/>
      <c r="Z458" s="93"/>
      <c r="AA458" s="93"/>
      <c r="AB458" s="358">
        <v>1.73</v>
      </c>
      <c r="AC458" s="269">
        <f t="shared" si="170"/>
        <v>0</v>
      </c>
      <c r="AD458" s="251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 ht="17.25">
      <c r="A459" s="320">
        <v>30400005</v>
      </c>
      <c r="B459" s="215" t="s">
        <v>419</v>
      </c>
      <c r="C459" s="187" t="s">
        <v>422</v>
      </c>
      <c r="D459" s="17"/>
      <c r="E459" s="17"/>
      <c r="F459" s="6"/>
      <c r="G459" s="93">
        <f>SUM('1:2'!G459)</f>
        <v>0</v>
      </c>
      <c r="H459" s="246">
        <f t="shared" si="176"/>
        <v>0</v>
      </c>
      <c r="I459" s="93">
        <f>SUM('1:2'!I459)</f>
        <v>0</v>
      </c>
      <c r="J459" s="31"/>
      <c r="K459" s="35">
        <f t="array" ref="K459">IF(ISERROR(G459/L459),"",G459/L459)</f>
        <v>0</v>
      </c>
      <c r="L459" s="87">
        <v>24</v>
      </c>
      <c r="M459" s="36">
        <f t="shared" si="177"/>
        <v>0</v>
      </c>
      <c r="N459" s="31"/>
      <c r="O459" s="93"/>
      <c r="P459" s="93"/>
      <c r="Q459" s="93"/>
      <c r="R459" s="93"/>
      <c r="S459" s="93"/>
      <c r="T459" s="93"/>
      <c r="U459" s="93"/>
      <c r="V459" s="206"/>
      <c r="W459" s="33"/>
      <c r="X459" s="93"/>
      <c r="Y459" s="93"/>
      <c r="Z459" s="93"/>
      <c r="AA459" s="93"/>
      <c r="AB459" s="358">
        <v>1.73</v>
      </c>
      <c r="AC459" s="269">
        <f t="shared" si="170"/>
        <v>0</v>
      </c>
      <c r="AD459" s="251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 ht="17.25">
      <c r="A460" s="320">
        <v>30400007</v>
      </c>
      <c r="B460" s="65" t="s">
        <v>91</v>
      </c>
      <c r="C460" s="16" t="s">
        <v>74</v>
      </c>
      <c r="D460" s="17">
        <v>5.07</v>
      </c>
      <c r="E460" s="17"/>
      <c r="F460" s="6"/>
      <c r="G460" s="93">
        <f>SUM('1:2'!G460)</f>
        <v>0</v>
      </c>
      <c r="H460" s="246">
        <f t="shared" si="176"/>
        <v>0</v>
      </c>
      <c r="I460" s="93">
        <f>SUM('1:2'!I460)</f>
        <v>0</v>
      </c>
      <c r="J460" s="31" t="str">
        <f t="array" ref="J460">IF(ISERROR(G460/I460),"",G460/I460)</f>
        <v/>
      </c>
      <c r="K460" s="35">
        <f t="array" ref="K460">IF(ISERROR(G460/L460),"",G460/L460)</f>
        <v>0</v>
      </c>
      <c r="L460" s="87">
        <v>9</v>
      </c>
      <c r="M460" s="36">
        <f t="shared" si="177"/>
        <v>0</v>
      </c>
      <c r="N460" s="31">
        <f t="shared" ref="N460:N462" si="183">SUM(O460:U460)</f>
        <v>0</v>
      </c>
      <c r="O460" s="93">
        <f>SUM('1:2'!O460)</f>
        <v>0</v>
      </c>
      <c r="P460" s="93">
        <f>SUM('1:2'!P460)</f>
        <v>0</v>
      </c>
      <c r="Q460" s="93">
        <f>SUM('1:2'!Q460)</f>
        <v>0</v>
      </c>
      <c r="R460" s="93">
        <f>SUM('1:2'!R460)</f>
        <v>0</v>
      </c>
      <c r="S460" s="93">
        <f>SUM('1:2'!S460)</f>
        <v>0</v>
      </c>
      <c r="T460" s="93">
        <f>SUM('1:2'!T460)</f>
        <v>0</v>
      </c>
      <c r="U460" s="93">
        <f>SUM('1:2'!U460)</f>
        <v>0</v>
      </c>
      <c r="V460" s="206">
        <f t="shared" ref="V460:V462" si="184">SUM(X460:AA460)</f>
        <v>0</v>
      </c>
      <c r="W460" s="33" t="str">
        <f t="shared" ref="W460:W494" si="185">IF(ISERROR(V460/G460),"",V460/G460)</f>
        <v/>
      </c>
      <c r="X460" s="93">
        <f>SUM('1:2'!X460)</f>
        <v>0</v>
      </c>
      <c r="Y460" s="93">
        <f>SUM('1:2'!Y460)</f>
        <v>0</v>
      </c>
      <c r="Z460" s="93">
        <f>SUM('1:2'!Z460)</f>
        <v>0</v>
      </c>
      <c r="AA460" s="93">
        <f>SUM('1:2'!AA460)</f>
        <v>0</v>
      </c>
      <c r="AB460" s="358">
        <v>1.22</v>
      </c>
      <c r="AC460" s="269">
        <f t="shared" si="170"/>
        <v>0</v>
      </c>
      <c r="AD460" s="251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 ht="17.25">
      <c r="A461" s="320">
        <v>30400006</v>
      </c>
      <c r="B461" s="65" t="s">
        <v>91</v>
      </c>
      <c r="C461" s="16" t="s">
        <v>53</v>
      </c>
      <c r="D461" s="17">
        <v>5.07</v>
      </c>
      <c r="E461" s="17"/>
      <c r="F461" s="6"/>
      <c r="G461" s="93">
        <f>SUM('1:2'!G461)</f>
        <v>0</v>
      </c>
      <c r="H461" s="246">
        <f t="shared" si="176"/>
        <v>0</v>
      </c>
      <c r="I461" s="93">
        <f>SUM('1:2'!I461)</f>
        <v>0</v>
      </c>
      <c r="J461" s="31" t="str">
        <f t="array" ref="J461">IF(ISERROR(G461/I461),"",G461/I461)</f>
        <v/>
      </c>
      <c r="K461" s="35">
        <f t="array" ref="K461">IF(ISERROR(G461/L461),"",G461/L461)</f>
        <v>0</v>
      </c>
      <c r="L461" s="87">
        <v>9</v>
      </c>
      <c r="M461" s="36">
        <f t="shared" si="177"/>
        <v>0</v>
      </c>
      <c r="N461" s="31">
        <f t="shared" si="183"/>
        <v>0</v>
      </c>
      <c r="O461" s="93">
        <f>SUM('1:2'!O461)</f>
        <v>0</v>
      </c>
      <c r="P461" s="93">
        <f>SUM('1:2'!P461)</f>
        <v>0</v>
      </c>
      <c r="Q461" s="93">
        <f>SUM('1:2'!Q461)</f>
        <v>0</v>
      </c>
      <c r="R461" s="93">
        <f>SUM('1:2'!R461)</f>
        <v>0</v>
      </c>
      <c r="S461" s="93">
        <f>SUM('1:2'!S461)</f>
        <v>0</v>
      </c>
      <c r="T461" s="93">
        <f>SUM('1:2'!T461)</f>
        <v>0</v>
      </c>
      <c r="U461" s="93">
        <f>SUM('1:2'!U461)</f>
        <v>0</v>
      </c>
      <c r="V461" s="206">
        <f t="shared" si="184"/>
        <v>0</v>
      </c>
      <c r="W461" s="33" t="str">
        <f t="shared" si="185"/>
        <v/>
      </c>
      <c r="X461" s="93">
        <f>SUM('1:2'!X461)</f>
        <v>0</v>
      </c>
      <c r="Y461" s="93">
        <f>SUM('1:2'!Y461)</f>
        <v>0</v>
      </c>
      <c r="Z461" s="93">
        <f>SUM('1:2'!Z461)</f>
        <v>0</v>
      </c>
      <c r="AA461" s="93">
        <f>SUM('1:2'!AA461)</f>
        <v>0</v>
      </c>
      <c r="AB461" s="358">
        <v>1.22</v>
      </c>
      <c r="AC461" s="269">
        <f t="shared" si="170"/>
        <v>0</v>
      </c>
      <c r="AD461" s="251"/>
      <c r="AE461" s="54"/>
      <c r="AF461" s="54"/>
      <c r="AG461" s="54"/>
      <c r="AH461" s="5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 ht="17.25">
      <c r="A462" s="320">
        <v>30400006</v>
      </c>
      <c r="B462" s="65" t="s">
        <v>91</v>
      </c>
      <c r="C462" s="16" t="s">
        <v>60</v>
      </c>
      <c r="D462" s="17">
        <v>5.0599999999999996</v>
      </c>
      <c r="E462" s="17"/>
      <c r="F462" s="53"/>
      <c r="G462" s="93">
        <f>SUM('1:2'!G462)</f>
        <v>0</v>
      </c>
      <c r="H462" s="246">
        <f t="shared" si="176"/>
        <v>0</v>
      </c>
      <c r="I462" s="93">
        <f>SUM('1:2'!I462)</f>
        <v>0</v>
      </c>
      <c r="J462" s="31" t="str">
        <f t="array" ref="J462">IF(ISERROR(G462/I462),"",G462/I462)</f>
        <v/>
      </c>
      <c r="K462" s="246">
        <f t="array" ref="K462">IF(ISERROR(G462/L462),"",G462/L462)</f>
        <v>0</v>
      </c>
      <c r="L462" s="87">
        <v>9</v>
      </c>
      <c r="M462" s="36">
        <f t="shared" si="177"/>
        <v>0</v>
      </c>
      <c r="N462" s="31">
        <f t="shared" si="183"/>
        <v>0</v>
      </c>
      <c r="O462" s="93">
        <f>SUM('1:2'!O462)</f>
        <v>0</v>
      </c>
      <c r="P462" s="93">
        <f>SUM('1:2'!P462)</f>
        <v>0</v>
      </c>
      <c r="Q462" s="93">
        <f>SUM('1:2'!Q462)</f>
        <v>0</v>
      </c>
      <c r="R462" s="93">
        <f>SUM('1:2'!R462)</f>
        <v>0</v>
      </c>
      <c r="S462" s="93">
        <f>SUM('1:2'!S462)</f>
        <v>0</v>
      </c>
      <c r="T462" s="93">
        <f>SUM('1:2'!T462)</f>
        <v>0</v>
      </c>
      <c r="U462" s="93">
        <f>SUM('1:2'!U462)</f>
        <v>0</v>
      </c>
      <c r="V462" s="206">
        <f t="shared" si="184"/>
        <v>0</v>
      </c>
      <c r="W462" s="33" t="str">
        <f t="shared" si="185"/>
        <v/>
      </c>
      <c r="X462" s="93">
        <f>SUM('1:2'!X462)</f>
        <v>0</v>
      </c>
      <c r="Y462" s="93">
        <f>SUM('1:2'!Y462)</f>
        <v>0</v>
      </c>
      <c r="Z462" s="93">
        <f>SUM('1:2'!Z462)</f>
        <v>0</v>
      </c>
      <c r="AA462" s="93">
        <f>SUM('1:2'!AA462)</f>
        <v>0</v>
      </c>
      <c r="AB462" s="358">
        <v>1.22</v>
      </c>
      <c r="AC462" s="269">
        <f t="shared" si="170"/>
        <v>0</v>
      </c>
      <c r="AD462" s="251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 ht="15.75">
      <c r="A463" s="691" t="s">
        <v>92</v>
      </c>
      <c r="B463" s="692"/>
      <c r="C463" s="243" t="s">
        <v>71</v>
      </c>
      <c r="D463" s="20"/>
      <c r="E463" s="20"/>
      <c r="F463" s="32"/>
      <c r="G463" s="99">
        <f>SUM(G429:G462)</f>
        <v>1732</v>
      </c>
      <c r="H463" s="30">
        <f>SUM(H429:H462)</f>
        <v>8711.9600000000009</v>
      </c>
      <c r="I463" s="30">
        <f>SUM(I429:I462)</f>
        <v>173.5</v>
      </c>
      <c r="J463" s="31">
        <f t="array" ref="J463">IF(ISERROR(G463/I463),"",G463/I463)</f>
        <v>9.9827089337175785</v>
      </c>
      <c r="K463" s="30">
        <f>SUM(K429:K462)</f>
        <v>191.37463343108504</v>
      </c>
      <c r="L463" s="98"/>
      <c r="M463" s="89">
        <f t="shared" ref="M463:V463" si="186">SUM(M429:M462)</f>
        <v>-17.874633431085034</v>
      </c>
      <c r="N463" s="30">
        <f t="shared" si="186"/>
        <v>0</v>
      </c>
      <c r="O463" s="91">
        <f t="shared" si="186"/>
        <v>0</v>
      </c>
      <c r="P463" s="91">
        <f t="shared" si="186"/>
        <v>0</v>
      </c>
      <c r="Q463" s="91">
        <f t="shared" si="186"/>
        <v>0</v>
      </c>
      <c r="R463" s="91">
        <f t="shared" si="186"/>
        <v>0</v>
      </c>
      <c r="S463" s="92">
        <f t="shared" si="186"/>
        <v>0</v>
      </c>
      <c r="T463" s="91">
        <f t="shared" si="186"/>
        <v>0</v>
      </c>
      <c r="U463" s="91">
        <f t="shared" si="186"/>
        <v>0</v>
      </c>
      <c r="V463" s="206">
        <f t="shared" si="186"/>
        <v>0</v>
      </c>
      <c r="W463" s="33">
        <f t="shared" si="185"/>
        <v>0</v>
      </c>
      <c r="X463" s="92">
        <f>SUM(X429:X462)</f>
        <v>0</v>
      </c>
      <c r="Y463" s="92">
        <f>SUM(Y429:Y462)</f>
        <v>0</v>
      </c>
      <c r="Z463" s="92">
        <f>SUM(Z429:Z462)</f>
        <v>0</v>
      </c>
      <c r="AA463" s="92">
        <f>SUM(AA429:AA462)</f>
        <v>0</v>
      </c>
      <c r="AB463" s="75"/>
      <c r="AC463" s="270">
        <f>SUM(AC429:AC462)</f>
        <v>1756.21</v>
      </c>
      <c r="AD463" s="251"/>
      <c r="AE463" s="74"/>
      <c r="AF463" s="74"/>
      <c r="AG463" s="74"/>
      <c r="AH463" s="7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 ht="17.25">
      <c r="A464" s="320">
        <v>30100038</v>
      </c>
      <c r="B464" s="62" t="s">
        <v>93</v>
      </c>
      <c r="C464" s="16" t="s">
        <v>94</v>
      </c>
      <c r="D464" s="17">
        <v>5.03</v>
      </c>
      <c r="E464" s="17"/>
      <c r="F464" s="6"/>
      <c r="G464" s="93">
        <f>SUM('1:2'!G464)</f>
        <v>0</v>
      </c>
      <c r="H464" s="246">
        <f>D464*G464</f>
        <v>0</v>
      </c>
      <c r="I464" s="93">
        <f>SUM('1:2'!I464)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87">
        <v>25</v>
      </c>
      <c r="M464" s="36">
        <f t="shared" ref="M464:M478" si="187">IF(ISERROR(I464-K464),"",I464-K464)</f>
        <v>0</v>
      </c>
      <c r="N464" s="31">
        <f t="shared" ref="N464:N478" si="188">SUM(O464:U464)</f>
        <v>0</v>
      </c>
      <c r="O464" s="93">
        <f>SUM('1:2'!O464)</f>
        <v>0</v>
      </c>
      <c r="P464" s="93">
        <f>SUM('1:2'!P464)</f>
        <v>0</v>
      </c>
      <c r="Q464" s="93">
        <f>SUM('1:2'!Q464)</f>
        <v>0</v>
      </c>
      <c r="R464" s="93">
        <f>SUM('1:2'!R464)</f>
        <v>0</v>
      </c>
      <c r="S464" s="93">
        <f>SUM('1:2'!S464)</f>
        <v>0</v>
      </c>
      <c r="T464" s="93">
        <f>SUM('1:2'!T464)</f>
        <v>0</v>
      </c>
      <c r="U464" s="93">
        <f>SUM('1:2'!U464)</f>
        <v>0</v>
      </c>
      <c r="V464" s="206">
        <f t="shared" ref="V464:V478" si="189">SUM(X464:AA464)</f>
        <v>0</v>
      </c>
      <c r="W464" s="33" t="str">
        <f t="shared" si="185"/>
        <v/>
      </c>
      <c r="X464" s="93">
        <f>SUM('1:2'!X464)</f>
        <v>0</v>
      </c>
      <c r="Y464" s="93">
        <f>SUM('1:2'!Y464)</f>
        <v>0</v>
      </c>
      <c r="Z464" s="93">
        <f>SUM('1:2'!Z464)</f>
        <v>0</v>
      </c>
      <c r="AA464" s="93">
        <f>SUM('1:2'!AA464)</f>
        <v>0</v>
      </c>
      <c r="AB464" s="358">
        <v>0.41</v>
      </c>
      <c r="AC464" s="269">
        <f t="shared" si="170"/>
        <v>0</v>
      </c>
      <c r="AD464" s="251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 ht="17.25">
      <c r="A465" s="320">
        <v>30100037</v>
      </c>
      <c r="B465" s="62" t="s">
        <v>93</v>
      </c>
      <c r="C465" s="16" t="s">
        <v>74</v>
      </c>
      <c r="D465" s="17">
        <v>5.03</v>
      </c>
      <c r="E465" s="17"/>
      <c r="F465" s="6"/>
      <c r="G465" s="93">
        <f>SUM('1:2'!G465)</f>
        <v>0</v>
      </c>
      <c r="H465" s="246">
        <f t="shared" ref="H465:H478" si="190">D465*G465</f>
        <v>0</v>
      </c>
      <c r="I465" s="93">
        <f>SUM('1:2'!I465)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87">
        <v>25</v>
      </c>
      <c r="M465" s="36">
        <f t="shared" si="187"/>
        <v>0</v>
      </c>
      <c r="N465" s="31">
        <f t="shared" si="188"/>
        <v>0</v>
      </c>
      <c r="O465" s="93">
        <f>SUM('1:2'!O465)</f>
        <v>0</v>
      </c>
      <c r="P465" s="93">
        <f>SUM('1:2'!P465)</f>
        <v>0</v>
      </c>
      <c r="Q465" s="93">
        <f>SUM('1:2'!Q465)</f>
        <v>0</v>
      </c>
      <c r="R465" s="93">
        <f>SUM('1:2'!R465)</f>
        <v>0</v>
      </c>
      <c r="S465" s="93">
        <f>SUM('1:2'!S465)</f>
        <v>0</v>
      </c>
      <c r="T465" s="93">
        <f>SUM('1:2'!T465)</f>
        <v>0</v>
      </c>
      <c r="U465" s="93">
        <f>SUM('1:2'!U465)</f>
        <v>0</v>
      </c>
      <c r="V465" s="206">
        <f t="shared" si="189"/>
        <v>0</v>
      </c>
      <c r="W465" s="33" t="str">
        <f t="shared" si="185"/>
        <v/>
      </c>
      <c r="X465" s="93">
        <f>SUM('1:2'!X465)</f>
        <v>0</v>
      </c>
      <c r="Y465" s="93">
        <f>SUM('1:2'!Y465)</f>
        <v>0</v>
      </c>
      <c r="Z465" s="93">
        <f>SUM('1:2'!Z465)</f>
        <v>0</v>
      </c>
      <c r="AA465" s="93">
        <f>SUM('1:2'!AA465)</f>
        <v>0</v>
      </c>
      <c r="AB465" s="358">
        <v>0.41</v>
      </c>
      <c r="AC465" s="269">
        <f t="shared" si="170"/>
        <v>0</v>
      </c>
      <c r="AD465" s="251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 ht="17.25">
      <c r="A466" s="320">
        <v>30100051</v>
      </c>
      <c r="B466" s="62" t="s">
        <v>58</v>
      </c>
      <c r="C466" s="16" t="s">
        <v>65</v>
      </c>
      <c r="D466" s="17">
        <v>5.04</v>
      </c>
      <c r="E466" s="17"/>
      <c r="F466" s="6"/>
      <c r="G466" s="93">
        <f>SUM('1:2'!G466)</f>
        <v>0</v>
      </c>
      <c r="H466" s="246">
        <f t="shared" si="190"/>
        <v>0</v>
      </c>
      <c r="I466" s="93">
        <f>SUM('1:2'!I466)</f>
        <v>0</v>
      </c>
      <c r="J466" s="31" t="str">
        <f t="array" ref="J466">IF(ISERROR(G466/I466),"",G466/I466)</f>
        <v/>
      </c>
      <c r="K466" s="35">
        <f t="array" ref="K466">IF(ISERROR(G466/L466),"",G466/L466)</f>
        <v>0</v>
      </c>
      <c r="L466" s="87">
        <v>20</v>
      </c>
      <c r="M466" s="36">
        <f t="shared" si="187"/>
        <v>0</v>
      </c>
      <c r="N466" s="31">
        <f t="shared" si="188"/>
        <v>0</v>
      </c>
      <c r="O466" s="93">
        <f>SUM('1:2'!O466)</f>
        <v>0</v>
      </c>
      <c r="P466" s="93">
        <f>SUM('1:2'!P466)</f>
        <v>0</v>
      </c>
      <c r="Q466" s="93">
        <f>SUM('1:2'!Q466)</f>
        <v>0</v>
      </c>
      <c r="R466" s="93">
        <f>SUM('1:2'!R466)</f>
        <v>0</v>
      </c>
      <c r="S466" s="93">
        <f>SUM('1:2'!S466)</f>
        <v>0</v>
      </c>
      <c r="T466" s="93">
        <f>SUM('1:2'!T466)</f>
        <v>0</v>
      </c>
      <c r="U466" s="93">
        <f>SUM('1:2'!U466)</f>
        <v>0</v>
      </c>
      <c r="V466" s="206">
        <f t="shared" si="189"/>
        <v>0</v>
      </c>
      <c r="W466" s="33" t="str">
        <f t="shared" si="185"/>
        <v/>
      </c>
      <c r="X466" s="93">
        <f>SUM('1:2'!X466)</f>
        <v>0</v>
      </c>
      <c r="Y466" s="93">
        <f>SUM('1:2'!Y466)</f>
        <v>0</v>
      </c>
      <c r="Z466" s="93">
        <f>SUM('1:2'!Z466)</f>
        <v>0</v>
      </c>
      <c r="AA466" s="93">
        <f>SUM('1:2'!AA466)</f>
        <v>0</v>
      </c>
      <c r="AB466" s="358">
        <v>0.52</v>
      </c>
      <c r="AC466" s="269">
        <f t="shared" si="170"/>
        <v>0</v>
      </c>
      <c r="AD466" s="251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 ht="17.25">
      <c r="A467" s="320"/>
      <c r="B467" s="63" t="s">
        <v>95</v>
      </c>
      <c r="C467" s="16" t="s">
        <v>82</v>
      </c>
      <c r="D467" s="17">
        <v>5.03</v>
      </c>
      <c r="E467" s="17"/>
      <c r="F467" s="6"/>
      <c r="G467" s="93">
        <f>SUM('1:2'!G467)</f>
        <v>0</v>
      </c>
      <c r="H467" s="246">
        <f t="shared" si="190"/>
        <v>0</v>
      </c>
      <c r="I467" s="93">
        <f>SUM('1:2'!I467)</f>
        <v>0</v>
      </c>
      <c r="J467" s="31" t="str">
        <f t="array" ref="J467">IF(ISERROR(G467/I467),"",G467/I467)</f>
        <v/>
      </c>
      <c r="K467" s="35">
        <f t="array" ref="K467">IF(ISERROR(G467/L467),"",G467/L467)</f>
        <v>0</v>
      </c>
      <c r="L467" s="87">
        <v>4</v>
      </c>
      <c r="M467" s="36">
        <f t="shared" si="187"/>
        <v>0</v>
      </c>
      <c r="N467" s="31">
        <f t="shared" si="188"/>
        <v>0</v>
      </c>
      <c r="O467" s="93">
        <f>SUM('1:2'!O467)</f>
        <v>0</v>
      </c>
      <c r="P467" s="93">
        <f>SUM('1:2'!P467)</f>
        <v>0</v>
      </c>
      <c r="Q467" s="93">
        <f>SUM('1:2'!Q467)</f>
        <v>0</v>
      </c>
      <c r="R467" s="93">
        <f>SUM('1:2'!R467)</f>
        <v>0</v>
      </c>
      <c r="S467" s="93">
        <f>SUM('1:2'!S467)</f>
        <v>0</v>
      </c>
      <c r="T467" s="93">
        <f>SUM('1:2'!T467)</f>
        <v>0</v>
      </c>
      <c r="U467" s="93">
        <f>SUM('1:2'!U467)</f>
        <v>0</v>
      </c>
      <c r="V467" s="206">
        <f t="shared" si="189"/>
        <v>0</v>
      </c>
      <c r="W467" s="33" t="str">
        <f t="shared" si="185"/>
        <v/>
      </c>
      <c r="X467" s="93">
        <f>SUM('1:2'!X467)</f>
        <v>0</v>
      </c>
      <c r="Y467" s="93">
        <f>SUM('1:2'!Y467)</f>
        <v>0</v>
      </c>
      <c r="Z467" s="93">
        <f>SUM('1:2'!Z467)</f>
        <v>0</v>
      </c>
      <c r="AA467" s="93">
        <f>SUM('1:2'!AA467)</f>
        <v>0</v>
      </c>
      <c r="AB467" s="358">
        <v>0.59</v>
      </c>
      <c r="AC467" s="269">
        <f t="shared" si="170"/>
        <v>0</v>
      </c>
      <c r="AD467" s="251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 ht="15.75">
      <c r="A468" s="299">
        <v>30100054</v>
      </c>
      <c r="B468" s="63" t="s">
        <v>95</v>
      </c>
      <c r="C468" s="247" t="s">
        <v>72</v>
      </c>
      <c r="D468" s="17">
        <v>5.03</v>
      </c>
      <c r="E468" s="17"/>
      <c r="F468" s="6"/>
      <c r="G468" s="93">
        <f>SUM('1:2'!G468)</f>
        <v>0</v>
      </c>
      <c r="H468" s="246">
        <f t="shared" si="190"/>
        <v>0</v>
      </c>
      <c r="I468" s="93">
        <f>SUM('1:2'!I468)</f>
        <v>0</v>
      </c>
      <c r="J468" s="31" t="str">
        <f t="array" ref="J468">IF(ISERROR(G468/I468),"",G468/I468)</f>
        <v/>
      </c>
      <c r="K468" s="35">
        <f t="array" ref="K468">IF(ISERROR(G468/L468),"",G468/L468)</f>
        <v>0</v>
      </c>
      <c r="L468" s="87">
        <v>4</v>
      </c>
      <c r="M468" s="36">
        <f t="shared" si="187"/>
        <v>0</v>
      </c>
      <c r="N468" s="31">
        <f t="shared" si="188"/>
        <v>0</v>
      </c>
      <c r="O468" s="93">
        <f>SUM('1:2'!O468)</f>
        <v>0</v>
      </c>
      <c r="P468" s="93">
        <f>SUM('1:2'!P468)</f>
        <v>0</v>
      </c>
      <c r="Q468" s="93">
        <f>SUM('1:2'!Q468)</f>
        <v>0</v>
      </c>
      <c r="R468" s="93">
        <f>SUM('1:2'!R468)</f>
        <v>0</v>
      </c>
      <c r="S468" s="93">
        <f>SUM('1:2'!S468)</f>
        <v>0</v>
      </c>
      <c r="T468" s="93">
        <f>SUM('1:2'!T468)</f>
        <v>0</v>
      </c>
      <c r="U468" s="93">
        <f>SUM('1:2'!U468)</f>
        <v>0</v>
      </c>
      <c r="V468" s="206">
        <f t="shared" si="189"/>
        <v>0</v>
      </c>
      <c r="W468" s="33" t="str">
        <f t="shared" si="185"/>
        <v/>
      </c>
      <c r="X468" s="93">
        <f>SUM('1:2'!X468)</f>
        <v>0</v>
      </c>
      <c r="Y468" s="93">
        <f>SUM('1:2'!Y468)</f>
        <v>0</v>
      </c>
      <c r="Z468" s="93">
        <f>SUM('1:2'!Z468)</f>
        <v>0</v>
      </c>
      <c r="AA468" s="93">
        <f>SUM('1:2'!AA468)</f>
        <v>0</v>
      </c>
      <c r="AB468" s="358">
        <v>0.59</v>
      </c>
      <c r="AC468" s="269">
        <f t="shared" si="170"/>
        <v>0</v>
      </c>
      <c r="AD468" s="251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 ht="15.75">
      <c r="A469" s="299">
        <v>30100053</v>
      </c>
      <c r="B469" s="63" t="s">
        <v>95</v>
      </c>
      <c r="C469" s="16" t="s">
        <v>73</v>
      </c>
      <c r="D469" s="17">
        <v>5.03</v>
      </c>
      <c r="E469" s="17"/>
      <c r="F469" s="6"/>
      <c r="G469" s="93">
        <f>SUM('1:2'!G469)</f>
        <v>0</v>
      </c>
      <c r="H469" s="246">
        <f t="shared" si="190"/>
        <v>0</v>
      </c>
      <c r="I469" s="93">
        <f>SUM('1:2'!I469)</f>
        <v>0</v>
      </c>
      <c r="J469" s="31" t="str">
        <f t="array" ref="J469">IF(ISERROR(G469/I469),"",G469/I469)</f>
        <v/>
      </c>
      <c r="K469" s="35">
        <f t="array" ref="K469">IF(ISERROR(G469/L469),"",G469/L469)</f>
        <v>0</v>
      </c>
      <c r="L469" s="87">
        <v>4</v>
      </c>
      <c r="M469" s="36">
        <f t="shared" si="187"/>
        <v>0</v>
      </c>
      <c r="N469" s="31">
        <f t="shared" si="188"/>
        <v>0</v>
      </c>
      <c r="O469" s="93">
        <f>SUM('1:2'!O469)</f>
        <v>0</v>
      </c>
      <c r="P469" s="93">
        <f>SUM('1:2'!P469)</f>
        <v>0</v>
      </c>
      <c r="Q469" s="93">
        <f>SUM('1:2'!Q469)</f>
        <v>0</v>
      </c>
      <c r="R469" s="93">
        <f>SUM('1:2'!R469)</f>
        <v>0</v>
      </c>
      <c r="S469" s="93">
        <f>SUM('1:2'!S469)</f>
        <v>0</v>
      </c>
      <c r="T469" s="93">
        <f>SUM('1:2'!T469)</f>
        <v>0</v>
      </c>
      <c r="U469" s="93">
        <f>SUM('1:2'!U469)</f>
        <v>0</v>
      </c>
      <c r="V469" s="206">
        <f t="shared" si="189"/>
        <v>0</v>
      </c>
      <c r="W469" s="33" t="str">
        <f t="shared" si="185"/>
        <v/>
      </c>
      <c r="X469" s="93">
        <f>SUM('1:2'!X469)</f>
        <v>0</v>
      </c>
      <c r="Y469" s="93">
        <f>SUM('1:2'!Y469)</f>
        <v>0</v>
      </c>
      <c r="Z469" s="93">
        <f>SUM('1:2'!Z469)</f>
        <v>0</v>
      </c>
      <c r="AA469" s="93">
        <f>SUM('1:2'!AA469)</f>
        <v>0</v>
      </c>
      <c r="AB469" s="358">
        <v>0.59</v>
      </c>
      <c r="AC469" s="269">
        <f t="shared" si="170"/>
        <v>0</v>
      </c>
      <c r="AD469" s="251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 ht="17.25">
      <c r="A470" s="320"/>
      <c r="B470" s="63" t="s">
        <v>95</v>
      </c>
      <c r="C470" s="16" t="s">
        <v>60</v>
      </c>
      <c r="D470" s="17">
        <v>5.03</v>
      </c>
      <c r="E470" s="17"/>
      <c r="F470" s="6"/>
      <c r="G470" s="93">
        <f>SUM('1:2'!G470)</f>
        <v>0</v>
      </c>
      <c r="H470" s="246">
        <f t="shared" si="190"/>
        <v>0</v>
      </c>
      <c r="I470" s="93">
        <f>SUM('1:2'!I470)</f>
        <v>0</v>
      </c>
      <c r="J470" s="31" t="str">
        <f t="array" ref="J470">IF(ISERROR(G470/I470),"",G470/I470)</f>
        <v/>
      </c>
      <c r="K470" s="35">
        <f t="array" ref="K470">IF(ISERROR(G470/L470),"",G470/L470)</f>
        <v>0</v>
      </c>
      <c r="L470" s="87">
        <v>4</v>
      </c>
      <c r="M470" s="36">
        <f t="shared" si="187"/>
        <v>0</v>
      </c>
      <c r="N470" s="31">
        <f t="shared" si="188"/>
        <v>0</v>
      </c>
      <c r="O470" s="93">
        <f>SUM('1:2'!O470)</f>
        <v>0</v>
      </c>
      <c r="P470" s="93">
        <f>SUM('1:2'!P470)</f>
        <v>0</v>
      </c>
      <c r="Q470" s="93">
        <f>SUM('1:2'!Q470)</f>
        <v>0</v>
      </c>
      <c r="R470" s="93">
        <f>SUM('1:2'!R470)</f>
        <v>0</v>
      </c>
      <c r="S470" s="93">
        <f>SUM('1:2'!S470)</f>
        <v>0</v>
      </c>
      <c r="T470" s="93">
        <f>SUM('1:2'!T470)</f>
        <v>0</v>
      </c>
      <c r="U470" s="93">
        <f>SUM('1:2'!U470)</f>
        <v>0</v>
      </c>
      <c r="V470" s="206">
        <f t="shared" si="189"/>
        <v>0</v>
      </c>
      <c r="W470" s="33" t="str">
        <f t="shared" si="185"/>
        <v/>
      </c>
      <c r="X470" s="93">
        <f>SUM('1:2'!X470)</f>
        <v>0</v>
      </c>
      <c r="Y470" s="93">
        <f>SUM('1:2'!Y470)</f>
        <v>0</v>
      </c>
      <c r="Z470" s="93">
        <f>SUM('1:2'!Z470)</f>
        <v>0</v>
      </c>
      <c r="AA470" s="93">
        <f>SUM('1:2'!AA470)</f>
        <v>0</v>
      </c>
      <c r="AB470" s="358">
        <v>0.59</v>
      </c>
      <c r="AC470" s="269">
        <f t="shared" si="170"/>
        <v>0</v>
      </c>
      <c r="AD470" s="251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 ht="17.25">
      <c r="A471" s="320"/>
      <c r="B471" s="63" t="s">
        <v>95</v>
      </c>
      <c r="C471" s="247" t="s">
        <v>96</v>
      </c>
      <c r="D471" s="17">
        <v>5.03</v>
      </c>
      <c r="E471" s="17"/>
      <c r="F471" s="6"/>
      <c r="G471" s="93">
        <f>SUM('1:2'!G471)</f>
        <v>0</v>
      </c>
      <c r="H471" s="246">
        <f t="shared" si="190"/>
        <v>0</v>
      </c>
      <c r="I471" s="93">
        <f>SUM('1:2'!I471)</f>
        <v>0</v>
      </c>
      <c r="J471" s="31" t="str">
        <f t="array" ref="J471">IF(ISERROR(G471/I471),"",G471/I471)</f>
        <v/>
      </c>
      <c r="K471" s="35">
        <f t="array" ref="K471">IF(ISERROR(G471/L471),"",G471/L471)</f>
        <v>0</v>
      </c>
      <c r="L471" s="87">
        <v>4</v>
      </c>
      <c r="M471" s="36">
        <f t="shared" si="187"/>
        <v>0</v>
      </c>
      <c r="N471" s="31">
        <f t="shared" si="188"/>
        <v>0</v>
      </c>
      <c r="O471" s="93">
        <f>SUM('1:2'!O471)</f>
        <v>0</v>
      </c>
      <c r="P471" s="93">
        <f>SUM('1:2'!P471)</f>
        <v>0</v>
      </c>
      <c r="Q471" s="93">
        <f>SUM('1:2'!Q471)</f>
        <v>0</v>
      </c>
      <c r="R471" s="93">
        <f>SUM('1:2'!R471)</f>
        <v>0</v>
      </c>
      <c r="S471" s="93">
        <f>SUM('1:2'!S471)</f>
        <v>0</v>
      </c>
      <c r="T471" s="93">
        <f>SUM('1:2'!T471)</f>
        <v>0</v>
      </c>
      <c r="U471" s="93">
        <f>SUM('1:2'!U471)</f>
        <v>0</v>
      </c>
      <c r="V471" s="206">
        <f t="shared" si="189"/>
        <v>0</v>
      </c>
      <c r="W471" s="33" t="str">
        <f t="shared" si="185"/>
        <v/>
      </c>
      <c r="X471" s="93">
        <f>SUM('1:2'!X471)</f>
        <v>0</v>
      </c>
      <c r="Y471" s="93">
        <f>SUM('1:2'!Y471)</f>
        <v>0</v>
      </c>
      <c r="Z471" s="93">
        <f>SUM('1:2'!Z471)</f>
        <v>0</v>
      </c>
      <c r="AA471" s="93">
        <f>SUM('1:2'!AA471)</f>
        <v>0</v>
      </c>
      <c r="AB471" s="358">
        <v>0.59</v>
      </c>
      <c r="AC471" s="269">
        <f t="shared" si="170"/>
        <v>0</v>
      </c>
      <c r="AD471" s="251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 ht="17.25">
      <c r="A472" s="320">
        <v>30101067</v>
      </c>
      <c r="B472" s="63" t="s">
        <v>97</v>
      </c>
      <c r="C472" s="247" t="s">
        <v>82</v>
      </c>
      <c r="D472" s="17">
        <v>5.03</v>
      </c>
      <c r="E472" s="17"/>
      <c r="F472" s="6"/>
      <c r="G472" s="93">
        <f>SUM('1:2'!G472)</f>
        <v>0</v>
      </c>
      <c r="H472" s="246">
        <f t="shared" si="190"/>
        <v>0</v>
      </c>
      <c r="I472" s="93">
        <f>SUM('1:2'!I472)</f>
        <v>0</v>
      </c>
      <c r="J472" s="31" t="str">
        <f t="array" ref="J472">IF(ISERROR(G472/I472),"",G472/I472)</f>
        <v/>
      </c>
      <c r="K472" s="35" t="str">
        <f t="array" ref="K472">IF(ISERROR(G472/L472),"",G472/L472)</f>
        <v/>
      </c>
      <c r="L472" s="87"/>
      <c r="M472" s="36" t="str">
        <f t="shared" si="187"/>
        <v/>
      </c>
      <c r="N472" s="31">
        <f t="shared" si="188"/>
        <v>0</v>
      </c>
      <c r="O472" s="93">
        <f>SUM('1:2'!O472)</f>
        <v>0</v>
      </c>
      <c r="P472" s="93">
        <f>SUM('1:2'!P472)</f>
        <v>0</v>
      </c>
      <c r="Q472" s="93">
        <f>SUM('1:2'!Q472)</f>
        <v>0</v>
      </c>
      <c r="R472" s="93">
        <f>SUM('1:2'!R472)</f>
        <v>0</v>
      </c>
      <c r="S472" s="93">
        <f>SUM('1:2'!S472)</f>
        <v>0</v>
      </c>
      <c r="T472" s="93">
        <f>SUM('1:2'!T472)</f>
        <v>0</v>
      </c>
      <c r="U472" s="93">
        <f>SUM('1:2'!U472)</f>
        <v>0</v>
      </c>
      <c r="V472" s="206">
        <f t="shared" si="189"/>
        <v>0</v>
      </c>
      <c r="W472" s="33" t="str">
        <f t="shared" si="185"/>
        <v/>
      </c>
      <c r="X472" s="93">
        <f>SUM('1:2'!X472)</f>
        <v>0</v>
      </c>
      <c r="Y472" s="93">
        <f>SUM('1:2'!Y472)</f>
        <v>0</v>
      </c>
      <c r="Z472" s="93">
        <f>SUM('1:2'!Z472)</f>
        <v>0</v>
      </c>
      <c r="AA472" s="93">
        <f>SUM('1:2'!AA472)</f>
        <v>0</v>
      </c>
      <c r="AB472" s="358"/>
      <c r="AC472" s="269">
        <f t="shared" si="170"/>
        <v>0</v>
      </c>
      <c r="AD472" s="251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 ht="17.25">
      <c r="A473" s="320">
        <v>30101068</v>
      </c>
      <c r="B473" s="63" t="s">
        <v>97</v>
      </c>
      <c r="C473" s="247" t="s">
        <v>72</v>
      </c>
      <c r="D473" s="17">
        <v>5.03</v>
      </c>
      <c r="E473" s="17"/>
      <c r="F473" s="6"/>
      <c r="G473" s="93">
        <f>SUM('1:2'!G473)</f>
        <v>0</v>
      </c>
      <c r="H473" s="246">
        <f t="shared" si="190"/>
        <v>0</v>
      </c>
      <c r="I473" s="93">
        <f>SUM('1:2'!I473)</f>
        <v>0</v>
      </c>
      <c r="J473" s="31" t="str">
        <f t="array" ref="J473">IF(ISERROR(G473/I473),"",G473/I473)</f>
        <v/>
      </c>
      <c r="K473" s="35" t="str">
        <f t="array" ref="K473">IF(ISERROR(G473/L473),"",G473/L473)</f>
        <v/>
      </c>
      <c r="L473" s="87"/>
      <c r="M473" s="36" t="str">
        <f t="shared" si="187"/>
        <v/>
      </c>
      <c r="N473" s="31">
        <f t="shared" si="188"/>
        <v>0</v>
      </c>
      <c r="O473" s="93">
        <f>SUM('1:2'!O473)</f>
        <v>0</v>
      </c>
      <c r="P473" s="93">
        <f>SUM('1:2'!P473)</f>
        <v>0</v>
      </c>
      <c r="Q473" s="93">
        <f>SUM('1:2'!Q473)</f>
        <v>0</v>
      </c>
      <c r="R473" s="93">
        <f>SUM('1:2'!R473)</f>
        <v>0</v>
      </c>
      <c r="S473" s="93">
        <f>SUM('1:2'!S473)</f>
        <v>0</v>
      </c>
      <c r="T473" s="93">
        <f>SUM('1:2'!T473)</f>
        <v>0</v>
      </c>
      <c r="U473" s="93">
        <f>SUM('1:2'!U473)</f>
        <v>0</v>
      </c>
      <c r="V473" s="206">
        <f t="shared" si="189"/>
        <v>0</v>
      </c>
      <c r="W473" s="33" t="str">
        <f t="shared" si="185"/>
        <v/>
      </c>
      <c r="X473" s="93">
        <f>SUM('1:2'!X473)</f>
        <v>0</v>
      </c>
      <c r="Y473" s="93">
        <f>SUM('1:2'!Y473)</f>
        <v>0</v>
      </c>
      <c r="Z473" s="93">
        <f>SUM('1:2'!Z473)</f>
        <v>0</v>
      </c>
      <c r="AA473" s="93">
        <f>SUM('1:2'!AA473)</f>
        <v>0</v>
      </c>
      <c r="AB473" s="358"/>
      <c r="AC473" s="269">
        <f t="shared" si="170"/>
        <v>0</v>
      </c>
      <c r="AD473" s="251"/>
      <c r="AE473" s="54"/>
      <c r="AF473" s="54"/>
      <c r="AG473" s="54"/>
      <c r="AH473" s="5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 ht="17.25">
      <c r="A474" s="320">
        <v>30101069</v>
      </c>
      <c r="B474" s="63" t="s">
        <v>97</v>
      </c>
      <c r="C474" s="247" t="s">
        <v>60</v>
      </c>
      <c r="D474" s="17">
        <v>5.03</v>
      </c>
      <c r="E474" s="17"/>
      <c r="F474" s="6"/>
      <c r="G474" s="93">
        <f>SUM('1:2'!G474)</f>
        <v>0</v>
      </c>
      <c r="H474" s="246">
        <f t="shared" si="190"/>
        <v>0</v>
      </c>
      <c r="I474" s="93">
        <f>SUM('1:2'!I474)</f>
        <v>0</v>
      </c>
      <c r="J474" s="31" t="str">
        <f t="array" ref="J474">IF(ISERROR(G474/I474),"",G474/I474)</f>
        <v/>
      </c>
      <c r="K474" s="35" t="str">
        <f t="array" ref="K474">IF(ISERROR(G474/L474),"",G474/L474)</f>
        <v/>
      </c>
      <c r="L474" s="87"/>
      <c r="M474" s="36" t="str">
        <f t="shared" si="187"/>
        <v/>
      </c>
      <c r="N474" s="31">
        <f t="shared" si="188"/>
        <v>0</v>
      </c>
      <c r="O474" s="93">
        <f>SUM('1:2'!O474)</f>
        <v>0</v>
      </c>
      <c r="P474" s="93">
        <f>SUM('1:2'!P474)</f>
        <v>0</v>
      </c>
      <c r="Q474" s="93">
        <f>SUM('1:2'!Q474)</f>
        <v>0</v>
      </c>
      <c r="R474" s="93">
        <f>SUM('1:2'!R474)</f>
        <v>0</v>
      </c>
      <c r="S474" s="93">
        <f>SUM('1:2'!S474)</f>
        <v>0</v>
      </c>
      <c r="T474" s="93">
        <f>SUM('1:2'!T474)</f>
        <v>0</v>
      </c>
      <c r="U474" s="93">
        <f>SUM('1:2'!U474)</f>
        <v>0</v>
      </c>
      <c r="V474" s="206">
        <f t="shared" si="189"/>
        <v>0</v>
      </c>
      <c r="W474" s="33" t="str">
        <f t="shared" si="185"/>
        <v/>
      </c>
      <c r="X474" s="93">
        <f>SUM('1:2'!X474)</f>
        <v>0</v>
      </c>
      <c r="Y474" s="93">
        <f>SUM('1:2'!Y474)</f>
        <v>0</v>
      </c>
      <c r="Z474" s="93">
        <f>SUM('1:2'!Z474)</f>
        <v>0</v>
      </c>
      <c r="AA474" s="93">
        <f>SUM('1:2'!AA474)</f>
        <v>0</v>
      </c>
      <c r="AB474" s="358"/>
      <c r="AC474" s="269">
        <f t="shared" si="170"/>
        <v>0</v>
      </c>
      <c r="AD474" s="251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 ht="17.25">
      <c r="A475" s="320">
        <v>30101070</v>
      </c>
      <c r="B475" s="63" t="s">
        <v>97</v>
      </c>
      <c r="C475" s="247" t="s">
        <v>96</v>
      </c>
      <c r="D475" s="17">
        <v>5.03</v>
      </c>
      <c r="E475" s="17"/>
      <c r="F475" s="6"/>
      <c r="G475" s="93">
        <f>SUM('1:2'!G475)</f>
        <v>0</v>
      </c>
      <c r="H475" s="246">
        <f t="shared" si="190"/>
        <v>0</v>
      </c>
      <c r="I475" s="93">
        <f>SUM('1:2'!I475)</f>
        <v>0</v>
      </c>
      <c r="J475" s="31" t="str">
        <f t="array" ref="J475">IF(ISERROR(G475/I475),"",G475/I475)</f>
        <v/>
      </c>
      <c r="K475" s="35" t="str">
        <f t="array" ref="K475">IF(ISERROR(G475/L475),"",G475/L475)</f>
        <v/>
      </c>
      <c r="L475" s="87"/>
      <c r="M475" s="36" t="str">
        <f t="shared" si="187"/>
        <v/>
      </c>
      <c r="N475" s="31">
        <f t="shared" si="188"/>
        <v>0</v>
      </c>
      <c r="O475" s="93">
        <f>SUM('1:2'!O475)</f>
        <v>0</v>
      </c>
      <c r="P475" s="93">
        <f>SUM('1:2'!P475)</f>
        <v>0</v>
      </c>
      <c r="Q475" s="93">
        <f>SUM('1:2'!Q475)</f>
        <v>0</v>
      </c>
      <c r="R475" s="93">
        <f>SUM('1:2'!R475)</f>
        <v>0</v>
      </c>
      <c r="S475" s="93">
        <f>SUM('1:2'!S475)</f>
        <v>0</v>
      </c>
      <c r="T475" s="93">
        <f>SUM('1:2'!T475)</f>
        <v>0</v>
      </c>
      <c r="U475" s="93">
        <f>SUM('1:2'!U475)</f>
        <v>0</v>
      </c>
      <c r="V475" s="206">
        <f t="shared" si="189"/>
        <v>0</v>
      </c>
      <c r="W475" s="33" t="str">
        <f t="shared" si="185"/>
        <v/>
      </c>
      <c r="X475" s="93">
        <f>SUM('1:2'!X475)</f>
        <v>0</v>
      </c>
      <c r="Y475" s="93">
        <f>SUM('1:2'!Y475)</f>
        <v>0</v>
      </c>
      <c r="Z475" s="93">
        <f>SUM('1:2'!Z475)</f>
        <v>0</v>
      </c>
      <c r="AA475" s="93">
        <f>SUM('1:2'!AA475)</f>
        <v>0</v>
      </c>
      <c r="AB475" s="358"/>
      <c r="AC475" s="269">
        <f t="shared" si="170"/>
        <v>0</v>
      </c>
      <c r="AD475" s="251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 ht="17.25">
      <c r="A476" s="320">
        <v>30101071</v>
      </c>
      <c r="B476" s="63" t="s">
        <v>97</v>
      </c>
      <c r="C476" s="247" t="s">
        <v>73</v>
      </c>
      <c r="D476" s="17">
        <v>5.03</v>
      </c>
      <c r="E476" s="17"/>
      <c r="F476" s="6"/>
      <c r="G476" s="93">
        <f>SUM('1:2'!G476)</f>
        <v>0</v>
      </c>
      <c r="H476" s="246">
        <f t="shared" si="190"/>
        <v>0</v>
      </c>
      <c r="I476" s="93">
        <f>SUM('1:2'!I476)</f>
        <v>0</v>
      </c>
      <c r="J476" s="31" t="str">
        <f t="array" ref="J476">IF(ISERROR(G476/I476),"",G476/I476)</f>
        <v/>
      </c>
      <c r="K476" s="35" t="str">
        <f t="array" ref="K476">IF(ISERROR(G476/L476),"",G476/L476)</f>
        <v/>
      </c>
      <c r="L476" s="87"/>
      <c r="M476" s="36" t="str">
        <f t="shared" si="187"/>
        <v/>
      </c>
      <c r="N476" s="31">
        <f t="shared" si="188"/>
        <v>0</v>
      </c>
      <c r="O476" s="93">
        <f>SUM('1:2'!O476)</f>
        <v>0</v>
      </c>
      <c r="P476" s="93">
        <f>SUM('1:2'!P476)</f>
        <v>0</v>
      </c>
      <c r="Q476" s="93">
        <f>SUM('1:2'!Q476)</f>
        <v>0</v>
      </c>
      <c r="R476" s="93">
        <f>SUM('1:2'!R476)</f>
        <v>0</v>
      </c>
      <c r="S476" s="93">
        <f>SUM('1:2'!S476)</f>
        <v>0</v>
      </c>
      <c r="T476" s="93">
        <f>SUM('1:2'!T476)</f>
        <v>0</v>
      </c>
      <c r="U476" s="93">
        <f>SUM('1:2'!U476)</f>
        <v>0</v>
      </c>
      <c r="V476" s="206">
        <f t="shared" si="189"/>
        <v>0</v>
      </c>
      <c r="W476" s="33" t="str">
        <f t="shared" si="185"/>
        <v/>
      </c>
      <c r="X476" s="93">
        <f>SUM('1:2'!X476)</f>
        <v>0</v>
      </c>
      <c r="Y476" s="93">
        <f>SUM('1:2'!Y476)</f>
        <v>0</v>
      </c>
      <c r="Z476" s="93">
        <f>SUM('1:2'!Z476)</f>
        <v>0</v>
      </c>
      <c r="AA476" s="93">
        <f>SUM('1:2'!AA476)</f>
        <v>0</v>
      </c>
      <c r="AB476" s="358"/>
      <c r="AC476" s="269">
        <f t="shared" si="170"/>
        <v>0</v>
      </c>
      <c r="AD476" s="251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 ht="17.25">
      <c r="A477" s="316">
        <v>30100001</v>
      </c>
      <c r="B477" s="62" t="s">
        <v>98</v>
      </c>
      <c r="C477" s="16" t="s">
        <v>74</v>
      </c>
      <c r="D477" s="17">
        <v>5.0599999999999996</v>
      </c>
      <c r="E477" s="17"/>
      <c r="F477" s="6"/>
      <c r="G477" s="93">
        <f>SUM('1:2'!G477)</f>
        <v>0</v>
      </c>
      <c r="H477" s="246">
        <f t="shared" si="190"/>
        <v>0</v>
      </c>
      <c r="I477" s="93">
        <f>SUM('1:2'!I477)</f>
        <v>0</v>
      </c>
      <c r="J477" s="31" t="str">
        <f t="array" ref="J477">IF(ISERROR(G477/I477),"",G477/I477)</f>
        <v/>
      </c>
      <c r="K477" s="35">
        <f t="array" ref="K477">IF(ISERROR(G477/L477),"",G477/L477)</f>
        <v>0</v>
      </c>
      <c r="L477" s="87">
        <v>25</v>
      </c>
      <c r="M477" s="36">
        <f t="shared" si="187"/>
        <v>0</v>
      </c>
      <c r="N477" s="31">
        <f t="shared" si="188"/>
        <v>0</v>
      </c>
      <c r="O477" s="93">
        <f>SUM('1:2'!O477)</f>
        <v>0</v>
      </c>
      <c r="P477" s="93">
        <f>SUM('1:2'!P477)</f>
        <v>0</v>
      </c>
      <c r="Q477" s="93">
        <f>SUM('1:2'!Q477)</f>
        <v>0</v>
      </c>
      <c r="R477" s="93">
        <f>SUM('1:2'!R477)</f>
        <v>0</v>
      </c>
      <c r="S477" s="93">
        <f>SUM('1:2'!S477)</f>
        <v>0</v>
      </c>
      <c r="T477" s="93">
        <f>SUM('1:2'!T477)</f>
        <v>0</v>
      </c>
      <c r="U477" s="93">
        <f>SUM('1:2'!U477)</f>
        <v>0</v>
      </c>
      <c r="V477" s="206">
        <f t="shared" si="189"/>
        <v>0</v>
      </c>
      <c r="W477" s="33" t="str">
        <f t="shared" si="185"/>
        <v/>
      </c>
      <c r="X477" s="93">
        <f>SUM('1:2'!X477)</f>
        <v>0</v>
      </c>
      <c r="Y477" s="93">
        <f>SUM('1:2'!Y477)</f>
        <v>0</v>
      </c>
      <c r="Z477" s="93">
        <f>SUM('1:2'!Z477)</f>
        <v>0</v>
      </c>
      <c r="AA477" s="93">
        <f>SUM('1:2'!AA477)</f>
        <v>0</v>
      </c>
      <c r="AB477" s="358">
        <v>0.43</v>
      </c>
      <c r="AC477" s="269">
        <f t="shared" si="170"/>
        <v>0</v>
      </c>
      <c r="AD477" s="251"/>
      <c r="AE477" s="54"/>
      <c r="AF477" s="54"/>
      <c r="AG477" s="54"/>
      <c r="AH477" s="5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 ht="17.25">
      <c r="A478" s="316">
        <v>30100002</v>
      </c>
      <c r="B478" s="62" t="s">
        <v>98</v>
      </c>
      <c r="C478" s="16" t="s">
        <v>94</v>
      </c>
      <c r="D478" s="17">
        <v>5.0599999999999996</v>
      </c>
      <c r="E478" s="17"/>
      <c r="F478" s="6"/>
      <c r="G478" s="93">
        <f>SUM('1:2'!G478)</f>
        <v>0</v>
      </c>
      <c r="H478" s="246">
        <f t="shared" si="190"/>
        <v>0</v>
      </c>
      <c r="I478" s="93">
        <f>SUM('1:2'!I478)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87">
        <v>25</v>
      </c>
      <c r="M478" s="36">
        <f t="shared" si="187"/>
        <v>0</v>
      </c>
      <c r="N478" s="31">
        <f t="shared" si="188"/>
        <v>0</v>
      </c>
      <c r="O478" s="93">
        <f>SUM('1:2'!O478)</f>
        <v>0</v>
      </c>
      <c r="P478" s="93">
        <f>SUM('1:2'!P478)</f>
        <v>0</v>
      </c>
      <c r="Q478" s="93">
        <f>SUM('1:2'!Q478)</f>
        <v>0</v>
      </c>
      <c r="R478" s="93">
        <f>SUM('1:2'!R478)</f>
        <v>0</v>
      </c>
      <c r="S478" s="93">
        <f>SUM('1:2'!S478)</f>
        <v>0</v>
      </c>
      <c r="T478" s="93">
        <f>SUM('1:2'!T478)</f>
        <v>0</v>
      </c>
      <c r="U478" s="93">
        <f>SUM('1:2'!U478)</f>
        <v>0</v>
      </c>
      <c r="V478" s="206">
        <f t="shared" si="189"/>
        <v>0</v>
      </c>
      <c r="W478" s="33" t="str">
        <f t="shared" si="185"/>
        <v/>
      </c>
      <c r="X478" s="93">
        <f>SUM('1:2'!X478)</f>
        <v>0</v>
      </c>
      <c r="Y478" s="93">
        <f>SUM('1:2'!Y478)</f>
        <v>0</v>
      </c>
      <c r="Z478" s="93">
        <f>SUM('1:2'!Z478)</f>
        <v>0</v>
      </c>
      <c r="AA478" s="93">
        <f>SUM('1:2'!AA478)</f>
        <v>0</v>
      </c>
      <c r="AB478" s="358">
        <v>0.43</v>
      </c>
      <c r="AC478" s="269">
        <f t="shared" si="170"/>
        <v>0</v>
      </c>
      <c r="AD478" s="251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 ht="15.75">
      <c r="A479" s="691" t="s">
        <v>99</v>
      </c>
      <c r="B479" s="692"/>
      <c r="C479" s="243" t="s">
        <v>71</v>
      </c>
      <c r="D479" s="20"/>
      <c r="E479" s="20"/>
      <c r="F479" s="32"/>
      <c r="G479" s="99">
        <f>SUM(G464:G478)</f>
        <v>0</v>
      </c>
      <c r="H479" s="30">
        <f>SUM(H464:H478)</f>
        <v>0</v>
      </c>
      <c r="I479" s="30">
        <f>SUM(I464:I478)</f>
        <v>0</v>
      </c>
      <c r="J479" s="31" t="str">
        <f t="array" ref="J479">IF(ISERROR(G479/I479),"",G479/I479)</f>
        <v/>
      </c>
      <c r="K479" s="30">
        <f>SUM(K464:K478)</f>
        <v>0</v>
      </c>
      <c r="L479" s="98"/>
      <c r="M479" s="89">
        <f t="shared" ref="M479:V479" si="191">SUM(M464:M478)</f>
        <v>0</v>
      </c>
      <c r="N479" s="30">
        <f t="shared" si="191"/>
        <v>0</v>
      </c>
      <c r="O479" s="30">
        <f t="shared" si="191"/>
        <v>0</v>
      </c>
      <c r="P479" s="30">
        <f t="shared" si="191"/>
        <v>0</v>
      </c>
      <c r="Q479" s="30">
        <f t="shared" si="191"/>
        <v>0</v>
      </c>
      <c r="R479" s="30">
        <f t="shared" si="191"/>
        <v>0</v>
      </c>
      <c r="S479" s="30">
        <f t="shared" si="191"/>
        <v>0</v>
      </c>
      <c r="T479" s="30">
        <f t="shared" si="191"/>
        <v>0</v>
      </c>
      <c r="U479" s="30">
        <f t="shared" si="191"/>
        <v>0</v>
      </c>
      <c r="V479" s="208">
        <f t="shared" si="191"/>
        <v>0</v>
      </c>
      <c r="W479" s="33" t="str">
        <f t="shared" si="185"/>
        <v/>
      </c>
      <c r="X479" s="94">
        <f>SUM(X464:X478)</f>
        <v>0</v>
      </c>
      <c r="Y479" s="94">
        <f>SUM(Y464:Y478)</f>
        <v>0</v>
      </c>
      <c r="Z479" s="94">
        <f>SUM(Z464:Z478)</f>
        <v>0</v>
      </c>
      <c r="AA479" s="94">
        <f>SUM(AA464:AA478)</f>
        <v>0</v>
      </c>
      <c r="AB479" s="75"/>
      <c r="AC479" s="270">
        <f>SUM(AC464:AC478)</f>
        <v>0</v>
      </c>
      <c r="AD479" s="251"/>
      <c r="AE479" s="74"/>
      <c r="AF479" s="74"/>
      <c r="AG479" s="74"/>
      <c r="AH479" s="7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 ht="15.75">
      <c r="A480" s="300">
        <v>30400025</v>
      </c>
      <c r="B480" s="192" t="s">
        <v>232</v>
      </c>
      <c r="C480" s="16" t="s">
        <v>53</v>
      </c>
      <c r="D480" s="17">
        <v>5.04</v>
      </c>
      <c r="E480" s="17"/>
      <c r="F480" s="6"/>
      <c r="G480" s="93">
        <f>SUM('1:2'!G480)</f>
        <v>0</v>
      </c>
      <c r="H480" s="246">
        <f t="shared" ref="H480:H489" si="192">D480*G480</f>
        <v>0</v>
      </c>
      <c r="I480" s="93">
        <f>SUM('1:2'!I480)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87">
        <v>22</v>
      </c>
      <c r="M480" s="36">
        <f t="shared" ref="M480:M489" si="193">IF(ISERROR(I480-K480),"",I480-K480)</f>
        <v>0</v>
      </c>
      <c r="N480" s="31">
        <f t="shared" ref="N480:N489" si="194">SUM(O480:U480)</f>
        <v>0</v>
      </c>
      <c r="O480" s="93">
        <f>SUM('1:2'!O480)</f>
        <v>0</v>
      </c>
      <c r="P480" s="93">
        <f>SUM('1:2'!P480)</f>
        <v>0</v>
      </c>
      <c r="Q480" s="93">
        <f>SUM('1:2'!Q480)</f>
        <v>0</v>
      </c>
      <c r="R480" s="93">
        <f>SUM('1:2'!R480)</f>
        <v>0</v>
      </c>
      <c r="S480" s="93">
        <f>SUM('1:2'!S480)</f>
        <v>0</v>
      </c>
      <c r="T480" s="93">
        <f>SUM('1:2'!T480)</f>
        <v>0</v>
      </c>
      <c r="U480" s="93">
        <f>SUM('1:2'!U480)</f>
        <v>0</v>
      </c>
      <c r="V480" s="206">
        <f t="shared" ref="V480:V489" si="195">SUM(X480:AA480)</f>
        <v>0</v>
      </c>
      <c r="W480" s="33" t="str">
        <f t="shared" si="185"/>
        <v/>
      </c>
      <c r="X480" s="93">
        <f>SUM('1:2'!X480)</f>
        <v>0</v>
      </c>
      <c r="Y480" s="93">
        <f>SUM('1:2'!Y480)</f>
        <v>0</v>
      </c>
      <c r="Z480" s="93">
        <f>SUM('1:2'!Z480)</f>
        <v>0</v>
      </c>
      <c r="AA480" s="93">
        <f>SUM('1:2'!AA480)</f>
        <v>0</v>
      </c>
      <c r="AB480" s="358">
        <v>0.48</v>
      </c>
      <c r="AC480" s="269">
        <f t="shared" si="170"/>
        <v>0</v>
      </c>
      <c r="AD480" s="251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 ht="17.25">
      <c r="A481" s="316">
        <v>30400023</v>
      </c>
      <c r="B481" s="192" t="s">
        <v>232</v>
      </c>
      <c r="C481" s="16" t="s">
        <v>60</v>
      </c>
      <c r="D481" s="17">
        <v>5.04</v>
      </c>
      <c r="E481" s="17"/>
      <c r="F481" s="6"/>
      <c r="G481" s="93">
        <f>SUM('1:2'!G481)</f>
        <v>0</v>
      </c>
      <c r="H481" s="246">
        <f t="shared" si="192"/>
        <v>0</v>
      </c>
      <c r="I481" s="93">
        <f>SUM('1:2'!I481)</f>
        <v>0</v>
      </c>
      <c r="J481" s="31" t="str">
        <f t="array" ref="J481">IF(ISERROR(G481/I481),"",G481/I481)</f>
        <v/>
      </c>
      <c r="K481" s="35">
        <f t="array" ref="K481">IF(ISERROR(G481/L481),"",G481/L481)</f>
        <v>0</v>
      </c>
      <c r="L481" s="87">
        <v>22</v>
      </c>
      <c r="M481" s="36">
        <f t="shared" si="193"/>
        <v>0</v>
      </c>
      <c r="N481" s="31">
        <f t="shared" si="194"/>
        <v>0</v>
      </c>
      <c r="O481" s="93">
        <f>SUM('1:2'!O481)</f>
        <v>0</v>
      </c>
      <c r="P481" s="93">
        <f>SUM('1:2'!P481)</f>
        <v>0</v>
      </c>
      <c r="Q481" s="93">
        <f>SUM('1:2'!Q481)</f>
        <v>0</v>
      </c>
      <c r="R481" s="93">
        <f>SUM('1:2'!R481)</f>
        <v>0</v>
      </c>
      <c r="S481" s="93">
        <f>SUM('1:2'!S481)</f>
        <v>0</v>
      </c>
      <c r="T481" s="93">
        <f>SUM('1:2'!T481)</f>
        <v>0</v>
      </c>
      <c r="U481" s="93">
        <f>SUM('1:2'!U481)</f>
        <v>0</v>
      </c>
      <c r="V481" s="206">
        <f t="shared" si="195"/>
        <v>0</v>
      </c>
      <c r="W481" s="33" t="str">
        <f t="shared" si="185"/>
        <v/>
      </c>
      <c r="X481" s="93">
        <f>SUM('1:2'!X481)</f>
        <v>0</v>
      </c>
      <c r="Y481" s="93">
        <f>SUM('1:2'!Y481)</f>
        <v>0</v>
      </c>
      <c r="Z481" s="93">
        <f>SUM('1:2'!Z481)</f>
        <v>0</v>
      </c>
      <c r="AA481" s="93">
        <f>SUM('1:2'!AA481)</f>
        <v>0</v>
      </c>
      <c r="AB481" s="358">
        <v>0.48</v>
      </c>
      <c r="AC481" s="269">
        <f t="shared" ref="AC481:AC489" si="196">AB481*G481</f>
        <v>0</v>
      </c>
      <c r="AD481" s="251"/>
      <c r="AE481" s="54"/>
      <c r="AF481" s="54"/>
      <c r="AG481" s="54"/>
      <c r="AH481" s="5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 ht="17.25">
      <c r="A482" s="316">
        <v>30400024</v>
      </c>
      <c r="B482" s="192" t="s">
        <v>232</v>
      </c>
      <c r="C482" s="16" t="s">
        <v>74</v>
      </c>
      <c r="D482" s="17">
        <v>5.04</v>
      </c>
      <c r="E482" s="17"/>
      <c r="F482" s="6"/>
      <c r="G482" s="93">
        <f>SUM('1:2'!G482)</f>
        <v>0</v>
      </c>
      <c r="H482" s="246">
        <f t="shared" si="192"/>
        <v>0</v>
      </c>
      <c r="I482" s="93">
        <f>SUM('1:2'!I482)</f>
        <v>0</v>
      </c>
      <c r="J482" s="31" t="str">
        <f t="array" ref="J482">IF(ISERROR(G482/I482),"",G482/I482)</f>
        <v/>
      </c>
      <c r="K482" s="35">
        <f t="array" ref="K482">IF(ISERROR(G482/L482),"",G482/L482)</f>
        <v>0</v>
      </c>
      <c r="L482" s="87">
        <v>22</v>
      </c>
      <c r="M482" s="36">
        <f t="shared" si="193"/>
        <v>0</v>
      </c>
      <c r="N482" s="31">
        <f t="shared" si="194"/>
        <v>0</v>
      </c>
      <c r="O482" s="93">
        <f>SUM('1:2'!O482)</f>
        <v>0</v>
      </c>
      <c r="P482" s="93">
        <f>SUM('1:2'!P482)</f>
        <v>0</v>
      </c>
      <c r="Q482" s="93">
        <f>SUM('1:2'!Q482)</f>
        <v>0</v>
      </c>
      <c r="R482" s="93">
        <f>SUM('1:2'!R482)</f>
        <v>0</v>
      </c>
      <c r="S482" s="93">
        <f>SUM('1:2'!S482)</f>
        <v>0</v>
      </c>
      <c r="T482" s="93">
        <f>SUM('1:2'!T482)</f>
        <v>0</v>
      </c>
      <c r="U482" s="93">
        <f>SUM('1:2'!U482)</f>
        <v>0</v>
      </c>
      <c r="V482" s="206">
        <f t="shared" si="195"/>
        <v>0</v>
      </c>
      <c r="W482" s="33" t="str">
        <f t="shared" si="185"/>
        <v/>
      </c>
      <c r="X482" s="93">
        <f>SUM('1:2'!X482)</f>
        <v>0</v>
      </c>
      <c r="Y482" s="93">
        <f>SUM('1:2'!Y482)</f>
        <v>0</v>
      </c>
      <c r="Z482" s="93">
        <f>SUM('1:2'!Z482)</f>
        <v>0</v>
      </c>
      <c r="AA482" s="93">
        <f>SUM('1:2'!AA482)</f>
        <v>0</v>
      </c>
      <c r="AB482" s="358">
        <v>0.48</v>
      </c>
      <c r="AC482" s="269">
        <f t="shared" si="196"/>
        <v>0</v>
      </c>
      <c r="AD482" s="251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 ht="17.25">
      <c r="A483" s="316"/>
      <c r="B483" s="192" t="s">
        <v>232</v>
      </c>
      <c r="C483" s="16" t="s">
        <v>66</v>
      </c>
      <c r="D483" s="17">
        <v>5.04</v>
      </c>
      <c r="E483" s="17"/>
      <c r="F483" s="6"/>
      <c r="G483" s="93">
        <f>SUM('1:2'!G483)</f>
        <v>0</v>
      </c>
      <c r="H483" s="246">
        <f t="shared" si="192"/>
        <v>0</v>
      </c>
      <c r="I483" s="93">
        <f>SUM('1:2'!I483)</f>
        <v>0</v>
      </c>
      <c r="J483" s="31" t="str">
        <f t="array" ref="J483">IF(ISERROR(G483/I483),"",G483/I483)</f>
        <v/>
      </c>
      <c r="K483" s="35">
        <f t="array" ref="K483">IF(ISERROR(G483/L483),"",G483/L483)</f>
        <v>0</v>
      </c>
      <c r="L483" s="87">
        <v>22</v>
      </c>
      <c r="M483" s="36">
        <f t="shared" si="193"/>
        <v>0</v>
      </c>
      <c r="N483" s="31">
        <f t="shared" si="194"/>
        <v>0</v>
      </c>
      <c r="O483" s="93">
        <f>SUM('1:2'!O483)</f>
        <v>0</v>
      </c>
      <c r="P483" s="93">
        <f>SUM('1:2'!P483)</f>
        <v>0</v>
      </c>
      <c r="Q483" s="93">
        <f>SUM('1:2'!Q483)</f>
        <v>0</v>
      </c>
      <c r="R483" s="93">
        <f>SUM('1:2'!R483)</f>
        <v>0</v>
      </c>
      <c r="S483" s="93">
        <f>SUM('1:2'!S483)</f>
        <v>0</v>
      </c>
      <c r="T483" s="93">
        <f>SUM('1:2'!T483)</f>
        <v>0</v>
      </c>
      <c r="U483" s="93">
        <f>SUM('1:2'!U483)</f>
        <v>0</v>
      </c>
      <c r="V483" s="206">
        <f t="shared" si="195"/>
        <v>0</v>
      </c>
      <c r="W483" s="33" t="str">
        <f t="shared" si="185"/>
        <v/>
      </c>
      <c r="X483" s="93">
        <f>SUM('1:2'!X483)</f>
        <v>0</v>
      </c>
      <c r="Y483" s="93">
        <f>SUM('1:2'!Y483)</f>
        <v>0</v>
      </c>
      <c r="Z483" s="93">
        <f>SUM('1:2'!Z483)</f>
        <v>0</v>
      </c>
      <c r="AA483" s="93">
        <f>SUM('1:2'!AA483)</f>
        <v>0</v>
      </c>
      <c r="AB483" s="358">
        <v>0.48</v>
      </c>
      <c r="AC483" s="269">
        <f t="shared" si="196"/>
        <v>0</v>
      </c>
      <c r="AD483" s="251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 ht="17.25">
      <c r="A484" s="316"/>
      <c r="B484" s="192" t="s">
        <v>232</v>
      </c>
      <c r="C484" s="16" t="s">
        <v>101</v>
      </c>
      <c r="D484" s="17">
        <v>5.04</v>
      </c>
      <c r="E484" s="17"/>
      <c r="F484" s="6"/>
      <c r="G484" s="93">
        <f>SUM('1:2'!G484)</f>
        <v>0</v>
      </c>
      <c r="H484" s="246">
        <f t="shared" si="192"/>
        <v>0</v>
      </c>
      <c r="I484" s="93">
        <f>SUM('1:2'!I484)</f>
        <v>0</v>
      </c>
      <c r="J484" s="31" t="str">
        <f t="array" ref="J484">IF(ISERROR(G484/I484),"",G484/I484)</f>
        <v/>
      </c>
      <c r="K484" s="35">
        <f t="array" ref="K484">IF(ISERROR(G484/L484),"",G484/L484)</f>
        <v>0</v>
      </c>
      <c r="L484" s="87">
        <v>22</v>
      </c>
      <c r="M484" s="36">
        <f t="shared" si="193"/>
        <v>0</v>
      </c>
      <c r="N484" s="31">
        <f t="shared" si="194"/>
        <v>0</v>
      </c>
      <c r="O484" s="93">
        <f>SUM('1:2'!O484)</f>
        <v>0</v>
      </c>
      <c r="P484" s="93">
        <f>SUM('1:2'!P484)</f>
        <v>0</v>
      </c>
      <c r="Q484" s="93">
        <f>SUM('1:2'!Q484)</f>
        <v>0</v>
      </c>
      <c r="R484" s="93">
        <f>SUM('1:2'!R484)</f>
        <v>0</v>
      </c>
      <c r="S484" s="93">
        <f>SUM('1:2'!S484)</f>
        <v>0</v>
      </c>
      <c r="T484" s="93">
        <f>SUM('1:2'!T484)</f>
        <v>0</v>
      </c>
      <c r="U484" s="93">
        <f>SUM('1:2'!U484)</f>
        <v>0</v>
      </c>
      <c r="V484" s="206">
        <f t="shared" si="195"/>
        <v>0</v>
      </c>
      <c r="W484" s="33" t="str">
        <f t="shared" si="185"/>
        <v/>
      </c>
      <c r="X484" s="93">
        <f>SUM('1:2'!X484)</f>
        <v>0</v>
      </c>
      <c r="Y484" s="93">
        <f>SUM('1:2'!Y484)</f>
        <v>0</v>
      </c>
      <c r="Z484" s="93">
        <f>SUM('1:2'!Z484)</f>
        <v>0</v>
      </c>
      <c r="AA484" s="93">
        <f>SUM('1:2'!AA484)</f>
        <v>0</v>
      </c>
      <c r="AB484" s="358">
        <v>0.48</v>
      </c>
      <c r="AC484" s="269">
        <f t="shared" si="196"/>
        <v>0</v>
      </c>
      <c r="AD484" s="251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 ht="17.25">
      <c r="A485" s="316">
        <v>30400019</v>
      </c>
      <c r="B485" s="192" t="s">
        <v>440</v>
      </c>
      <c r="C485" s="187" t="s">
        <v>442</v>
      </c>
      <c r="D485" s="17">
        <v>5.04</v>
      </c>
      <c r="E485" s="17"/>
      <c r="F485" s="6"/>
      <c r="G485" s="93">
        <f>SUM('1:2'!G485)</f>
        <v>0</v>
      </c>
      <c r="H485" s="296">
        <f t="shared" si="192"/>
        <v>0</v>
      </c>
      <c r="I485" s="93"/>
      <c r="J485" s="31"/>
      <c r="K485" s="35"/>
      <c r="L485" s="87">
        <v>13.5</v>
      </c>
      <c r="M485" s="36"/>
      <c r="N485" s="31"/>
      <c r="O485" s="93"/>
      <c r="P485" s="93"/>
      <c r="Q485" s="93"/>
      <c r="R485" s="93"/>
      <c r="S485" s="93"/>
      <c r="T485" s="93"/>
      <c r="U485" s="93"/>
      <c r="V485" s="206"/>
      <c r="W485" s="33"/>
      <c r="X485" s="93"/>
      <c r="Y485" s="93"/>
      <c r="Z485" s="93"/>
      <c r="AA485" s="93"/>
      <c r="AB485" s="361">
        <v>0.56000000000000005</v>
      </c>
      <c r="AC485" s="269">
        <f t="shared" si="196"/>
        <v>0</v>
      </c>
      <c r="AD485" s="262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 ht="17.25">
      <c r="A486" s="316">
        <v>30400020</v>
      </c>
      <c r="B486" s="192" t="s">
        <v>439</v>
      </c>
      <c r="C486" s="187" t="s">
        <v>516</v>
      </c>
      <c r="D486" s="17">
        <v>5.04</v>
      </c>
      <c r="E486" s="17"/>
      <c r="F486" s="6"/>
      <c r="G486" s="93">
        <f>SUM('1:2'!G486)</f>
        <v>0</v>
      </c>
      <c r="H486" s="378">
        <f t="shared" si="192"/>
        <v>0</v>
      </c>
      <c r="I486" s="93"/>
      <c r="J486" s="31"/>
      <c r="K486" s="35"/>
      <c r="L486" s="87">
        <v>13.5</v>
      </c>
      <c r="M486" s="36"/>
      <c r="N486" s="31"/>
      <c r="O486" s="93"/>
      <c r="P486" s="93"/>
      <c r="Q486" s="93"/>
      <c r="R486" s="93"/>
      <c r="S486" s="93"/>
      <c r="T486" s="93"/>
      <c r="U486" s="93"/>
      <c r="V486" s="206"/>
      <c r="W486" s="33"/>
      <c r="X486" s="93"/>
      <c r="Y486" s="93"/>
      <c r="Z486" s="93"/>
      <c r="AA486" s="93"/>
      <c r="AB486" s="386">
        <v>0.56000000000000005</v>
      </c>
      <c r="AC486" s="269">
        <f t="shared" si="196"/>
        <v>0</v>
      </c>
      <c r="AD486" s="375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 ht="17.25">
      <c r="A487" s="316">
        <v>30400021</v>
      </c>
      <c r="B487" s="192" t="s">
        <v>439</v>
      </c>
      <c r="C487" s="187" t="s">
        <v>517</v>
      </c>
      <c r="D487" s="17">
        <v>5.04</v>
      </c>
      <c r="E487" s="17"/>
      <c r="F487" s="6"/>
      <c r="G487" s="93">
        <f>SUM('1:2'!G487)</f>
        <v>0</v>
      </c>
      <c r="H487" s="378">
        <f t="shared" si="192"/>
        <v>0</v>
      </c>
      <c r="I487" s="93"/>
      <c r="J487" s="31"/>
      <c r="K487" s="35"/>
      <c r="L487" s="87">
        <v>13.5</v>
      </c>
      <c r="M487" s="36"/>
      <c r="N487" s="31"/>
      <c r="O487" s="93"/>
      <c r="P487" s="93"/>
      <c r="Q487" s="93"/>
      <c r="R487" s="93"/>
      <c r="S487" s="93"/>
      <c r="T487" s="93"/>
      <c r="U487" s="93"/>
      <c r="V487" s="206"/>
      <c r="W487" s="33"/>
      <c r="X487" s="93"/>
      <c r="Y487" s="93"/>
      <c r="Z487" s="93"/>
      <c r="AA487" s="93"/>
      <c r="AB487" s="386">
        <v>0.56000000000000005</v>
      </c>
      <c r="AC487" s="269">
        <f t="shared" si="196"/>
        <v>0</v>
      </c>
      <c r="AD487" s="379"/>
      <c r="AE487" s="54"/>
      <c r="AF487" s="54"/>
      <c r="AG487" s="54"/>
      <c r="AH487" s="5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 ht="17.25">
      <c r="A488" s="316">
        <v>30400018</v>
      </c>
      <c r="B488" s="192" t="s">
        <v>439</v>
      </c>
      <c r="C488" s="16" t="s">
        <v>55</v>
      </c>
      <c r="D488" s="17">
        <v>5.04</v>
      </c>
      <c r="E488" s="17"/>
      <c r="F488" s="6"/>
      <c r="G488" s="93"/>
      <c r="H488" s="450">
        <f t="shared" si="192"/>
        <v>0</v>
      </c>
      <c r="I488" s="93"/>
      <c r="J488" s="31"/>
      <c r="K488" s="35"/>
      <c r="L488" s="87">
        <v>13.5</v>
      </c>
      <c r="M488" s="36"/>
      <c r="N488" s="31"/>
      <c r="O488" s="93"/>
      <c r="P488" s="93"/>
      <c r="Q488" s="93"/>
      <c r="R488" s="93"/>
      <c r="S488" s="93"/>
      <c r="T488" s="93"/>
      <c r="U488" s="93"/>
      <c r="V488" s="206"/>
      <c r="W488" s="33"/>
      <c r="X488" s="93"/>
      <c r="Y488" s="93"/>
      <c r="Z488" s="93"/>
      <c r="AA488" s="93"/>
      <c r="AB488" s="449"/>
      <c r="AC488" s="269"/>
      <c r="AD488" s="451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 ht="17.25">
      <c r="A489" s="316">
        <v>30400022</v>
      </c>
      <c r="B489" s="192" t="s">
        <v>232</v>
      </c>
      <c r="C489" s="16" t="s">
        <v>55</v>
      </c>
      <c r="D489" s="17">
        <v>5.04</v>
      </c>
      <c r="E489" s="17"/>
      <c r="F489" s="6"/>
      <c r="G489" s="93">
        <f>SUM('1:2'!G489)</f>
        <v>0</v>
      </c>
      <c r="H489" s="246">
        <f t="shared" si="192"/>
        <v>0</v>
      </c>
      <c r="I489" s="93">
        <f>SUM('1:2'!I489)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87">
        <v>22</v>
      </c>
      <c r="M489" s="36">
        <f t="shared" si="193"/>
        <v>0</v>
      </c>
      <c r="N489" s="31">
        <f t="shared" si="194"/>
        <v>0</v>
      </c>
      <c r="O489" s="93">
        <f>SUM('1:2'!O489)</f>
        <v>0</v>
      </c>
      <c r="P489" s="93">
        <f>SUM('1:2'!P489)</f>
        <v>0</v>
      </c>
      <c r="Q489" s="93">
        <f>SUM('1:2'!Q489)</f>
        <v>0</v>
      </c>
      <c r="R489" s="93">
        <f>SUM('1:2'!R489)</f>
        <v>0</v>
      </c>
      <c r="S489" s="93">
        <f>SUM('1:2'!S489)</f>
        <v>0</v>
      </c>
      <c r="T489" s="93">
        <f>SUM('1:2'!T489)</f>
        <v>0</v>
      </c>
      <c r="U489" s="93">
        <f>SUM('1:2'!U489)</f>
        <v>0</v>
      </c>
      <c r="V489" s="206">
        <f t="shared" si="195"/>
        <v>0</v>
      </c>
      <c r="W489" s="33" t="str">
        <f t="shared" si="185"/>
        <v/>
      </c>
      <c r="X489" s="93">
        <f>SUM('1:2'!X489)</f>
        <v>0</v>
      </c>
      <c r="Y489" s="93">
        <f>SUM('1:2'!Y489)</f>
        <v>0</v>
      </c>
      <c r="Z489" s="93">
        <f>SUM('1:2'!Z489)</f>
        <v>0</v>
      </c>
      <c r="AA489" s="93">
        <f>SUM('1:2'!AA489)</f>
        <v>0</v>
      </c>
      <c r="AB489" s="358">
        <v>0.48</v>
      </c>
      <c r="AC489" s="269">
        <f t="shared" si="196"/>
        <v>0</v>
      </c>
      <c r="AD489" s="251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 ht="15.75">
      <c r="A490" s="691" t="s">
        <v>102</v>
      </c>
      <c r="B490" s="692"/>
      <c r="C490" s="243" t="s">
        <v>71</v>
      </c>
      <c r="D490" s="20"/>
      <c r="E490" s="20"/>
      <c r="F490" s="32"/>
      <c r="G490" s="99">
        <f>SUM(G480:G489)</f>
        <v>0</v>
      </c>
      <c r="H490" s="30">
        <f>SUM(H480:H489)</f>
        <v>0</v>
      </c>
      <c r="I490" s="30">
        <f>SUM(I480:I489)</f>
        <v>0</v>
      </c>
      <c r="J490" s="31" t="str">
        <f t="array" ref="J490">IF(ISERROR(G490/I490),"",G490/I490)</f>
        <v/>
      </c>
      <c r="K490" s="30">
        <f>SUM(K480:K489)</f>
        <v>0</v>
      </c>
      <c r="L490" s="98"/>
      <c r="M490" s="89">
        <f>SUM(M480:M489)</f>
        <v>0</v>
      </c>
      <c r="N490" s="30">
        <f>SUM(N480:N489)</f>
        <v>0</v>
      </c>
      <c r="O490" s="91">
        <f>SUM(O480:O489)</f>
        <v>0</v>
      </c>
      <c r="P490" s="91">
        <f>SUM(P480:P489)</f>
        <v>0</v>
      </c>
      <c r="Q490" s="91">
        <f>SUM(Q480:Q489)</f>
        <v>0</v>
      </c>
      <c r="R490" s="91"/>
      <c r="S490" s="92">
        <f>SUM(S480:S489)</f>
        <v>0</v>
      </c>
      <c r="T490" s="91">
        <f>SUM(T480:T489)</f>
        <v>0</v>
      </c>
      <c r="U490" s="91">
        <f>SUM(U480:U489)</f>
        <v>0</v>
      </c>
      <c r="V490" s="206">
        <f>SUM(V480:V489)</f>
        <v>0</v>
      </c>
      <c r="W490" s="33" t="str">
        <f t="shared" si="185"/>
        <v/>
      </c>
      <c r="X490" s="92">
        <f>SUM(X480:X489)</f>
        <v>0</v>
      </c>
      <c r="Y490" s="92">
        <f>SUM(Y480:Y489)</f>
        <v>0</v>
      </c>
      <c r="Z490" s="92">
        <f>SUM(Z480:Z489)</f>
        <v>0</v>
      </c>
      <c r="AA490" s="92">
        <f>SUM(AA480:AA489)</f>
        <v>0</v>
      </c>
      <c r="AB490" s="75"/>
      <c r="AC490" s="270">
        <f>SUM(AC480:AC489)</f>
        <v>0</v>
      </c>
      <c r="AD490" s="251"/>
      <c r="AE490" s="74"/>
      <c r="AF490" s="74"/>
      <c r="AG490" s="74"/>
      <c r="AH490" s="7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 ht="15.75">
      <c r="A491" s="299">
        <v>30700013</v>
      </c>
      <c r="B491" s="64" t="s">
        <v>103</v>
      </c>
      <c r="C491" s="242"/>
      <c r="D491" s="17">
        <v>3.65</v>
      </c>
      <c r="E491" s="17"/>
      <c r="F491" s="53"/>
      <c r="G491" s="93">
        <f>SUM('1:2'!G491)</f>
        <v>0</v>
      </c>
      <c r="H491" s="246">
        <f>D491*G491</f>
        <v>0</v>
      </c>
      <c r="I491" s="93">
        <f>SUM('1:2'!I491)</f>
        <v>0</v>
      </c>
      <c r="J491" s="31" t="str">
        <f t="array" ref="J491">IF(ISERROR(G491/I491),"",G491/I491)</f>
        <v/>
      </c>
      <c r="K491" s="246">
        <f t="array" ref="K491">IF(ISERROR(G491/L491),"",G491/L491)</f>
        <v>0</v>
      </c>
      <c r="L491" s="87">
        <v>5</v>
      </c>
      <c r="M491" s="36">
        <f t="shared" ref="M491:M494" si="197">IF(ISERROR(I491-K491),"",I491-K491)</f>
        <v>0</v>
      </c>
      <c r="N491" s="31">
        <f t="shared" ref="N491:N494" si="198">SUM(O491:U491)</f>
        <v>0</v>
      </c>
      <c r="O491" s="93">
        <f>SUM('1:2'!O491)</f>
        <v>0</v>
      </c>
      <c r="P491" s="93">
        <f>SUM('1:2'!P491)</f>
        <v>0</v>
      </c>
      <c r="Q491" s="93">
        <f>SUM('1:2'!Q491)</f>
        <v>0</v>
      </c>
      <c r="R491" s="93">
        <f>SUM('1:2'!R491)</f>
        <v>0</v>
      </c>
      <c r="S491" s="93">
        <f>SUM('1:2'!S491)</f>
        <v>0</v>
      </c>
      <c r="T491" s="93">
        <f>SUM('1:2'!T491)</f>
        <v>0</v>
      </c>
      <c r="U491" s="93">
        <f>SUM('1:2'!U491)</f>
        <v>0</v>
      </c>
      <c r="V491" s="206">
        <f t="shared" ref="V491:V494" si="199">SUM(X491:AA491)</f>
        <v>0</v>
      </c>
      <c r="W491" s="33" t="str">
        <f t="shared" si="185"/>
        <v/>
      </c>
      <c r="X491" s="93">
        <f>SUM('1:2'!X491)</f>
        <v>0</v>
      </c>
      <c r="Y491" s="93">
        <f>SUM('1:2'!Y491)</f>
        <v>0</v>
      </c>
      <c r="Z491" s="93">
        <f>SUM('1:2'!Z491)</f>
        <v>0</v>
      </c>
      <c r="AA491" s="93">
        <f>SUM('1:2'!AA491)</f>
        <v>0</v>
      </c>
      <c r="AB491" s="358">
        <v>2.0699999999999998</v>
      </c>
      <c r="AC491" s="269">
        <f t="shared" ref="AC491:AC505" si="200">AB491*G491</f>
        <v>0</v>
      </c>
      <c r="AD491" s="251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 ht="15.75">
      <c r="A492" s="299">
        <v>30700014</v>
      </c>
      <c r="B492" s="64" t="s">
        <v>0</v>
      </c>
      <c r="C492" s="242"/>
      <c r="D492" s="17">
        <v>6.58</v>
      </c>
      <c r="E492" s="17"/>
      <c r="F492" s="6"/>
      <c r="G492" s="93">
        <f>SUM('1:2'!G492)</f>
        <v>0</v>
      </c>
      <c r="H492" s="246">
        <f t="shared" ref="H492:H505" si="201">D492*G492</f>
        <v>0</v>
      </c>
      <c r="I492" s="93">
        <f>SUM('1:2'!I492)</f>
        <v>0</v>
      </c>
      <c r="J492" s="31" t="str">
        <f t="array" ref="J492">IF(ISERROR(G492/I492),"",G492/I492)</f>
        <v/>
      </c>
      <c r="K492" s="35">
        <f t="array" ref="K492">IF(ISERROR(G492/L492),"",G492/L492)</f>
        <v>0</v>
      </c>
      <c r="L492" s="87">
        <v>5</v>
      </c>
      <c r="M492" s="36">
        <f t="shared" si="197"/>
        <v>0</v>
      </c>
      <c r="N492" s="31">
        <f t="shared" si="198"/>
        <v>0</v>
      </c>
      <c r="O492" s="93">
        <f>SUM('1:2'!O492)</f>
        <v>0</v>
      </c>
      <c r="P492" s="93">
        <f>SUM('1:2'!P492)</f>
        <v>0</v>
      </c>
      <c r="Q492" s="93">
        <f>SUM('1:2'!Q492)</f>
        <v>0</v>
      </c>
      <c r="R492" s="93">
        <f>SUM('1:2'!R492)</f>
        <v>0</v>
      </c>
      <c r="S492" s="93">
        <f>SUM('1:2'!S492)</f>
        <v>0</v>
      </c>
      <c r="T492" s="93">
        <f>SUM('1:2'!T492)</f>
        <v>0</v>
      </c>
      <c r="U492" s="93">
        <f>SUM('1:2'!U492)</f>
        <v>0</v>
      </c>
      <c r="V492" s="206">
        <f t="shared" si="199"/>
        <v>0</v>
      </c>
      <c r="W492" s="33" t="str">
        <f t="shared" si="185"/>
        <v/>
      </c>
      <c r="X492" s="93">
        <f>SUM('1:2'!X492)</f>
        <v>0</v>
      </c>
      <c r="Y492" s="93">
        <f>SUM('1:2'!Y492)</f>
        <v>0</v>
      </c>
      <c r="Z492" s="93">
        <f>SUM('1:2'!Z492)</f>
        <v>0</v>
      </c>
      <c r="AA492" s="93">
        <f>SUM('1:2'!AA492)</f>
        <v>0</v>
      </c>
      <c r="AB492" s="358">
        <v>2.0699999999999998</v>
      </c>
      <c r="AC492" s="269">
        <f t="shared" si="200"/>
        <v>0</v>
      </c>
      <c r="AD492" s="251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 ht="15.75">
      <c r="A493" s="299">
        <v>30700016</v>
      </c>
      <c r="B493" s="64" t="s">
        <v>1</v>
      </c>
      <c r="C493" s="242"/>
      <c r="D493" s="17">
        <v>7.8</v>
      </c>
      <c r="E493" s="17"/>
      <c r="F493" s="6"/>
      <c r="G493" s="93">
        <f>SUM('1:2'!G493)</f>
        <v>0</v>
      </c>
      <c r="H493" s="296">
        <f t="shared" si="201"/>
        <v>0</v>
      </c>
      <c r="I493" s="93">
        <f>SUM('1:2'!I493)</f>
        <v>0</v>
      </c>
      <c r="J493" s="31" t="str">
        <f t="array" ref="J493">IF(ISERROR(G493/I493),"",G493/I493)</f>
        <v/>
      </c>
      <c r="K493" s="35">
        <f t="array" ref="K493">IF(ISERROR(G493/L493),"",G493/L493)</f>
        <v>0</v>
      </c>
      <c r="L493" s="87">
        <v>4.5999999999999996</v>
      </c>
      <c r="M493" s="36">
        <f t="shared" si="197"/>
        <v>0</v>
      </c>
      <c r="N493" s="31">
        <f t="shared" si="198"/>
        <v>0</v>
      </c>
      <c r="O493" s="93">
        <f>SUM('1:2'!O493)</f>
        <v>0</v>
      </c>
      <c r="P493" s="93">
        <f>SUM('1:2'!P493)</f>
        <v>0</v>
      </c>
      <c r="Q493" s="93">
        <f>SUM('1:2'!Q493)</f>
        <v>0</v>
      </c>
      <c r="R493" s="93">
        <f>SUM('1:2'!R493)</f>
        <v>0</v>
      </c>
      <c r="S493" s="93">
        <f>SUM('1:2'!S493)</f>
        <v>0</v>
      </c>
      <c r="T493" s="93">
        <f>SUM('1:2'!T493)</f>
        <v>0</v>
      </c>
      <c r="U493" s="93">
        <f>SUM('1:2'!U493)</f>
        <v>0</v>
      </c>
      <c r="V493" s="206">
        <f t="shared" si="199"/>
        <v>0</v>
      </c>
      <c r="W493" s="33" t="str">
        <f t="shared" si="185"/>
        <v/>
      </c>
      <c r="X493" s="93">
        <f>SUM('1:2'!X493)</f>
        <v>0</v>
      </c>
      <c r="Y493" s="93">
        <f>SUM('1:2'!Y493)</f>
        <v>0</v>
      </c>
      <c r="Z493" s="93">
        <f>SUM('1:2'!Z493)</f>
        <v>0</v>
      </c>
      <c r="AA493" s="93">
        <f>SUM('1:2'!AA493)</f>
        <v>0</v>
      </c>
      <c r="AB493" s="358">
        <v>2.25</v>
      </c>
      <c r="AC493" s="269">
        <f t="shared" si="200"/>
        <v>0</v>
      </c>
      <c r="AD493" s="251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 ht="15.75">
      <c r="A494" s="299">
        <v>30700017</v>
      </c>
      <c r="B494" s="64" t="s">
        <v>2</v>
      </c>
      <c r="C494" s="242"/>
      <c r="D494" s="17">
        <v>4.4000000000000004</v>
      </c>
      <c r="E494" s="17"/>
      <c r="F494" s="6"/>
      <c r="G494" s="93">
        <f>SUM('1:2'!G494)</f>
        <v>0</v>
      </c>
      <c r="H494" s="296">
        <f t="shared" si="201"/>
        <v>0</v>
      </c>
      <c r="I494" s="93">
        <f>SUM('1:2'!I494)</f>
        <v>0</v>
      </c>
      <c r="J494" s="31" t="str">
        <f t="array" ref="J494">IF(ISERROR(G494/I494),"",G494/I494)</f>
        <v/>
      </c>
      <c r="K494" s="35">
        <f t="array" ref="K494">IF(ISERROR(G494/L494),"",G494/L494)</f>
        <v>0</v>
      </c>
      <c r="L494" s="87">
        <v>5.8</v>
      </c>
      <c r="M494" s="36">
        <f t="shared" si="197"/>
        <v>0</v>
      </c>
      <c r="N494" s="31">
        <f t="shared" si="198"/>
        <v>0</v>
      </c>
      <c r="O494" s="93">
        <f>SUM('1:2'!O494)</f>
        <v>0</v>
      </c>
      <c r="P494" s="93">
        <f>SUM('1:2'!P494)</f>
        <v>0</v>
      </c>
      <c r="Q494" s="93">
        <f>SUM('1:2'!Q494)</f>
        <v>0</v>
      </c>
      <c r="R494" s="93">
        <f>SUM('1:2'!R494)</f>
        <v>0</v>
      </c>
      <c r="S494" s="93">
        <f>SUM('1:2'!S494)</f>
        <v>0</v>
      </c>
      <c r="T494" s="93">
        <f>SUM('1:2'!T494)</f>
        <v>0</v>
      </c>
      <c r="U494" s="93">
        <f>SUM('1:2'!U494)</f>
        <v>0</v>
      </c>
      <c r="V494" s="206">
        <f t="shared" si="199"/>
        <v>0</v>
      </c>
      <c r="W494" s="33" t="str">
        <f t="shared" si="185"/>
        <v/>
      </c>
      <c r="X494" s="93">
        <f>SUM('1:2'!X494)</f>
        <v>0</v>
      </c>
      <c r="Y494" s="93">
        <f>SUM('1:2'!Y494)</f>
        <v>0</v>
      </c>
      <c r="Z494" s="93">
        <f>SUM('1:2'!Z494)</f>
        <v>0</v>
      </c>
      <c r="AA494" s="93">
        <f>SUM('1:2'!AA494)</f>
        <v>0</v>
      </c>
      <c r="AB494" s="358">
        <v>1.79</v>
      </c>
      <c r="AC494" s="269">
        <f t="shared" si="200"/>
        <v>0</v>
      </c>
      <c r="AD494" s="251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 ht="15.75">
      <c r="A495" s="299"/>
      <c r="B495" s="64" t="s">
        <v>348</v>
      </c>
      <c r="C495" s="188" t="s">
        <v>376</v>
      </c>
      <c r="D495" s="17"/>
      <c r="E495" s="17"/>
      <c r="F495" s="6"/>
      <c r="G495" s="93">
        <f>SUM('1:2'!G495)</f>
        <v>0</v>
      </c>
      <c r="H495" s="296">
        <f t="shared" si="201"/>
        <v>0</v>
      </c>
      <c r="I495" s="93">
        <f>SUM('1:2'!I495)</f>
        <v>0</v>
      </c>
      <c r="J495" s="31"/>
      <c r="K495" s="35"/>
      <c r="L495" s="87"/>
      <c r="M495" s="36"/>
      <c r="N495" s="31"/>
      <c r="O495" s="93">
        <f>SUM('1:2'!O495)</f>
        <v>0</v>
      </c>
      <c r="P495" s="93">
        <f>SUM('1:2'!P495)</f>
        <v>0</v>
      </c>
      <c r="Q495" s="93">
        <f>SUM('1:2'!Q495)</f>
        <v>0</v>
      </c>
      <c r="R495" s="93">
        <f>SUM('1:2'!R495)</f>
        <v>0</v>
      </c>
      <c r="S495" s="93">
        <f>SUM('1:2'!S495)</f>
        <v>0</v>
      </c>
      <c r="T495" s="93">
        <f>SUM('1:2'!T495)</f>
        <v>0</v>
      </c>
      <c r="U495" s="93">
        <f>SUM('1:2'!U495)</f>
        <v>0</v>
      </c>
      <c r="V495" s="206"/>
      <c r="W495" s="33"/>
      <c r="X495" s="93">
        <f>SUM('1:2'!X495)</f>
        <v>0</v>
      </c>
      <c r="Y495" s="93">
        <f>SUM('1:2'!Y495)</f>
        <v>0</v>
      </c>
      <c r="Z495" s="93">
        <f>SUM('1:2'!Z495)</f>
        <v>0</v>
      </c>
      <c r="AA495" s="93">
        <f>SUM('1:2'!AA495)</f>
        <v>0</v>
      </c>
      <c r="AB495" s="358"/>
      <c r="AC495" s="269">
        <f t="shared" si="200"/>
        <v>0</v>
      </c>
      <c r="AD495" s="251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 ht="15.75">
      <c r="A496" s="299">
        <v>30700001</v>
      </c>
      <c r="B496" s="191" t="s">
        <v>359</v>
      </c>
      <c r="C496" s="242"/>
      <c r="D496" s="17"/>
      <c r="E496" s="17"/>
      <c r="F496" s="6"/>
      <c r="G496" s="93">
        <f>SUM('1:2'!G496)</f>
        <v>0</v>
      </c>
      <c r="H496" s="296">
        <f t="shared" si="201"/>
        <v>0</v>
      </c>
      <c r="I496" s="93">
        <f>SUM('1:2'!I496)</f>
        <v>0</v>
      </c>
      <c r="J496" s="31"/>
      <c r="K496" s="35"/>
      <c r="L496" s="87">
        <v>6</v>
      </c>
      <c r="M496" s="36"/>
      <c r="N496" s="31"/>
      <c r="O496" s="93">
        <f>SUM('1:2'!O496)</f>
        <v>0</v>
      </c>
      <c r="P496" s="93">
        <f>SUM('1:2'!P496)</f>
        <v>0</v>
      </c>
      <c r="Q496" s="93">
        <f>SUM('1:2'!Q496)</f>
        <v>0</v>
      </c>
      <c r="R496" s="93">
        <f>SUM('1:2'!R496)</f>
        <v>0</v>
      </c>
      <c r="S496" s="93">
        <f>SUM('1:2'!S496)</f>
        <v>0</v>
      </c>
      <c r="T496" s="93">
        <f>SUM('1:2'!T496)</f>
        <v>0</v>
      </c>
      <c r="U496" s="93">
        <f>SUM('1:2'!U496)</f>
        <v>0</v>
      </c>
      <c r="V496" s="206"/>
      <c r="W496" s="33"/>
      <c r="X496" s="93">
        <f>SUM('1:2'!X496)</f>
        <v>0</v>
      </c>
      <c r="Y496" s="93">
        <f>SUM('1:2'!Y496)</f>
        <v>0</v>
      </c>
      <c r="Z496" s="93">
        <f>SUM('1:2'!Z496)</f>
        <v>0</v>
      </c>
      <c r="AA496" s="93">
        <f>SUM('1:2'!AA496)</f>
        <v>0</v>
      </c>
      <c r="AB496" s="358">
        <v>1.92</v>
      </c>
      <c r="AC496" s="269">
        <f t="shared" si="200"/>
        <v>0</v>
      </c>
      <c r="AD496" s="251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 ht="17.25">
      <c r="A497" s="322"/>
      <c r="B497" s="66" t="s">
        <v>104</v>
      </c>
      <c r="C497" s="242" t="s">
        <v>53</v>
      </c>
      <c r="D497" s="17">
        <v>6.04</v>
      </c>
      <c r="E497" s="17"/>
      <c r="F497" s="6"/>
      <c r="G497" s="93">
        <f>SUM('1:2'!G497)</f>
        <v>0</v>
      </c>
      <c r="H497" s="296">
        <f t="shared" si="201"/>
        <v>0</v>
      </c>
      <c r="I497" s="93">
        <f>SUM('1:2'!I497)</f>
        <v>0</v>
      </c>
      <c r="J497" s="31" t="str">
        <f t="array" ref="J497">IF(ISERROR(G497/I497),"",G497/I497)</f>
        <v/>
      </c>
      <c r="K497" s="35">
        <f t="array" ref="K497">IF(ISERROR(G497/L497),"",G497/L497)</f>
        <v>0</v>
      </c>
      <c r="L497" s="87">
        <v>6</v>
      </c>
      <c r="M497" s="36">
        <f t="shared" ref="M497:M501" si="202">IF(ISERROR(I497-K497),"",I497-K497)</f>
        <v>0</v>
      </c>
      <c r="N497" s="31">
        <f t="shared" ref="N497:N501" si="203">SUM(O497:U497)</f>
        <v>0</v>
      </c>
      <c r="O497" s="93">
        <f>SUM('1:2'!O497)</f>
        <v>0</v>
      </c>
      <c r="P497" s="93">
        <f>SUM('1:2'!P497)</f>
        <v>0</v>
      </c>
      <c r="Q497" s="93">
        <f>SUM('1:2'!Q497)</f>
        <v>0</v>
      </c>
      <c r="R497" s="93">
        <f>SUM('1:2'!R497)</f>
        <v>0</v>
      </c>
      <c r="S497" s="93">
        <f>SUM('1:2'!S497)</f>
        <v>0</v>
      </c>
      <c r="T497" s="93">
        <f>SUM('1:2'!T497)</f>
        <v>0</v>
      </c>
      <c r="U497" s="93">
        <f>SUM('1:2'!U497)</f>
        <v>0</v>
      </c>
      <c r="V497" s="206">
        <f t="shared" ref="V497:V501" si="204">SUM(X497:AA497)</f>
        <v>0</v>
      </c>
      <c r="W497" s="33" t="str">
        <f t="shared" ref="W497:W501" si="205">IF(ISERROR(V497/G497),"",V497/G497)</f>
        <v/>
      </c>
      <c r="X497" s="93">
        <f>SUM('1:2'!X497)</f>
        <v>0</v>
      </c>
      <c r="Y497" s="93">
        <f>SUM('1:2'!Y497)</f>
        <v>0</v>
      </c>
      <c r="Z497" s="93">
        <f>SUM('1:2'!Z497)</f>
        <v>0</v>
      </c>
      <c r="AA497" s="93">
        <f>SUM('1:2'!AA497)</f>
        <v>0</v>
      </c>
      <c r="AB497" s="358">
        <v>1.73</v>
      </c>
      <c r="AC497" s="269">
        <f t="shared" si="200"/>
        <v>0</v>
      </c>
      <c r="AD497" s="251"/>
      <c r="AE497" s="54"/>
      <c r="AF497" s="54"/>
      <c r="AG497" s="54"/>
      <c r="AH497" s="54"/>
      <c r="AI497" s="57"/>
      <c r="AJ497" s="57"/>
      <c r="AK497" s="57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</row>
    <row r="498" spans="1:53" ht="17.25">
      <c r="A498" s="322">
        <v>30700019</v>
      </c>
      <c r="B498" s="66" t="s">
        <v>104</v>
      </c>
      <c r="C498" s="242" t="s">
        <v>60</v>
      </c>
      <c r="D498" s="17">
        <v>6.04</v>
      </c>
      <c r="E498" s="17"/>
      <c r="F498" s="6"/>
      <c r="G498" s="93">
        <f>SUM('1:2'!G498)</f>
        <v>0</v>
      </c>
      <c r="H498" s="296">
        <f t="shared" si="201"/>
        <v>0</v>
      </c>
      <c r="I498" s="93">
        <f>SUM('1:2'!I498)</f>
        <v>0</v>
      </c>
      <c r="J498" s="31" t="str">
        <f t="array" ref="J498">IF(ISERROR(G498/I498),"",G498/I498)</f>
        <v/>
      </c>
      <c r="K498" s="35">
        <f t="array" ref="K498">IF(ISERROR(G498/L498),"",G498/L498)</f>
        <v>0</v>
      </c>
      <c r="L498" s="87">
        <v>6</v>
      </c>
      <c r="M498" s="36">
        <f t="shared" si="202"/>
        <v>0</v>
      </c>
      <c r="N498" s="31">
        <f t="shared" si="203"/>
        <v>0</v>
      </c>
      <c r="O498" s="93">
        <f>SUM('1:2'!O498)</f>
        <v>0</v>
      </c>
      <c r="P498" s="93">
        <f>SUM('1:2'!P498)</f>
        <v>0</v>
      </c>
      <c r="Q498" s="93">
        <f>SUM('1:2'!Q498)</f>
        <v>0</v>
      </c>
      <c r="R498" s="93">
        <f>SUM('1:2'!R498)</f>
        <v>0</v>
      </c>
      <c r="S498" s="93">
        <f>SUM('1:2'!S498)</f>
        <v>0</v>
      </c>
      <c r="T498" s="93">
        <f>SUM('1:2'!T498)</f>
        <v>0</v>
      </c>
      <c r="U498" s="93">
        <f>SUM('1:2'!U498)</f>
        <v>0</v>
      </c>
      <c r="V498" s="206">
        <f t="shared" si="204"/>
        <v>0</v>
      </c>
      <c r="W498" s="33" t="str">
        <f t="shared" si="205"/>
        <v/>
      </c>
      <c r="X498" s="93">
        <f>SUM('1:2'!X498)</f>
        <v>0</v>
      </c>
      <c r="Y498" s="93">
        <f>SUM('1:2'!Y498)</f>
        <v>0</v>
      </c>
      <c r="Z498" s="93">
        <f>SUM('1:2'!Z498)</f>
        <v>0</v>
      </c>
      <c r="AA498" s="93">
        <f>SUM('1:2'!AA498)</f>
        <v>0</v>
      </c>
      <c r="AB498" s="358">
        <v>1.73</v>
      </c>
      <c r="AC498" s="269">
        <f t="shared" si="200"/>
        <v>0</v>
      </c>
      <c r="AD498" s="251"/>
      <c r="AE498" s="54"/>
      <c r="AF498" s="54"/>
      <c r="AG498" s="54"/>
      <c r="AH498" s="54"/>
      <c r="AI498" s="57"/>
      <c r="AJ498" s="57"/>
      <c r="AK498" s="57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</row>
    <row r="499" spans="1:53" ht="15.75">
      <c r="A499" s="305">
        <v>30601015</v>
      </c>
      <c r="B499" s="281" t="s">
        <v>443</v>
      </c>
      <c r="C499" s="289" t="s">
        <v>53</v>
      </c>
      <c r="D499" s="17"/>
      <c r="E499" s="17"/>
      <c r="F499" s="6"/>
      <c r="G499" s="93">
        <f>SUM('1:2'!G499)</f>
        <v>0</v>
      </c>
      <c r="H499" s="296">
        <f t="shared" si="201"/>
        <v>0</v>
      </c>
      <c r="I499" s="93"/>
      <c r="J499" s="31"/>
      <c r="K499" s="35"/>
      <c r="L499" s="87"/>
      <c r="M499" s="36"/>
      <c r="N499" s="31"/>
      <c r="O499" s="93"/>
      <c r="P499" s="93"/>
      <c r="Q499" s="93"/>
      <c r="R499" s="93"/>
      <c r="S499" s="93"/>
      <c r="T499" s="93"/>
      <c r="U499" s="93"/>
      <c r="V499" s="206"/>
      <c r="W499" s="33"/>
      <c r="X499" s="93"/>
      <c r="Y499" s="93"/>
      <c r="Z499" s="93"/>
      <c r="AA499" s="93"/>
      <c r="AB499" s="358">
        <v>1.73</v>
      </c>
      <c r="AC499" s="269">
        <f t="shared" si="200"/>
        <v>0</v>
      </c>
      <c r="AD499" s="290"/>
      <c r="AE499" s="54"/>
      <c r="AF499" s="54"/>
      <c r="AG499" s="54"/>
      <c r="AH499" s="54"/>
      <c r="AI499" s="57"/>
      <c r="AJ499" s="57"/>
      <c r="AK499" s="57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</row>
    <row r="500" spans="1:53" ht="15.75">
      <c r="A500" s="305">
        <v>30101016</v>
      </c>
      <c r="B500" s="281" t="s">
        <v>443</v>
      </c>
      <c r="C500" s="289" t="s">
        <v>60</v>
      </c>
      <c r="D500" s="17"/>
      <c r="E500" s="17"/>
      <c r="F500" s="6"/>
      <c r="G500" s="93">
        <f>SUM('1:2'!G500)</f>
        <v>0</v>
      </c>
      <c r="H500" s="296">
        <f t="shared" si="201"/>
        <v>0</v>
      </c>
      <c r="I500" s="93"/>
      <c r="J500" s="31"/>
      <c r="K500" s="35"/>
      <c r="L500" s="87"/>
      <c r="M500" s="36"/>
      <c r="N500" s="31"/>
      <c r="O500" s="93"/>
      <c r="P500" s="93"/>
      <c r="Q500" s="93"/>
      <c r="R500" s="93"/>
      <c r="S500" s="93"/>
      <c r="T500" s="93"/>
      <c r="U500" s="93"/>
      <c r="V500" s="206"/>
      <c r="W500" s="33"/>
      <c r="X500" s="93"/>
      <c r="Y500" s="93"/>
      <c r="Z500" s="93"/>
      <c r="AA500" s="93"/>
      <c r="AB500" s="358">
        <v>1.73</v>
      </c>
      <c r="AC500" s="269">
        <f t="shared" si="200"/>
        <v>0</v>
      </c>
      <c r="AD500" s="290"/>
      <c r="AE500" s="54"/>
      <c r="AF500" s="54"/>
      <c r="AG500" s="54"/>
      <c r="AH500" s="54"/>
      <c r="AI500" s="57"/>
      <c r="AJ500" s="57"/>
      <c r="AK500" s="57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</row>
    <row r="501" spans="1:53" ht="15.75">
      <c r="A501" s="299">
        <v>30700018</v>
      </c>
      <c r="B501" s="61" t="s">
        <v>159</v>
      </c>
      <c r="C501" s="16"/>
      <c r="D501" s="17">
        <v>7.3</v>
      </c>
      <c r="E501" s="17"/>
      <c r="F501" s="6"/>
      <c r="G501" s="93">
        <f>SUM('1:2'!G501)</f>
        <v>0</v>
      </c>
      <c r="H501" s="296">
        <f t="shared" si="201"/>
        <v>0</v>
      </c>
      <c r="I501" s="93">
        <f>SUM('1:2'!I501)</f>
        <v>0</v>
      </c>
      <c r="J501" s="31" t="str">
        <f t="array" ref="J501">IF(ISERROR(G501/I501),"",G501/I501)</f>
        <v/>
      </c>
      <c r="K501" s="35">
        <f t="array" ref="K501">IF(ISERROR(G501/L501),"",G501/L501)</f>
        <v>0</v>
      </c>
      <c r="L501" s="87">
        <v>7.5</v>
      </c>
      <c r="M501" s="36">
        <f t="shared" si="202"/>
        <v>0</v>
      </c>
      <c r="N501" s="31">
        <f t="shared" si="203"/>
        <v>0</v>
      </c>
      <c r="O501" s="93">
        <f>SUM('1:2'!O501)</f>
        <v>0</v>
      </c>
      <c r="P501" s="93">
        <f>SUM('1:2'!P501)</f>
        <v>0</v>
      </c>
      <c r="Q501" s="93">
        <f>SUM('1:2'!Q501)</f>
        <v>0</v>
      </c>
      <c r="R501" s="93">
        <f>SUM('1:2'!R501)</f>
        <v>0</v>
      </c>
      <c r="S501" s="93">
        <f>SUM('1:2'!S501)</f>
        <v>0</v>
      </c>
      <c r="T501" s="93">
        <f>SUM('1:2'!T501)</f>
        <v>0</v>
      </c>
      <c r="U501" s="93">
        <f>SUM('1:2'!U501)</f>
        <v>0</v>
      </c>
      <c r="V501" s="206">
        <f t="shared" si="204"/>
        <v>0</v>
      </c>
      <c r="W501" s="33" t="str">
        <f t="shared" si="205"/>
        <v/>
      </c>
      <c r="X501" s="93">
        <f>SUM('1:2'!X501)</f>
        <v>0</v>
      </c>
      <c r="Y501" s="93">
        <f>SUM('1:2'!Y501)</f>
        <v>0</v>
      </c>
      <c r="Z501" s="93">
        <f>SUM('1:2'!Z501)</f>
        <v>0</v>
      </c>
      <c r="AA501" s="93">
        <f>SUM('1:2'!AA501)</f>
        <v>0</v>
      </c>
      <c r="AB501" s="358">
        <v>1.27</v>
      </c>
      <c r="AC501" s="269">
        <f t="shared" si="200"/>
        <v>0</v>
      </c>
      <c r="AD501" s="251"/>
      <c r="AE501" s="54"/>
      <c r="AF501" s="54"/>
      <c r="AG501" s="54"/>
      <c r="AH501" s="54"/>
      <c r="AI501" s="57"/>
      <c r="AJ501" s="57"/>
      <c r="AK501" s="57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</row>
    <row r="502" spans="1:53" ht="15.75">
      <c r="A502" s="299">
        <v>30700010</v>
      </c>
      <c r="B502" s="61" t="s">
        <v>105</v>
      </c>
      <c r="C502" s="16"/>
      <c r="D502" s="17">
        <f>78*120/1000</f>
        <v>9.36</v>
      </c>
      <c r="E502" s="17"/>
      <c r="F502" s="6"/>
      <c r="G502" s="93">
        <f>SUM('1:2'!G502)</f>
        <v>0</v>
      </c>
      <c r="H502" s="296">
        <f t="shared" si="201"/>
        <v>0</v>
      </c>
      <c r="I502" s="93">
        <f>SUM('1:2'!I502)</f>
        <v>0</v>
      </c>
      <c r="J502" s="31"/>
      <c r="K502" s="35"/>
      <c r="L502" s="87"/>
      <c r="M502" s="36"/>
      <c r="N502" s="31"/>
      <c r="O502" s="93">
        <f>SUM('1:2'!O502)</f>
        <v>0</v>
      </c>
      <c r="P502" s="93">
        <f>SUM('1:2'!P502)</f>
        <v>0</v>
      </c>
      <c r="Q502" s="93">
        <f>SUM('1:2'!Q502)</f>
        <v>0</v>
      </c>
      <c r="R502" s="93">
        <f>SUM('1:2'!R502)</f>
        <v>0</v>
      </c>
      <c r="S502" s="93">
        <f>SUM('1:2'!S502)</f>
        <v>0</v>
      </c>
      <c r="T502" s="93">
        <f>SUM('1:2'!T502)</f>
        <v>0</v>
      </c>
      <c r="U502" s="93">
        <f>SUM('1:2'!U502)</f>
        <v>0</v>
      </c>
      <c r="V502" s="206"/>
      <c r="W502" s="33"/>
      <c r="X502" s="93">
        <f>SUM('1:2'!X502)</f>
        <v>0</v>
      </c>
      <c r="Y502" s="93">
        <f>SUM('1:2'!Y502)</f>
        <v>0</v>
      </c>
      <c r="Z502" s="93">
        <f>SUM('1:2'!Z502)</f>
        <v>0</v>
      </c>
      <c r="AA502" s="93">
        <f>SUM('1:2'!AA502)</f>
        <v>0</v>
      </c>
      <c r="AB502" s="358"/>
      <c r="AC502" s="269">
        <f t="shared" si="200"/>
        <v>0</v>
      </c>
      <c r="AD502" s="251"/>
      <c r="AE502" s="54"/>
      <c r="AF502" s="54"/>
      <c r="AG502" s="54"/>
      <c r="AH502" s="54"/>
      <c r="AI502" s="57"/>
      <c r="AJ502" s="57"/>
      <c r="AK502" s="57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</row>
    <row r="503" spans="1:53" ht="15.75">
      <c r="A503" s="299">
        <v>30700015</v>
      </c>
      <c r="B503" s="294" t="s">
        <v>159</v>
      </c>
      <c r="C503" s="16"/>
      <c r="D503" s="17">
        <v>4.5</v>
      </c>
      <c r="E503" s="17"/>
      <c r="F503" s="6"/>
      <c r="G503" s="93">
        <f>SUM('1:2'!G503)</f>
        <v>0</v>
      </c>
      <c r="H503" s="296">
        <f t="shared" si="201"/>
        <v>0</v>
      </c>
      <c r="I503" s="93">
        <f>SUM('1:2'!I503)</f>
        <v>0</v>
      </c>
      <c r="J503" s="31"/>
      <c r="K503" s="35"/>
      <c r="L503" s="87"/>
      <c r="M503" s="36"/>
      <c r="N503" s="31"/>
      <c r="O503" s="93"/>
      <c r="P503" s="93"/>
      <c r="Q503" s="93"/>
      <c r="R503" s="93"/>
      <c r="S503" s="93"/>
      <c r="T503" s="93"/>
      <c r="U503" s="93"/>
      <c r="V503" s="206"/>
      <c r="W503" s="33"/>
      <c r="X503" s="93"/>
      <c r="Y503" s="93"/>
      <c r="Z503" s="93"/>
      <c r="AA503" s="93"/>
      <c r="AB503" s="358"/>
      <c r="AC503" s="269">
        <f t="shared" si="200"/>
        <v>0</v>
      </c>
      <c r="AD503" s="251"/>
      <c r="AE503" s="54"/>
      <c r="AF503" s="54"/>
      <c r="AG503" s="54"/>
      <c r="AH503" s="54"/>
      <c r="AI503" s="57"/>
      <c r="AJ503" s="57"/>
      <c r="AK503" s="57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</row>
    <row r="504" spans="1:53" ht="15.75">
      <c r="A504" s="299">
        <v>30700012</v>
      </c>
      <c r="B504" s="294" t="s">
        <v>160</v>
      </c>
      <c r="C504" s="16"/>
      <c r="D504" s="17">
        <v>4.5</v>
      </c>
      <c r="E504" s="17"/>
      <c r="F504" s="6"/>
      <c r="G504" s="93">
        <f>SUM('1:2'!G504)</f>
        <v>0</v>
      </c>
      <c r="H504" s="296">
        <f t="shared" si="201"/>
        <v>0</v>
      </c>
      <c r="I504" s="93">
        <f>SUM('1:2'!I504)</f>
        <v>0</v>
      </c>
      <c r="J504" s="31"/>
      <c r="K504" s="35"/>
      <c r="L504" s="87"/>
      <c r="M504" s="36"/>
      <c r="N504" s="31"/>
      <c r="O504" s="93">
        <f>SUM('1:2'!O504)</f>
        <v>0</v>
      </c>
      <c r="P504" s="93">
        <f>SUM('1:2'!P504)</f>
        <v>0</v>
      </c>
      <c r="Q504" s="93">
        <f>SUM('1:2'!Q504)</f>
        <v>0</v>
      </c>
      <c r="R504" s="93">
        <f>SUM('1:2'!R504)</f>
        <v>0</v>
      </c>
      <c r="S504" s="93">
        <f>SUM('1:2'!S504)</f>
        <v>0</v>
      </c>
      <c r="T504" s="93">
        <f>SUM('1:2'!T504)</f>
        <v>0</v>
      </c>
      <c r="U504" s="93">
        <f>SUM('1:2'!U504)</f>
        <v>0</v>
      </c>
      <c r="V504" s="206"/>
      <c r="W504" s="33"/>
      <c r="X504" s="93">
        <f>SUM('1:2'!X504)</f>
        <v>0</v>
      </c>
      <c r="Y504" s="93">
        <f>SUM('1:2'!Y504)</f>
        <v>0</v>
      </c>
      <c r="Z504" s="93">
        <f>SUM('1:2'!Z504)</f>
        <v>0</v>
      </c>
      <c r="AA504" s="93">
        <f>SUM('1:2'!AA504)</f>
        <v>0</v>
      </c>
      <c r="AB504" s="358"/>
      <c r="AC504" s="269">
        <f t="shared" si="200"/>
        <v>0</v>
      </c>
      <c r="AD504" s="251"/>
      <c r="AE504" s="54"/>
      <c r="AF504" s="54"/>
      <c r="AG504" s="54"/>
      <c r="AH504" s="54"/>
      <c r="AI504" s="57"/>
      <c r="AJ504" s="57"/>
      <c r="AK504" s="57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</row>
    <row r="505" spans="1:53" ht="17.25">
      <c r="A505" s="320"/>
      <c r="B505" s="244"/>
      <c r="C505" s="16"/>
      <c r="D505" s="17"/>
      <c r="E505" s="17"/>
      <c r="F505" s="6"/>
      <c r="G505" s="93">
        <f>SUM('1:2'!G505)</f>
        <v>0</v>
      </c>
      <c r="H505" s="296">
        <f t="shared" si="201"/>
        <v>0</v>
      </c>
      <c r="I505" s="93">
        <f>SUM('1:2'!I505)</f>
        <v>0</v>
      </c>
      <c r="J505" s="31"/>
      <c r="K505" s="35"/>
      <c r="L505" s="87"/>
      <c r="M505" s="36"/>
      <c r="N505" s="31"/>
      <c r="O505" s="93">
        <f>SUM('1:2'!O505)</f>
        <v>0</v>
      </c>
      <c r="P505" s="93">
        <f>SUM('1:2'!P505)</f>
        <v>0</v>
      </c>
      <c r="Q505" s="93">
        <f>SUM('1:2'!Q505)</f>
        <v>0</v>
      </c>
      <c r="R505" s="93">
        <f>SUM('1:2'!R505)</f>
        <v>0</v>
      </c>
      <c r="S505" s="93">
        <f>SUM('1:2'!S505)</f>
        <v>0</v>
      </c>
      <c r="T505" s="93">
        <f>SUM('1:2'!T505)</f>
        <v>0</v>
      </c>
      <c r="U505" s="93">
        <f>SUM('1:2'!U505)</f>
        <v>0</v>
      </c>
      <c r="V505" s="206"/>
      <c r="W505" s="33"/>
      <c r="X505" s="93">
        <f>SUM('1:2'!X505)</f>
        <v>0</v>
      </c>
      <c r="Y505" s="93">
        <f>SUM('1:2'!Y505)</f>
        <v>0</v>
      </c>
      <c r="Z505" s="93">
        <f>SUM('1:2'!Z505)</f>
        <v>0</v>
      </c>
      <c r="AA505" s="93">
        <f>SUM('1:2'!AA505)</f>
        <v>0</v>
      </c>
      <c r="AB505" s="73"/>
      <c r="AC505" s="269">
        <f t="shared" si="200"/>
        <v>0</v>
      </c>
      <c r="AD505" s="251"/>
      <c r="AE505" s="54"/>
      <c r="AF505" s="54"/>
      <c r="AG505" s="54"/>
      <c r="AH505" s="54"/>
      <c r="AI505" s="57"/>
      <c r="AJ505" s="57"/>
      <c r="AK505" s="57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</row>
    <row r="506" spans="1:53" ht="15.75">
      <c r="A506" s="691" t="s">
        <v>106</v>
      </c>
      <c r="B506" s="692"/>
      <c r="C506" s="243" t="s">
        <v>71</v>
      </c>
      <c r="D506" s="20"/>
      <c r="E506" s="20"/>
      <c r="F506" s="32"/>
      <c r="G506" s="94">
        <f>SUM(G491:G505)</f>
        <v>0</v>
      </c>
      <c r="H506" s="30">
        <f>SUM(H491:H505)</f>
        <v>0</v>
      </c>
      <c r="I506" s="30">
        <f>SUM(I491:I505)</f>
        <v>0</v>
      </c>
      <c r="J506" s="31" t="str">
        <f t="array" ref="J506">IF(ISERROR(G506/I506),"",G506/I506)</f>
        <v/>
      </c>
      <c r="K506" s="30">
        <f>SUM(K491:K501)</f>
        <v>0</v>
      </c>
      <c r="L506" s="98"/>
      <c r="M506" s="89">
        <f t="shared" ref="M506:V506" si="206">SUM(M491:M501)</f>
        <v>0</v>
      </c>
      <c r="N506" s="20">
        <f t="shared" si="206"/>
        <v>0</v>
      </c>
      <c r="O506" s="91">
        <f t="shared" si="206"/>
        <v>0</v>
      </c>
      <c r="P506" s="91">
        <f t="shared" si="206"/>
        <v>0</v>
      </c>
      <c r="Q506" s="91">
        <f t="shared" si="206"/>
        <v>0</v>
      </c>
      <c r="R506" s="91">
        <f t="shared" si="206"/>
        <v>0</v>
      </c>
      <c r="S506" s="92">
        <f t="shared" si="206"/>
        <v>0</v>
      </c>
      <c r="T506" s="91">
        <f t="shared" si="206"/>
        <v>0</v>
      </c>
      <c r="U506" s="91">
        <f t="shared" si="206"/>
        <v>0</v>
      </c>
      <c r="V506" s="206">
        <f t="shared" si="206"/>
        <v>0</v>
      </c>
      <c r="W506" s="33" t="str">
        <f t="shared" ref="W506:W507" si="207">IF(ISERROR(V506/G506),"",V506/G506)</f>
        <v/>
      </c>
      <c r="X506" s="92">
        <f>SUM(X491:X501)</f>
        <v>0</v>
      </c>
      <c r="Y506" s="92">
        <f>SUM(Y491:Y501)</f>
        <v>0</v>
      </c>
      <c r="Z506" s="92">
        <f>SUM(Z491:Z501)</f>
        <v>0</v>
      </c>
      <c r="AA506" s="92">
        <f>SUM(AA491:AA501)</f>
        <v>0</v>
      </c>
      <c r="AB506" s="70"/>
      <c r="AC506" s="91">
        <f>SUM(AC491:AC505)</f>
        <v>0</v>
      </c>
      <c r="AD506" s="58"/>
      <c r="AE506" s="70"/>
      <c r="AF506" s="70"/>
      <c r="AG506" s="70"/>
      <c r="AH506" s="70"/>
      <c r="AI506" s="58"/>
      <c r="AJ506" s="58"/>
      <c r="AK506" s="58"/>
      <c r="AL506" s="58"/>
      <c r="AM506" s="58"/>
      <c r="AN506" s="58"/>
      <c r="AO506" s="58"/>
      <c r="AP506" s="58"/>
      <c r="AQ506" s="58"/>
      <c r="AR506" s="58"/>
      <c r="AS506" s="58"/>
      <c r="AT506" s="58"/>
      <c r="AU506" s="58"/>
      <c r="AV506" s="58"/>
      <c r="AW506" s="58"/>
      <c r="AX506" s="58"/>
      <c r="AY506" s="58"/>
      <c r="AZ506" s="58"/>
      <c r="BA506" s="58"/>
    </row>
    <row r="507" spans="1:53" ht="15.75">
      <c r="A507" s="693" t="s">
        <v>108</v>
      </c>
      <c r="B507" s="694"/>
      <c r="C507" s="694"/>
      <c r="D507" s="694"/>
      <c r="E507" s="694"/>
      <c r="F507" s="695"/>
      <c r="G507" s="193">
        <f>SUM(G370,G428,G463,G479,G490,G506)</f>
        <v>1732</v>
      </c>
      <c r="H507" s="193">
        <f>SUM(H370,H428,H463,H479,H490,H506)</f>
        <v>8711.9600000000009</v>
      </c>
      <c r="I507" s="193">
        <f>SUM(I370,I428,I463,I479,I490,I506)</f>
        <v>173.5</v>
      </c>
      <c r="J507" s="52">
        <f t="array" ref="J507">IF(ISERROR(G507/I507),"",G507/I507)</f>
        <v>9.9827089337175785</v>
      </c>
      <c r="K507" s="193">
        <f>SUM(K370,K428,K463,K479,K490,K506)</f>
        <v>191.37463343108504</v>
      </c>
      <c r="L507" s="52">
        <f>IF(ISERROR(G507/K507),"",G507/K507)</f>
        <v>9.0503112609420189</v>
      </c>
      <c r="M507" s="193">
        <f t="shared" ref="M507:V507" si="208">SUM(M370,M428,M463,M479,M490,M506)</f>
        <v>-17.874633431085034</v>
      </c>
      <c r="N507" s="193">
        <f t="shared" si="208"/>
        <v>0</v>
      </c>
      <c r="O507" s="193">
        <f t="shared" si="208"/>
        <v>0</v>
      </c>
      <c r="P507" s="193">
        <f t="shared" si="208"/>
        <v>0</v>
      </c>
      <c r="Q507" s="193">
        <f t="shared" si="208"/>
        <v>0</v>
      </c>
      <c r="R507" s="193">
        <f t="shared" si="208"/>
        <v>0</v>
      </c>
      <c r="S507" s="193">
        <f t="shared" si="208"/>
        <v>0</v>
      </c>
      <c r="T507" s="193">
        <f t="shared" si="208"/>
        <v>0</v>
      </c>
      <c r="U507" s="193">
        <f t="shared" si="208"/>
        <v>0</v>
      </c>
      <c r="V507" s="193">
        <f t="shared" si="208"/>
        <v>0</v>
      </c>
      <c r="W507" s="78">
        <f t="shared" si="207"/>
        <v>0</v>
      </c>
      <c r="X507" s="193">
        <f>SUM(X370,X428,X463,X479,X490,X506)</f>
        <v>0</v>
      </c>
      <c r="Y507" s="193">
        <f>SUM(Y370,Y428,Y463,Y479,Y490,Y506)</f>
        <v>0</v>
      </c>
      <c r="Z507" s="193">
        <f>SUM(Z370,Z428,Z463,Z479,Z490,Z506)</f>
        <v>0</v>
      </c>
      <c r="AA507" s="193">
        <f>SUM(AA370,AA428,AA463,AA479,AA490,AA506)</f>
        <v>0</v>
      </c>
      <c r="AB507" s="71"/>
      <c r="AC507" s="271">
        <f>SUM(AC370,AC428,AC463,AC479,AC490,AC506)</f>
        <v>1756.21</v>
      </c>
      <c r="AD507" s="251"/>
      <c r="AE507" s="77"/>
      <c r="AF507" s="77"/>
      <c r="AG507" s="77"/>
      <c r="AH507" s="77"/>
      <c r="AI507" s="57"/>
      <c r="AJ507" s="57"/>
      <c r="AK507" s="57"/>
      <c r="AL507" s="696"/>
      <c r="AM507" s="696"/>
      <c r="AN507" s="696"/>
      <c r="AO507" s="696"/>
      <c r="AP507" s="696"/>
      <c r="AQ507" s="696"/>
      <c r="AR507" s="696"/>
      <c r="AS507" s="696"/>
      <c r="AT507" s="696"/>
      <c r="AU507" s="696"/>
      <c r="AV507" s="696"/>
      <c r="AW507" s="696"/>
      <c r="AX507" s="696"/>
      <c r="AY507" s="696"/>
      <c r="AZ507" s="696"/>
      <c r="BA507" s="696"/>
    </row>
    <row r="508" spans="1:53">
      <c r="G508" s="399">
        <f>+G507+G164+G335</f>
        <v>24463</v>
      </c>
      <c r="H508" s="100" t="s">
        <v>165</v>
      </c>
      <c r="J508" s="101">
        <f>+G463+G292+G121</f>
        <v>3819</v>
      </c>
      <c r="K508" s="101">
        <f>+H463+H292+H121</f>
        <v>17210.18</v>
      </c>
      <c r="L508" s="101">
        <f>+I463+I292+I121</f>
        <v>412.5</v>
      </c>
      <c r="M508" s="50">
        <f>+J508/L508</f>
        <v>9.2581818181818178</v>
      </c>
      <c r="AC508" s="272">
        <f>+AC507+AC164+AC335</f>
        <v>13179.34</v>
      </c>
    </row>
    <row r="509" spans="1:53">
      <c r="G509" s="275"/>
      <c r="H509" s="100"/>
      <c r="J509" s="101"/>
      <c r="K509" s="101"/>
      <c r="L509" s="101"/>
      <c r="M509" s="50"/>
      <c r="AB509" s="275"/>
    </row>
    <row r="510" spans="1:53">
      <c r="D510" s="274"/>
      <c r="H510" s="100"/>
      <c r="J510" s="101"/>
      <c r="K510" s="101"/>
      <c r="L510" s="101"/>
      <c r="M510" s="50"/>
      <c r="AC510" s="276"/>
    </row>
    <row r="511" spans="1:53">
      <c r="J511" s="101"/>
      <c r="K511" s="101"/>
      <c r="L511" s="101"/>
      <c r="M511" s="50"/>
    </row>
    <row r="514" spans="7:13">
      <c r="H514" s="100"/>
      <c r="K514" s="101"/>
      <c r="L514" s="101"/>
      <c r="M514" s="102"/>
    </row>
    <row r="515" spans="7:13">
      <c r="H515" s="100"/>
      <c r="K515" s="101"/>
      <c r="L515" s="101"/>
      <c r="M515" s="102"/>
    </row>
    <row r="516" spans="7:13">
      <c r="H516" s="100"/>
      <c r="K516" s="101"/>
      <c r="L516" s="101"/>
      <c r="M516" s="102"/>
    </row>
    <row r="517" spans="7:13">
      <c r="H517" s="100"/>
      <c r="K517" s="101"/>
      <c r="L517" s="101"/>
      <c r="M517" s="102"/>
    </row>
    <row r="518" spans="7:13">
      <c r="H518" s="100" t="s">
        <v>167</v>
      </c>
      <c r="J518" s="46">
        <f>+G163</f>
        <v>96</v>
      </c>
      <c r="K518" s="101">
        <f>+H163</f>
        <v>748.8</v>
      </c>
      <c r="L518" s="101">
        <f>+I163</f>
        <v>5</v>
      </c>
      <c r="M518" s="102">
        <f>+J518/L518</f>
        <v>19.2</v>
      </c>
    </row>
    <row r="519" spans="7:13">
      <c r="J519" s="46">
        <f>+B171</f>
        <v>10993</v>
      </c>
      <c r="M519" s="102"/>
    </row>
    <row r="520" spans="7:13">
      <c r="M520" s="102"/>
    </row>
    <row r="521" spans="7:13">
      <c r="H521" s="100" t="s">
        <v>163</v>
      </c>
      <c r="J521" s="46">
        <f>+G199</f>
        <v>4672</v>
      </c>
      <c r="K521" s="101">
        <f>+H199</f>
        <v>23665.08</v>
      </c>
      <c r="L521" s="101">
        <f>+I199</f>
        <v>293.55</v>
      </c>
      <c r="M521" s="102">
        <f>+J521/L521</f>
        <v>15.915516947709078</v>
      </c>
    </row>
    <row r="522" spans="7:13">
      <c r="H522" s="100" t="s">
        <v>164</v>
      </c>
      <c r="J522" s="46">
        <f>+G257</f>
        <v>4557</v>
      </c>
      <c r="K522" s="101">
        <f>+H257</f>
        <v>22991.81</v>
      </c>
      <c r="L522" s="101">
        <f>+I257</f>
        <v>191</v>
      </c>
      <c r="M522" s="102">
        <f>+J522/L522</f>
        <v>23.858638743455497</v>
      </c>
    </row>
    <row r="523" spans="7:13">
      <c r="H523" s="100" t="s">
        <v>165</v>
      </c>
      <c r="J523" s="46">
        <f>+G292</f>
        <v>634</v>
      </c>
      <c r="K523" s="101">
        <f>+H292</f>
        <v>1217.26</v>
      </c>
      <c r="L523" s="101">
        <f>+I292</f>
        <v>135</v>
      </c>
      <c r="M523" s="102">
        <f>+J523/L523</f>
        <v>4.6962962962962962</v>
      </c>
    </row>
    <row r="524" spans="7:13">
      <c r="H524" s="100" t="s">
        <v>166</v>
      </c>
      <c r="J524" s="46">
        <f>+G308</f>
        <v>1756</v>
      </c>
      <c r="K524" s="101">
        <f>+H308</f>
        <v>8883.6</v>
      </c>
      <c r="L524" s="101">
        <f>+I308</f>
        <v>105.5</v>
      </c>
      <c r="M524" s="102">
        <f>+J524/L524</f>
        <v>16.644549763033176</v>
      </c>
    </row>
    <row r="525" spans="7:13">
      <c r="H525" s="100" t="s">
        <v>167</v>
      </c>
      <c r="J525" s="46">
        <f>+G334</f>
        <v>0</v>
      </c>
      <c r="K525" s="101">
        <f>+H334</f>
        <v>0</v>
      </c>
      <c r="L525" s="101">
        <f>+I334</f>
        <v>0</v>
      </c>
      <c r="M525" s="102" t="e">
        <f>+J525/L525</f>
        <v>#DIV/0!</v>
      </c>
    </row>
    <row r="526" spans="7:13">
      <c r="G526" t="s">
        <v>170</v>
      </c>
      <c r="J526" s="46">
        <f>+B342</f>
        <v>11738</v>
      </c>
      <c r="K526" s="101"/>
      <c r="L526" s="101"/>
      <c r="M526" s="102"/>
    </row>
    <row r="527" spans="7:13">
      <c r="H527" s="100" t="s">
        <v>163</v>
      </c>
      <c r="J527" s="46">
        <f>+G370</f>
        <v>0</v>
      </c>
      <c r="K527" s="101">
        <f>+H370</f>
        <v>0</v>
      </c>
      <c r="L527" s="101">
        <f>+I370</f>
        <v>0</v>
      </c>
      <c r="M527" s="102" t="e">
        <f>+J527/L527</f>
        <v>#DIV/0!</v>
      </c>
    </row>
    <row r="528" spans="7:13">
      <c r="H528" s="100" t="s">
        <v>164</v>
      </c>
      <c r="J528" s="46">
        <f>+G428</f>
        <v>0</v>
      </c>
      <c r="K528" s="101">
        <f>+H428</f>
        <v>0</v>
      </c>
      <c r="L528" s="101">
        <f>+I428</f>
        <v>0</v>
      </c>
      <c r="M528" s="102" t="e">
        <f>+J528/L528</f>
        <v>#DIV/0!</v>
      </c>
    </row>
    <row r="529" spans="8:13">
      <c r="H529" s="100" t="s">
        <v>165</v>
      </c>
      <c r="J529" s="46">
        <f>+G463</f>
        <v>1732</v>
      </c>
      <c r="K529" s="101">
        <f>+H463</f>
        <v>8711.9600000000009</v>
      </c>
      <c r="L529" s="101">
        <f>+I463</f>
        <v>173.5</v>
      </c>
      <c r="M529" s="102">
        <f>+J529/L529</f>
        <v>9.9827089337175785</v>
      </c>
    </row>
    <row r="530" spans="8:13">
      <c r="H530" s="100" t="s">
        <v>166</v>
      </c>
      <c r="J530" s="46">
        <f>+G479</f>
        <v>0</v>
      </c>
      <c r="K530" s="101">
        <f>+H479</f>
        <v>0</v>
      </c>
      <c r="L530" s="101">
        <f>+I479</f>
        <v>0</v>
      </c>
      <c r="M530" s="102" t="e">
        <f>+J530/L530</f>
        <v>#DIV/0!</v>
      </c>
    </row>
    <row r="531" spans="8:13">
      <c r="H531" s="100" t="s">
        <v>167</v>
      </c>
      <c r="J531" s="46">
        <f>+G506</f>
        <v>0</v>
      </c>
      <c r="K531" s="101">
        <f>+H506</f>
        <v>0</v>
      </c>
      <c r="L531" s="101">
        <f>+I506</f>
        <v>0</v>
      </c>
      <c r="M531" s="102" t="e">
        <f>+J531/L531</f>
        <v>#DIV/0!</v>
      </c>
    </row>
    <row r="532" spans="8:13">
      <c r="J532" s="46" t="e">
        <f>+#REF!</f>
        <v>#REF!</v>
      </c>
    </row>
  </sheetData>
  <mergeCells count="350">
    <mergeCell ref="AB4:AB6"/>
    <mergeCell ref="AC4:AC6"/>
    <mergeCell ref="AB175:AB177"/>
    <mergeCell ref="AC175:AC177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  <mergeCell ref="A28:B28"/>
    <mergeCell ref="A86:B86"/>
    <mergeCell ref="A121:B121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137:B137"/>
    <mergeCell ref="A148:B148"/>
    <mergeCell ref="A163:B163"/>
    <mergeCell ref="A164:F164"/>
    <mergeCell ref="A165:A170"/>
    <mergeCell ref="C165:D165"/>
    <mergeCell ref="E165:F165"/>
    <mergeCell ref="Y5:Y6"/>
    <mergeCell ref="Z5:Z6"/>
    <mergeCell ref="R165:S165"/>
    <mergeCell ref="T165:U165"/>
    <mergeCell ref="V165:W165"/>
    <mergeCell ref="X165:Y165"/>
    <mergeCell ref="Z165:AA165"/>
    <mergeCell ref="C166:D166"/>
    <mergeCell ref="E166:F166"/>
    <mergeCell ref="G166:H166"/>
    <mergeCell ref="I166:J166"/>
    <mergeCell ref="K166:L166"/>
    <mergeCell ref="G165:H165"/>
    <mergeCell ref="I165:J165"/>
    <mergeCell ref="K165:L165"/>
    <mergeCell ref="M165:N165"/>
    <mergeCell ref="O165:O173"/>
    <mergeCell ref="P165:Q165"/>
    <mergeCell ref="M166:N166"/>
    <mergeCell ref="P166:Q166"/>
    <mergeCell ref="M167:N167"/>
    <mergeCell ref="P167:Q167"/>
    <mergeCell ref="R166:S166"/>
    <mergeCell ref="T166:U166"/>
    <mergeCell ref="V166:W166"/>
    <mergeCell ref="X166:Y166"/>
    <mergeCell ref="Z169:AA169"/>
    <mergeCell ref="Z166:AA166"/>
    <mergeCell ref="C167:D167"/>
    <mergeCell ref="E167:F167"/>
    <mergeCell ref="G167:H167"/>
    <mergeCell ref="I167:J167"/>
    <mergeCell ref="K167:L167"/>
    <mergeCell ref="R167:S167"/>
    <mergeCell ref="T167:U167"/>
    <mergeCell ref="V167:W167"/>
    <mergeCell ref="X167:Y167"/>
    <mergeCell ref="Z167:AA167"/>
    <mergeCell ref="T170:U170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T172:U172"/>
    <mergeCell ref="V170:W170"/>
    <mergeCell ref="X170:Y170"/>
    <mergeCell ref="Z170:AA170"/>
    <mergeCell ref="C171:D171"/>
    <mergeCell ref="E171:F171"/>
    <mergeCell ref="G171:H171"/>
    <mergeCell ref="I171:J171"/>
    <mergeCell ref="K171:L171"/>
    <mergeCell ref="Z171:AA171"/>
    <mergeCell ref="M171:N171"/>
    <mergeCell ref="P171:Q171"/>
    <mergeCell ref="R171:S171"/>
    <mergeCell ref="T171:U171"/>
    <mergeCell ref="V171:W171"/>
    <mergeCell ref="X171:Y171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R173:S173"/>
    <mergeCell ref="T173:U173"/>
    <mergeCell ref="V173:W173"/>
    <mergeCell ref="X173:Y173"/>
    <mergeCell ref="Z173:AA173"/>
    <mergeCell ref="A174:BA174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Z176:Z177"/>
    <mergeCell ref="AA176:AA177"/>
    <mergeCell ref="G175:H176"/>
    <mergeCell ref="I175:I177"/>
    <mergeCell ref="J175:J177"/>
    <mergeCell ref="K175:K177"/>
    <mergeCell ref="L175:L177"/>
    <mergeCell ref="M175:M177"/>
    <mergeCell ref="A175:A177"/>
    <mergeCell ref="B175:B177"/>
    <mergeCell ref="C175:C177"/>
    <mergeCell ref="D175:D177"/>
    <mergeCell ref="E175:E177"/>
    <mergeCell ref="F175:F177"/>
    <mergeCell ref="AL176:AR176"/>
    <mergeCell ref="AS176:BA176"/>
    <mergeCell ref="A199:B199"/>
    <mergeCell ref="A257:B257"/>
    <mergeCell ref="A292:B292"/>
    <mergeCell ref="A308:B308"/>
    <mergeCell ref="AJ175:AJ177"/>
    <mergeCell ref="AK175:AK177"/>
    <mergeCell ref="AL175:BA175"/>
    <mergeCell ref="O176:O177"/>
    <mergeCell ref="P176:P177"/>
    <mergeCell ref="Q176:Q177"/>
    <mergeCell ref="R176:R177"/>
    <mergeCell ref="S176:S177"/>
    <mergeCell ref="T176:T177"/>
    <mergeCell ref="U176:U177"/>
    <mergeCell ref="N175:N177"/>
    <mergeCell ref="O175:U175"/>
    <mergeCell ref="V175:V177"/>
    <mergeCell ref="W175:W177"/>
    <mergeCell ref="X175:AA175"/>
    <mergeCell ref="AI175:AI177"/>
    <mergeCell ref="X176:X177"/>
    <mergeCell ref="Y176:Y177"/>
    <mergeCell ref="A319:B319"/>
    <mergeCell ref="A334:B334"/>
    <mergeCell ref="A335:F335"/>
    <mergeCell ref="AL335:AR335"/>
    <mergeCell ref="AS335:BA335"/>
    <mergeCell ref="A336:A341"/>
    <mergeCell ref="C336:D336"/>
    <mergeCell ref="E336:F336"/>
    <mergeCell ref="G336:H336"/>
    <mergeCell ref="I336:J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K336:L336"/>
    <mergeCell ref="M336:N336"/>
    <mergeCell ref="O336:O344"/>
    <mergeCell ref="P336:Q336"/>
    <mergeCell ref="R336:S336"/>
    <mergeCell ref="T336:U336"/>
    <mergeCell ref="R337:S337"/>
    <mergeCell ref="T337:U337"/>
    <mergeCell ref="R338:S338"/>
    <mergeCell ref="T338:U338"/>
    <mergeCell ref="V337:W337"/>
    <mergeCell ref="X337:Y337"/>
    <mergeCell ref="Z337:AA337"/>
    <mergeCell ref="Z338:AA338"/>
    <mergeCell ref="C338:D338"/>
    <mergeCell ref="E338:F338"/>
    <mergeCell ref="G338:H338"/>
    <mergeCell ref="I338:J338"/>
    <mergeCell ref="K338:L338"/>
    <mergeCell ref="M338:N338"/>
    <mergeCell ref="P338:Q338"/>
    <mergeCell ref="V338:W338"/>
    <mergeCell ref="X338:Y338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M340:N340"/>
    <mergeCell ref="P340:Q340"/>
    <mergeCell ref="R340:S340"/>
    <mergeCell ref="T340:U340"/>
    <mergeCell ref="V340:W340"/>
    <mergeCell ref="X340:Y340"/>
    <mergeCell ref="C339:D339"/>
    <mergeCell ref="E339:F339"/>
    <mergeCell ref="G339:H339"/>
    <mergeCell ref="I339:J339"/>
    <mergeCell ref="K339:L339"/>
    <mergeCell ref="M339:N339"/>
    <mergeCell ref="P339:Q339"/>
    <mergeCell ref="R339:S339"/>
    <mergeCell ref="T339:U339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R342:S342"/>
    <mergeCell ref="T342:U342"/>
    <mergeCell ref="V342:W342"/>
    <mergeCell ref="X342:Y342"/>
    <mergeCell ref="Z342:AA342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C343:D343"/>
    <mergeCell ref="E343:F343"/>
    <mergeCell ref="G343:H343"/>
    <mergeCell ref="I343:J343"/>
    <mergeCell ref="K343:L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R344:S344"/>
    <mergeCell ref="T344:U344"/>
    <mergeCell ref="M343:N343"/>
    <mergeCell ref="P343:Q343"/>
    <mergeCell ref="R343:S343"/>
    <mergeCell ref="T343:U343"/>
    <mergeCell ref="V343:W343"/>
    <mergeCell ref="X343:Y343"/>
    <mergeCell ref="V344:W344"/>
    <mergeCell ref="X344:Y344"/>
    <mergeCell ref="Z344:AA344"/>
    <mergeCell ref="A345:BA345"/>
    <mergeCell ref="A346:A348"/>
    <mergeCell ref="B346:B348"/>
    <mergeCell ref="C346:C348"/>
    <mergeCell ref="D346:D348"/>
    <mergeCell ref="E346:E348"/>
    <mergeCell ref="F346:F348"/>
    <mergeCell ref="AL347:AR347"/>
    <mergeCell ref="AS347:BA347"/>
    <mergeCell ref="AB346:AB348"/>
    <mergeCell ref="AC346:AC348"/>
    <mergeCell ref="N346:N348"/>
    <mergeCell ref="O346:U346"/>
    <mergeCell ref="V346:V348"/>
    <mergeCell ref="W346:W348"/>
    <mergeCell ref="X346:AA346"/>
    <mergeCell ref="AI346:AI348"/>
    <mergeCell ref="X347:X348"/>
    <mergeCell ref="Y347:Y348"/>
    <mergeCell ref="Z347:Z348"/>
    <mergeCell ref="AA347:AA348"/>
    <mergeCell ref="AJ346:AJ348"/>
    <mergeCell ref="AK346:AK348"/>
    <mergeCell ref="AL346:BA346"/>
    <mergeCell ref="A507:F507"/>
    <mergeCell ref="AL507:AR507"/>
    <mergeCell ref="AS507:BA507"/>
    <mergeCell ref="A370:B370"/>
    <mergeCell ref="A428:B428"/>
    <mergeCell ref="A463:B463"/>
    <mergeCell ref="A479:B479"/>
    <mergeCell ref="O347:O348"/>
    <mergeCell ref="P347:P348"/>
    <mergeCell ref="Q347:Q348"/>
    <mergeCell ref="R347:R348"/>
    <mergeCell ref="S347:S348"/>
    <mergeCell ref="T347:T348"/>
    <mergeCell ref="U347:U348"/>
    <mergeCell ref="A490:B490"/>
    <mergeCell ref="A506:B506"/>
    <mergeCell ref="G346:H347"/>
    <mergeCell ref="I346:I348"/>
    <mergeCell ref="J346:J348"/>
    <mergeCell ref="K346:K348"/>
    <mergeCell ref="L346:L348"/>
    <mergeCell ref="M346:M348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12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C19" sqref="C19"/>
    </sheetView>
  </sheetViews>
  <sheetFormatPr defaultRowHeight="14.25"/>
  <cols>
    <col min="1" max="1" width="19.125" customWidth="1"/>
    <col min="2" max="2" width="13.5" customWidth="1"/>
    <col min="3" max="3" width="15.5" customWidth="1"/>
    <col min="5" max="5" width="14.125" customWidth="1"/>
    <col min="6" max="6" width="15.125" customWidth="1"/>
    <col min="7" max="7" width="10.875" customWidth="1"/>
    <col min="8" max="8" width="15.125" customWidth="1"/>
    <col min="9" max="9" width="16.375" customWidth="1"/>
    <col min="10" max="10" width="12.375" customWidth="1"/>
    <col min="11" max="11" width="9" style="252"/>
  </cols>
  <sheetData>
    <row r="1" spans="1:11" ht="25.5">
      <c r="A1" s="737" t="s">
        <v>536</v>
      </c>
      <c r="B1" s="738"/>
      <c r="C1" s="738"/>
      <c r="D1" s="738"/>
      <c r="E1" s="738"/>
      <c r="F1" s="738"/>
      <c r="G1" s="738"/>
      <c r="H1" s="738"/>
      <c r="I1" s="738"/>
      <c r="J1" s="738"/>
      <c r="K1" s="739"/>
    </row>
    <row r="2" spans="1:11" ht="15.75">
      <c r="A2" s="380" t="s">
        <v>518</v>
      </c>
      <c r="B2" s="381" t="s">
        <v>519</v>
      </c>
      <c r="C2" s="383"/>
      <c r="D2" s="382"/>
      <c r="E2" s="381" t="s">
        <v>520</v>
      </c>
      <c r="F2" s="383"/>
      <c r="G2" s="382"/>
      <c r="H2" s="380" t="s">
        <v>521</v>
      </c>
      <c r="I2" s="380"/>
      <c r="J2" s="380"/>
      <c r="K2" s="735" t="s">
        <v>535</v>
      </c>
    </row>
    <row r="3" spans="1:11" ht="15.75">
      <c r="A3" s="380" t="s">
        <v>522</v>
      </c>
      <c r="B3" s="380" t="s">
        <v>523</v>
      </c>
      <c r="C3" s="380" t="s">
        <v>524</v>
      </c>
      <c r="D3" s="380" t="s">
        <v>525</v>
      </c>
      <c r="E3" s="380" t="s">
        <v>523</v>
      </c>
      <c r="F3" s="380" t="s">
        <v>524</v>
      </c>
      <c r="G3" s="380" t="s">
        <v>525</v>
      </c>
      <c r="H3" s="380" t="s">
        <v>523</v>
      </c>
      <c r="I3" s="380" t="s">
        <v>524</v>
      </c>
      <c r="J3" s="380" t="s">
        <v>525</v>
      </c>
      <c r="K3" s="736"/>
    </row>
    <row r="4" spans="1:11" ht="15.75">
      <c r="A4" s="380" t="s">
        <v>526</v>
      </c>
      <c r="B4" s="380">
        <f>+汇总!G28</f>
        <v>16131</v>
      </c>
      <c r="C4" s="380">
        <v>0</v>
      </c>
      <c r="D4" s="384" t="e">
        <f>+B4/C4</f>
        <v>#DIV/0!</v>
      </c>
      <c r="E4" s="380">
        <f>+汇总!G199</f>
        <v>20682</v>
      </c>
      <c r="F4" s="380">
        <v>0</v>
      </c>
      <c r="G4" s="384" t="e">
        <f>+E4/F4</f>
        <v>#DIV/0!</v>
      </c>
      <c r="H4" s="380">
        <f>+汇总!G370</f>
        <v>0</v>
      </c>
      <c r="I4" s="380">
        <v>0</v>
      </c>
      <c r="J4" s="380" t="e">
        <f t="shared" ref="J4:J9" si="0">+H4/I4</f>
        <v>#DIV/0!</v>
      </c>
      <c r="K4" s="385">
        <f>+B4+E4+H4</f>
        <v>36813</v>
      </c>
    </row>
    <row r="5" spans="1:11" ht="15.75">
      <c r="A5" s="380" t="s">
        <v>527</v>
      </c>
      <c r="B5" s="380">
        <f>+汇总!G86</f>
        <v>33458</v>
      </c>
      <c r="C5" s="380">
        <v>0</v>
      </c>
      <c r="D5" s="384" t="e">
        <f t="shared" ref="D5:D11" si="1">+B5/C5</f>
        <v>#DIV/0!</v>
      </c>
      <c r="E5" s="380">
        <f>+汇总!G257</f>
        <v>35730</v>
      </c>
      <c r="F5" s="380">
        <v>0</v>
      </c>
      <c r="G5" s="384" t="e">
        <f t="shared" ref="G5:G11" si="2">+E5/F5</f>
        <v>#DIV/0!</v>
      </c>
      <c r="H5" s="380">
        <f>+汇总!G428</f>
        <v>0</v>
      </c>
      <c r="I5" s="380">
        <v>0</v>
      </c>
      <c r="J5" s="380" t="e">
        <f t="shared" si="0"/>
        <v>#DIV/0!</v>
      </c>
      <c r="K5" s="385">
        <f t="shared" ref="K5:K10" si="3">+B5+E5+H5</f>
        <v>69188</v>
      </c>
    </row>
    <row r="6" spans="1:11" ht="15.75">
      <c r="A6" s="380" t="s">
        <v>528</v>
      </c>
      <c r="B6" s="380">
        <f>+汇总!G121</f>
        <v>8203</v>
      </c>
      <c r="C6" s="380">
        <v>0</v>
      </c>
      <c r="D6" s="384" t="e">
        <f t="shared" si="1"/>
        <v>#DIV/0!</v>
      </c>
      <c r="E6" s="380">
        <f>+汇总!G292</f>
        <v>4977</v>
      </c>
      <c r="F6" s="380">
        <v>0</v>
      </c>
      <c r="G6" s="380" t="e">
        <f t="shared" si="2"/>
        <v>#DIV/0!</v>
      </c>
      <c r="H6" s="380">
        <f>+汇总!G463</f>
        <v>7980</v>
      </c>
      <c r="I6" s="380">
        <v>0</v>
      </c>
      <c r="J6" s="384" t="e">
        <f>+H6/I6</f>
        <v>#DIV/0!</v>
      </c>
      <c r="K6" s="385">
        <f t="shared" si="3"/>
        <v>21160</v>
      </c>
    </row>
    <row r="7" spans="1:11" ht="15.75">
      <c r="A7" s="380" t="s">
        <v>529</v>
      </c>
      <c r="B7" s="380">
        <f>+汇总!G137</f>
        <v>9199</v>
      </c>
      <c r="C7" s="380">
        <v>0</v>
      </c>
      <c r="D7" s="380" t="e">
        <f t="shared" si="1"/>
        <v>#DIV/0!</v>
      </c>
      <c r="E7" s="380">
        <f>+汇总!G308</f>
        <v>8309</v>
      </c>
      <c r="F7" s="380">
        <v>0</v>
      </c>
      <c r="G7" s="380" t="e">
        <f t="shared" si="2"/>
        <v>#DIV/0!</v>
      </c>
      <c r="H7" s="380">
        <f>+汇总!G479</f>
        <v>0</v>
      </c>
      <c r="I7" s="380">
        <v>0</v>
      </c>
      <c r="J7" s="380" t="e">
        <f t="shared" si="0"/>
        <v>#DIV/0!</v>
      </c>
      <c r="K7" s="385">
        <f t="shared" si="3"/>
        <v>17508</v>
      </c>
    </row>
    <row r="8" spans="1:11" ht="15.75">
      <c r="A8" s="380" t="s">
        <v>530</v>
      </c>
      <c r="B8" s="380">
        <f>+汇总!G148</f>
        <v>4288</v>
      </c>
      <c r="C8" s="380">
        <v>0</v>
      </c>
      <c r="D8" s="384" t="e">
        <f t="shared" si="1"/>
        <v>#DIV/0!</v>
      </c>
      <c r="E8" s="380">
        <f>+汇总!G319</f>
        <v>4517</v>
      </c>
      <c r="F8" s="380">
        <v>0</v>
      </c>
      <c r="G8" s="384" t="e">
        <f>+E8/F8</f>
        <v>#DIV/0!</v>
      </c>
      <c r="H8" s="380">
        <f>+汇总!G490</f>
        <v>0</v>
      </c>
      <c r="I8" s="380">
        <v>0</v>
      </c>
      <c r="J8" s="380" t="e">
        <f t="shared" si="0"/>
        <v>#DIV/0!</v>
      </c>
      <c r="K8" s="385">
        <f t="shared" si="3"/>
        <v>8805</v>
      </c>
    </row>
    <row r="9" spans="1:11" ht="15.75">
      <c r="A9" s="380" t="s">
        <v>531</v>
      </c>
      <c r="B9" s="380">
        <f>+汇总!G163</f>
        <v>1649</v>
      </c>
      <c r="C9" s="380">
        <v>0</v>
      </c>
      <c r="D9" s="384" t="e">
        <f t="shared" si="1"/>
        <v>#DIV/0!</v>
      </c>
      <c r="E9" s="380">
        <f>+汇总!G334</f>
        <v>1680</v>
      </c>
      <c r="F9" s="380">
        <v>0</v>
      </c>
      <c r="G9" s="384" t="e">
        <f t="shared" si="2"/>
        <v>#DIV/0!</v>
      </c>
      <c r="H9" s="380">
        <f>+汇总!G506</f>
        <v>0</v>
      </c>
      <c r="I9" s="380">
        <v>0</v>
      </c>
      <c r="J9" s="384" t="e">
        <f t="shared" si="0"/>
        <v>#DIV/0!</v>
      </c>
      <c r="K9" s="385">
        <f t="shared" si="3"/>
        <v>3329</v>
      </c>
    </row>
    <row r="10" spans="1:11" ht="15.75">
      <c r="A10" s="380" t="s">
        <v>532</v>
      </c>
      <c r="B10" s="380">
        <v>0</v>
      </c>
      <c r="C10" s="380">
        <v>0</v>
      </c>
      <c r="D10" s="380" t="e">
        <f t="shared" si="1"/>
        <v>#DIV/0!</v>
      </c>
      <c r="E10" s="380">
        <v>0</v>
      </c>
      <c r="F10" s="380">
        <v>0</v>
      </c>
      <c r="G10" s="380" t="e">
        <f t="shared" si="2"/>
        <v>#DIV/0!</v>
      </c>
      <c r="H10" s="380">
        <v>0</v>
      </c>
      <c r="I10" s="380">
        <v>0</v>
      </c>
      <c r="J10" s="380" t="e">
        <f>+H10/I10</f>
        <v>#DIV/0!</v>
      </c>
      <c r="K10" s="385">
        <f t="shared" si="3"/>
        <v>0</v>
      </c>
    </row>
    <row r="11" spans="1:11" ht="15.75">
      <c r="A11" s="380" t="s">
        <v>533</v>
      </c>
      <c r="B11" s="380">
        <f>SUM(B4:B10)</f>
        <v>72928</v>
      </c>
      <c r="C11" s="380">
        <f>SUM(C4:C10)</f>
        <v>0</v>
      </c>
      <c r="D11" s="380" t="e">
        <f t="shared" si="1"/>
        <v>#DIV/0!</v>
      </c>
      <c r="E11" s="380">
        <f>SUM(E4:E10)</f>
        <v>75895</v>
      </c>
      <c r="F11" s="380">
        <f>SUM(F4:F10)</f>
        <v>0</v>
      </c>
      <c r="G11" s="384" t="e">
        <f t="shared" si="2"/>
        <v>#DIV/0!</v>
      </c>
      <c r="H11" s="380">
        <f>SUM(H4:H10)</f>
        <v>7980</v>
      </c>
      <c r="I11" s="380">
        <f>SUM(I4:I10)</f>
        <v>0</v>
      </c>
      <c r="J11" s="384" t="e">
        <f>+H11/I11</f>
        <v>#DIV/0!</v>
      </c>
      <c r="K11" s="385">
        <f>+B11+E11+H11</f>
        <v>156803</v>
      </c>
    </row>
    <row r="12" spans="1:11" ht="15.75">
      <c r="A12" s="380" t="s">
        <v>534</v>
      </c>
      <c r="B12" s="661">
        <f>B11+E11+H11</f>
        <v>156803</v>
      </c>
      <c r="C12" s="666"/>
      <c r="D12" s="666"/>
      <c r="E12" s="666"/>
      <c r="F12" s="666"/>
      <c r="G12" s="666"/>
      <c r="H12" s="666"/>
      <c r="I12" s="666"/>
      <c r="J12" s="662"/>
      <c r="K12" s="385"/>
    </row>
  </sheetData>
  <mergeCells count="3">
    <mergeCell ref="K2:K3"/>
    <mergeCell ref="A1:K1"/>
    <mergeCell ref="B12:J12"/>
  </mergeCells>
  <phoneticPr fontId="4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525" activePane="bottomRight" state="frozen"/>
      <selection activeCell="E487" sqref="E487"/>
      <selection pane="topRight" activeCell="E487" sqref="E487"/>
      <selection pane="bottomLeft" activeCell="E487" sqref="E487"/>
      <selection pane="bottomRight" activeCell="E538" sqref="E538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55" t="s">
        <v>413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55"/>
      <c r="M1" s="555"/>
      <c r="N1" s="555"/>
      <c r="O1" s="555"/>
      <c r="P1" s="555"/>
      <c r="Q1" s="555"/>
      <c r="R1" s="555"/>
      <c r="S1" s="555"/>
      <c r="T1" s="555"/>
      <c r="U1" s="555"/>
      <c r="V1" s="555"/>
      <c r="W1" s="555"/>
      <c r="X1" s="555"/>
      <c r="Y1" s="555"/>
      <c r="Z1" s="555"/>
      <c r="AA1" s="555"/>
    </row>
    <row r="2" spans="1:27" ht="18.75">
      <c r="A2" s="556"/>
      <c r="B2" s="556"/>
      <c r="C2" s="556"/>
      <c r="D2" s="556"/>
      <c r="E2" s="556"/>
      <c r="F2" s="556"/>
      <c r="G2" s="556"/>
      <c r="H2" s="556"/>
      <c r="I2" s="556"/>
      <c r="J2" s="556"/>
      <c r="K2" s="556"/>
      <c r="L2" s="556"/>
      <c r="M2" s="556"/>
      <c r="N2" s="556"/>
      <c r="O2" s="556"/>
      <c r="P2" s="556"/>
      <c r="Q2" s="556"/>
      <c r="R2" s="556"/>
      <c r="S2" s="556"/>
      <c r="T2" s="556"/>
      <c r="U2" s="556"/>
      <c r="V2" s="556"/>
      <c r="W2" s="556"/>
      <c r="X2" s="556"/>
      <c r="Y2" s="556"/>
      <c r="Z2" s="556"/>
      <c r="AA2" s="556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57" t="s">
        <v>12</v>
      </c>
      <c r="B4" s="557" t="s">
        <v>25</v>
      </c>
      <c r="C4" s="557" t="s">
        <v>26</v>
      </c>
      <c r="D4" s="557" t="s">
        <v>27</v>
      </c>
      <c r="E4" s="560" t="s">
        <v>28</v>
      </c>
      <c r="F4" s="563" t="s">
        <v>29</v>
      </c>
      <c r="G4" s="566" t="s">
        <v>30</v>
      </c>
      <c r="H4" s="566"/>
      <c r="I4" s="557" t="s">
        <v>31</v>
      </c>
      <c r="J4" s="569" t="s">
        <v>32</v>
      </c>
      <c r="K4" s="572" t="s">
        <v>33</v>
      </c>
      <c r="L4" s="557" t="s">
        <v>34</v>
      </c>
      <c r="M4" s="575" t="s">
        <v>35</v>
      </c>
      <c r="N4" s="577" t="s">
        <v>36</v>
      </c>
      <c r="O4" s="566" t="s">
        <v>37</v>
      </c>
      <c r="P4" s="566"/>
      <c r="Q4" s="566"/>
      <c r="R4" s="566"/>
      <c r="S4" s="566"/>
      <c r="T4" s="566"/>
      <c r="U4" s="566"/>
      <c r="V4" s="566" t="s">
        <v>38</v>
      </c>
      <c r="W4" s="577" t="s">
        <v>39</v>
      </c>
      <c r="X4" s="566" t="s">
        <v>40</v>
      </c>
      <c r="Y4" s="566"/>
      <c r="Z4" s="566"/>
      <c r="AA4" s="566"/>
    </row>
    <row r="5" spans="1:27" s="104" customFormat="1" ht="15" customHeight="1">
      <c r="A5" s="558"/>
      <c r="B5" s="558"/>
      <c r="C5" s="558"/>
      <c r="D5" s="558"/>
      <c r="E5" s="561"/>
      <c r="F5" s="564"/>
      <c r="G5" s="566"/>
      <c r="H5" s="566"/>
      <c r="I5" s="558"/>
      <c r="J5" s="570"/>
      <c r="K5" s="573"/>
      <c r="L5" s="558"/>
      <c r="M5" s="576"/>
      <c r="N5" s="577"/>
      <c r="O5" s="566" t="s">
        <v>41</v>
      </c>
      <c r="P5" s="566" t="s">
        <v>42</v>
      </c>
      <c r="Q5" s="566" t="s">
        <v>43</v>
      </c>
      <c r="R5" s="567" t="s">
        <v>44</v>
      </c>
      <c r="S5" s="568" t="s">
        <v>45</v>
      </c>
      <c r="T5" s="566" t="s">
        <v>46</v>
      </c>
      <c r="U5" s="566" t="s">
        <v>47</v>
      </c>
      <c r="V5" s="566"/>
      <c r="W5" s="577"/>
      <c r="X5" s="566" t="s">
        <v>13</v>
      </c>
      <c r="Y5" s="566" t="s">
        <v>48</v>
      </c>
      <c r="Z5" s="566" t="s">
        <v>49</v>
      </c>
      <c r="AA5" s="566" t="s">
        <v>47</v>
      </c>
    </row>
    <row r="6" spans="1:27" s="104" customFormat="1" ht="27.75" customHeight="1">
      <c r="A6" s="559"/>
      <c r="B6" s="559"/>
      <c r="C6" s="559"/>
      <c r="D6" s="559"/>
      <c r="E6" s="562"/>
      <c r="F6" s="565"/>
      <c r="G6" s="350" t="s">
        <v>50</v>
      </c>
      <c r="H6" s="387" t="s">
        <v>51</v>
      </c>
      <c r="I6" s="559"/>
      <c r="J6" s="571"/>
      <c r="K6" s="574"/>
      <c r="L6" s="559"/>
      <c r="M6" s="576"/>
      <c r="N6" s="577"/>
      <c r="O6" s="566"/>
      <c r="P6" s="566"/>
      <c r="Q6" s="566"/>
      <c r="R6" s="567"/>
      <c r="S6" s="568"/>
      <c r="T6" s="566"/>
      <c r="U6" s="566"/>
      <c r="V6" s="566"/>
      <c r="W6" s="577"/>
      <c r="X6" s="566"/>
      <c r="Y6" s="566"/>
      <c r="Z6" s="566"/>
      <c r="AA6" s="566"/>
    </row>
    <row r="7" spans="1:27" ht="20.100000000000001" hidden="1" customHeight="1">
      <c r="A7" s="299">
        <v>30100030</v>
      </c>
      <c r="B7" s="390" t="s">
        <v>178</v>
      </c>
      <c r="C7" s="126" t="s">
        <v>179</v>
      </c>
      <c r="D7" s="108">
        <v>5.03</v>
      </c>
      <c r="E7" s="108"/>
      <c r="F7" s="127"/>
      <c r="G7" s="128"/>
      <c r="H7" s="398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389"/>
      <c r="P7" s="389"/>
      <c r="Q7" s="389"/>
      <c r="R7" s="389"/>
      <c r="S7" s="389"/>
      <c r="T7" s="389"/>
      <c r="U7" s="389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398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389"/>
      <c r="Q8" s="389"/>
      <c r="R8" s="389"/>
      <c r="S8" s="389"/>
      <c r="T8" s="389"/>
      <c r="U8" s="389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398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389"/>
      <c r="P9" s="389"/>
      <c r="Q9" s="389"/>
      <c r="R9" s="389"/>
      <c r="S9" s="389"/>
      <c r="T9" s="389"/>
      <c r="U9" s="389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398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389"/>
      <c r="P10" s="389"/>
      <c r="Q10" s="389"/>
      <c r="R10" s="389"/>
      <c r="S10" s="389"/>
      <c r="T10" s="389"/>
      <c r="U10" s="389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>
        <v>42736</v>
      </c>
      <c r="G11" s="128">
        <f>108+42+108</f>
        <v>258</v>
      </c>
      <c r="H11" s="398">
        <f t="shared" si="0"/>
        <v>1297.74</v>
      </c>
      <c r="I11" s="129">
        <f>6*4</f>
        <v>24</v>
      </c>
      <c r="J11" s="130">
        <f t="array" ref="J11">IF(ISERROR(G11/I11),"",G11/I11)</f>
        <v>10.75</v>
      </c>
      <c r="K11" s="131">
        <f t="array" ref="K11">IF(ISERROR(G11/L11),"",G11/L11)</f>
        <v>12.9</v>
      </c>
      <c r="L11" s="129">
        <v>20</v>
      </c>
      <c r="M11" s="109">
        <f t="shared" si="1"/>
        <v>11.1</v>
      </c>
      <c r="N11" s="130">
        <f t="shared" si="4"/>
        <v>0</v>
      </c>
      <c r="O11" s="389"/>
      <c r="P11" s="389"/>
      <c r="Q11" s="389"/>
      <c r="R11" s="389"/>
      <c r="S11" s="389"/>
      <c r="T11" s="389"/>
      <c r="U11" s="389"/>
      <c r="V11" s="132">
        <f t="shared" si="2"/>
        <v>0</v>
      </c>
      <c r="W11" s="133">
        <f t="shared" si="3"/>
        <v>0</v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398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389"/>
      <c r="P12" s="389"/>
      <c r="Q12" s="389"/>
      <c r="R12" s="389"/>
      <c r="S12" s="389"/>
      <c r="T12" s="389"/>
      <c r="U12" s="389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398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389"/>
      <c r="P13" s="389"/>
      <c r="Q13" s="389"/>
      <c r="R13" s="389"/>
      <c r="S13" s="389"/>
      <c r="T13" s="389"/>
      <c r="U13" s="389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398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389"/>
      <c r="P14" s="389"/>
      <c r="Q14" s="389"/>
      <c r="R14" s="389"/>
      <c r="S14" s="389"/>
      <c r="T14" s="389"/>
      <c r="U14" s="389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398">
        <f t="shared" si="0"/>
        <v>0</v>
      </c>
      <c r="I15" s="398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389"/>
      <c r="P15" s="389"/>
      <c r="Q15" s="389"/>
      <c r="R15" s="389"/>
      <c r="S15" s="389"/>
      <c r="T15" s="389"/>
      <c r="U15" s="389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398">
        <f t="shared" si="0"/>
        <v>0</v>
      </c>
      <c r="I16" s="398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389"/>
      <c r="P16" s="389"/>
      <c r="Q16" s="389"/>
      <c r="R16" s="389"/>
      <c r="S16" s="389"/>
      <c r="T16" s="389"/>
      <c r="U16" s="389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398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389"/>
      <c r="P17" s="389"/>
      <c r="Q17" s="389"/>
      <c r="R17" s="389"/>
      <c r="S17" s="389"/>
      <c r="T17" s="389"/>
      <c r="U17" s="389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398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389"/>
      <c r="P18" s="389"/>
      <c r="Q18" s="389"/>
      <c r="R18" s="389"/>
      <c r="S18" s="389"/>
      <c r="T18" s="389"/>
      <c r="U18" s="389"/>
      <c r="V18" s="132"/>
      <c r="W18" s="133"/>
      <c r="X18" s="132"/>
      <c r="Y18" s="132"/>
      <c r="Z18" s="132"/>
      <c r="AA18" s="132"/>
    </row>
    <row r="19" spans="1:27" s="351" customFormat="1" ht="20.10000000000000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>
        <v>42736</v>
      </c>
      <c r="G19" s="128">
        <f>90*7+74</f>
        <v>704</v>
      </c>
      <c r="H19" s="398">
        <f t="shared" si="0"/>
        <v>3562.24</v>
      </c>
      <c r="I19" s="129">
        <f>8.5*5</f>
        <v>42.5</v>
      </c>
      <c r="J19" s="130">
        <f t="array" ref="J19">IF(ISERROR(G19/I19),"",G19/I19)</f>
        <v>16.564705882352943</v>
      </c>
      <c r="K19" s="131">
        <f t="array" ref="K19">IF(ISERROR(G19/L19),"",G19/L19)</f>
        <v>37.05263157894737</v>
      </c>
      <c r="L19" s="129">
        <v>19</v>
      </c>
      <c r="M19" s="109">
        <f t="shared" si="1"/>
        <v>5.4473684210526301</v>
      </c>
      <c r="N19" s="129">
        <f t="shared" si="4"/>
        <v>0</v>
      </c>
      <c r="O19" s="389"/>
      <c r="P19" s="389"/>
      <c r="Q19" s="389"/>
      <c r="R19" s="389"/>
      <c r="S19" s="389"/>
      <c r="T19" s="389"/>
      <c r="U19" s="389"/>
      <c r="V19" s="132">
        <f t="shared" ref="V19:V21" si="5">SUM(X19:AA19)</f>
        <v>0</v>
      </c>
      <c r="W19" s="392">
        <f t="shared" ref="W19:W21" si="6">IF(ISERROR(V19/G19),"",V19/G19)</f>
        <v>0</v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398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389"/>
      <c r="P20" s="389"/>
      <c r="Q20" s="389"/>
      <c r="R20" s="389"/>
      <c r="S20" s="389"/>
      <c r="T20" s="389"/>
      <c r="U20" s="389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>
        <v>42736</v>
      </c>
      <c r="G21" s="128">
        <f>100*6+110+100*2</f>
        <v>910</v>
      </c>
      <c r="H21" s="398">
        <f t="shared" si="0"/>
        <v>4631.8999999999996</v>
      </c>
      <c r="I21" s="129">
        <f>11*5</f>
        <v>55</v>
      </c>
      <c r="J21" s="130">
        <f t="array" ref="J21">IF(ISERROR(G21/I21),"",G21/I21)</f>
        <v>16.545454545454547</v>
      </c>
      <c r="K21" s="131">
        <f t="array" ref="K21">IF(ISERROR(G21/L21),"",G21/L21)</f>
        <v>39.565217391304351</v>
      </c>
      <c r="L21" s="129">
        <v>23</v>
      </c>
      <c r="M21" s="109">
        <f t="shared" si="1"/>
        <v>15.434782608695649</v>
      </c>
      <c r="N21" s="130">
        <f t="shared" si="4"/>
        <v>0</v>
      </c>
      <c r="O21" s="389"/>
      <c r="P21" s="389"/>
      <c r="Q21" s="389"/>
      <c r="R21" s="389"/>
      <c r="S21" s="389"/>
      <c r="T21" s="389"/>
      <c r="U21" s="389"/>
      <c r="V21" s="132">
        <f t="shared" si="5"/>
        <v>0</v>
      </c>
      <c r="W21" s="133">
        <f t="shared" si="6"/>
        <v>0</v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388" t="s">
        <v>190</v>
      </c>
      <c r="D22" s="108">
        <v>4.8</v>
      </c>
      <c r="E22" s="108"/>
      <c r="F22" s="127"/>
      <c r="G22" s="128"/>
      <c r="H22" s="398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389"/>
      <c r="P22" s="389"/>
      <c r="Q22" s="389"/>
      <c r="R22" s="389"/>
      <c r="S22" s="389"/>
      <c r="T22" s="389"/>
      <c r="U22" s="389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388" t="s">
        <v>187</v>
      </c>
      <c r="D23" s="108">
        <v>4.8</v>
      </c>
      <c r="E23" s="108"/>
      <c r="F23" s="127"/>
      <c r="G23" s="128"/>
      <c r="H23" s="398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389"/>
      <c r="P23" s="389"/>
      <c r="Q23" s="389"/>
      <c r="R23" s="389"/>
      <c r="S23" s="389"/>
      <c r="T23" s="389"/>
      <c r="U23" s="389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388" t="s">
        <v>179</v>
      </c>
      <c r="D24" s="108">
        <v>4.8</v>
      </c>
      <c r="E24" s="108"/>
      <c r="F24" s="127"/>
      <c r="G24" s="128"/>
      <c r="H24" s="398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389"/>
      <c r="P24" s="389"/>
      <c r="Q24" s="389"/>
      <c r="R24" s="389"/>
      <c r="S24" s="389"/>
      <c r="T24" s="389"/>
      <c r="U24" s="389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388" t="s">
        <v>199</v>
      </c>
      <c r="D25" s="108">
        <v>4.8</v>
      </c>
      <c r="E25" s="108"/>
      <c r="F25" s="127"/>
      <c r="G25" s="128"/>
      <c r="H25" s="398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389"/>
      <c r="P25" s="389"/>
      <c r="Q25" s="389"/>
      <c r="R25" s="389"/>
      <c r="S25" s="389"/>
      <c r="T25" s="389"/>
      <c r="U25" s="389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398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389"/>
      <c r="P26" s="389"/>
      <c r="Q26" s="389"/>
      <c r="R26" s="389"/>
      <c r="S26" s="389"/>
      <c r="T26" s="389"/>
      <c r="U26" s="389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398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389"/>
      <c r="P27" s="389"/>
      <c r="Q27" s="389"/>
      <c r="R27" s="389"/>
      <c r="S27" s="389"/>
      <c r="T27" s="389"/>
      <c r="U27" s="389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578" t="s">
        <v>201</v>
      </c>
      <c r="B28" s="579"/>
      <c r="C28" s="396" t="s">
        <v>202</v>
      </c>
      <c r="D28" s="143"/>
      <c r="E28" s="143"/>
      <c r="F28" s="144"/>
      <c r="G28" s="145">
        <f>SUM(G7:G27)</f>
        <v>1872</v>
      </c>
      <c r="H28" s="146">
        <f>SUM(H7:H27)</f>
        <v>9491.8799999999992</v>
      </c>
      <c r="I28" s="146">
        <f>SUM(I7:I27)</f>
        <v>121.5</v>
      </c>
      <c r="J28" s="130">
        <f t="array" ref="J28">IF(ISERROR(G28/I28),"",G28/I28)</f>
        <v>15.407407407407407</v>
      </c>
      <c r="K28" s="146">
        <f>SUM(K7:K27)</f>
        <v>89.51784897025172</v>
      </c>
      <c r="L28" s="147"/>
      <c r="M28" s="146">
        <f t="shared" ref="M28:V28" si="10">SUM(M7:M27)</f>
        <v>31.98215102974828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390" t="s">
        <v>206</v>
      </c>
      <c r="C29" s="126" t="s">
        <v>199</v>
      </c>
      <c r="D29" s="108">
        <v>5.03</v>
      </c>
      <c r="E29" s="108"/>
      <c r="F29" s="127"/>
      <c r="G29" s="128"/>
      <c r="H29" s="398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393"/>
      <c r="P29" s="393"/>
      <c r="Q29" s="393"/>
      <c r="R29" s="393"/>
      <c r="S29" s="393"/>
      <c r="T29" s="393"/>
      <c r="U29" s="393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390" t="s">
        <v>425</v>
      </c>
      <c r="C30" s="187" t="s">
        <v>427</v>
      </c>
      <c r="D30" s="108">
        <v>5.03</v>
      </c>
      <c r="E30" s="108"/>
      <c r="F30" s="127"/>
      <c r="G30" s="128"/>
      <c r="H30" s="398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393"/>
      <c r="P30" s="393"/>
      <c r="Q30" s="393"/>
      <c r="R30" s="393"/>
      <c r="S30" s="393"/>
      <c r="T30" s="393"/>
      <c r="U30" s="393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390" t="s">
        <v>206</v>
      </c>
      <c r="C31" s="126" t="s">
        <v>186</v>
      </c>
      <c r="D31" s="108">
        <v>5.03</v>
      </c>
      <c r="E31" s="108"/>
      <c r="F31" s="127"/>
      <c r="G31" s="128"/>
      <c r="H31" s="398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393"/>
      <c r="P31" s="393"/>
      <c r="Q31" s="393"/>
      <c r="R31" s="393"/>
      <c r="S31" s="393"/>
      <c r="T31" s="393"/>
      <c r="U31" s="393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390" t="s">
        <v>206</v>
      </c>
      <c r="C32" s="126" t="s">
        <v>203</v>
      </c>
      <c r="D32" s="108">
        <v>5.03</v>
      </c>
      <c r="E32" s="108"/>
      <c r="F32" s="127"/>
      <c r="G32" s="128"/>
      <c r="H32" s="398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393"/>
      <c r="P32" s="393"/>
      <c r="Q32" s="393"/>
      <c r="R32" s="393"/>
      <c r="S32" s="393"/>
      <c r="T32" s="393"/>
      <c r="U32" s="393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390" t="s">
        <v>206</v>
      </c>
      <c r="C33" s="126" t="s">
        <v>207</v>
      </c>
      <c r="D33" s="108">
        <v>5.03</v>
      </c>
      <c r="E33" s="108"/>
      <c r="F33" s="127"/>
      <c r="G33" s="128"/>
      <c r="H33" s="398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393"/>
      <c r="P33" s="393"/>
      <c r="Q33" s="393"/>
      <c r="R33" s="393"/>
      <c r="S33" s="393"/>
      <c r="T33" s="393"/>
      <c r="U33" s="393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390" t="s">
        <v>414</v>
      </c>
      <c r="C34" s="187" t="s">
        <v>415</v>
      </c>
      <c r="D34" s="108">
        <v>5.03</v>
      </c>
      <c r="E34" s="108"/>
      <c r="F34" s="127"/>
      <c r="G34" s="128"/>
      <c r="H34" s="398">
        <f t="shared" si="11"/>
        <v>0</v>
      </c>
      <c r="I34" s="129"/>
      <c r="J34" s="130"/>
      <c r="K34" s="131"/>
      <c r="L34" s="129">
        <v>52</v>
      </c>
      <c r="M34" s="109"/>
      <c r="N34" s="130"/>
      <c r="O34" s="393"/>
      <c r="P34" s="393"/>
      <c r="Q34" s="393"/>
      <c r="R34" s="393"/>
      <c r="S34" s="393"/>
      <c r="T34" s="393"/>
      <c r="U34" s="393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390" t="s">
        <v>414</v>
      </c>
      <c r="C35" s="187" t="s">
        <v>416</v>
      </c>
      <c r="D35" s="108">
        <v>5.03</v>
      </c>
      <c r="E35" s="108"/>
      <c r="F35" s="127"/>
      <c r="G35" s="128"/>
      <c r="H35" s="398">
        <f t="shared" si="11"/>
        <v>0</v>
      </c>
      <c r="I35" s="129"/>
      <c r="J35" s="130"/>
      <c r="K35" s="131"/>
      <c r="L35" s="129">
        <v>52</v>
      </c>
      <c r="M35" s="109"/>
      <c r="N35" s="130"/>
      <c r="O35" s="393"/>
      <c r="P35" s="393"/>
      <c r="Q35" s="393"/>
      <c r="R35" s="393"/>
      <c r="S35" s="393"/>
      <c r="T35" s="393"/>
      <c r="U35" s="393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390" t="s">
        <v>414</v>
      </c>
      <c r="C36" s="187" t="s">
        <v>61</v>
      </c>
      <c r="D36" s="108">
        <v>5.03</v>
      </c>
      <c r="E36" s="108"/>
      <c r="F36" s="127"/>
      <c r="G36" s="128"/>
      <c r="H36" s="398">
        <f t="shared" si="11"/>
        <v>0</v>
      </c>
      <c r="I36" s="129"/>
      <c r="J36" s="130"/>
      <c r="K36" s="131"/>
      <c r="L36" s="129">
        <v>52</v>
      </c>
      <c r="M36" s="109"/>
      <c r="N36" s="130"/>
      <c r="O36" s="393"/>
      <c r="P36" s="393"/>
      <c r="Q36" s="393"/>
      <c r="R36" s="393"/>
      <c r="S36" s="393"/>
      <c r="T36" s="393"/>
      <c r="U36" s="393"/>
      <c r="V36" s="132"/>
      <c r="W36" s="133"/>
      <c r="X36" s="132"/>
      <c r="Y36" s="132"/>
      <c r="Z36" s="132"/>
      <c r="AA36" s="132"/>
    </row>
    <row r="37" spans="1:27" ht="20.100000000000001" customHeight="1">
      <c r="A37" s="300">
        <v>30100027</v>
      </c>
      <c r="B37" s="390" t="s">
        <v>208</v>
      </c>
      <c r="C37" s="126" t="s">
        <v>179</v>
      </c>
      <c r="D37" s="108">
        <v>5.08</v>
      </c>
      <c r="E37" s="108"/>
      <c r="F37" s="127">
        <v>42736</v>
      </c>
      <c r="G37" s="128">
        <f>108*5+93</f>
        <v>633</v>
      </c>
      <c r="H37" s="398">
        <f t="shared" si="11"/>
        <v>3215.64</v>
      </c>
      <c r="I37" s="129">
        <f>11*3</f>
        <v>33</v>
      </c>
      <c r="J37" s="130">
        <f t="array" ref="J37">IF(ISERROR(G37/I37),"",G37/I37)</f>
        <v>19.181818181818183</v>
      </c>
      <c r="K37" s="131">
        <f t="array" ref="K37">IF(ISERROR(G37/L37),"",G37/L37)</f>
        <v>30.142857142857142</v>
      </c>
      <c r="L37" s="129">
        <v>21</v>
      </c>
      <c r="M37" s="109">
        <f t="shared" ref="M37:M68" si="19">IF(ISERROR(I37-K37),"",I37-K37)</f>
        <v>2.8571428571428577</v>
      </c>
      <c r="N37" s="130">
        <f t="shared" ref="N37:N52" si="20">SUM(O37:U37)</f>
        <v>0</v>
      </c>
      <c r="O37" s="393"/>
      <c r="P37" s="393"/>
      <c r="Q37" s="393"/>
      <c r="R37" s="393"/>
      <c r="S37" s="393"/>
      <c r="T37" s="393"/>
      <c r="U37" s="393"/>
      <c r="V37" s="132">
        <f t="shared" ref="V37:V48" si="21">SUM(X37:AA37)</f>
        <v>0</v>
      </c>
      <c r="W37" s="133">
        <f t="shared" ref="W37:W48" si="22">IF(ISERROR(V37/G37),"",V37/G37)</f>
        <v>0</v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390" t="s">
        <v>208</v>
      </c>
      <c r="C38" s="126" t="s">
        <v>204</v>
      </c>
      <c r="D38" s="108">
        <v>5.08</v>
      </c>
      <c r="E38" s="108"/>
      <c r="F38" s="127"/>
      <c r="G38" s="128"/>
      <c r="H38" s="398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393"/>
      <c r="P38" s="393"/>
      <c r="Q38" s="393"/>
      <c r="R38" s="393"/>
      <c r="S38" s="393"/>
      <c r="T38" s="393"/>
      <c r="U38" s="393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390" t="s">
        <v>208</v>
      </c>
      <c r="C39" s="126" t="s">
        <v>205</v>
      </c>
      <c r="D39" s="108">
        <v>5.08</v>
      </c>
      <c r="E39" s="108"/>
      <c r="F39" s="127"/>
      <c r="G39" s="128"/>
      <c r="H39" s="398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393"/>
      <c r="P39" s="393"/>
      <c r="Q39" s="393"/>
      <c r="R39" s="393"/>
      <c r="S39" s="393"/>
      <c r="T39" s="393"/>
      <c r="U39" s="393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390" t="s">
        <v>208</v>
      </c>
      <c r="C40" s="126" t="s">
        <v>186</v>
      </c>
      <c r="D40" s="108">
        <v>5.08</v>
      </c>
      <c r="E40" s="108"/>
      <c r="F40" s="127"/>
      <c r="G40" s="128"/>
      <c r="H40" s="398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393"/>
      <c r="P40" s="393"/>
      <c r="Q40" s="393"/>
      <c r="R40" s="393"/>
      <c r="S40" s="393"/>
      <c r="T40" s="393"/>
      <c r="U40" s="393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390" t="s">
        <v>208</v>
      </c>
      <c r="C41" s="126" t="s">
        <v>203</v>
      </c>
      <c r="D41" s="108">
        <v>5.08</v>
      </c>
      <c r="E41" s="108"/>
      <c r="F41" s="127"/>
      <c r="G41" s="128"/>
      <c r="H41" s="398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393"/>
      <c r="P41" s="393"/>
      <c r="Q41" s="393"/>
      <c r="R41" s="393"/>
      <c r="S41" s="393"/>
      <c r="T41" s="393"/>
      <c r="U41" s="393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390" t="s">
        <v>208</v>
      </c>
      <c r="C42" s="126" t="s">
        <v>199</v>
      </c>
      <c r="D42" s="108">
        <v>5.08</v>
      </c>
      <c r="E42" s="108"/>
      <c r="F42" s="127"/>
      <c r="G42" s="128"/>
      <c r="H42" s="398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389"/>
      <c r="P42" s="389"/>
      <c r="Q42" s="389"/>
      <c r="R42" s="389"/>
      <c r="S42" s="389"/>
      <c r="T42" s="389"/>
      <c r="U42" s="389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390" t="s">
        <v>208</v>
      </c>
      <c r="C43" s="126" t="s">
        <v>187</v>
      </c>
      <c r="D43" s="108">
        <v>5.08</v>
      </c>
      <c r="E43" s="108"/>
      <c r="F43" s="127"/>
      <c r="G43" s="128"/>
      <c r="H43" s="398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393"/>
      <c r="P43" s="393"/>
      <c r="Q43" s="393"/>
      <c r="R43" s="393"/>
      <c r="S43" s="393"/>
      <c r="T43" s="393"/>
      <c r="U43" s="393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390" t="s">
        <v>208</v>
      </c>
      <c r="C44" s="126" t="s">
        <v>207</v>
      </c>
      <c r="D44" s="108">
        <v>5.08</v>
      </c>
      <c r="E44" s="108"/>
      <c r="F44" s="127"/>
      <c r="G44" s="128"/>
      <c r="H44" s="398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389"/>
      <c r="P44" s="389"/>
      <c r="Q44" s="389"/>
      <c r="R44" s="389"/>
      <c r="S44" s="389"/>
      <c r="T44" s="389"/>
      <c r="U44" s="389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customHeight="1">
      <c r="A45" s="300">
        <v>30100032</v>
      </c>
      <c r="B45" s="390" t="s">
        <v>209</v>
      </c>
      <c r="C45" s="126" t="s">
        <v>194</v>
      </c>
      <c r="D45" s="108">
        <v>5.03</v>
      </c>
      <c r="E45" s="108"/>
      <c r="F45" s="127">
        <v>42736</v>
      </c>
      <c r="G45" s="128">
        <f>108*3+99</f>
        <v>423</v>
      </c>
      <c r="H45" s="398">
        <f t="shared" si="11"/>
        <v>2127.69</v>
      </c>
      <c r="I45" s="129">
        <f>3*2</f>
        <v>6</v>
      </c>
      <c r="J45" s="130">
        <f t="array" ref="J45">IF(ISERROR(G45/I45),"",G45/I45)</f>
        <v>70.5</v>
      </c>
      <c r="K45" s="131">
        <f t="array" ref="K45">IF(ISERROR(G45/L45),"",G45/L45)</f>
        <v>7.5535714285714288</v>
      </c>
      <c r="L45" s="129">
        <v>56</v>
      </c>
      <c r="M45" s="109">
        <f t="shared" si="19"/>
        <v>-1.5535714285714288</v>
      </c>
      <c r="N45" s="130">
        <f t="shared" si="20"/>
        <v>0</v>
      </c>
      <c r="O45" s="393"/>
      <c r="P45" s="393"/>
      <c r="Q45" s="393"/>
      <c r="R45" s="393"/>
      <c r="S45" s="393"/>
      <c r="T45" s="393"/>
      <c r="U45" s="393"/>
      <c r="V45" s="132">
        <f t="shared" si="21"/>
        <v>0</v>
      </c>
      <c r="W45" s="133">
        <f t="shared" si="22"/>
        <v>0</v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390" t="s">
        <v>209</v>
      </c>
      <c r="C46" s="126" t="s">
        <v>179</v>
      </c>
      <c r="D46" s="108">
        <v>5.03</v>
      </c>
      <c r="E46" s="108"/>
      <c r="F46" s="127"/>
      <c r="G46" s="128"/>
      <c r="H46" s="398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393"/>
      <c r="P46" s="393"/>
      <c r="Q46" s="393"/>
      <c r="R46" s="393"/>
      <c r="S46" s="393"/>
      <c r="T46" s="393"/>
      <c r="U46" s="393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390" t="s">
        <v>209</v>
      </c>
      <c r="C47" s="126" t="s">
        <v>195</v>
      </c>
      <c r="D47" s="108">
        <v>5.03</v>
      </c>
      <c r="E47" s="108"/>
      <c r="F47" s="127"/>
      <c r="G47" s="128"/>
      <c r="H47" s="398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393"/>
      <c r="P47" s="393"/>
      <c r="Q47" s="393"/>
      <c r="R47" s="393"/>
      <c r="S47" s="393"/>
      <c r="T47" s="393"/>
      <c r="U47" s="393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customHeight="1">
      <c r="A48" s="300">
        <v>30100031</v>
      </c>
      <c r="B48" s="390" t="s">
        <v>209</v>
      </c>
      <c r="C48" s="126" t="s">
        <v>204</v>
      </c>
      <c r="D48" s="108">
        <v>5.03</v>
      </c>
      <c r="E48" s="108"/>
      <c r="F48" s="127">
        <v>42736</v>
      </c>
      <c r="G48" s="128">
        <f>108*8+29+4</f>
        <v>897</v>
      </c>
      <c r="H48" s="398">
        <f t="shared" si="11"/>
        <v>4511.91</v>
      </c>
      <c r="I48" s="129">
        <f>5.5*2</f>
        <v>11</v>
      </c>
      <c r="J48" s="130">
        <f t="array" ref="J48">IF(ISERROR(G48/I48),"",G48/I48)</f>
        <v>81.545454545454547</v>
      </c>
      <c r="K48" s="131">
        <f t="array" ref="K48">IF(ISERROR(G48/L48),"",G48/L48)</f>
        <v>16.017857142857142</v>
      </c>
      <c r="L48" s="129">
        <v>56</v>
      </c>
      <c r="M48" s="109">
        <f t="shared" si="19"/>
        <v>-5.0178571428571423</v>
      </c>
      <c r="N48" s="130">
        <f t="shared" si="20"/>
        <v>0</v>
      </c>
      <c r="O48" s="393"/>
      <c r="P48" s="393"/>
      <c r="Q48" s="393"/>
      <c r="R48" s="393"/>
      <c r="S48" s="393"/>
      <c r="T48" s="393"/>
      <c r="U48" s="393"/>
      <c r="V48" s="132">
        <f t="shared" si="21"/>
        <v>0</v>
      </c>
      <c r="W48" s="133">
        <f t="shared" si="22"/>
        <v>0</v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390" t="s">
        <v>382</v>
      </c>
      <c r="C49" s="187" t="s">
        <v>383</v>
      </c>
      <c r="D49" s="108">
        <v>5.03</v>
      </c>
      <c r="E49" s="108"/>
      <c r="F49" s="127"/>
      <c r="G49" s="128"/>
      <c r="H49" s="398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393"/>
      <c r="P49" s="393"/>
      <c r="Q49" s="393"/>
      <c r="R49" s="393"/>
      <c r="S49" s="393"/>
      <c r="T49" s="393"/>
      <c r="U49" s="393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390" t="s">
        <v>382</v>
      </c>
      <c r="C50" s="187" t="s">
        <v>384</v>
      </c>
      <c r="D50" s="108">
        <v>5.03</v>
      </c>
      <c r="E50" s="108"/>
      <c r="F50" s="127"/>
      <c r="G50" s="128"/>
      <c r="H50" s="398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393"/>
      <c r="P50" s="393"/>
      <c r="Q50" s="393"/>
      <c r="R50" s="393"/>
      <c r="S50" s="393"/>
      <c r="T50" s="393"/>
      <c r="U50" s="393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390" t="s">
        <v>382</v>
      </c>
      <c r="C51" s="187" t="s">
        <v>389</v>
      </c>
      <c r="D51" s="108">
        <v>5.03</v>
      </c>
      <c r="E51" s="108"/>
      <c r="F51" s="127"/>
      <c r="G51" s="128"/>
      <c r="H51" s="398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393"/>
      <c r="P51" s="393"/>
      <c r="Q51" s="393"/>
      <c r="R51" s="393"/>
      <c r="S51" s="393"/>
      <c r="T51" s="393"/>
      <c r="U51" s="393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390" t="s">
        <v>382</v>
      </c>
      <c r="C52" s="187" t="s">
        <v>391</v>
      </c>
      <c r="D52" s="108">
        <v>5.03</v>
      </c>
      <c r="E52" s="108"/>
      <c r="F52" s="127"/>
      <c r="G52" s="128"/>
      <c r="H52" s="398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393"/>
      <c r="P52" s="393"/>
      <c r="Q52" s="393"/>
      <c r="R52" s="393"/>
      <c r="S52" s="393"/>
      <c r="T52" s="393"/>
      <c r="U52" s="393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390" t="s">
        <v>418</v>
      </c>
      <c r="C53" s="187" t="s">
        <v>364</v>
      </c>
      <c r="D53" s="108">
        <v>5.03</v>
      </c>
      <c r="E53" s="108"/>
      <c r="F53" s="127"/>
      <c r="G53" s="128"/>
      <c r="H53" s="398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393"/>
      <c r="P53" s="393"/>
      <c r="Q53" s="393"/>
      <c r="R53" s="393"/>
      <c r="S53" s="393"/>
      <c r="T53" s="393"/>
      <c r="U53" s="393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390" t="s">
        <v>418</v>
      </c>
      <c r="C54" s="187" t="s">
        <v>365</v>
      </c>
      <c r="D54" s="108">
        <v>5.03</v>
      </c>
      <c r="E54" s="108"/>
      <c r="F54" s="127"/>
      <c r="G54" s="128"/>
      <c r="H54" s="398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393"/>
      <c r="P54" s="393"/>
      <c r="Q54" s="393"/>
      <c r="R54" s="393"/>
      <c r="S54" s="393"/>
      <c r="T54" s="393"/>
      <c r="U54" s="393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390" t="s">
        <v>418</v>
      </c>
      <c r="C55" s="187" t="s">
        <v>366</v>
      </c>
      <c r="D55" s="108">
        <v>5.03</v>
      </c>
      <c r="E55" s="108"/>
      <c r="F55" s="127"/>
      <c r="G55" s="128"/>
      <c r="H55" s="398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393"/>
      <c r="P55" s="393"/>
      <c r="Q55" s="393"/>
      <c r="R55" s="393"/>
      <c r="S55" s="393"/>
      <c r="T55" s="393"/>
      <c r="U55" s="393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390" t="s">
        <v>418</v>
      </c>
      <c r="C56" s="187" t="s">
        <v>367</v>
      </c>
      <c r="D56" s="108">
        <v>5.03</v>
      </c>
      <c r="E56" s="108"/>
      <c r="F56" s="127"/>
      <c r="G56" s="128"/>
      <c r="H56" s="398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393"/>
      <c r="P56" s="393"/>
      <c r="Q56" s="393"/>
      <c r="R56" s="393"/>
      <c r="S56" s="393"/>
      <c r="T56" s="393"/>
      <c r="U56" s="393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398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389"/>
      <c r="P57" s="389"/>
      <c r="Q57" s="389"/>
      <c r="R57" s="389"/>
      <c r="S57" s="389"/>
      <c r="T57" s="389"/>
      <c r="U57" s="389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398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389"/>
      <c r="P58" s="389"/>
      <c r="Q58" s="389"/>
      <c r="R58" s="389"/>
      <c r="S58" s="389"/>
      <c r="T58" s="389"/>
      <c r="U58" s="389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398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389"/>
      <c r="P59" s="389"/>
      <c r="Q59" s="389"/>
      <c r="R59" s="389"/>
      <c r="S59" s="389"/>
      <c r="T59" s="389"/>
      <c r="U59" s="389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398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389"/>
      <c r="P60" s="389"/>
      <c r="Q60" s="389"/>
      <c r="R60" s="389"/>
      <c r="S60" s="389"/>
      <c r="T60" s="389"/>
      <c r="U60" s="389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398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389"/>
      <c r="P61" s="389"/>
      <c r="Q61" s="389"/>
      <c r="R61" s="389"/>
      <c r="S61" s="389"/>
      <c r="T61" s="389"/>
      <c r="U61" s="389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398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389"/>
      <c r="P62" s="389"/>
      <c r="Q62" s="389"/>
      <c r="R62" s="389"/>
      <c r="S62" s="389"/>
      <c r="T62" s="389"/>
      <c r="U62" s="389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398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389"/>
      <c r="P63" s="389"/>
      <c r="Q63" s="389"/>
      <c r="R63" s="389"/>
      <c r="S63" s="389"/>
      <c r="T63" s="389"/>
      <c r="U63" s="389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398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389"/>
      <c r="P64" s="389"/>
      <c r="Q64" s="389"/>
      <c r="R64" s="389"/>
      <c r="S64" s="389"/>
      <c r="T64" s="389"/>
      <c r="U64" s="389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398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389"/>
      <c r="P65" s="389"/>
      <c r="Q65" s="389"/>
      <c r="R65" s="389"/>
      <c r="S65" s="389"/>
      <c r="T65" s="389"/>
      <c r="U65" s="389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398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389"/>
      <c r="P66" s="389"/>
      <c r="Q66" s="389"/>
      <c r="R66" s="389"/>
      <c r="S66" s="389"/>
      <c r="T66" s="389"/>
      <c r="U66" s="389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398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389"/>
      <c r="P67" s="389"/>
      <c r="Q67" s="389"/>
      <c r="R67" s="389"/>
      <c r="S67" s="389"/>
      <c r="T67" s="389"/>
      <c r="U67" s="389"/>
      <c r="V67" s="132"/>
      <c r="W67" s="133"/>
      <c r="X67" s="132"/>
      <c r="Y67" s="132"/>
      <c r="Z67" s="132"/>
      <c r="AA67" s="132"/>
    </row>
    <row r="68" spans="1:27" ht="20.10000000000000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>
        <v>42736</v>
      </c>
      <c r="G68" s="128">
        <f>108+77</f>
        <v>185</v>
      </c>
      <c r="H68" s="398">
        <f t="shared" si="11"/>
        <v>925</v>
      </c>
      <c r="I68" s="129">
        <v>5</v>
      </c>
      <c r="J68" s="130">
        <f t="array" ref="J68">IF(ISERROR(G68/I68),"",G68/I68)</f>
        <v>37</v>
      </c>
      <c r="K68" s="131">
        <f t="array" ref="K68">IF(ISERROR(G68/L68),"",G68/L68)</f>
        <v>3.7</v>
      </c>
      <c r="L68" s="129">
        <v>50</v>
      </c>
      <c r="M68" s="109">
        <f t="shared" si="19"/>
        <v>1.2999999999999998</v>
      </c>
      <c r="N68" s="130"/>
      <c r="O68" s="389"/>
      <c r="P68" s="389"/>
      <c r="Q68" s="389"/>
      <c r="R68" s="389"/>
      <c r="S68" s="389"/>
      <c r="T68" s="389"/>
      <c r="U68" s="389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398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389"/>
      <c r="P69" s="389"/>
      <c r="Q69" s="389"/>
      <c r="R69" s="389"/>
      <c r="S69" s="389"/>
      <c r="T69" s="389"/>
      <c r="U69" s="389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398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389"/>
      <c r="P70" s="389"/>
      <c r="Q70" s="389"/>
      <c r="R70" s="389"/>
      <c r="S70" s="389"/>
      <c r="T70" s="389"/>
      <c r="U70" s="389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398">
        <f t="shared" si="11"/>
        <v>0</v>
      </c>
      <c r="I71" s="129"/>
      <c r="J71" s="130"/>
      <c r="K71" s="131"/>
      <c r="L71" s="129"/>
      <c r="M71" s="109"/>
      <c r="N71" s="130"/>
      <c r="O71" s="389"/>
      <c r="P71" s="389"/>
      <c r="Q71" s="389"/>
      <c r="R71" s="389"/>
      <c r="S71" s="389"/>
      <c r="T71" s="389"/>
      <c r="U71" s="389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398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389"/>
      <c r="P72" s="389"/>
      <c r="Q72" s="389"/>
      <c r="R72" s="389"/>
      <c r="S72" s="389"/>
      <c r="T72" s="389"/>
      <c r="U72" s="389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398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389"/>
      <c r="P73" s="389"/>
      <c r="Q73" s="389"/>
      <c r="R73" s="389"/>
      <c r="S73" s="389"/>
      <c r="T73" s="389"/>
      <c r="U73" s="389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398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389"/>
      <c r="P74" s="389"/>
      <c r="Q74" s="389"/>
      <c r="R74" s="389"/>
      <c r="S74" s="389"/>
      <c r="T74" s="389"/>
      <c r="U74" s="389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398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389"/>
      <c r="P75" s="389"/>
      <c r="Q75" s="389"/>
      <c r="R75" s="389"/>
      <c r="S75" s="389"/>
      <c r="T75" s="389"/>
      <c r="U75" s="389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398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389"/>
      <c r="P76" s="389"/>
      <c r="Q76" s="389"/>
      <c r="R76" s="389"/>
      <c r="S76" s="389"/>
      <c r="T76" s="389"/>
      <c r="U76" s="389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398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389"/>
      <c r="P77" s="389"/>
      <c r="Q77" s="389"/>
      <c r="R77" s="389"/>
      <c r="S77" s="389"/>
      <c r="T77" s="389"/>
      <c r="U77" s="389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398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389"/>
      <c r="P78" s="389"/>
      <c r="Q78" s="389"/>
      <c r="R78" s="389"/>
      <c r="S78" s="389"/>
      <c r="T78" s="389"/>
      <c r="U78" s="389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398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389"/>
      <c r="P79" s="389"/>
      <c r="Q79" s="389"/>
      <c r="R79" s="389"/>
      <c r="S79" s="389"/>
      <c r="T79" s="389"/>
      <c r="U79" s="389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398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389"/>
      <c r="P80" s="389"/>
      <c r="Q80" s="389"/>
      <c r="R80" s="389"/>
      <c r="S80" s="389"/>
      <c r="T80" s="389"/>
      <c r="U80" s="389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398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389"/>
      <c r="P81" s="389"/>
      <c r="Q81" s="389"/>
      <c r="R81" s="389"/>
      <c r="S81" s="389"/>
      <c r="T81" s="389"/>
      <c r="U81" s="389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398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389"/>
      <c r="P82" s="389"/>
      <c r="Q82" s="389"/>
      <c r="R82" s="389"/>
      <c r="S82" s="389"/>
      <c r="T82" s="389"/>
      <c r="U82" s="389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398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389"/>
      <c r="P83" s="389"/>
      <c r="Q83" s="389"/>
      <c r="R83" s="389"/>
      <c r="S83" s="389"/>
      <c r="T83" s="389"/>
      <c r="U83" s="389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398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389"/>
      <c r="P84" s="389"/>
      <c r="Q84" s="389"/>
      <c r="R84" s="389"/>
      <c r="S84" s="389"/>
      <c r="T84" s="389"/>
      <c r="U84" s="389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398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389"/>
      <c r="P85" s="389"/>
      <c r="Q85" s="389"/>
      <c r="R85" s="389"/>
      <c r="S85" s="389"/>
      <c r="T85" s="389"/>
      <c r="U85" s="389"/>
      <c r="V85" s="132"/>
      <c r="W85" s="133"/>
      <c r="X85" s="132"/>
      <c r="Y85" s="132"/>
      <c r="Z85" s="132"/>
      <c r="AA85" s="132"/>
    </row>
    <row r="86" spans="1:27" ht="20.100000000000001" customHeight="1">
      <c r="A86" s="589" t="s">
        <v>216</v>
      </c>
      <c r="B86" s="589"/>
      <c r="C86" s="396" t="s">
        <v>202</v>
      </c>
      <c r="D86" s="143"/>
      <c r="E86" s="143"/>
      <c r="F86" s="144"/>
      <c r="G86" s="145">
        <f>SUM(G29:G85)</f>
        <v>2138</v>
      </c>
      <c r="H86" s="146">
        <f>SUM(H29:H85)</f>
        <v>10780.24</v>
      </c>
      <c r="I86" s="146">
        <f>SUM(I29:I85)</f>
        <v>55</v>
      </c>
      <c r="J86" s="130">
        <f t="array" ref="J86">IF(ISERROR(G86/I86),"",G86/I86)</f>
        <v>38.872727272727275</v>
      </c>
      <c r="K86" s="146">
        <f>SUM(K29:K85)</f>
        <v>57.414285714285711</v>
      </c>
      <c r="L86" s="147"/>
      <c r="M86" s="150">
        <f t="shared" ref="M86:V86" si="34">SUM(M29:M85)</f>
        <v>-2.4142857142857137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390" t="s">
        <v>217</v>
      </c>
      <c r="C87" s="126" t="s">
        <v>179</v>
      </c>
      <c r="D87" s="108">
        <v>5.03</v>
      </c>
      <c r="E87" s="108"/>
      <c r="F87" s="127"/>
      <c r="G87" s="128"/>
      <c r="H87" s="398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5" si="37">IF(ISERROR(I87-K87),"",I87-K87)</f>
        <v>0</v>
      </c>
      <c r="N87" s="130">
        <f t="shared" ref="N87:N93" si="38">SUM(O87:U87)</f>
        <v>0</v>
      </c>
      <c r="O87" s="389"/>
      <c r="P87" s="389"/>
      <c r="Q87" s="389"/>
      <c r="R87" s="389"/>
      <c r="S87" s="389"/>
      <c r="T87" s="389"/>
      <c r="U87" s="389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390" t="s">
        <v>217</v>
      </c>
      <c r="C88" s="126" t="s">
        <v>186</v>
      </c>
      <c r="D88" s="108">
        <v>5.03</v>
      </c>
      <c r="E88" s="108"/>
      <c r="F88" s="127"/>
      <c r="G88" s="128"/>
      <c r="H88" s="398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389"/>
      <c r="P88" s="389"/>
      <c r="Q88" s="389"/>
      <c r="R88" s="389"/>
      <c r="S88" s="389"/>
      <c r="T88" s="389"/>
      <c r="U88" s="389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390" t="s">
        <v>217</v>
      </c>
      <c r="C89" s="126" t="s">
        <v>204</v>
      </c>
      <c r="D89" s="108">
        <v>5.03</v>
      </c>
      <c r="E89" s="108"/>
      <c r="F89" s="127"/>
      <c r="G89" s="128"/>
      <c r="H89" s="398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389"/>
      <c r="P89" s="389"/>
      <c r="Q89" s="389"/>
      <c r="R89" s="389"/>
      <c r="S89" s="389"/>
      <c r="T89" s="389"/>
      <c r="U89" s="389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398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389"/>
      <c r="P90" s="389"/>
      <c r="Q90" s="389"/>
      <c r="R90" s="389"/>
      <c r="S90" s="389"/>
      <c r="T90" s="389"/>
      <c r="U90" s="389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>
        <v>42736</v>
      </c>
      <c r="G91" s="128">
        <v>15</v>
      </c>
      <c r="H91" s="398">
        <f t="shared" si="36"/>
        <v>75.45</v>
      </c>
      <c r="I91" s="129">
        <v>2</v>
      </c>
      <c r="J91" s="130">
        <f t="array" ref="J91">IF(ISERROR(G91/I91),"",G91/I91)</f>
        <v>7.5</v>
      </c>
      <c r="K91" s="131">
        <f t="array" ref="K91">IF(ISERROR(G91/L91),"",G91/L91)</f>
        <v>1.6129032258064515</v>
      </c>
      <c r="L91" s="129">
        <v>9.3000000000000007</v>
      </c>
      <c r="M91" s="109">
        <f t="shared" si="37"/>
        <v>0.38709677419354849</v>
      </c>
      <c r="N91" s="130">
        <f t="shared" si="38"/>
        <v>0</v>
      </c>
      <c r="O91" s="389"/>
      <c r="P91" s="389"/>
      <c r="Q91" s="389"/>
      <c r="R91" s="389"/>
      <c r="S91" s="389"/>
      <c r="T91" s="389"/>
      <c r="U91" s="389"/>
      <c r="V91" s="132">
        <f t="shared" si="39"/>
        <v>0</v>
      </c>
      <c r="W91" s="133">
        <f t="shared" si="35"/>
        <v>0</v>
      </c>
      <c r="X91" s="132"/>
      <c r="Y91" s="132"/>
      <c r="Z91" s="132"/>
      <c r="AA91" s="132"/>
    </row>
    <row r="92" spans="1:27" ht="20.10000000000000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>
        <v>42736</v>
      </c>
      <c r="G92" s="128">
        <f>108+4+108*3</f>
        <v>436</v>
      </c>
      <c r="H92" s="398">
        <f t="shared" si="36"/>
        <v>2193.08</v>
      </c>
      <c r="I92" s="129">
        <f>11*4</f>
        <v>44</v>
      </c>
      <c r="J92" s="130">
        <f t="array" ref="J92">IF(ISERROR(G92/I92),"",G92/I92)</f>
        <v>9.9090909090909083</v>
      </c>
      <c r="K92" s="131">
        <f t="array" ref="K92">IF(ISERROR(G92/L92),"",G92/L92)</f>
        <v>46.881720430107521</v>
      </c>
      <c r="L92" s="129">
        <v>9.3000000000000007</v>
      </c>
      <c r="M92" s="109">
        <f t="shared" si="37"/>
        <v>-2.8817204301075208</v>
      </c>
      <c r="N92" s="130">
        <f t="shared" si="38"/>
        <v>0</v>
      </c>
      <c r="O92" s="389"/>
      <c r="P92" s="389"/>
      <c r="Q92" s="389"/>
      <c r="R92" s="389"/>
      <c r="S92" s="389"/>
      <c r="T92" s="389"/>
      <c r="U92" s="389"/>
      <c r="V92" s="132">
        <f t="shared" si="39"/>
        <v>0</v>
      </c>
      <c r="W92" s="133">
        <f t="shared" si="35"/>
        <v>0</v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398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389"/>
      <c r="P93" s="389"/>
      <c r="Q93" s="389"/>
      <c r="R93" s="389"/>
      <c r="S93" s="389"/>
      <c r="T93" s="389"/>
      <c r="U93" s="389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398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389"/>
      <c r="P94" s="389"/>
      <c r="Q94" s="389"/>
      <c r="R94" s="389"/>
      <c r="S94" s="389"/>
      <c r="T94" s="389"/>
      <c r="U94" s="389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398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389"/>
      <c r="P95" s="389"/>
      <c r="Q95" s="389"/>
      <c r="R95" s="389"/>
      <c r="S95" s="389"/>
      <c r="T95" s="389"/>
      <c r="U95" s="389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398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389"/>
      <c r="P96" s="389"/>
      <c r="Q96" s="389"/>
      <c r="R96" s="389"/>
      <c r="S96" s="389"/>
      <c r="T96" s="389"/>
      <c r="U96" s="389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398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389"/>
      <c r="P97" s="389"/>
      <c r="Q97" s="389"/>
      <c r="R97" s="389"/>
      <c r="S97" s="389"/>
      <c r="T97" s="389"/>
      <c r="U97" s="389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398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389"/>
      <c r="P98" s="389"/>
      <c r="Q98" s="389"/>
      <c r="R98" s="389"/>
      <c r="S98" s="389"/>
      <c r="T98" s="389"/>
      <c r="U98" s="389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398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389"/>
      <c r="P99" s="389"/>
      <c r="Q99" s="389"/>
      <c r="R99" s="389"/>
      <c r="S99" s="389"/>
      <c r="T99" s="389"/>
      <c r="U99" s="389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398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389"/>
      <c r="P100" s="389"/>
      <c r="Q100" s="389"/>
      <c r="R100" s="389"/>
      <c r="S100" s="389"/>
      <c r="T100" s="389"/>
      <c r="U100" s="389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398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389"/>
      <c r="P101" s="389"/>
      <c r="Q101" s="389"/>
      <c r="R101" s="389"/>
      <c r="S101" s="389"/>
      <c r="T101" s="389"/>
      <c r="U101" s="389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398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389"/>
      <c r="P102" s="389"/>
      <c r="Q102" s="389"/>
      <c r="R102" s="389"/>
      <c r="S102" s="389"/>
      <c r="T102" s="389"/>
      <c r="U102" s="389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390" t="s">
        <v>222</v>
      </c>
      <c r="C103" s="126" t="s">
        <v>181</v>
      </c>
      <c r="D103" s="108">
        <v>10.199999999999999</v>
      </c>
      <c r="E103" s="108"/>
      <c r="F103" s="127"/>
      <c r="G103" s="128"/>
      <c r="H103" s="398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389"/>
      <c r="P103" s="389"/>
      <c r="Q103" s="389"/>
      <c r="R103" s="389"/>
      <c r="S103" s="389"/>
      <c r="T103" s="389"/>
      <c r="U103" s="389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390" t="s">
        <v>222</v>
      </c>
      <c r="C104" s="126" t="s">
        <v>179</v>
      </c>
      <c r="D104" s="108">
        <v>10.199999999999999</v>
      </c>
      <c r="E104" s="108"/>
      <c r="F104" s="127"/>
      <c r="G104" s="128"/>
      <c r="H104" s="398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389"/>
      <c r="P104" s="389"/>
      <c r="Q104" s="389"/>
      <c r="R104" s="389"/>
      <c r="S104" s="389"/>
      <c r="T104" s="389"/>
      <c r="U104" s="389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390" t="s">
        <v>222</v>
      </c>
      <c r="C105" s="126" t="s">
        <v>221</v>
      </c>
      <c r="D105" s="108">
        <v>10.199999999999999</v>
      </c>
      <c r="E105" s="108"/>
      <c r="F105" s="127"/>
      <c r="G105" s="128"/>
      <c r="H105" s="398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389"/>
      <c r="P105" s="389"/>
      <c r="Q105" s="389"/>
      <c r="R105" s="389"/>
      <c r="S105" s="389"/>
      <c r="T105" s="389"/>
      <c r="U105" s="389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390" t="s">
        <v>222</v>
      </c>
      <c r="C106" s="126" t="s">
        <v>186</v>
      </c>
      <c r="D106" s="108">
        <v>10.199999999999999</v>
      </c>
      <c r="E106" s="108"/>
      <c r="F106" s="127"/>
      <c r="G106" s="128"/>
      <c r="H106" s="398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389"/>
      <c r="P106" s="389"/>
      <c r="Q106" s="389"/>
      <c r="R106" s="389"/>
      <c r="S106" s="389"/>
      <c r="T106" s="389"/>
      <c r="U106" s="389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390" t="s">
        <v>393</v>
      </c>
      <c r="C107" s="187" t="s">
        <v>395</v>
      </c>
      <c r="D107" s="108">
        <v>5</v>
      </c>
      <c r="E107" s="108"/>
      <c r="F107" s="127"/>
      <c r="G107" s="128"/>
      <c r="H107" s="398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389"/>
      <c r="P107" s="389"/>
      <c r="Q107" s="389"/>
      <c r="R107" s="389"/>
      <c r="S107" s="389"/>
      <c r="T107" s="389"/>
      <c r="U107" s="389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390" t="s">
        <v>393</v>
      </c>
      <c r="C108" s="187" t="s">
        <v>402</v>
      </c>
      <c r="D108" s="108">
        <v>5</v>
      </c>
      <c r="E108" s="108"/>
      <c r="F108" s="127"/>
      <c r="G108" s="128"/>
      <c r="H108" s="398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389"/>
      <c r="P108" s="389"/>
      <c r="Q108" s="389"/>
      <c r="R108" s="389"/>
      <c r="S108" s="389"/>
      <c r="T108" s="389"/>
      <c r="U108" s="389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390" t="s">
        <v>404</v>
      </c>
      <c r="C109" s="187" t="s">
        <v>405</v>
      </c>
      <c r="D109" s="108">
        <v>5</v>
      </c>
      <c r="E109" s="108"/>
      <c r="F109" s="127"/>
      <c r="G109" s="128"/>
      <c r="H109" s="398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389"/>
      <c r="P109" s="389"/>
      <c r="Q109" s="389"/>
      <c r="R109" s="389"/>
      <c r="S109" s="389"/>
      <c r="T109" s="389"/>
      <c r="U109" s="389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390" t="s">
        <v>492</v>
      </c>
      <c r="C110" s="187" t="s">
        <v>372</v>
      </c>
      <c r="D110" s="108">
        <v>5</v>
      </c>
      <c r="E110" s="108"/>
      <c r="F110" s="127"/>
      <c r="G110" s="128"/>
      <c r="H110" s="398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389"/>
      <c r="P110" s="389"/>
      <c r="Q110" s="389"/>
      <c r="R110" s="389"/>
      <c r="S110" s="389"/>
      <c r="T110" s="389"/>
      <c r="U110" s="389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390" t="s">
        <v>343</v>
      </c>
      <c r="C111" s="126" t="s">
        <v>345</v>
      </c>
      <c r="D111" s="108">
        <v>5</v>
      </c>
      <c r="E111" s="108"/>
      <c r="F111" s="127"/>
      <c r="G111" s="128"/>
      <c r="H111" s="398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389"/>
      <c r="P111" s="389"/>
      <c r="Q111" s="389"/>
      <c r="R111" s="389"/>
      <c r="S111" s="389"/>
      <c r="T111" s="389"/>
      <c r="U111" s="389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390" t="s">
        <v>343</v>
      </c>
      <c r="C112" s="126" t="s">
        <v>347</v>
      </c>
      <c r="D112" s="108">
        <v>5</v>
      </c>
      <c r="E112" s="108"/>
      <c r="F112" s="127"/>
      <c r="G112" s="128"/>
      <c r="H112" s="398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389"/>
      <c r="P112" s="389"/>
      <c r="Q112" s="389"/>
      <c r="R112" s="389"/>
      <c r="S112" s="389"/>
      <c r="T112" s="389"/>
      <c r="U112" s="389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398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389"/>
      <c r="P113" s="389"/>
      <c r="Q113" s="389"/>
      <c r="R113" s="389"/>
      <c r="S113" s="389"/>
      <c r="T113" s="389"/>
      <c r="U113" s="389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398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389"/>
      <c r="P114" s="389"/>
      <c r="Q114" s="389"/>
      <c r="R114" s="389"/>
      <c r="S114" s="389"/>
      <c r="T114" s="389"/>
      <c r="U114" s="389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>
        <v>42736</v>
      </c>
      <c r="G115" s="128">
        <f>90*2+68+90</f>
        <v>338</v>
      </c>
      <c r="H115" s="398">
        <f t="shared" si="36"/>
        <v>1690</v>
      </c>
      <c r="I115" s="129">
        <f>6.5*2</f>
        <v>13</v>
      </c>
      <c r="J115" s="130">
        <f t="array" ref="J115">IF(ISERROR(G115/I115),"",G115/I115)</f>
        <v>26</v>
      </c>
      <c r="K115" s="131">
        <f t="array" ref="K115">IF(ISERROR(G115/L115),"",G115/L115)</f>
        <v>14.083333333333334</v>
      </c>
      <c r="L115" s="129">
        <v>24</v>
      </c>
      <c r="M115" s="109">
        <f t="shared" si="37"/>
        <v>-1.0833333333333339</v>
      </c>
      <c r="N115" s="130"/>
      <c r="O115" s="389"/>
      <c r="P115" s="389"/>
      <c r="Q115" s="389"/>
      <c r="R115" s="389"/>
      <c r="S115" s="389"/>
      <c r="T115" s="389"/>
      <c r="U115" s="389"/>
      <c r="V115" s="132"/>
      <c r="W115" s="133"/>
      <c r="X115" s="132"/>
      <c r="Y115" s="132"/>
      <c r="Z115" s="132"/>
      <c r="AA115" s="132"/>
    </row>
    <row r="116" spans="1:27" ht="18.75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398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389"/>
      <c r="P116" s="389"/>
      <c r="Q116" s="389"/>
      <c r="R116" s="389"/>
      <c r="S116" s="389"/>
      <c r="T116" s="389"/>
      <c r="U116" s="389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398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389"/>
      <c r="P117" s="389"/>
      <c r="Q117" s="389"/>
      <c r="R117" s="389"/>
      <c r="S117" s="389"/>
      <c r="T117" s="389"/>
      <c r="U117" s="389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398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389"/>
      <c r="P118" s="389"/>
      <c r="Q118" s="389"/>
      <c r="R118" s="389"/>
      <c r="S118" s="389"/>
      <c r="T118" s="389"/>
      <c r="U118" s="389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398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389"/>
      <c r="P119" s="389"/>
      <c r="Q119" s="389"/>
      <c r="R119" s="389"/>
      <c r="S119" s="389"/>
      <c r="T119" s="389"/>
      <c r="U119" s="389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398">
        <f t="shared" si="36"/>
        <v>0</v>
      </c>
      <c r="I120" s="129"/>
      <c r="J120" s="130" t="str">
        <f t="array" ref="J120">IF(ISERROR(G120/I120),"",G120/I120)</f>
        <v/>
      </c>
      <c r="K120" s="398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389"/>
      <c r="P120" s="389"/>
      <c r="Q120" s="389"/>
      <c r="R120" s="389"/>
      <c r="S120" s="389"/>
      <c r="T120" s="389"/>
      <c r="U120" s="389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578" t="s">
        <v>224</v>
      </c>
      <c r="B121" s="579"/>
      <c r="C121" s="396" t="s">
        <v>202</v>
      </c>
      <c r="D121" s="143"/>
      <c r="E121" s="143"/>
      <c r="F121" s="144"/>
      <c r="G121" s="145">
        <f>SUM(G87:G120)</f>
        <v>789</v>
      </c>
      <c r="H121" s="146">
        <f>SUM(H87:H120)</f>
        <v>3958.5299999999997</v>
      </c>
      <c r="I121" s="146">
        <f>SUM(I87:I120)</f>
        <v>59</v>
      </c>
      <c r="J121" s="130">
        <f t="array" ref="J121">IF(ISERROR(G121/I121),"",G121/I121)</f>
        <v>13.372881355932204</v>
      </c>
      <c r="K121" s="146">
        <f>SUM(K87:K120)</f>
        <v>62.577956989247305</v>
      </c>
      <c r="L121" s="147"/>
      <c r="M121" s="150">
        <f t="shared" ref="M121:V121" si="50">SUM(M87:M120)</f>
        <v>-3.5779569892473062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398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389"/>
      <c r="P122" s="389"/>
      <c r="Q122" s="389"/>
      <c r="R122" s="389"/>
      <c r="S122" s="389"/>
      <c r="T122" s="389"/>
      <c r="U122" s="389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398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389"/>
      <c r="P123" s="389"/>
      <c r="Q123" s="389"/>
      <c r="R123" s="389"/>
      <c r="S123" s="389"/>
      <c r="T123" s="389"/>
      <c r="U123" s="389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398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389"/>
      <c r="P124" s="389"/>
      <c r="Q124" s="389"/>
      <c r="R124" s="389"/>
      <c r="S124" s="389"/>
      <c r="T124" s="389"/>
      <c r="U124" s="389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398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389"/>
      <c r="P125" s="389"/>
      <c r="Q125" s="389"/>
      <c r="R125" s="389"/>
      <c r="S125" s="389"/>
      <c r="T125" s="389"/>
      <c r="U125" s="389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394" t="s">
        <v>203</v>
      </c>
      <c r="D126" s="108">
        <v>5.03</v>
      </c>
      <c r="E126" s="108"/>
      <c r="F126" s="127"/>
      <c r="G126" s="128"/>
      <c r="H126" s="398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389"/>
      <c r="P126" s="389"/>
      <c r="Q126" s="389"/>
      <c r="R126" s="389"/>
      <c r="S126" s="389"/>
      <c r="T126" s="389"/>
      <c r="U126" s="389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398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389"/>
      <c r="P127" s="389"/>
      <c r="Q127" s="389"/>
      <c r="R127" s="389"/>
      <c r="S127" s="389"/>
      <c r="T127" s="389"/>
      <c r="U127" s="389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398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389"/>
      <c r="P128" s="389"/>
      <c r="Q128" s="389"/>
      <c r="R128" s="389"/>
      <c r="S128" s="389"/>
      <c r="T128" s="389"/>
      <c r="U128" s="389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394" t="s">
        <v>228</v>
      </c>
      <c r="D129" s="108">
        <v>5.03</v>
      </c>
      <c r="E129" s="108"/>
      <c r="F129" s="127"/>
      <c r="G129" s="128"/>
      <c r="H129" s="398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389"/>
      <c r="P129" s="389"/>
      <c r="Q129" s="389"/>
      <c r="R129" s="389"/>
      <c r="S129" s="389"/>
      <c r="T129" s="389"/>
      <c r="U129" s="389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394" t="s">
        <v>212</v>
      </c>
      <c r="D130" s="108">
        <v>5.03</v>
      </c>
      <c r="E130" s="108"/>
      <c r="F130" s="127"/>
      <c r="G130" s="128"/>
      <c r="H130" s="398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389"/>
      <c r="P130" s="389"/>
      <c r="Q130" s="389"/>
      <c r="R130" s="389"/>
      <c r="S130" s="389"/>
      <c r="T130" s="389"/>
      <c r="U130" s="389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394" t="s">
        <v>203</v>
      </c>
      <c r="D131" s="108">
        <v>5.03</v>
      </c>
      <c r="E131" s="108"/>
      <c r="F131" s="127"/>
      <c r="G131" s="128"/>
      <c r="H131" s="398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389"/>
      <c r="P131" s="389"/>
      <c r="Q131" s="389"/>
      <c r="R131" s="389"/>
      <c r="S131" s="389"/>
      <c r="T131" s="389"/>
      <c r="U131" s="389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394" t="s">
        <v>186</v>
      </c>
      <c r="D132" s="108">
        <v>5.03</v>
      </c>
      <c r="E132" s="108"/>
      <c r="F132" s="127"/>
      <c r="G132" s="128"/>
      <c r="H132" s="398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389"/>
      <c r="P132" s="389"/>
      <c r="Q132" s="389"/>
      <c r="R132" s="389"/>
      <c r="S132" s="389"/>
      <c r="T132" s="389"/>
      <c r="U132" s="389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394" t="s">
        <v>228</v>
      </c>
      <c r="D133" s="108">
        <v>5.03</v>
      </c>
      <c r="E133" s="108"/>
      <c r="F133" s="127"/>
      <c r="G133" s="128"/>
      <c r="H133" s="398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389"/>
      <c r="P133" s="389"/>
      <c r="Q133" s="389"/>
      <c r="R133" s="389"/>
      <c r="S133" s="389"/>
      <c r="T133" s="389"/>
      <c r="U133" s="389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394" t="s">
        <v>199</v>
      </c>
      <c r="D134" s="108">
        <v>5.03</v>
      </c>
      <c r="E134" s="108"/>
      <c r="F134" s="127"/>
      <c r="G134" s="128"/>
      <c r="H134" s="398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389"/>
      <c r="P134" s="389"/>
      <c r="Q134" s="389"/>
      <c r="R134" s="389"/>
      <c r="S134" s="389"/>
      <c r="T134" s="389"/>
      <c r="U134" s="389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>
        <v>42736</v>
      </c>
      <c r="G135" s="128">
        <f>72+18+90*8+71</f>
        <v>881</v>
      </c>
      <c r="H135" s="398">
        <f t="shared" si="51"/>
        <v>4457.8599999999997</v>
      </c>
      <c r="I135" s="129">
        <f>11*3</f>
        <v>33</v>
      </c>
      <c r="J135" s="130">
        <f t="array" ref="J135">IF(ISERROR(G135/I135),"",G135/I135)</f>
        <v>26.696969696969695</v>
      </c>
      <c r="K135" s="131">
        <f t="array" ref="K135">IF(ISERROR(G135/L135),"",G135/L135)</f>
        <v>35.24</v>
      </c>
      <c r="L135" s="129">
        <v>25</v>
      </c>
      <c r="M135" s="109">
        <f t="shared" si="52"/>
        <v>-2.240000000000002</v>
      </c>
      <c r="N135" s="130">
        <f t="shared" si="53"/>
        <v>0</v>
      </c>
      <c r="O135" s="389"/>
      <c r="P135" s="389"/>
      <c r="Q135" s="389"/>
      <c r="R135" s="389"/>
      <c r="S135" s="389"/>
      <c r="T135" s="389"/>
      <c r="U135" s="389"/>
      <c r="V135" s="132">
        <f t="shared" si="54"/>
        <v>0</v>
      </c>
      <c r="W135" s="133">
        <f t="shared" si="49"/>
        <v>0</v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398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389"/>
      <c r="P136" s="389"/>
      <c r="Q136" s="389"/>
      <c r="R136" s="389"/>
      <c r="S136" s="389"/>
      <c r="T136" s="389"/>
      <c r="U136" s="389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customHeight="1">
      <c r="A137" s="578" t="s">
        <v>231</v>
      </c>
      <c r="B137" s="579"/>
      <c r="C137" s="396" t="s">
        <v>202</v>
      </c>
      <c r="D137" s="143"/>
      <c r="E137" s="143"/>
      <c r="F137" s="144"/>
      <c r="G137" s="145">
        <f>SUM(G122:G136)</f>
        <v>881</v>
      </c>
      <c r="H137" s="146">
        <f>SUM(H122:H136)</f>
        <v>4457.8599999999997</v>
      </c>
      <c r="I137" s="146">
        <f>SUM(I122:I136)</f>
        <v>33</v>
      </c>
      <c r="J137" s="130">
        <f t="array" ref="J137">IF(ISERROR(G137/I137),"",G137/I137)</f>
        <v>26.696969696969695</v>
      </c>
      <c r="K137" s="146">
        <f>SUM(K122:K136)</f>
        <v>35.24</v>
      </c>
      <c r="L137" s="147"/>
      <c r="M137" s="150">
        <f>SUM(M122:M136)</f>
        <v>-2.240000000000002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49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398">
        <f t="shared" ref="H138:H147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389"/>
      <c r="P138" s="389"/>
      <c r="Q138" s="389"/>
      <c r="R138" s="389"/>
      <c r="S138" s="389"/>
      <c r="T138" s="389"/>
      <c r="U138" s="389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398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389"/>
      <c r="P139" s="389"/>
      <c r="Q139" s="389"/>
      <c r="R139" s="389"/>
      <c r="S139" s="389"/>
      <c r="T139" s="389"/>
      <c r="U139" s="389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398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389"/>
      <c r="P140" s="389"/>
      <c r="Q140" s="389"/>
      <c r="R140" s="389"/>
      <c r="S140" s="389"/>
      <c r="T140" s="389"/>
      <c r="U140" s="389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398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389"/>
      <c r="P141" s="389"/>
      <c r="Q141" s="389"/>
      <c r="R141" s="389"/>
      <c r="S141" s="389"/>
      <c r="T141" s="389"/>
      <c r="U141" s="389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398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389"/>
      <c r="P142" s="389"/>
      <c r="Q142" s="389"/>
      <c r="R142" s="389"/>
      <c r="S142" s="389"/>
      <c r="T142" s="389"/>
      <c r="U142" s="389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398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389"/>
      <c r="P143" s="389"/>
      <c r="Q143" s="389"/>
      <c r="R143" s="389"/>
      <c r="S143" s="389"/>
      <c r="T143" s="389"/>
      <c r="U143" s="389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/>
      <c r="G144" s="128"/>
      <c r="H144" s="398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389"/>
      <c r="P144" s="389"/>
      <c r="Q144" s="389"/>
      <c r="R144" s="389"/>
      <c r="S144" s="389"/>
      <c r="T144" s="389"/>
      <c r="U144" s="389"/>
      <c r="V144" s="132"/>
      <c r="W144" s="133"/>
      <c r="X144" s="132"/>
      <c r="Y144" s="132"/>
      <c r="Z144" s="132"/>
      <c r="AA144" s="132"/>
    </row>
    <row r="145" spans="1:27" ht="20.100000000000001" hidden="1" customHeight="1">
      <c r="A145" s="300">
        <v>30400021</v>
      </c>
      <c r="B145" s="134" t="s">
        <v>439</v>
      </c>
      <c r="C145" s="187" t="s">
        <v>53</v>
      </c>
      <c r="D145" s="108">
        <v>5.04</v>
      </c>
      <c r="E145" s="108"/>
      <c r="F145" s="127"/>
      <c r="G145" s="128"/>
      <c r="H145" s="398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389"/>
      <c r="P145" s="389"/>
      <c r="Q145" s="389"/>
      <c r="R145" s="389"/>
      <c r="S145" s="389"/>
      <c r="T145" s="389"/>
      <c r="U145" s="389"/>
      <c r="V145" s="132"/>
      <c r="W145" s="133"/>
      <c r="X145" s="132"/>
      <c r="Y145" s="132"/>
      <c r="Z145" s="132"/>
      <c r="AA145" s="132"/>
    </row>
    <row r="146" spans="1:27" ht="20.10000000000000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/>
      <c r="G146" s="128"/>
      <c r="H146" s="438">
        <f t="shared" si="55"/>
        <v>0</v>
      </c>
      <c r="I146" s="129"/>
      <c r="J146" s="130"/>
      <c r="K146" s="131">
        <f t="array" ref="K146">IF(ISERROR(G146/L146),"",G146/L146)</f>
        <v>0</v>
      </c>
      <c r="L146" s="129">
        <v>13.5</v>
      </c>
      <c r="M146" s="109"/>
      <c r="N146" s="130"/>
      <c r="O146" s="446"/>
      <c r="P146" s="446"/>
      <c r="Q146" s="446"/>
      <c r="R146" s="446"/>
      <c r="S146" s="446"/>
      <c r="T146" s="446"/>
      <c r="U146" s="446"/>
      <c r="V146" s="132"/>
      <c r="W146" s="133"/>
      <c r="X146" s="132"/>
      <c r="Y146" s="132"/>
      <c r="Z146" s="132"/>
      <c r="AA146" s="132"/>
    </row>
    <row r="147" spans="1:27" ht="20.100000000000001" hidden="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28"/>
      <c r="H147" s="398">
        <f t="shared" si="55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ref="M147" si="59">IF(ISERROR(I147-K147),"",I147-K147)</f>
        <v>0</v>
      </c>
      <c r="N147" s="130">
        <f t="shared" ref="N147" si="60">SUM(O147:U147)</f>
        <v>0</v>
      </c>
      <c r="O147" s="389"/>
      <c r="P147" s="389"/>
      <c r="Q147" s="389"/>
      <c r="R147" s="389"/>
      <c r="S147" s="389"/>
      <c r="T147" s="389"/>
      <c r="U147" s="389"/>
      <c r="V147" s="132">
        <f t="shared" ref="V147" si="61">SUM(X147:AA147)</f>
        <v>0</v>
      </c>
      <c r="W147" s="133" t="str">
        <f t="shared" ref="W147:W152" si="62">IF(ISERROR(V147/G147),"",V147/G147)</f>
        <v/>
      </c>
      <c r="X147" s="132"/>
      <c r="Y147" s="132"/>
      <c r="Z147" s="132"/>
      <c r="AA147" s="132"/>
    </row>
    <row r="148" spans="1:27" ht="20.100000000000001" hidden="1" customHeight="1">
      <c r="A148" s="578" t="s">
        <v>234</v>
      </c>
      <c r="B148" s="579"/>
      <c r="C148" s="396" t="s">
        <v>202</v>
      </c>
      <c r="D148" s="143"/>
      <c r="E148" s="143"/>
      <c r="F148" s="144"/>
      <c r="G148" s="145">
        <f>SUM(G138:G147)</f>
        <v>0</v>
      </c>
      <c r="H148" s="146">
        <f>SUM(H138:H147)</f>
        <v>0</v>
      </c>
      <c r="I148" s="146">
        <f>SUM(I138:I147)</f>
        <v>0</v>
      </c>
      <c r="J148" s="130" t="str">
        <f t="array" ref="J148">IF(ISERROR(G148/I148),"",G148/I148)</f>
        <v/>
      </c>
      <c r="K148" s="146">
        <f>SUM(K138:K147)</f>
        <v>0</v>
      </c>
      <c r="L148" s="147"/>
      <c r="M148" s="150">
        <f>SUM(M138:M147)</f>
        <v>0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 t="str">
        <f t="shared" si="62"/>
        <v/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hidden="1" customHeight="1">
      <c r="A149" s="299">
        <v>30700013</v>
      </c>
      <c r="B149" s="298" t="s">
        <v>103</v>
      </c>
      <c r="C149" s="388"/>
      <c r="D149" s="108">
        <v>3.65</v>
      </c>
      <c r="E149" s="108"/>
      <c r="F149" s="153"/>
      <c r="G149" s="128"/>
      <c r="H149" s="398">
        <f t="shared" ref="H149:H162" si="63">D149*G149</f>
        <v>0</v>
      </c>
      <c r="I149" s="129"/>
      <c r="J149" s="130" t="str">
        <f t="array" ref="J149">IF(ISERROR(G149/I149),"",G149/I149)</f>
        <v/>
      </c>
      <c r="K149" s="398">
        <f t="array" ref="K149">IF(ISERROR(G149/L149),"",G149/L149)</f>
        <v>0</v>
      </c>
      <c r="L149" s="129">
        <v>5</v>
      </c>
      <c r="M149" s="109">
        <f t="shared" ref="M149:M152" si="64">IF(ISERROR(I149-K149),"",I149-K149)</f>
        <v>0</v>
      </c>
      <c r="N149" s="130">
        <f t="shared" ref="N149:N152" si="65">SUM(O149:U149)</f>
        <v>0</v>
      </c>
      <c r="O149" s="389"/>
      <c r="P149" s="389"/>
      <c r="Q149" s="389"/>
      <c r="R149" s="389"/>
      <c r="S149" s="389"/>
      <c r="T149" s="389"/>
      <c r="U149" s="389"/>
      <c r="V149" s="132">
        <f t="shared" ref="V149:V152" si="66">SUM(X149:AA149)</f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30700014</v>
      </c>
      <c r="B150" s="141" t="s">
        <v>236</v>
      </c>
      <c r="C150" s="388"/>
      <c r="D150" s="108">
        <v>6.58</v>
      </c>
      <c r="E150" s="108"/>
      <c r="F150" s="127"/>
      <c r="G150" s="128"/>
      <c r="H150" s="398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5</v>
      </c>
      <c r="M150" s="109">
        <f t="shared" si="64"/>
        <v>0</v>
      </c>
      <c r="N150" s="130">
        <f t="shared" si="65"/>
        <v>0</v>
      </c>
      <c r="O150" s="389"/>
      <c r="P150" s="389"/>
      <c r="Q150" s="389"/>
      <c r="R150" s="389"/>
      <c r="S150" s="389"/>
      <c r="T150" s="389"/>
      <c r="U150" s="389"/>
      <c r="V150" s="132">
        <f t="shared" si="66"/>
        <v>0</v>
      </c>
      <c r="W150" s="133" t="str">
        <f t="shared" si="62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30700016</v>
      </c>
      <c r="B151" s="141" t="s">
        <v>237</v>
      </c>
      <c r="C151" s="388"/>
      <c r="D151" s="108">
        <v>7.8</v>
      </c>
      <c r="E151" s="108"/>
      <c r="F151" s="127"/>
      <c r="G151" s="128"/>
      <c r="H151" s="398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4.5999999999999996</v>
      </c>
      <c r="M151" s="109">
        <f t="shared" si="64"/>
        <v>0</v>
      </c>
      <c r="N151" s="130">
        <f t="shared" si="65"/>
        <v>0</v>
      </c>
      <c r="O151" s="389"/>
      <c r="P151" s="389"/>
      <c r="Q151" s="389"/>
      <c r="R151" s="389"/>
      <c r="S151" s="389"/>
      <c r="T151" s="389"/>
      <c r="U151" s="389"/>
      <c r="V151" s="132">
        <f t="shared" si="66"/>
        <v>0</v>
      </c>
      <c r="W151" s="133" t="str">
        <f t="shared" si="62"/>
        <v/>
      </c>
      <c r="X151" s="132"/>
      <c r="Y151" s="132"/>
      <c r="Z151" s="132"/>
      <c r="AA151" s="132"/>
    </row>
    <row r="152" spans="1:27" ht="20.100000000000001" hidden="1" customHeight="1">
      <c r="A152" s="299">
        <v>30700017</v>
      </c>
      <c r="B152" s="141" t="s">
        <v>238</v>
      </c>
      <c r="C152" s="388"/>
      <c r="D152" s="108">
        <v>4.4000000000000004</v>
      </c>
      <c r="E152" s="108"/>
      <c r="F152" s="127"/>
      <c r="G152" s="128"/>
      <c r="H152" s="398">
        <f t="shared" si="63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5.8</v>
      </c>
      <c r="M152" s="109">
        <f t="shared" si="64"/>
        <v>0</v>
      </c>
      <c r="N152" s="130">
        <f t="shared" si="65"/>
        <v>0</v>
      </c>
      <c r="O152" s="389"/>
      <c r="P152" s="389"/>
      <c r="Q152" s="389"/>
      <c r="R152" s="389"/>
      <c r="S152" s="389"/>
      <c r="T152" s="389"/>
      <c r="U152" s="389"/>
      <c r="V152" s="132">
        <f t="shared" si="66"/>
        <v>0</v>
      </c>
      <c r="W152" s="133" t="str">
        <f t="shared" si="62"/>
        <v/>
      </c>
      <c r="X152" s="132"/>
      <c r="Y152" s="132"/>
      <c r="Z152" s="132"/>
      <c r="AA152" s="132"/>
    </row>
    <row r="153" spans="1:27" ht="20.100000000000001" hidden="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28"/>
      <c r="H153" s="398">
        <f t="shared" si="63"/>
        <v>0</v>
      </c>
      <c r="I153" s="129"/>
      <c r="J153" s="130"/>
      <c r="K153" s="131"/>
      <c r="L153" s="129">
        <v>6</v>
      </c>
      <c r="M153" s="109"/>
      <c r="N153" s="130"/>
      <c r="O153" s="389"/>
      <c r="P153" s="389"/>
      <c r="Q153" s="389"/>
      <c r="R153" s="389"/>
      <c r="S153" s="389"/>
      <c r="T153" s="389"/>
      <c r="U153" s="389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5"/>
      <c r="B154" s="388" t="s">
        <v>239</v>
      </c>
      <c r="C154" s="388" t="s">
        <v>179</v>
      </c>
      <c r="D154" s="108">
        <v>6.04</v>
      </c>
      <c r="E154" s="108"/>
      <c r="F154" s="127"/>
      <c r="G154" s="128"/>
      <c r="H154" s="398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5" si="67">IF(ISERROR(I154-K154),"",I154-K154)</f>
        <v>0</v>
      </c>
      <c r="N154" s="130">
        <f t="shared" ref="N154:N155" si="68">SUM(O154:U154)</f>
        <v>0</v>
      </c>
      <c r="O154" s="389"/>
      <c r="P154" s="389"/>
      <c r="Q154" s="389"/>
      <c r="R154" s="389"/>
      <c r="S154" s="389"/>
      <c r="T154" s="389"/>
      <c r="U154" s="389"/>
      <c r="V154" s="132">
        <f t="shared" ref="V154:V155" si="69">SUM(X154:AA154)</f>
        <v>0</v>
      </c>
      <c r="W154" s="133" t="str">
        <f t="shared" ref="W154:W155" si="70">IF(ISERROR(V154/G154),"",V154/G154)</f>
        <v/>
      </c>
      <c r="X154" s="132"/>
      <c r="Y154" s="132"/>
      <c r="Z154" s="132"/>
      <c r="AA154" s="132"/>
    </row>
    <row r="155" spans="1:27" ht="20.100000000000001" hidden="1" customHeight="1">
      <c r="A155" s="305">
        <v>30700019</v>
      </c>
      <c r="B155" s="388" t="s">
        <v>239</v>
      </c>
      <c r="C155" s="388" t="s">
        <v>186</v>
      </c>
      <c r="D155" s="108">
        <v>6.04</v>
      </c>
      <c r="E155" s="108"/>
      <c r="F155" s="127"/>
      <c r="G155" s="128"/>
      <c r="H155" s="398">
        <f t="shared" si="63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7"/>
        <v>0</v>
      </c>
      <c r="N155" s="130">
        <f t="shared" si="68"/>
        <v>0</v>
      </c>
      <c r="O155" s="389"/>
      <c r="P155" s="389"/>
      <c r="Q155" s="389"/>
      <c r="R155" s="389"/>
      <c r="S155" s="389"/>
      <c r="T155" s="389"/>
      <c r="U155" s="389"/>
      <c r="V155" s="132">
        <f t="shared" si="69"/>
        <v>0</v>
      </c>
      <c r="W155" s="133" t="str">
        <f t="shared" si="70"/>
        <v/>
      </c>
      <c r="X155" s="132"/>
      <c r="Y155" s="132"/>
      <c r="Z155" s="132"/>
      <c r="AA155" s="132"/>
    </row>
    <row r="156" spans="1:27" ht="20.100000000000001" hidden="1" customHeight="1">
      <c r="A156" s="305">
        <v>30601015</v>
      </c>
      <c r="B156" s="388" t="s">
        <v>443</v>
      </c>
      <c r="C156" s="388" t="s">
        <v>179</v>
      </c>
      <c r="D156" s="108">
        <v>6</v>
      </c>
      <c r="E156" s="108"/>
      <c r="F156" s="127"/>
      <c r="G156" s="128"/>
      <c r="H156" s="398">
        <f t="shared" si="63"/>
        <v>0</v>
      </c>
      <c r="I156" s="129"/>
      <c r="J156" s="130"/>
      <c r="K156" s="131"/>
      <c r="L156" s="129"/>
      <c r="M156" s="109"/>
      <c r="N156" s="130"/>
      <c r="O156" s="389"/>
      <c r="P156" s="389"/>
      <c r="Q156" s="389"/>
      <c r="R156" s="389"/>
      <c r="S156" s="389"/>
      <c r="T156" s="389"/>
      <c r="U156" s="389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305">
        <v>30101016</v>
      </c>
      <c r="B157" s="388" t="s">
        <v>443</v>
      </c>
      <c r="C157" s="388" t="s">
        <v>60</v>
      </c>
      <c r="D157" s="108">
        <v>6</v>
      </c>
      <c r="E157" s="108"/>
      <c r="F157" s="127"/>
      <c r="G157" s="128"/>
      <c r="H157" s="398">
        <f t="shared" si="63"/>
        <v>0</v>
      </c>
      <c r="I157" s="129"/>
      <c r="J157" s="130"/>
      <c r="K157" s="131"/>
      <c r="L157" s="129">
        <v>6</v>
      </c>
      <c r="M157" s="109"/>
      <c r="N157" s="130"/>
      <c r="O157" s="389"/>
      <c r="P157" s="389"/>
      <c r="Q157" s="389"/>
      <c r="R157" s="389"/>
      <c r="S157" s="389"/>
      <c r="T157" s="389"/>
      <c r="U157" s="389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299">
        <v>30700018</v>
      </c>
      <c r="B158" s="390" t="s">
        <v>240</v>
      </c>
      <c r="C158" s="126"/>
      <c r="D158" s="108">
        <v>7.3</v>
      </c>
      <c r="E158" s="108"/>
      <c r="F158" s="127"/>
      <c r="G158" s="128"/>
      <c r="H158" s="398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1">IF(ISERROR(I158-K158),"",I158-K158)</f>
        <v/>
      </c>
      <c r="N158" s="130">
        <f t="shared" ref="N158:N159" si="72">SUM(O158:U158)</f>
        <v>0</v>
      </c>
      <c r="O158" s="389"/>
      <c r="P158" s="389"/>
      <c r="Q158" s="389"/>
      <c r="R158" s="389"/>
      <c r="S158" s="389"/>
      <c r="T158" s="389"/>
      <c r="U158" s="389"/>
      <c r="V158" s="132">
        <f t="shared" ref="V158:V159" si="73">SUM(X158:AA158)</f>
        <v>0</v>
      </c>
      <c r="W158" s="133" t="str">
        <f t="shared" ref="W158:W159" si="74">IF(ISERROR(V158/G158),"",V158/G158)</f>
        <v/>
      </c>
      <c r="X158" s="132"/>
      <c r="Y158" s="132"/>
      <c r="Z158" s="132"/>
      <c r="AA158" s="132"/>
    </row>
    <row r="159" spans="1:27" ht="20.100000000000001" hidden="1" customHeight="1">
      <c r="A159" s="299">
        <v>30700010</v>
      </c>
      <c r="B159" s="390" t="s">
        <v>241</v>
      </c>
      <c r="C159" s="126"/>
      <c r="D159" s="108">
        <f>78*120/1000</f>
        <v>9.36</v>
      </c>
      <c r="E159" s="108"/>
      <c r="F159" s="127"/>
      <c r="G159" s="128"/>
      <c r="H159" s="398">
        <f t="shared" si="63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2"/>
        <v>0</v>
      </c>
      <c r="O159" s="389"/>
      <c r="P159" s="389"/>
      <c r="Q159" s="389"/>
      <c r="R159" s="389"/>
      <c r="S159" s="389"/>
      <c r="T159" s="389"/>
      <c r="U159" s="389"/>
      <c r="V159" s="132">
        <f t="shared" si="73"/>
        <v>0</v>
      </c>
      <c r="W159" s="133" t="str">
        <f t="shared" si="74"/>
        <v/>
      </c>
      <c r="X159" s="132"/>
      <c r="Y159" s="132"/>
      <c r="Z159" s="132"/>
      <c r="AA159" s="132"/>
    </row>
    <row r="160" spans="1:27" ht="20.100000000000001" hidden="1" customHeight="1">
      <c r="A160" s="299">
        <v>30700015</v>
      </c>
      <c r="B160" s="390" t="s">
        <v>242</v>
      </c>
      <c r="C160" s="126"/>
      <c r="D160" s="108">
        <v>4.5</v>
      </c>
      <c r="E160" s="108"/>
      <c r="F160" s="127"/>
      <c r="G160" s="128"/>
      <c r="H160" s="398">
        <f t="shared" si="63"/>
        <v>0</v>
      </c>
      <c r="I160" s="129"/>
      <c r="J160" s="130"/>
      <c r="K160" s="131"/>
      <c r="L160" s="129"/>
      <c r="M160" s="109"/>
      <c r="N160" s="130"/>
      <c r="O160" s="389"/>
      <c r="P160" s="389"/>
      <c r="Q160" s="389"/>
      <c r="R160" s="389"/>
      <c r="S160" s="389"/>
      <c r="T160" s="389"/>
      <c r="U160" s="389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299">
        <v>30700012</v>
      </c>
      <c r="B161" s="390" t="s">
        <v>243</v>
      </c>
      <c r="C161" s="126"/>
      <c r="D161" s="108">
        <v>4.5</v>
      </c>
      <c r="E161" s="108"/>
      <c r="F161" s="127"/>
      <c r="G161" s="128"/>
      <c r="H161" s="398">
        <f t="shared" si="63"/>
        <v>0</v>
      </c>
      <c r="I161" s="129"/>
      <c r="J161" s="130"/>
      <c r="K161" s="131"/>
      <c r="L161" s="129"/>
      <c r="M161" s="109"/>
      <c r="N161" s="130"/>
      <c r="O161" s="389"/>
      <c r="P161" s="389"/>
      <c r="Q161" s="389"/>
      <c r="R161" s="389"/>
      <c r="S161" s="389"/>
      <c r="T161" s="389"/>
      <c r="U161" s="389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306">
        <v>30101063</v>
      </c>
      <c r="B162" s="254" t="s">
        <v>436</v>
      </c>
      <c r="C162" s="126"/>
      <c r="D162" s="108">
        <v>5.03</v>
      </c>
      <c r="E162" s="108"/>
      <c r="F162" s="127"/>
      <c r="G162" s="128"/>
      <c r="H162" s="398">
        <f t="shared" si="63"/>
        <v>0</v>
      </c>
      <c r="I162" s="129"/>
      <c r="J162" s="130"/>
      <c r="K162" s="131"/>
      <c r="L162" s="129"/>
      <c r="M162" s="109"/>
      <c r="N162" s="130"/>
      <c r="O162" s="389"/>
      <c r="P162" s="389"/>
      <c r="Q162" s="389"/>
      <c r="R162" s="389"/>
      <c r="S162" s="389"/>
      <c r="T162" s="389"/>
      <c r="U162" s="389"/>
      <c r="V162" s="132"/>
      <c r="W162" s="133"/>
      <c r="X162" s="132"/>
      <c r="Y162" s="132"/>
      <c r="Z162" s="132"/>
      <c r="AA162" s="132"/>
    </row>
    <row r="163" spans="1:27" ht="20.100000000000001" hidden="1" customHeight="1">
      <c r="A163" s="578" t="s">
        <v>244</v>
      </c>
      <c r="B163" s="579"/>
      <c r="C163" s="396" t="s">
        <v>202</v>
      </c>
      <c r="D163" s="143"/>
      <c r="E163" s="143"/>
      <c r="F163" s="144"/>
      <c r="G163" s="145">
        <f>SUM(G149:G161)</f>
        <v>0</v>
      </c>
      <c r="H163" s="146">
        <f>SUM(H149:H159)</f>
        <v>0</v>
      </c>
      <c r="I163" s="146">
        <f>SUM(I149:I161)</f>
        <v>0</v>
      </c>
      <c r="J163" s="130" t="str">
        <f t="array" ref="J163">IF(ISERROR(G163/I163),"",G163/I163)</f>
        <v/>
      </c>
      <c r="K163" s="146">
        <f>SUM(K149:K159)</f>
        <v>0</v>
      </c>
      <c r="L163" s="147"/>
      <c r="M163" s="150">
        <f t="shared" ref="M163:V163" si="75">SUM(M149:M159)</f>
        <v>0</v>
      </c>
      <c r="N163" s="146">
        <f t="shared" si="75"/>
        <v>0</v>
      </c>
      <c r="O163" s="148">
        <f t="shared" si="75"/>
        <v>0</v>
      </c>
      <c r="P163" s="148">
        <f t="shared" si="75"/>
        <v>0</v>
      </c>
      <c r="Q163" s="148">
        <f t="shared" si="75"/>
        <v>0</v>
      </c>
      <c r="R163" s="148">
        <f t="shared" si="75"/>
        <v>0</v>
      </c>
      <c r="S163" s="148">
        <f t="shared" si="75"/>
        <v>0</v>
      </c>
      <c r="T163" s="148">
        <f t="shared" si="75"/>
        <v>0</v>
      </c>
      <c r="U163" s="148">
        <f t="shared" si="75"/>
        <v>0</v>
      </c>
      <c r="V163" s="149">
        <f t="shared" si="75"/>
        <v>0</v>
      </c>
      <c r="W163" s="133" t="str">
        <f>IF(ISERROR(V163/G163),"",V163/G163)</f>
        <v/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580" t="s">
        <v>246</v>
      </c>
      <c r="B164" s="581"/>
      <c r="C164" s="581"/>
      <c r="D164" s="581"/>
      <c r="E164" s="581"/>
      <c r="F164" s="582"/>
      <c r="G164" s="154">
        <f>SUM(G28,G86,G121,G137,G148,G163)</f>
        <v>5680</v>
      </c>
      <c r="H164" s="154">
        <f>SUM(H28,H86,H121,H137,H148,H163)</f>
        <v>28688.51</v>
      </c>
      <c r="I164" s="154">
        <f>SUM(I28,I86,I121,I137,I148,I163)</f>
        <v>268.5</v>
      </c>
      <c r="J164" s="155">
        <f t="array" ref="J164">IF(ISERROR(G164/I164),"",G164/I164)</f>
        <v>21.154562383612664</v>
      </c>
      <c r="K164" s="154">
        <f>SUM(K28,K86,K121,K137,K148,K163)</f>
        <v>244.75009167378474</v>
      </c>
      <c r="L164" s="155">
        <f>IF(ISERROR(G164/K164),"",G164/K164)</f>
        <v>23.207345750744764</v>
      </c>
      <c r="M164" s="154">
        <f t="shared" ref="M164:AA164" si="76">SUM(M28,M86,M121,M137,M148,M163)</f>
        <v>23.749908326215259</v>
      </c>
      <c r="N164" s="154">
        <f t="shared" si="76"/>
        <v>0</v>
      </c>
      <c r="O164" s="154">
        <f t="shared" si="76"/>
        <v>0</v>
      </c>
      <c r="P164" s="154">
        <f t="shared" si="76"/>
        <v>0</v>
      </c>
      <c r="Q164" s="154">
        <f t="shared" si="76"/>
        <v>0</v>
      </c>
      <c r="R164" s="154">
        <f t="shared" si="76"/>
        <v>0</v>
      </c>
      <c r="S164" s="154">
        <f t="shared" si="76"/>
        <v>0</v>
      </c>
      <c r="T164" s="154">
        <f t="shared" si="76"/>
        <v>0</v>
      </c>
      <c r="U164" s="154">
        <f t="shared" si="76"/>
        <v>0</v>
      </c>
      <c r="V164" s="154">
        <f t="shared" si="76"/>
        <v>0</v>
      </c>
      <c r="W164" s="154">
        <f t="shared" si="76"/>
        <v>0</v>
      </c>
      <c r="X164" s="154">
        <f t="shared" si="76"/>
        <v>0</v>
      </c>
      <c r="Y164" s="154">
        <f t="shared" si="76"/>
        <v>0</v>
      </c>
      <c r="Z164" s="154">
        <f t="shared" si="76"/>
        <v>0</v>
      </c>
      <c r="AA164" s="154">
        <f t="shared" si="76"/>
        <v>0</v>
      </c>
    </row>
    <row r="165" spans="1:27" ht="20.100000000000001" customHeight="1">
      <c r="A165" s="583" t="s">
        <v>476</v>
      </c>
      <c r="B165" s="395" t="s">
        <v>247</v>
      </c>
      <c r="C165" s="586" t="s">
        <v>248</v>
      </c>
      <c r="D165" s="587"/>
      <c r="E165" s="588" t="s">
        <v>249</v>
      </c>
      <c r="F165" s="588"/>
      <c r="G165" s="591" t="s">
        <v>250</v>
      </c>
      <c r="H165" s="591"/>
      <c r="I165" s="588" t="s">
        <v>251</v>
      </c>
      <c r="J165" s="588"/>
      <c r="K165" s="588" t="s">
        <v>252</v>
      </c>
      <c r="L165" s="588"/>
      <c r="M165" s="588" t="s">
        <v>253</v>
      </c>
      <c r="N165" s="588"/>
      <c r="O165" s="588" t="s">
        <v>254</v>
      </c>
      <c r="P165" s="591" t="s">
        <v>255</v>
      </c>
      <c r="Q165" s="591"/>
      <c r="R165" s="591" t="s">
        <v>252</v>
      </c>
      <c r="S165" s="591"/>
      <c r="T165" s="591" t="s">
        <v>256</v>
      </c>
      <c r="U165" s="591"/>
      <c r="V165" s="591" t="s">
        <v>257</v>
      </c>
      <c r="W165" s="591"/>
      <c r="X165" s="591" t="s">
        <v>252</v>
      </c>
      <c r="Y165" s="591"/>
      <c r="Z165" s="591" t="s">
        <v>256</v>
      </c>
      <c r="AA165" s="591"/>
    </row>
    <row r="166" spans="1:27" ht="20.100000000000001" customHeight="1">
      <c r="A166" s="584"/>
      <c r="B166" s="395" t="s">
        <v>258</v>
      </c>
      <c r="C166" s="586">
        <v>1</v>
      </c>
      <c r="D166" s="587"/>
      <c r="E166" s="590">
        <f>C166*11</f>
        <v>11</v>
      </c>
      <c r="F166" s="590"/>
      <c r="G166" s="591">
        <v>1</v>
      </c>
      <c r="H166" s="591"/>
      <c r="I166" s="590">
        <f>G166*11</f>
        <v>11</v>
      </c>
      <c r="J166" s="590"/>
      <c r="K166" s="590">
        <f>E166-I166</f>
        <v>0</v>
      </c>
      <c r="L166" s="590"/>
      <c r="M166" s="592">
        <f>IF(ISERROR(K166/E166),"",K166/E166)</f>
        <v>0</v>
      </c>
      <c r="N166" s="592"/>
      <c r="O166" s="588"/>
      <c r="P166" s="591" t="s">
        <v>201</v>
      </c>
      <c r="Q166" s="591"/>
      <c r="R166" s="593">
        <f>SUM(O28:U28)</f>
        <v>0</v>
      </c>
      <c r="S166" s="593"/>
      <c r="T166" s="594" t="str">
        <f t="array" ref="T166">IF(ISERROR(R166/R173),"",R166/R173)</f>
        <v/>
      </c>
      <c r="U166" s="594"/>
      <c r="V166" s="591" t="s">
        <v>259</v>
      </c>
      <c r="W166" s="591"/>
      <c r="X166" s="595">
        <f>SUM(P27,P85,P120,P136,P147,P161)</f>
        <v>0</v>
      </c>
      <c r="Y166" s="595"/>
      <c r="Z166" s="594" t="str">
        <f t="array" ref="Z166">IF(ISERROR(X166/X173),"",X166/X173)</f>
        <v/>
      </c>
      <c r="AA166" s="594"/>
    </row>
    <row r="167" spans="1:27" ht="20.100000000000001" customHeight="1">
      <c r="A167" s="584"/>
      <c r="B167" s="395" t="s">
        <v>260</v>
      </c>
      <c r="C167" s="586">
        <v>1</v>
      </c>
      <c r="D167" s="587"/>
      <c r="E167" s="590">
        <f>C167*11</f>
        <v>11</v>
      </c>
      <c r="F167" s="590"/>
      <c r="G167" s="591">
        <v>1</v>
      </c>
      <c r="H167" s="591"/>
      <c r="I167" s="590">
        <f>G167*11</f>
        <v>11</v>
      </c>
      <c r="J167" s="590"/>
      <c r="K167" s="590">
        <f>E167-I167</f>
        <v>0</v>
      </c>
      <c r="L167" s="590"/>
      <c r="M167" s="592">
        <f>IF(ISERROR(K167/E167),"",K167/E167)</f>
        <v>0</v>
      </c>
      <c r="N167" s="592"/>
      <c r="O167" s="588"/>
      <c r="P167" s="591" t="s">
        <v>216</v>
      </c>
      <c r="Q167" s="591"/>
      <c r="R167" s="593">
        <f>SUM(O86:U86)</f>
        <v>0</v>
      </c>
      <c r="S167" s="593"/>
      <c r="T167" s="594" t="str">
        <f>IF(ISERROR(R167/R173),"",R167/R173)</f>
        <v/>
      </c>
      <c r="U167" s="594"/>
      <c r="V167" s="591" t="s">
        <v>261</v>
      </c>
      <c r="W167" s="591"/>
      <c r="X167" s="595">
        <f>SUM(P28,P86,P121,P137,P148,P163)</f>
        <v>0</v>
      </c>
      <c r="Y167" s="595"/>
      <c r="Z167" s="594" t="str">
        <f>IF(ISERROR(X167/X173),"",X167/X173)</f>
        <v/>
      </c>
      <c r="AA167" s="594"/>
    </row>
    <row r="168" spans="1:27" ht="20.100000000000001" customHeight="1">
      <c r="A168" s="584"/>
      <c r="B168" s="395" t="s">
        <v>262</v>
      </c>
      <c r="C168" s="586">
        <v>1</v>
      </c>
      <c r="D168" s="587"/>
      <c r="E168" s="590">
        <f>C168*8</f>
        <v>8</v>
      </c>
      <c r="F168" s="590"/>
      <c r="G168" s="591">
        <v>1</v>
      </c>
      <c r="H168" s="591"/>
      <c r="I168" s="590">
        <f>G168*8</f>
        <v>8</v>
      </c>
      <c r="J168" s="590"/>
      <c r="K168" s="590">
        <f>E168-I168</f>
        <v>0</v>
      </c>
      <c r="L168" s="590"/>
      <c r="M168" s="592">
        <f>IF(ISERROR(K168/E168),"",K168/E168)</f>
        <v>0</v>
      </c>
      <c r="N168" s="592"/>
      <c r="O168" s="588"/>
      <c r="P168" s="591" t="s">
        <v>224</v>
      </c>
      <c r="Q168" s="591"/>
      <c r="R168" s="593">
        <f>SUM(O121:U121)</f>
        <v>0</v>
      </c>
      <c r="S168" s="593"/>
      <c r="T168" s="594" t="str">
        <f>IF(ISERROR(R168/R173),"",R168/R173)</f>
        <v/>
      </c>
      <c r="U168" s="594"/>
      <c r="V168" s="591" t="s">
        <v>263</v>
      </c>
      <c r="W168" s="591"/>
      <c r="X168" s="595">
        <f>SUM(P29,P87,P122,P138,P149,P164)</f>
        <v>0</v>
      </c>
      <c r="Y168" s="595"/>
      <c r="Z168" s="594" t="str">
        <f>IF(ISERROR(X168/X173),"",X168/X173)</f>
        <v/>
      </c>
      <c r="AA168" s="594"/>
    </row>
    <row r="169" spans="1:27" ht="20.100000000000001" customHeight="1">
      <c r="A169" s="584"/>
      <c r="B169" s="395" t="s">
        <v>264</v>
      </c>
      <c r="C169" s="586">
        <v>1</v>
      </c>
      <c r="D169" s="587"/>
      <c r="E169" s="590">
        <f>C169*11</f>
        <v>11</v>
      </c>
      <c r="F169" s="590"/>
      <c r="G169" s="591">
        <v>1</v>
      </c>
      <c r="H169" s="591"/>
      <c r="I169" s="590">
        <f>G169*11</f>
        <v>11</v>
      </c>
      <c r="J169" s="590"/>
      <c r="K169" s="590">
        <f>E169-I169</f>
        <v>0</v>
      </c>
      <c r="L169" s="590"/>
      <c r="M169" s="592">
        <f>IF(ISERROR(K169/E169),"",K169/E169)</f>
        <v>0</v>
      </c>
      <c r="N169" s="592"/>
      <c r="O169" s="588"/>
      <c r="P169" s="591" t="s">
        <v>231</v>
      </c>
      <c r="Q169" s="591"/>
      <c r="R169" s="593">
        <f>SUM(O137:U137)</f>
        <v>0</v>
      </c>
      <c r="S169" s="593"/>
      <c r="T169" s="594" t="str">
        <f>IF(ISERROR(R169/R173),"",R169/R173)</f>
        <v/>
      </c>
      <c r="U169" s="594"/>
      <c r="V169" s="591" t="s">
        <v>265</v>
      </c>
      <c r="W169" s="591"/>
      <c r="X169" s="595">
        <f>SUM(P31,P88,P123,P139,P150,P165)</f>
        <v>0</v>
      </c>
      <c r="Y169" s="595"/>
      <c r="Z169" s="594" t="str">
        <f>IF(ISERROR(X169/X173),"",X169/X173)</f>
        <v/>
      </c>
      <c r="AA169" s="594"/>
    </row>
    <row r="170" spans="1:27" ht="20.100000000000001" customHeight="1">
      <c r="A170" s="585"/>
      <c r="B170" s="395" t="s">
        <v>266</v>
      </c>
      <c r="C170" s="596">
        <f>SUM(C166:D169)</f>
        <v>4</v>
      </c>
      <c r="D170" s="597"/>
      <c r="E170" s="590">
        <f>SUM(E166:F169)</f>
        <v>41</v>
      </c>
      <c r="F170" s="590"/>
      <c r="G170" s="591">
        <f>SUM(G166:H169)</f>
        <v>4</v>
      </c>
      <c r="H170" s="591"/>
      <c r="I170" s="590">
        <f>SUM(I166:J169)</f>
        <v>41</v>
      </c>
      <c r="J170" s="590"/>
      <c r="K170" s="590">
        <f>SUM(K166:L169)</f>
        <v>0</v>
      </c>
      <c r="L170" s="590"/>
      <c r="M170" s="592">
        <f>IF(ISERROR(K170/E170),"",K170/E170)</f>
        <v>0</v>
      </c>
      <c r="N170" s="592"/>
      <c r="O170" s="588"/>
      <c r="P170" s="591" t="s">
        <v>234</v>
      </c>
      <c r="Q170" s="591"/>
      <c r="R170" s="593">
        <f>SUM(O148:U148)</f>
        <v>0</v>
      </c>
      <c r="S170" s="593"/>
      <c r="T170" s="594" t="str">
        <f>IF(ISERROR(R170/R173),"",R170/R173)</f>
        <v/>
      </c>
      <c r="U170" s="594"/>
      <c r="V170" s="591" t="s">
        <v>267</v>
      </c>
      <c r="W170" s="591"/>
      <c r="X170" s="595">
        <f>SUM(P32,P89,P124,P140,P151,P166)</f>
        <v>0</v>
      </c>
      <c r="Y170" s="595"/>
      <c r="Z170" s="594" t="str">
        <f>IF(ISERROR(X170/X173),"",X170/X173)</f>
        <v/>
      </c>
      <c r="AA170" s="594"/>
    </row>
    <row r="171" spans="1:27" ht="20.100000000000001" customHeight="1">
      <c r="A171" s="307" t="s">
        <v>477</v>
      </c>
      <c r="B171" s="395">
        <f>G164</f>
        <v>5680</v>
      </c>
      <c r="C171" s="598" t="s">
        <v>269</v>
      </c>
      <c r="D171" s="599"/>
      <c r="E171" s="591">
        <f>H164</f>
        <v>28688.51</v>
      </c>
      <c r="F171" s="591"/>
      <c r="G171" s="591" t="s">
        <v>270</v>
      </c>
      <c r="H171" s="591"/>
      <c r="I171" s="600">
        <f>L164</f>
        <v>23.207345750744764</v>
      </c>
      <c r="J171" s="600"/>
      <c r="K171" s="588" t="s">
        <v>271</v>
      </c>
      <c r="L171" s="588"/>
      <c r="M171" s="600">
        <f>J164</f>
        <v>21.154562383612664</v>
      </c>
      <c r="N171" s="600"/>
      <c r="O171" s="588"/>
      <c r="P171" s="591" t="s">
        <v>244</v>
      </c>
      <c r="Q171" s="591"/>
      <c r="R171" s="593">
        <f>SUM(O163:U163)</f>
        <v>0</v>
      </c>
      <c r="S171" s="593"/>
      <c r="T171" s="594" t="str">
        <f>IF(ISERROR(R171/R173),"",R171/R173)</f>
        <v/>
      </c>
      <c r="U171" s="594"/>
      <c r="V171" s="591" t="s">
        <v>272</v>
      </c>
      <c r="W171" s="591"/>
      <c r="X171" s="595">
        <f>SUM(P33,P90,P125,P141,P152,P167)</f>
        <v>0</v>
      </c>
      <c r="Y171" s="595"/>
      <c r="Z171" s="594" t="str">
        <f>IF(ISERROR(X171/X173),"",X171/X173)</f>
        <v/>
      </c>
      <c r="AA171" s="594"/>
    </row>
    <row r="172" spans="1:27" ht="20.100000000000001" customHeight="1">
      <c r="A172" s="308" t="s">
        <v>478</v>
      </c>
      <c r="B172" s="395">
        <f>I164+C170</f>
        <v>272.5</v>
      </c>
      <c r="C172" s="601" t="s">
        <v>251</v>
      </c>
      <c r="D172" s="602"/>
      <c r="E172" s="603">
        <f>K164+I170</f>
        <v>285.75009167378471</v>
      </c>
      <c r="F172" s="603"/>
      <c r="G172" s="591" t="s">
        <v>274</v>
      </c>
      <c r="H172" s="591"/>
      <c r="I172" s="600">
        <f>B172-E172</f>
        <v>-13.250091673784709</v>
      </c>
      <c r="J172" s="600"/>
      <c r="K172" s="588" t="s">
        <v>275</v>
      </c>
      <c r="L172" s="588"/>
      <c r="M172" s="592">
        <f>IF(ISERROR(I172/E172),"",I172/E172)</f>
        <v>-4.6369509791482945E-2</v>
      </c>
      <c r="N172" s="592"/>
      <c r="O172" s="588"/>
      <c r="P172" s="591" t="s">
        <v>245</v>
      </c>
      <c r="Q172" s="591"/>
      <c r="R172" s="593"/>
      <c r="S172" s="593"/>
      <c r="T172" s="594" t="str">
        <f>IF(ISERROR(R172/R173),"",R172/R173)</f>
        <v/>
      </c>
      <c r="U172" s="594"/>
      <c r="V172" s="591" t="s">
        <v>264</v>
      </c>
      <c r="W172" s="591"/>
      <c r="X172" s="595"/>
      <c r="Y172" s="595"/>
      <c r="Z172" s="594" t="str">
        <f>IF(ISERROR(X172/X173),"",X172/X173)</f>
        <v/>
      </c>
      <c r="AA172" s="594"/>
    </row>
    <row r="173" spans="1:27" ht="20.100000000000001" customHeight="1">
      <c r="A173" s="308" t="s">
        <v>479</v>
      </c>
      <c r="B173" s="395">
        <f>N164</f>
        <v>0</v>
      </c>
      <c r="C173" s="601" t="s">
        <v>277</v>
      </c>
      <c r="D173" s="602"/>
      <c r="E173" s="594">
        <f>IF(ISERROR(B173/B172),"",B173/B172)</f>
        <v>0</v>
      </c>
      <c r="F173" s="594"/>
      <c r="G173" s="591" t="s">
        <v>278</v>
      </c>
      <c r="H173" s="591"/>
      <c r="I173" s="588">
        <f>V164</f>
        <v>0</v>
      </c>
      <c r="J173" s="588"/>
      <c r="K173" s="588" t="s">
        <v>279</v>
      </c>
      <c r="L173" s="588"/>
      <c r="M173" s="592">
        <f t="array" ref="M173">IF(ISERROR(I173/B171),"",I173/B171)</f>
        <v>0</v>
      </c>
      <c r="N173" s="592"/>
      <c r="O173" s="588"/>
      <c r="P173" s="591" t="s">
        <v>266</v>
      </c>
      <c r="Q173" s="591"/>
      <c r="R173" s="593">
        <f>SUM(R166:S172)</f>
        <v>0</v>
      </c>
      <c r="S173" s="593"/>
      <c r="T173" s="594"/>
      <c r="U173" s="594"/>
      <c r="V173" s="591" t="s">
        <v>266</v>
      </c>
      <c r="W173" s="591"/>
      <c r="X173" s="595">
        <f>SUM(X166:Y172)</f>
        <v>0</v>
      </c>
      <c r="Y173" s="595"/>
      <c r="Z173" s="594"/>
      <c r="AA173" s="594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4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604" t="s">
        <v>480</v>
      </c>
      <c r="B175" s="607" t="s">
        <v>280</v>
      </c>
      <c r="C175" s="607" t="s">
        <v>281</v>
      </c>
      <c r="D175" s="607" t="s">
        <v>282</v>
      </c>
      <c r="E175" s="610" t="s">
        <v>283</v>
      </c>
      <c r="F175" s="623" t="s">
        <v>284</v>
      </c>
      <c r="G175" s="588" t="s">
        <v>285</v>
      </c>
      <c r="H175" s="588"/>
      <c r="I175" s="607" t="s">
        <v>286</v>
      </c>
      <c r="J175" s="613" t="s">
        <v>271</v>
      </c>
      <c r="K175" s="616" t="s">
        <v>287</v>
      </c>
      <c r="L175" s="607" t="s">
        <v>270</v>
      </c>
      <c r="M175" s="619" t="s">
        <v>288</v>
      </c>
      <c r="N175" s="621" t="s">
        <v>252</v>
      </c>
      <c r="O175" s="588" t="s">
        <v>289</v>
      </c>
      <c r="P175" s="588"/>
      <c r="Q175" s="588"/>
      <c r="R175" s="588"/>
      <c r="S175" s="588"/>
      <c r="T175" s="588"/>
      <c r="U175" s="588"/>
      <c r="V175" s="588" t="s">
        <v>290</v>
      </c>
      <c r="W175" s="621" t="s">
        <v>291</v>
      </c>
      <c r="X175" s="588" t="s">
        <v>292</v>
      </c>
      <c r="Y175" s="588"/>
      <c r="Z175" s="588"/>
      <c r="AA175" s="588"/>
    </row>
    <row r="176" spans="1:27" ht="21.95" customHeight="1">
      <c r="A176" s="605"/>
      <c r="B176" s="608"/>
      <c r="C176" s="608"/>
      <c r="D176" s="608"/>
      <c r="E176" s="611"/>
      <c r="F176" s="624"/>
      <c r="G176" s="588"/>
      <c r="H176" s="588"/>
      <c r="I176" s="608"/>
      <c r="J176" s="614"/>
      <c r="K176" s="617"/>
      <c r="L176" s="608"/>
      <c r="M176" s="620"/>
      <c r="N176" s="621"/>
      <c r="O176" s="588" t="s">
        <v>259</v>
      </c>
      <c r="P176" s="588" t="s">
        <v>261</v>
      </c>
      <c r="Q176" s="588" t="s">
        <v>263</v>
      </c>
      <c r="R176" s="622" t="s">
        <v>265</v>
      </c>
      <c r="S176" s="591" t="s">
        <v>267</v>
      </c>
      <c r="T176" s="588" t="s">
        <v>272</v>
      </c>
      <c r="U176" s="588" t="s">
        <v>264</v>
      </c>
      <c r="V176" s="588"/>
      <c r="W176" s="621"/>
      <c r="X176" s="588" t="s">
        <v>293</v>
      </c>
      <c r="Y176" s="588" t="s">
        <v>294</v>
      </c>
      <c r="Z176" s="588" t="s">
        <v>295</v>
      </c>
      <c r="AA176" s="588" t="s">
        <v>264</v>
      </c>
    </row>
    <row r="177" spans="1:27" ht="21.95" customHeight="1">
      <c r="A177" s="606"/>
      <c r="B177" s="609"/>
      <c r="C177" s="609"/>
      <c r="D177" s="609"/>
      <c r="E177" s="612"/>
      <c r="F177" s="625"/>
      <c r="G177" s="348" t="s">
        <v>537</v>
      </c>
      <c r="H177" s="388" t="s">
        <v>297</v>
      </c>
      <c r="I177" s="609"/>
      <c r="J177" s="615"/>
      <c r="K177" s="618"/>
      <c r="L177" s="609"/>
      <c r="M177" s="620"/>
      <c r="N177" s="621"/>
      <c r="O177" s="588"/>
      <c r="P177" s="588"/>
      <c r="Q177" s="588"/>
      <c r="R177" s="622"/>
      <c r="S177" s="591"/>
      <c r="T177" s="588"/>
      <c r="U177" s="588"/>
      <c r="V177" s="588"/>
      <c r="W177" s="621"/>
      <c r="X177" s="588"/>
      <c r="Y177" s="588"/>
      <c r="Z177" s="588"/>
      <c r="AA177" s="588"/>
    </row>
    <row r="178" spans="1:27" ht="20.100000000000001" hidden="1" customHeight="1">
      <c r="A178" s="299">
        <v>30100030</v>
      </c>
      <c r="B178" s="390" t="s">
        <v>178</v>
      </c>
      <c r="C178" s="126" t="s">
        <v>179</v>
      </c>
      <c r="D178" s="108">
        <v>5.03</v>
      </c>
      <c r="E178" s="108"/>
      <c r="F178" s="127"/>
      <c r="G178" s="128"/>
      <c r="H178" s="398">
        <f t="shared" ref="H178:H187" si="77">D178*G178</f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16</v>
      </c>
      <c r="M178" s="109">
        <f t="shared" ref="M178:M187" si="78">IF(ISERROR(I178-K178),"",I178-K178)</f>
        <v>0</v>
      </c>
      <c r="N178" s="130">
        <f>SUM(O178:U178)</f>
        <v>0</v>
      </c>
      <c r="O178" s="389"/>
      <c r="P178" s="389"/>
      <c r="Q178" s="389"/>
      <c r="R178" s="389"/>
      <c r="S178" s="389"/>
      <c r="T178" s="389"/>
      <c r="U178" s="389"/>
      <c r="V178" s="132">
        <f t="shared" ref="V178:V183" si="79">SUM(X178:AA178)</f>
        <v>0</v>
      </c>
      <c r="W178" s="133" t="str">
        <f t="shared" ref="W178:W183" si="80">IF(ISERROR(V178/G178),"",V178/G178)</f>
        <v/>
      </c>
      <c r="X178" s="132"/>
      <c r="Y178" s="132"/>
      <c r="Z178" s="132"/>
      <c r="AA178" s="132"/>
    </row>
    <row r="179" spans="1:27" ht="20.100000000000001" hidden="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28"/>
      <c r="H179" s="398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ref="N179:N187" si="81">SUM(O179:U179)</f>
        <v>0</v>
      </c>
      <c r="O179" s="389"/>
      <c r="P179" s="389"/>
      <c r="Q179" s="389"/>
      <c r="R179" s="389"/>
      <c r="S179" s="389"/>
      <c r="T179" s="389"/>
      <c r="U179" s="389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28"/>
      <c r="H180" s="398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389"/>
      <c r="P180" s="389"/>
      <c r="Q180" s="389"/>
      <c r="R180" s="389"/>
      <c r="S180" s="389"/>
      <c r="T180" s="389"/>
      <c r="U180" s="389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>
        <v>42736</v>
      </c>
      <c r="G181" s="128">
        <f>108+102</f>
        <v>210</v>
      </c>
      <c r="H181" s="398">
        <f t="shared" si="77"/>
        <v>1056.3</v>
      </c>
      <c r="I181" s="129">
        <f>5.5*4</f>
        <v>22</v>
      </c>
      <c r="J181" s="130">
        <f t="array" ref="J181">IF(ISERROR(G181/I181),"",G181/I181)</f>
        <v>9.545454545454545</v>
      </c>
      <c r="K181" s="131">
        <f t="array" ref="K181">IF(ISERROR(G181/L181),"",G181/L181)</f>
        <v>11.052631578947368</v>
      </c>
      <c r="L181" s="129">
        <v>19</v>
      </c>
      <c r="M181" s="109">
        <f t="shared" si="78"/>
        <v>10.947368421052632</v>
      </c>
      <c r="N181" s="130">
        <f t="shared" si="81"/>
        <v>0</v>
      </c>
      <c r="O181" s="389"/>
      <c r="P181" s="389"/>
      <c r="Q181" s="389"/>
      <c r="R181" s="389"/>
      <c r="S181" s="389"/>
      <c r="T181" s="389"/>
      <c r="U181" s="389"/>
      <c r="V181" s="132">
        <f t="shared" si="79"/>
        <v>0</v>
      </c>
      <c r="W181" s="133">
        <f t="shared" si="80"/>
        <v>0</v>
      </c>
      <c r="X181" s="132"/>
      <c r="Y181" s="132"/>
      <c r="Z181" s="132"/>
      <c r="AA181" s="132"/>
    </row>
    <row r="182" spans="1:27" ht="20.10000000000000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>
        <v>42736</v>
      </c>
      <c r="G182" s="128">
        <f>108*3+118+11</f>
        <v>453</v>
      </c>
      <c r="H182" s="398">
        <f t="shared" si="77"/>
        <v>2278.59</v>
      </c>
      <c r="I182" s="129">
        <f>6*4</f>
        <v>24</v>
      </c>
      <c r="J182" s="130">
        <f t="array" ref="J182">IF(ISERROR(G182/I182),"",G182/I182)</f>
        <v>18.875</v>
      </c>
      <c r="K182" s="131">
        <f t="array" ref="K182">IF(ISERROR(G182/L182),"",G182/L182)</f>
        <v>22.65</v>
      </c>
      <c r="L182" s="129">
        <v>20</v>
      </c>
      <c r="M182" s="109">
        <f t="shared" si="78"/>
        <v>1.3500000000000014</v>
      </c>
      <c r="N182" s="130">
        <f t="shared" si="81"/>
        <v>0</v>
      </c>
      <c r="O182" s="389"/>
      <c r="P182" s="389"/>
      <c r="Q182" s="389"/>
      <c r="R182" s="389"/>
      <c r="S182" s="389"/>
      <c r="T182" s="389"/>
      <c r="U182" s="389"/>
      <c r="V182" s="132">
        <f t="shared" si="79"/>
        <v>0</v>
      </c>
      <c r="W182" s="133">
        <f t="shared" si="80"/>
        <v>0</v>
      </c>
      <c r="X182" s="132"/>
      <c r="Y182" s="132"/>
      <c r="Z182" s="132"/>
      <c r="AA182" s="132"/>
    </row>
    <row r="183" spans="1:27" ht="20.100000000000001" hidden="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58"/>
      <c r="G183" s="137"/>
      <c r="H183" s="398">
        <f t="shared" si="77"/>
        <v>0</v>
      </c>
      <c r="I183" s="138"/>
      <c r="J183" s="130" t="str">
        <f t="array" ref="J183">IF(ISERROR(G183/I183),"",G183/I183)</f>
        <v/>
      </c>
      <c r="K183" s="131">
        <f t="array" ref="K183">IF(ISERROR(G183/L183),"",G183/L183)</f>
        <v>0</v>
      </c>
      <c r="L183" s="129">
        <v>19</v>
      </c>
      <c r="M183" s="109">
        <f t="shared" si="78"/>
        <v>0</v>
      </c>
      <c r="N183" s="130">
        <f t="shared" si="81"/>
        <v>0</v>
      </c>
      <c r="O183" s="389"/>
      <c r="P183" s="389"/>
      <c r="Q183" s="389"/>
      <c r="R183" s="389"/>
      <c r="S183" s="389"/>
      <c r="T183" s="389"/>
      <c r="U183" s="389"/>
      <c r="V183" s="132">
        <f t="shared" si="79"/>
        <v>0</v>
      </c>
      <c r="W183" s="133" t="str">
        <f t="shared" si="80"/>
        <v/>
      </c>
      <c r="X183" s="132"/>
      <c r="Y183" s="132"/>
      <c r="Z183" s="132"/>
      <c r="AA183" s="132"/>
    </row>
    <row r="184" spans="1:27" ht="20.100000000000001" hidden="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/>
      <c r="G184" s="128"/>
      <c r="H184" s="398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389"/>
      <c r="P184" s="389"/>
      <c r="Q184" s="389"/>
      <c r="R184" s="389"/>
      <c r="S184" s="389"/>
      <c r="T184" s="389"/>
      <c r="U184" s="389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28"/>
      <c r="H185" s="398">
        <f t="shared" si="77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78"/>
        <v>0</v>
      </c>
      <c r="N185" s="130">
        <f t="shared" si="81"/>
        <v>0</v>
      </c>
      <c r="O185" s="389"/>
      <c r="P185" s="389"/>
      <c r="Q185" s="389"/>
      <c r="R185" s="389"/>
      <c r="S185" s="389"/>
      <c r="T185" s="389"/>
      <c r="U185" s="389"/>
      <c r="V185" s="132"/>
      <c r="W185" s="133"/>
      <c r="X185" s="132"/>
      <c r="Y185" s="132"/>
      <c r="Z185" s="132"/>
      <c r="AA185" s="132"/>
    </row>
    <row r="186" spans="1:27" ht="20.100000000000001" hidden="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/>
      <c r="G186" s="128"/>
      <c r="H186" s="398">
        <f t="shared" si="77"/>
        <v>0</v>
      </c>
      <c r="I186" s="398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389"/>
      <c r="P186" s="389"/>
      <c r="Q186" s="389"/>
      <c r="R186" s="389"/>
      <c r="S186" s="389"/>
      <c r="T186" s="389"/>
      <c r="U186" s="389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/>
      <c r="G187" s="128"/>
      <c r="H187" s="398">
        <f t="shared" si="77"/>
        <v>0</v>
      </c>
      <c r="I187" s="398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 t="shared" si="78"/>
        <v>0</v>
      </c>
      <c r="N187" s="130">
        <f t="shared" si="81"/>
        <v>0</v>
      </c>
      <c r="O187" s="389"/>
      <c r="P187" s="389"/>
      <c r="Q187" s="389"/>
      <c r="R187" s="389"/>
      <c r="S187" s="389"/>
      <c r="T187" s="389"/>
      <c r="U187" s="389"/>
      <c r="V187" s="132">
        <f>SUM(X187:AA187)</f>
        <v>0</v>
      </c>
      <c r="W187" s="133" t="str">
        <f>IF(ISERROR(V187/G187),"",V187/G187)</f>
        <v/>
      </c>
      <c r="X187" s="132"/>
      <c r="Y187" s="132"/>
      <c r="Z187" s="132"/>
      <c r="AA187" s="132"/>
    </row>
    <row r="188" spans="1:27" ht="20.100000000000001" hidden="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28"/>
      <c r="H188" s="398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389"/>
      <c r="P188" s="389"/>
      <c r="Q188" s="389"/>
      <c r="R188" s="389"/>
      <c r="S188" s="389"/>
      <c r="T188" s="389"/>
      <c r="U188" s="389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28"/>
      <c r="H189" s="398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389"/>
      <c r="P189" s="389"/>
      <c r="Q189" s="389"/>
      <c r="R189" s="389"/>
      <c r="S189" s="389"/>
      <c r="T189" s="389"/>
      <c r="U189" s="389"/>
      <c r="V189" s="132"/>
      <c r="W189" s="133"/>
      <c r="X189" s="132"/>
      <c r="Y189" s="132"/>
      <c r="Z189" s="132"/>
      <c r="AA189" s="132"/>
    </row>
    <row r="190" spans="1:27" ht="20.10000000000000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E190" s="108"/>
      <c r="F190" s="127">
        <v>42736</v>
      </c>
      <c r="G190" s="128">
        <f>90*8</f>
        <v>720</v>
      </c>
      <c r="H190" s="398">
        <f t="shared" ref="H190:H198" si="82">D190*G190</f>
        <v>3643.2</v>
      </c>
      <c r="I190" s="129">
        <f>11.5*5</f>
        <v>57.5</v>
      </c>
      <c r="J190" s="130">
        <f t="array" ref="J190">IF(ISERROR(G190/I190),"",G190/I190)</f>
        <v>12.521739130434783</v>
      </c>
      <c r="K190" s="131">
        <f t="array" ref="K190">IF(ISERROR(G190/L190),"",G190/L190)</f>
        <v>37.89473684210526</v>
      </c>
      <c r="L190" s="129">
        <v>19</v>
      </c>
      <c r="M190" s="109">
        <f t="shared" ref="M190:M198" si="83">IF(ISERROR(I190-K190),"",I190-K190)</f>
        <v>19.60526315789474</v>
      </c>
      <c r="N190" s="130">
        <f t="shared" ref="N190:N192" si="84">SUM(O190:U190)</f>
        <v>0</v>
      </c>
      <c r="O190" s="389"/>
      <c r="P190" s="389"/>
      <c r="Q190" s="389"/>
      <c r="R190" s="389"/>
      <c r="S190" s="389"/>
      <c r="T190" s="389"/>
      <c r="U190" s="389"/>
      <c r="V190" s="132">
        <f t="shared" ref="V190:V192" si="85">SUM(X190:AA190)</f>
        <v>0</v>
      </c>
      <c r="W190" s="133">
        <f t="shared" ref="W190:W192" si="86">IF(ISERROR(V190/G190),"",V190/G190)</f>
        <v>0</v>
      </c>
      <c r="X190" s="132"/>
      <c r="Y190" s="132"/>
      <c r="Z190" s="132"/>
      <c r="AA190" s="132"/>
    </row>
    <row r="191" spans="1:27" ht="20.100000000000001" hidden="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27"/>
      <c r="G191" s="128"/>
      <c r="H191" s="398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389"/>
      <c r="P191" s="389"/>
      <c r="Q191" s="389"/>
      <c r="R191" s="389"/>
      <c r="S191" s="389"/>
      <c r="T191" s="389"/>
      <c r="U191" s="389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>
        <v>42736</v>
      </c>
      <c r="G192" s="128">
        <f>100*10</f>
        <v>1000</v>
      </c>
      <c r="H192" s="398">
        <f t="shared" si="82"/>
        <v>5090</v>
      </c>
      <c r="I192" s="129">
        <f>11.5*5</f>
        <v>57.5</v>
      </c>
      <c r="J192" s="130">
        <f t="array" ref="J192">IF(ISERROR(G192/I192),"",G192/I192)</f>
        <v>17.391304347826086</v>
      </c>
      <c r="K192" s="131">
        <f t="array" ref="K192">IF(ISERROR(G192/L192),"",G192/L192)</f>
        <v>43.478260869565219</v>
      </c>
      <c r="L192" s="129">
        <v>23</v>
      </c>
      <c r="M192" s="109">
        <f t="shared" si="83"/>
        <v>14.021739130434781</v>
      </c>
      <c r="N192" s="130">
        <f t="shared" si="84"/>
        <v>0</v>
      </c>
      <c r="O192" s="389"/>
      <c r="P192" s="389"/>
      <c r="Q192" s="389"/>
      <c r="R192" s="389"/>
      <c r="S192" s="389"/>
      <c r="T192" s="389"/>
      <c r="U192" s="389"/>
      <c r="V192" s="132">
        <f t="shared" si="85"/>
        <v>0</v>
      </c>
      <c r="W192" s="133">
        <f t="shared" si="86"/>
        <v>0</v>
      </c>
      <c r="X192" s="132"/>
      <c r="Y192" s="132"/>
      <c r="Z192" s="132"/>
      <c r="AA192" s="132"/>
    </row>
    <row r="193" spans="1:27" ht="20.100000000000001" hidden="1" customHeight="1">
      <c r="A193" s="300">
        <v>30100003</v>
      </c>
      <c r="B193" s="141" t="s">
        <v>198</v>
      </c>
      <c r="C193" s="388" t="s">
        <v>190</v>
      </c>
      <c r="D193" s="108">
        <v>4.8</v>
      </c>
      <c r="E193" s="108"/>
      <c r="F193" s="127"/>
      <c r="G193" s="128"/>
      <c r="H193" s="398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389"/>
      <c r="P193" s="389"/>
      <c r="Q193" s="389"/>
      <c r="R193" s="389"/>
      <c r="S193" s="389"/>
      <c r="T193" s="389"/>
      <c r="U193" s="389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30100004</v>
      </c>
      <c r="B194" s="141" t="s">
        <v>198</v>
      </c>
      <c r="C194" s="388" t="s">
        <v>187</v>
      </c>
      <c r="D194" s="108">
        <v>4.8</v>
      </c>
      <c r="E194" s="108"/>
      <c r="F194" s="127"/>
      <c r="G194" s="128"/>
      <c r="H194" s="398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389"/>
      <c r="P194" s="389"/>
      <c r="Q194" s="389"/>
      <c r="R194" s="389"/>
      <c r="S194" s="389"/>
      <c r="T194" s="389"/>
      <c r="U194" s="389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30100006</v>
      </c>
      <c r="B195" s="141" t="s">
        <v>198</v>
      </c>
      <c r="C195" s="388" t="s">
        <v>179</v>
      </c>
      <c r="D195" s="108">
        <v>4.8</v>
      </c>
      <c r="E195" s="108"/>
      <c r="F195" s="127"/>
      <c r="G195" s="128"/>
      <c r="H195" s="398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389"/>
      <c r="P195" s="389"/>
      <c r="Q195" s="389"/>
      <c r="R195" s="389"/>
      <c r="S195" s="389"/>
      <c r="T195" s="389"/>
      <c r="U195" s="389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30100005</v>
      </c>
      <c r="B196" s="141" t="s">
        <v>198</v>
      </c>
      <c r="C196" s="388" t="s">
        <v>199</v>
      </c>
      <c r="D196" s="108">
        <v>4.8</v>
      </c>
      <c r="E196" s="108"/>
      <c r="F196" s="127"/>
      <c r="G196" s="128"/>
      <c r="H196" s="398">
        <f t="shared" si="82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3"/>
        <v>0</v>
      </c>
      <c r="N196" s="130"/>
      <c r="O196" s="389"/>
      <c r="P196" s="389"/>
      <c r="Q196" s="389"/>
      <c r="R196" s="389"/>
      <c r="S196" s="389"/>
      <c r="T196" s="389"/>
      <c r="U196" s="389"/>
      <c r="V196" s="132"/>
      <c r="W196" s="133"/>
      <c r="X196" s="132"/>
      <c r="Y196" s="132"/>
      <c r="Z196" s="132"/>
      <c r="AA196" s="132"/>
    </row>
    <row r="197" spans="1:27" ht="20.10000000000000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>
        <v>42736</v>
      </c>
      <c r="G197" s="128">
        <f>22+15</f>
        <v>37</v>
      </c>
      <c r="H197" s="398">
        <f t="shared" si="82"/>
        <v>184.63</v>
      </c>
      <c r="I197" s="129">
        <v>0.5</v>
      </c>
      <c r="J197" s="130">
        <f t="array" ref="J197">IF(ISERROR(G197/I197),"",G197/I197)</f>
        <v>74</v>
      </c>
      <c r="K197" s="131">
        <f t="array" ref="K197">IF(ISERROR(G197/L197),"",G197/L197)</f>
        <v>1.574468085106383</v>
      </c>
      <c r="L197" s="129">
        <v>23.5</v>
      </c>
      <c r="M197" s="109">
        <f t="shared" si="83"/>
        <v>-1.074468085106383</v>
      </c>
      <c r="N197" s="130">
        <f t="shared" ref="N197:N198" si="87">SUM(O197:U197)</f>
        <v>0</v>
      </c>
      <c r="O197" s="389"/>
      <c r="P197" s="389"/>
      <c r="Q197" s="389"/>
      <c r="R197" s="389"/>
      <c r="S197" s="389"/>
      <c r="T197" s="389"/>
      <c r="U197" s="389"/>
      <c r="V197" s="132">
        <f t="shared" ref="V197:V198" si="88">SUM(X197:AA197)</f>
        <v>0</v>
      </c>
      <c r="W197" s="133">
        <f t="shared" ref="W197:W198" si="89">IF(ISERROR(V197/G197),"",V197/G197)</f>
        <v>0</v>
      </c>
      <c r="X197" s="132"/>
      <c r="Y197" s="132"/>
      <c r="Z197" s="132"/>
      <c r="AA197" s="132"/>
    </row>
    <row r="198" spans="1:27" ht="20.100000000000001" hidden="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27"/>
      <c r="G198" s="128"/>
      <c r="H198" s="398">
        <f t="shared" si="82"/>
        <v>0</v>
      </c>
      <c r="I198" s="129"/>
      <c r="J198" s="130" t="str">
        <f t="array" ref="J198">IF(ISERROR(G198/I198),"",G198/I198)</f>
        <v/>
      </c>
      <c r="K198" s="131">
        <f t="array" ref="K198">IF(ISERROR(G198/L198),"",G198/L198)</f>
        <v>0</v>
      </c>
      <c r="L198" s="129">
        <v>23.5</v>
      </c>
      <c r="M198" s="109">
        <f t="shared" si="83"/>
        <v>0</v>
      </c>
      <c r="N198" s="130">
        <f t="shared" si="87"/>
        <v>0</v>
      </c>
      <c r="O198" s="389"/>
      <c r="P198" s="389"/>
      <c r="Q198" s="389"/>
      <c r="R198" s="389"/>
      <c r="S198" s="389"/>
      <c r="T198" s="389"/>
      <c r="U198" s="389"/>
      <c r="V198" s="132">
        <f t="shared" si="88"/>
        <v>0</v>
      </c>
      <c r="W198" s="133" t="str">
        <f t="shared" si="89"/>
        <v/>
      </c>
      <c r="X198" s="132"/>
      <c r="Y198" s="132"/>
      <c r="Z198" s="132"/>
      <c r="AA198" s="132"/>
    </row>
    <row r="199" spans="1:27" ht="20.100000000000001" customHeight="1">
      <c r="A199" s="578" t="s">
        <v>201</v>
      </c>
      <c r="B199" s="579"/>
      <c r="C199" s="396" t="s">
        <v>202</v>
      </c>
      <c r="D199" s="143"/>
      <c r="E199" s="143"/>
      <c r="F199" s="144"/>
      <c r="G199" s="145">
        <f>SUM(G178:G198)</f>
        <v>2420</v>
      </c>
      <c r="H199" s="146">
        <f>SUM(H178:H198)</f>
        <v>12252.72</v>
      </c>
      <c r="I199" s="146">
        <f>SUM(I178:I198)</f>
        <v>161.5</v>
      </c>
      <c r="J199" s="130">
        <f t="array" ref="J199">IF(ISERROR(G199/I199),"",G199/I199)</f>
        <v>14.98452012383901</v>
      </c>
      <c r="K199" s="146">
        <f>SUM(K178:K198)</f>
        <v>116.65009737572424</v>
      </c>
      <c r="L199" s="147"/>
      <c r="M199" s="150">
        <f t="shared" ref="M199:AA199" si="90">SUM(M178:M198)</f>
        <v>44.849902624275771</v>
      </c>
      <c r="N199" s="146">
        <f t="shared" si="90"/>
        <v>0</v>
      </c>
      <c r="O199" s="148">
        <f t="shared" si="90"/>
        <v>0</v>
      </c>
      <c r="P199" s="148">
        <f t="shared" si="90"/>
        <v>0</v>
      </c>
      <c r="Q199" s="148">
        <f t="shared" si="90"/>
        <v>0</v>
      </c>
      <c r="R199" s="148">
        <f t="shared" si="90"/>
        <v>0</v>
      </c>
      <c r="S199" s="148">
        <f t="shared" si="90"/>
        <v>0</v>
      </c>
      <c r="T199" s="148">
        <f t="shared" si="90"/>
        <v>0</v>
      </c>
      <c r="U199" s="148">
        <f t="shared" si="90"/>
        <v>0</v>
      </c>
      <c r="V199" s="149">
        <f t="shared" si="90"/>
        <v>0</v>
      </c>
      <c r="W199" s="133">
        <f t="shared" si="90"/>
        <v>0</v>
      </c>
      <c r="X199" s="149">
        <f t="shared" si="90"/>
        <v>0</v>
      </c>
      <c r="Y199" s="149">
        <f t="shared" si="90"/>
        <v>0</v>
      </c>
      <c r="Z199" s="149">
        <f t="shared" si="90"/>
        <v>0</v>
      </c>
      <c r="AA199" s="149">
        <f t="shared" si="90"/>
        <v>0</v>
      </c>
    </row>
    <row r="200" spans="1:27" ht="20.100000000000001" hidden="1" customHeight="1">
      <c r="A200" s="300">
        <v>30100012</v>
      </c>
      <c r="B200" s="390" t="s">
        <v>206</v>
      </c>
      <c r="C200" s="126" t="s">
        <v>199</v>
      </c>
      <c r="D200" s="108">
        <v>5.03</v>
      </c>
      <c r="E200" s="108"/>
      <c r="F200" s="127"/>
      <c r="G200" s="128"/>
      <c r="H200" s="398">
        <f t="shared" ref="H200:H256" si="91">D200*G200</f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 t="shared" ref="M200" si="92">IF(ISERROR(I200-K200),"",I200-K200)</f>
        <v>0</v>
      </c>
      <c r="N200" s="130">
        <f t="shared" ref="N200" si="93">SUM(O200:U200)</f>
        <v>0</v>
      </c>
      <c r="O200" s="393"/>
      <c r="P200" s="393"/>
      <c r="Q200" s="393"/>
      <c r="R200" s="393"/>
      <c r="S200" s="393"/>
      <c r="T200" s="393"/>
      <c r="U200" s="393"/>
      <c r="V200" s="132">
        <f t="shared" ref="V200" si="94">SUM(X200:AA200)</f>
        <v>0</v>
      </c>
      <c r="W200" s="133" t="str">
        <f t="shared" ref="W200" si="95">IF(ISERROR(V200/G200),"",V200/G200)</f>
        <v/>
      </c>
      <c r="X200" s="132"/>
      <c r="Y200" s="132"/>
      <c r="Z200" s="132"/>
      <c r="AA200" s="132"/>
    </row>
    <row r="201" spans="1:27" ht="20.100000000000001" hidden="1" customHeight="1">
      <c r="A201" s="300">
        <v>30100011</v>
      </c>
      <c r="B201" s="390" t="s">
        <v>425</v>
      </c>
      <c r="C201" s="187" t="s">
        <v>427</v>
      </c>
      <c r="D201" s="108">
        <v>5.03</v>
      </c>
      <c r="E201" s="108"/>
      <c r="F201" s="127"/>
      <c r="G201" s="128"/>
      <c r="H201" s="398">
        <f t="shared" si="91"/>
        <v>0</v>
      </c>
      <c r="I201" s="129"/>
      <c r="J201" s="130"/>
      <c r="K201" s="131"/>
      <c r="L201" s="129">
        <v>52</v>
      </c>
      <c r="M201" s="109"/>
      <c r="N201" s="130"/>
      <c r="O201" s="393"/>
      <c r="P201" s="393"/>
      <c r="Q201" s="393"/>
      <c r="R201" s="393"/>
      <c r="S201" s="393"/>
      <c r="T201" s="393"/>
      <c r="U201" s="393"/>
      <c r="V201" s="132"/>
      <c r="W201" s="133"/>
      <c r="X201" s="132"/>
      <c r="Y201" s="132"/>
      <c r="Z201" s="132"/>
      <c r="AA201" s="132"/>
    </row>
    <row r="202" spans="1:27" ht="20.100000000000001" hidden="1" customHeight="1">
      <c r="A202" s="300">
        <v>30100010</v>
      </c>
      <c r="B202" s="390" t="s">
        <v>206</v>
      </c>
      <c r="C202" s="126" t="s">
        <v>186</v>
      </c>
      <c r="D202" s="108">
        <v>5.03</v>
      </c>
      <c r="E202" s="108"/>
      <c r="F202" s="127"/>
      <c r="G202" s="128"/>
      <c r="H202" s="398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 t="shared" ref="M202" si="96">IF(ISERROR(I202-K202),"",I202-K202)</f>
        <v>0</v>
      </c>
      <c r="N202" s="130">
        <f t="shared" ref="N202:N204" si="97">SUM(O202:U202)</f>
        <v>0</v>
      </c>
      <c r="O202" s="393"/>
      <c r="P202" s="393"/>
      <c r="Q202" s="393"/>
      <c r="R202" s="393"/>
      <c r="S202" s="393"/>
      <c r="T202" s="393"/>
      <c r="U202" s="393"/>
      <c r="V202" s="132">
        <f t="shared" ref="V202:V204" si="98">SUM(X202:AA202)</f>
        <v>0</v>
      </c>
      <c r="W202" s="133" t="str">
        <f t="shared" ref="W202:W204" si="99">IF(ISERROR(V202/G202),"",V202/G202)</f>
        <v/>
      </c>
      <c r="X202" s="132"/>
      <c r="Y202" s="132"/>
      <c r="Z202" s="132"/>
      <c r="AA202" s="132"/>
    </row>
    <row r="203" spans="1:27" ht="20.100000000000001" hidden="1" customHeight="1">
      <c r="A203" s="300">
        <v>30100014</v>
      </c>
      <c r="B203" s="390" t="s">
        <v>206</v>
      </c>
      <c r="C203" s="126" t="s">
        <v>203</v>
      </c>
      <c r="D203" s="108">
        <v>5.03</v>
      </c>
      <c r="E203" s="108"/>
      <c r="F203" s="127"/>
      <c r="G203" s="128"/>
      <c r="H203" s="398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>IF(ISERROR(I203-K203),"",I203-K203)</f>
        <v>0</v>
      </c>
      <c r="N203" s="130">
        <f t="shared" si="97"/>
        <v>0</v>
      </c>
      <c r="O203" s="393"/>
      <c r="P203" s="393"/>
      <c r="Q203" s="393"/>
      <c r="R203" s="393"/>
      <c r="S203" s="393"/>
      <c r="T203" s="393"/>
      <c r="U203" s="393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30100013</v>
      </c>
      <c r="B204" s="390" t="s">
        <v>206</v>
      </c>
      <c r="C204" s="126" t="s">
        <v>207</v>
      </c>
      <c r="D204" s="108">
        <v>5.03</v>
      </c>
      <c r="E204" s="108"/>
      <c r="F204" s="127"/>
      <c r="G204" s="128"/>
      <c r="H204" s="398">
        <f t="shared" si="91"/>
        <v>0</v>
      </c>
      <c r="I204" s="129"/>
      <c r="J204" s="130" t="str">
        <f t="array" ref="J204">IF(ISERROR(G204/I204),"",G204/I204)</f>
        <v/>
      </c>
      <c r="K204" s="131">
        <f t="array" ref="K204">IF(ISERROR(G204/L204),"",G204/L204)</f>
        <v>0</v>
      </c>
      <c r="L204" s="129">
        <v>52</v>
      </c>
      <c r="M204" s="109">
        <f t="shared" ref="M204" si="100">IF(ISERROR(I204-K204),"",I204-K204)</f>
        <v>0</v>
      </c>
      <c r="N204" s="130">
        <f t="shared" si="97"/>
        <v>0</v>
      </c>
      <c r="O204" s="393"/>
      <c r="P204" s="393"/>
      <c r="Q204" s="393"/>
      <c r="R204" s="393"/>
      <c r="S204" s="393"/>
      <c r="T204" s="393"/>
      <c r="U204" s="393"/>
      <c r="V204" s="132">
        <f t="shared" si="98"/>
        <v>0</v>
      </c>
      <c r="W204" s="133" t="str">
        <f t="shared" si="99"/>
        <v/>
      </c>
      <c r="X204" s="132"/>
      <c r="Y204" s="132"/>
      <c r="Z204" s="132"/>
      <c r="AA204" s="132"/>
    </row>
    <row r="205" spans="1:27" ht="20.100000000000001" hidden="1" customHeight="1">
      <c r="A205" s="300">
        <v>30100016</v>
      </c>
      <c r="B205" s="390" t="s">
        <v>414</v>
      </c>
      <c r="C205" s="187" t="s">
        <v>415</v>
      </c>
      <c r="D205" s="108">
        <v>5.03</v>
      </c>
      <c r="E205" s="108"/>
      <c r="F205" s="127"/>
      <c r="G205" s="128"/>
      <c r="H205" s="398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393"/>
      <c r="P205" s="393"/>
      <c r="Q205" s="393"/>
      <c r="R205" s="393"/>
      <c r="S205" s="393"/>
      <c r="T205" s="393"/>
      <c r="U205" s="393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30100017</v>
      </c>
      <c r="B206" s="390" t="s">
        <v>414</v>
      </c>
      <c r="C206" s="187" t="s">
        <v>416</v>
      </c>
      <c r="D206" s="108">
        <v>5.03</v>
      </c>
      <c r="E206" s="108"/>
      <c r="F206" s="127"/>
      <c r="G206" s="128"/>
      <c r="H206" s="398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393"/>
      <c r="P206" s="393"/>
      <c r="Q206" s="393"/>
      <c r="R206" s="393"/>
      <c r="S206" s="393"/>
      <c r="T206" s="393"/>
      <c r="U206" s="393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30100015</v>
      </c>
      <c r="B207" s="390" t="s">
        <v>414</v>
      </c>
      <c r="C207" s="187" t="s">
        <v>61</v>
      </c>
      <c r="D207" s="108">
        <v>5.03</v>
      </c>
      <c r="E207" s="108"/>
      <c r="F207" s="127"/>
      <c r="G207" s="128"/>
      <c r="H207" s="398">
        <f t="shared" si="91"/>
        <v>0</v>
      </c>
      <c r="I207" s="129"/>
      <c r="J207" s="130"/>
      <c r="K207" s="131"/>
      <c r="L207" s="129">
        <v>52</v>
      </c>
      <c r="M207" s="109"/>
      <c r="N207" s="130"/>
      <c r="O207" s="393"/>
      <c r="P207" s="393"/>
      <c r="Q207" s="393"/>
      <c r="R207" s="393"/>
      <c r="S207" s="393"/>
      <c r="T207" s="393"/>
      <c r="U207" s="393"/>
      <c r="V207" s="132"/>
      <c r="W207" s="133"/>
      <c r="X207" s="132"/>
      <c r="Y207" s="132"/>
      <c r="Z207" s="132"/>
      <c r="AA207" s="132"/>
    </row>
    <row r="208" spans="1:27" ht="20.100000000000001" customHeight="1">
      <c r="A208" s="300">
        <v>30100027</v>
      </c>
      <c r="B208" s="390" t="s">
        <v>208</v>
      </c>
      <c r="C208" s="126" t="s">
        <v>179</v>
      </c>
      <c r="D208" s="108">
        <v>5.08</v>
      </c>
      <c r="E208" s="108"/>
      <c r="F208" s="127">
        <v>42736</v>
      </c>
      <c r="G208" s="128">
        <f>108*4+45</f>
        <v>477</v>
      </c>
      <c r="H208" s="398">
        <f t="shared" si="91"/>
        <v>2423.16</v>
      </c>
      <c r="I208" s="129">
        <f>7.5*3</f>
        <v>22.5</v>
      </c>
      <c r="J208" s="130">
        <f t="array" ref="J208">IF(ISERROR(G208/I208),"",G208/I208)</f>
        <v>21.2</v>
      </c>
      <c r="K208" s="131">
        <f t="array" ref="K208">IF(ISERROR(G208/L208),"",G208/L208)</f>
        <v>22.714285714285715</v>
      </c>
      <c r="L208" s="129">
        <v>21</v>
      </c>
      <c r="M208" s="109">
        <f t="shared" ref="M208:M237" si="101">IF(ISERROR(I208-K208),"",I208-K208)</f>
        <v>-0.2142857142857153</v>
      </c>
      <c r="N208" s="130">
        <f t="shared" ref="N208:N237" si="102">SUM(O208:U208)</f>
        <v>0</v>
      </c>
      <c r="O208" s="393"/>
      <c r="P208" s="393"/>
      <c r="Q208" s="393"/>
      <c r="R208" s="393"/>
      <c r="S208" s="393"/>
      <c r="T208" s="393"/>
      <c r="U208" s="393"/>
      <c r="V208" s="132">
        <f t="shared" ref="V208:V219" si="103">SUM(X208:AA208)</f>
        <v>0</v>
      </c>
      <c r="W208" s="133">
        <f t="shared" ref="W208:W219" si="104">IF(ISERROR(V208/G208),"",V208/G208)</f>
        <v>0</v>
      </c>
      <c r="X208" s="132"/>
      <c r="Y208" s="132"/>
      <c r="Z208" s="132"/>
      <c r="AA208" s="132"/>
    </row>
    <row r="209" spans="1:27" ht="20.100000000000001" customHeight="1">
      <c r="A209" s="300">
        <v>30100023</v>
      </c>
      <c r="B209" s="390" t="s">
        <v>208</v>
      </c>
      <c r="C209" s="126" t="s">
        <v>204</v>
      </c>
      <c r="D209" s="108">
        <v>5.08</v>
      </c>
      <c r="E209" s="108"/>
      <c r="F209" s="127">
        <v>42736</v>
      </c>
      <c r="G209" s="128">
        <f>108+108</f>
        <v>216</v>
      </c>
      <c r="H209" s="398">
        <f t="shared" si="91"/>
        <v>1097.28</v>
      </c>
      <c r="I209" s="129">
        <f>4*3</f>
        <v>12</v>
      </c>
      <c r="J209" s="130">
        <f t="array" ref="J209">IF(ISERROR(G209/I209),"",G209/I209)</f>
        <v>18</v>
      </c>
      <c r="K209" s="131">
        <f t="array" ref="K209">IF(ISERROR(G209/L209),"",G209/L209)</f>
        <v>10.285714285714286</v>
      </c>
      <c r="L209" s="129">
        <v>21</v>
      </c>
      <c r="M209" s="109">
        <f t="shared" si="101"/>
        <v>1.7142857142857135</v>
      </c>
      <c r="N209" s="130">
        <f t="shared" si="102"/>
        <v>0</v>
      </c>
      <c r="O209" s="393"/>
      <c r="P209" s="393"/>
      <c r="Q209" s="393"/>
      <c r="R209" s="393"/>
      <c r="S209" s="393"/>
      <c r="T209" s="393"/>
      <c r="U209" s="393"/>
      <c r="V209" s="132">
        <f t="shared" si="103"/>
        <v>0</v>
      </c>
      <c r="W209" s="133">
        <f t="shared" si="104"/>
        <v>0</v>
      </c>
      <c r="X209" s="132"/>
      <c r="Y209" s="132"/>
      <c r="Z209" s="132"/>
      <c r="AA209" s="132"/>
    </row>
    <row r="210" spans="1:27" ht="20.100000000000001" hidden="1" customHeight="1">
      <c r="A210" s="300">
        <v>30100024</v>
      </c>
      <c r="B210" s="390" t="s">
        <v>208</v>
      </c>
      <c r="C210" s="126" t="s">
        <v>205</v>
      </c>
      <c r="D210" s="108">
        <v>5.08</v>
      </c>
      <c r="E210" s="108"/>
      <c r="F210" s="127"/>
      <c r="G210" s="128"/>
      <c r="H210" s="398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393"/>
      <c r="P210" s="393"/>
      <c r="Q210" s="393"/>
      <c r="R210" s="393"/>
      <c r="S210" s="393"/>
      <c r="T210" s="393"/>
      <c r="U210" s="393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30100022</v>
      </c>
      <c r="B211" s="390" t="s">
        <v>208</v>
      </c>
      <c r="C211" s="126" t="s">
        <v>186</v>
      </c>
      <c r="D211" s="108">
        <v>5.08</v>
      </c>
      <c r="E211" s="108"/>
      <c r="F211" s="127"/>
      <c r="G211" s="128"/>
      <c r="H211" s="398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393"/>
      <c r="P211" s="393"/>
      <c r="Q211" s="393"/>
      <c r="R211" s="393"/>
      <c r="S211" s="393"/>
      <c r="T211" s="393"/>
      <c r="U211" s="393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30100029</v>
      </c>
      <c r="B212" s="390" t="s">
        <v>208</v>
      </c>
      <c r="C212" s="126" t="s">
        <v>203</v>
      </c>
      <c r="D212" s="108">
        <v>5.08</v>
      </c>
      <c r="E212" s="108"/>
      <c r="F212" s="127"/>
      <c r="G212" s="128"/>
      <c r="H212" s="398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393"/>
      <c r="P212" s="393"/>
      <c r="Q212" s="393"/>
      <c r="R212" s="393"/>
      <c r="S212" s="393"/>
      <c r="T212" s="393"/>
      <c r="U212" s="393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30100026</v>
      </c>
      <c r="B213" s="390" t="s">
        <v>208</v>
      </c>
      <c r="C213" s="126" t="s">
        <v>199</v>
      </c>
      <c r="D213" s="108">
        <v>5.08</v>
      </c>
      <c r="E213" s="108"/>
      <c r="F213" s="127"/>
      <c r="G213" s="128"/>
      <c r="H213" s="398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1"/>
        <v>0</v>
      </c>
      <c r="N213" s="130">
        <f t="shared" si="102"/>
        <v>0</v>
      </c>
      <c r="O213" s="389"/>
      <c r="P213" s="389"/>
      <c r="Q213" s="389"/>
      <c r="R213" s="389"/>
      <c r="S213" s="389"/>
      <c r="T213" s="389"/>
      <c r="U213" s="389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30100025</v>
      </c>
      <c r="B214" s="390" t="s">
        <v>208</v>
      </c>
      <c r="C214" s="126" t="s">
        <v>187</v>
      </c>
      <c r="D214" s="108">
        <v>5.08</v>
      </c>
      <c r="E214" s="108"/>
      <c r="F214" s="127"/>
      <c r="G214" s="128"/>
      <c r="H214" s="398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393"/>
      <c r="P214" s="393"/>
      <c r="Q214" s="393"/>
      <c r="R214" s="393"/>
      <c r="S214" s="393"/>
      <c r="T214" s="393"/>
      <c r="U214" s="393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hidden="1" customHeight="1">
      <c r="A215" s="300">
        <v>30100028</v>
      </c>
      <c r="B215" s="390" t="s">
        <v>208</v>
      </c>
      <c r="C215" s="126" t="s">
        <v>207</v>
      </c>
      <c r="D215" s="108">
        <v>5.08</v>
      </c>
      <c r="E215" s="108"/>
      <c r="F215" s="127"/>
      <c r="G215" s="128"/>
      <c r="H215" s="398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21</v>
      </c>
      <c r="M215" s="109">
        <f t="shared" si="101"/>
        <v>0</v>
      </c>
      <c r="N215" s="130">
        <f t="shared" si="102"/>
        <v>0</v>
      </c>
      <c r="O215" s="389"/>
      <c r="P215" s="389"/>
      <c r="Q215" s="389"/>
      <c r="R215" s="389"/>
      <c r="S215" s="389"/>
      <c r="T215" s="389"/>
      <c r="U215" s="389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customHeight="1">
      <c r="A216" s="300">
        <v>30100032</v>
      </c>
      <c r="B216" s="390" t="s">
        <v>209</v>
      </c>
      <c r="C216" s="126" t="s">
        <v>194</v>
      </c>
      <c r="D216" s="108">
        <v>5.03</v>
      </c>
      <c r="E216" s="108"/>
      <c r="F216" s="127">
        <v>42736</v>
      </c>
      <c r="G216" s="128">
        <f>108*12+70+108*2</f>
        <v>1582</v>
      </c>
      <c r="H216" s="398">
        <f t="shared" si="91"/>
        <v>7957.46</v>
      </c>
      <c r="I216" s="129">
        <f>9.5*2</f>
        <v>19</v>
      </c>
      <c r="J216" s="130">
        <f t="array" ref="J216">IF(ISERROR(G216/I216),"",G216/I216)</f>
        <v>83.263157894736835</v>
      </c>
      <c r="K216" s="131">
        <f t="array" ref="K216">IF(ISERROR(G216/L216),"",G216/L216)</f>
        <v>28.25</v>
      </c>
      <c r="L216" s="129">
        <v>56</v>
      </c>
      <c r="M216" s="109">
        <f t="shared" si="101"/>
        <v>-9.25</v>
      </c>
      <c r="N216" s="130">
        <f t="shared" si="102"/>
        <v>0</v>
      </c>
      <c r="O216" s="393"/>
      <c r="P216" s="393"/>
      <c r="Q216" s="393"/>
      <c r="R216" s="393"/>
      <c r="S216" s="393"/>
      <c r="T216" s="393"/>
      <c r="U216" s="393"/>
      <c r="V216" s="132">
        <f t="shared" si="103"/>
        <v>0</v>
      </c>
      <c r="W216" s="133">
        <f t="shared" si="104"/>
        <v>0</v>
      </c>
      <c r="X216" s="132"/>
      <c r="Y216" s="132"/>
      <c r="Z216" s="132"/>
      <c r="AA216" s="132"/>
    </row>
    <row r="217" spans="1:27" ht="20.100000000000001" customHeight="1">
      <c r="A217" s="300">
        <v>30100033</v>
      </c>
      <c r="B217" s="390" t="s">
        <v>209</v>
      </c>
      <c r="C217" s="126" t="s">
        <v>179</v>
      </c>
      <c r="D217" s="108">
        <v>5.03</v>
      </c>
      <c r="E217" s="108"/>
      <c r="F217" s="127">
        <v>42736</v>
      </c>
      <c r="G217" s="128">
        <v>108</v>
      </c>
      <c r="H217" s="398">
        <f t="shared" si="91"/>
        <v>543.24</v>
      </c>
      <c r="I217" s="129">
        <f>2*2</f>
        <v>4</v>
      </c>
      <c r="J217" s="130">
        <f t="array" ref="J217">IF(ISERROR(G217/I217),"",G217/I217)</f>
        <v>27</v>
      </c>
      <c r="K217" s="131">
        <f t="array" ref="K217">IF(ISERROR(G217/L217),"",G217/L217)</f>
        <v>1.9285714285714286</v>
      </c>
      <c r="L217" s="129">
        <v>56</v>
      </c>
      <c r="M217" s="109">
        <f t="shared" si="101"/>
        <v>2.0714285714285712</v>
      </c>
      <c r="N217" s="130">
        <f t="shared" si="102"/>
        <v>0</v>
      </c>
      <c r="O217" s="393"/>
      <c r="P217" s="393"/>
      <c r="Q217" s="393"/>
      <c r="R217" s="393"/>
      <c r="S217" s="393"/>
      <c r="T217" s="393"/>
      <c r="U217" s="393"/>
      <c r="V217" s="132">
        <f t="shared" si="103"/>
        <v>0</v>
      </c>
      <c r="W217" s="133">
        <f t="shared" si="104"/>
        <v>0</v>
      </c>
      <c r="X217" s="132"/>
      <c r="Y217" s="132"/>
      <c r="Z217" s="132"/>
      <c r="AA217" s="132"/>
    </row>
    <row r="218" spans="1:27" ht="20.100000000000001" hidden="1" customHeight="1">
      <c r="A218" s="300">
        <v>30100062</v>
      </c>
      <c r="B218" s="390" t="s">
        <v>209</v>
      </c>
      <c r="C218" s="126" t="s">
        <v>195</v>
      </c>
      <c r="D218" s="108">
        <v>5.03</v>
      </c>
      <c r="E218" s="108"/>
      <c r="F218" s="127"/>
      <c r="G218" s="128"/>
      <c r="H218" s="398">
        <f t="shared" si="91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1"/>
        <v>0</v>
      </c>
      <c r="N218" s="130">
        <f t="shared" si="102"/>
        <v>0</v>
      </c>
      <c r="O218" s="393"/>
      <c r="P218" s="393"/>
      <c r="Q218" s="393"/>
      <c r="R218" s="393"/>
      <c r="S218" s="393"/>
      <c r="T218" s="393"/>
      <c r="U218" s="393"/>
      <c r="V218" s="132">
        <f t="shared" si="103"/>
        <v>0</v>
      </c>
      <c r="W218" s="133" t="str">
        <f t="shared" si="104"/>
        <v/>
      </c>
      <c r="X218" s="132"/>
      <c r="Y218" s="132"/>
      <c r="Z218" s="132"/>
      <c r="AA218" s="132"/>
    </row>
    <row r="219" spans="1:27" ht="20.100000000000001" hidden="1" customHeight="1">
      <c r="A219" s="300">
        <v>30100031</v>
      </c>
      <c r="B219" s="390" t="s">
        <v>209</v>
      </c>
      <c r="C219" s="126" t="s">
        <v>204</v>
      </c>
      <c r="D219" s="108">
        <v>5.03</v>
      </c>
      <c r="E219" s="108"/>
      <c r="F219" s="127"/>
      <c r="G219" s="128"/>
      <c r="H219" s="398">
        <f t="shared" si="91"/>
        <v>0</v>
      </c>
      <c r="I219" s="129"/>
      <c r="J219" s="130" t="str">
        <f t="array" ref="J219">IF(ISERROR(G219/I219),"",G219/I219)</f>
        <v/>
      </c>
      <c r="K219" s="131">
        <f t="array" ref="K219">IF(ISERROR(G219/L219),"",G219/L219)</f>
        <v>0</v>
      </c>
      <c r="L219" s="129">
        <v>56</v>
      </c>
      <c r="M219" s="109">
        <f t="shared" si="101"/>
        <v>0</v>
      </c>
      <c r="N219" s="130">
        <f t="shared" si="102"/>
        <v>0</v>
      </c>
      <c r="O219" s="393"/>
      <c r="P219" s="393"/>
      <c r="Q219" s="393"/>
      <c r="R219" s="393"/>
      <c r="S219" s="393"/>
      <c r="T219" s="393"/>
      <c r="U219" s="393"/>
      <c r="V219" s="132">
        <f t="shared" si="103"/>
        <v>0</v>
      </c>
      <c r="W219" s="133" t="str">
        <f t="shared" si="104"/>
        <v/>
      </c>
      <c r="X219" s="132"/>
      <c r="Y219" s="132"/>
      <c r="Z219" s="132"/>
      <c r="AA219" s="132"/>
    </row>
    <row r="220" spans="1:27" ht="20.100000000000001" hidden="1" customHeight="1">
      <c r="A220" s="300">
        <v>30100019</v>
      </c>
      <c r="B220" s="390" t="s">
        <v>382</v>
      </c>
      <c r="C220" s="187" t="s">
        <v>383</v>
      </c>
      <c r="D220" s="108">
        <v>5.03</v>
      </c>
      <c r="E220" s="108"/>
      <c r="F220" s="127"/>
      <c r="G220" s="128"/>
      <c r="H220" s="398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393"/>
      <c r="P220" s="393"/>
      <c r="Q220" s="393"/>
      <c r="R220" s="393"/>
      <c r="S220" s="393"/>
      <c r="T220" s="393"/>
      <c r="U220" s="393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30100020</v>
      </c>
      <c r="B221" s="390" t="s">
        <v>382</v>
      </c>
      <c r="C221" s="187" t="s">
        <v>384</v>
      </c>
      <c r="D221" s="108">
        <v>5.03</v>
      </c>
      <c r="E221" s="108"/>
      <c r="F221" s="127"/>
      <c r="G221" s="128"/>
      <c r="H221" s="398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393"/>
      <c r="P221" s="393"/>
      <c r="Q221" s="393"/>
      <c r="R221" s="393"/>
      <c r="S221" s="393"/>
      <c r="T221" s="393"/>
      <c r="U221" s="393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30100021</v>
      </c>
      <c r="B222" s="390" t="s">
        <v>382</v>
      </c>
      <c r="C222" s="187" t="s">
        <v>389</v>
      </c>
      <c r="D222" s="108">
        <v>5.03</v>
      </c>
      <c r="E222" s="108"/>
      <c r="F222" s="127"/>
      <c r="G222" s="128"/>
      <c r="H222" s="398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393"/>
      <c r="P222" s="393"/>
      <c r="Q222" s="393"/>
      <c r="R222" s="393"/>
      <c r="S222" s="393"/>
      <c r="T222" s="393"/>
      <c r="U222" s="393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0">
        <v>30100018</v>
      </c>
      <c r="B223" s="390" t="s">
        <v>382</v>
      </c>
      <c r="C223" s="187" t="s">
        <v>391</v>
      </c>
      <c r="D223" s="108">
        <v>5.03</v>
      </c>
      <c r="E223" s="108"/>
      <c r="F223" s="127"/>
      <c r="G223" s="128"/>
      <c r="H223" s="398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54</v>
      </c>
      <c r="M223" s="109">
        <f t="shared" si="101"/>
        <v>0</v>
      </c>
      <c r="N223" s="130">
        <f t="shared" si="102"/>
        <v>0</v>
      </c>
      <c r="O223" s="393"/>
      <c r="P223" s="393"/>
      <c r="Q223" s="393"/>
      <c r="R223" s="393"/>
      <c r="S223" s="393"/>
      <c r="T223" s="393"/>
      <c r="U223" s="393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30700007</v>
      </c>
      <c r="B224" s="390" t="s">
        <v>418</v>
      </c>
      <c r="C224" s="187" t="s">
        <v>364</v>
      </c>
      <c r="D224" s="108">
        <v>5.03</v>
      </c>
      <c r="E224" s="108"/>
      <c r="F224" s="127"/>
      <c r="G224" s="128"/>
      <c r="H224" s="398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393"/>
      <c r="P224" s="393"/>
      <c r="Q224" s="393"/>
      <c r="R224" s="393"/>
      <c r="S224" s="393"/>
      <c r="T224" s="393"/>
      <c r="U224" s="393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30700006</v>
      </c>
      <c r="B225" s="390" t="s">
        <v>418</v>
      </c>
      <c r="C225" s="187" t="s">
        <v>365</v>
      </c>
      <c r="D225" s="108">
        <v>5.03</v>
      </c>
      <c r="E225" s="108"/>
      <c r="F225" s="127"/>
      <c r="G225" s="128"/>
      <c r="H225" s="398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393"/>
      <c r="P225" s="393"/>
      <c r="Q225" s="393"/>
      <c r="R225" s="393"/>
      <c r="S225" s="393"/>
      <c r="T225" s="393"/>
      <c r="U225" s="393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30700008</v>
      </c>
      <c r="B226" s="390" t="s">
        <v>418</v>
      </c>
      <c r="C226" s="187" t="s">
        <v>366</v>
      </c>
      <c r="D226" s="108">
        <v>5.03</v>
      </c>
      <c r="E226" s="108"/>
      <c r="F226" s="127"/>
      <c r="G226" s="128"/>
      <c r="H226" s="398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393"/>
      <c r="P226" s="393"/>
      <c r="Q226" s="393"/>
      <c r="R226" s="393"/>
      <c r="S226" s="393"/>
      <c r="T226" s="393"/>
      <c r="U226" s="393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3">
        <v>30700009</v>
      </c>
      <c r="B227" s="390" t="s">
        <v>418</v>
      </c>
      <c r="C227" s="187" t="s">
        <v>367</v>
      </c>
      <c r="D227" s="108">
        <v>5.03</v>
      </c>
      <c r="E227" s="108"/>
      <c r="F227" s="127"/>
      <c r="G227" s="128"/>
      <c r="H227" s="398">
        <f t="shared" si="91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101"/>
        <v>0</v>
      </c>
      <c r="N227" s="130">
        <f t="shared" si="102"/>
        <v>0</v>
      </c>
      <c r="O227" s="393"/>
      <c r="P227" s="393"/>
      <c r="Q227" s="393"/>
      <c r="R227" s="393"/>
      <c r="S227" s="393"/>
      <c r="T227" s="393"/>
      <c r="U227" s="393"/>
      <c r="V227" s="132"/>
      <c r="W227" s="133"/>
      <c r="X227" s="132"/>
      <c r="Y227" s="132"/>
      <c r="Z227" s="132"/>
      <c r="AA227" s="132"/>
    </row>
    <row r="228" spans="1:27" ht="20.100000000000001" hidden="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/>
      <c r="G228" s="128"/>
      <c r="H228" s="398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389"/>
      <c r="P228" s="389"/>
      <c r="Q228" s="389"/>
      <c r="R228" s="389"/>
      <c r="S228" s="389"/>
      <c r="T228" s="389"/>
      <c r="U228" s="389"/>
      <c r="V228" s="132">
        <f t="shared" ref="V228:V237" si="105">SUM(X228:AA228)</f>
        <v>0</v>
      </c>
      <c r="W228" s="133" t="str">
        <f t="shared" ref="W228:W237" si="106">IF(ISERROR(V228/G228),"",V228/G228)</f>
        <v/>
      </c>
      <c r="X228" s="132"/>
      <c r="Y228" s="132"/>
      <c r="Z228" s="132"/>
      <c r="AA228" s="132"/>
    </row>
    <row r="229" spans="1:27" ht="20.100000000000001" hidden="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/>
      <c r="G229" s="128"/>
      <c r="H229" s="398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389"/>
      <c r="P229" s="389"/>
      <c r="Q229" s="389"/>
      <c r="R229" s="389"/>
      <c r="S229" s="389"/>
      <c r="T229" s="389"/>
      <c r="U229" s="389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/>
      <c r="G230" s="128"/>
      <c r="H230" s="398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40</v>
      </c>
      <c r="M230" s="109">
        <f t="shared" si="101"/>
        <v>0</v>
      </c>
      <c r="N230" s="130">
        <f t="shared" si="102"/>
        <v>0</v>
      </c>
      <c r="O230" s="389"/>
      <c r="P230" s="389"/>
      <c r="Q230" s="389"/>
      <c r="R230" s="389"/>
      <c r="S230" s="389"/>
      <c r="T230" s="389"/>
      <c r="U230" s="389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28"/>
      <c r="H231" s="398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389"/>
      <c r="P231" s="389"/>
      <c r="Q231" s="389"/>
      <c r="R231" s="389"/>
      <c r="S231" s="389"/>
      <c r="T231" s="389"/>
      <c r="U231" s="389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28"/>
      <c r="H232" s="398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389"/>
      <c r="P232" s="389"/>
      <c r="Q232" s="389"/>
      <c r="R232" s="389"/>
      <c r="S232" s="389"/>
      <c r="T232" s="389"/>
      <c r="U232" s="389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28"/>
      <c r="H233" s="398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389"/>
      <c r="P233" s="389"/>
      <c r="Q233" s="389"/>
      <c r="R233" s="389"/>
      <c r="S233" s="389"/>
      <c r="T233" s="389"/>
      <c r="U233" s="389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28"/>
      <c r="H234" s="398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389"/>
      <c r="P234" s="389"/>
      <c r="Q234" s="389"/>
      <c r="R234" s="389"/>
      <c r="S234" s="389"/>
      <c r="T234" s="389"/>
      <c r="U234" s="389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/>
      <c r="G235" s="128"/>
      <c r="H235" s="398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389"/>
      <c r="P235" s="389"/>
      <c r="Q235" s="389"/>
      <c r="R235" s="389"/>
      <c r="S235" s="389"/>
      <c r="T235" s="389"/>
      <c r="U235" s="389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/>
      <c r="G236" s="128"/>
      <c r="H236" s="398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389"/>
      <c r="P236" s="389"/>
      <c r="Q236" s="389"/>
      <c r="R236" s="389"/>
      <c r="S236" s="389"/>
      <c r="T236" s="389"/>
      <c r="U236" s="389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/>
      <c r="G237" s="128"/>
      <c r="H237" s="398">
        <f t="shared" si="91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50</v>
      </c>
      <c r="M237" s="109">
        <f t="shared" si="101"/>
        <v>0</v>
      </c>
      <c r="N237" s="130">
        <f t="shared" si="102"/>
        <v>0</v>
      </c>
      <c r="O237" s="389"/>
      <c r="P237" s="389"/>
      <c r="Q237" s="389"/>
      <c r="R237" s="389"/>
      <c r="S237" s="389"/>
      <c r="T237" s="389"/>
      <c r="U237" s="389"/>
      <c r="V237" s="132">
        <f t="shared" si="105"/>
        <v>0</v>
      </c>
      <c r="W237" s="133" t="str">
        <f t="shared" si="106"/>
        <v/>
      </c>
      <c r="X237" s="132"/>
      <c r="Y237" s="132"/>
      <c r="Z237" s="132"/>
      <c r="AA237" s="132"/>
    </row>
    <row r="238" spans="1:27" ht="20.100000000000001" hidden="1" customHeight="1">
      <c r="A238" s="300">
        <v>30100043</v>
      </c>
      <c r="B238" s="134" t="s">
        <v>429</v>
      </c>
      <c r="C238" s="187" t="s">
        <v>427</v>
      </c>
      <c r="D238" s="108">
        <v>5.03</v>
      </c>
      <c r="E238" s="108"/>
      <c r="F238" s="127"/>
      <c r="G238" s="128"/>
      <c r="H238" s="398">
        <f t="shared" si="91"/>
        <v>0</v>
      </c>
      <c r="I238" s="129"/>
      <c r="J238" s="130"/>
      <c r="K238" s="131"/>
      <c r="L238" s="129">
        <v>50</v>
      </c>
      <c r="M238" s="109"/>
      <c r="N238" s="130"/>
      <c r="O238" s="389"/>
      <c r="P238" s="389"/>
      <c r="Q238" s="389"/>
      <c r="R238" s="389"/>
      <c r="S238" s="389"/>
      <c r="T238" s="389"/>
      <c r="U238" s="389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/>
      <c r="G239" s="128"/>
      <c r="H239" s="398">
        <f t="shared" si="91"/>
        <v>0</v>
      </c>
      <c r="I239" s="129"/>
      <c r="J239" s="130"/>
      <c r="K239" s="131">
        <f t="array" ref="K239">IF(ISERROR(G239/L239),"",G239/L239)</f>
        <v>0</v>
      </c>
      <c r="L239" s="129">
        <v>50</v>
      </c>
      <c r="M239" s="109">
        <f t="shared" ref="M239:M250" si="107">IF(ISERROR(I239-K239),"",I239-K239)</f>
        <v>0</v>
      </c>
      <c r="N239" s="130"/>
      <c r="O239" s="389"/>
      <c r="P239" s="389"/>
      <c r="Q239" s="389"/>
      <c r="R239" s="389"/>
      <c r="S239" s="389"/>
      <c r="T239" s="389"/>
      <c r="U239" s="389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/>
      <c r="G240" s="128"/>
      <c r="H240" s="398">
        <f t="shared" si="91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7"/>
        <v>0</v>
      </c>
      <c r="N240" s="130">
        <f t="shared" ref="N240:N241" si="108">SUM(O240:U240)</f>
        <v>0</v>
      </c>
      <c r="O240" s="389"/>
      <c r="P240" s="389"/>
      <c r="Q240" s="389"/>
      <c r="R240" s="389"/>
      <c r="S240" s="389"/>
      <c r="T240" s="389"/>
      <c r="U240" s="389"/>
      <c r="V240" s="132">
        <f t="shared" ref="V240:V241" si="109">SUM(X240:AA240)</f>
        <v>0</v>
      </c>
      <c r="W240" s="133" t="str">
        <f t="shared" ref="W240:W241" si="110">IF(ISERROR(V240/G240),"",V240/G240)</f>
        <v/>
      </c>
      <c r="X240" s="132"/>
      <c r="Y240" s="132"/>
      <c r="Z240" s="132"/>
      <c r="AA240" s="132"/>
    </row>
    <row r="241" spans="1:27" ht="20.100000000000001" hidden="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/>
      <c r="G241" s="128"/>
      <c r="H241" s="398">
        <f t="shared" si="91"/>
        <v>0</v>
      </c>
      <c r="I241" s="129"/>
      <c r="J241" s="130" t="str">
        <f t="array" ref="J241">IF(ISERROR(G241/I241),"",G241/I241)</f>
        <v/>
      </c>
      <c r="K241" s="131">
        <f t="array" ref="K241">IF(ISERROR(G241/L241),"",G241/L241)</f>
        <v>0</v>
      </c>
      <c r="L241" s="129">
        <v>21.5</v>
      </c>
      <c r="M241" s="109">
        <f t="shared" si="107"/>
        <v>0</v>
      </c>
      <c r="N241" s="130">
        <f t="shared" si="108"/>
        <v>0</v>
      </c>
      <c r="O241" s="389"/>
      <c r="P241" s="389"/>
      <c r="Q241" s="389"/>
      <c r="R241" s="389"/>
      <c r="S241" s="389"/>
      <c r="T241" s="389"/>
      <c r="U241" s="389"/>
      <c r="V241" s="132">
        <f t="shared" si="109"/>
        <v>0</v>
      </c>
      <c r="W241" s="133" t="str">
        <f t="shared" si="110"/>
        <v/>
      </c>
      <c r="X241" s="132"/>
      <c r="Y241" s="132"/>
      <c r="Z241" s="132"/>
      <c r="AA241" s="132"/>
    </row>
    <row r="242" spans="1:27" ht="20.100000000000001" hidden="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28"/>
      <c r="H242" s="398">
        <f t="shared" si="91"/>
        <v>0</v>
      </c>
      <c r="I242" s="129"/>
      <c r="J242" s="130"/>
      <c r="K242" s="131"/>
      <c r="L242" s="129"/>
      <c r="M242" s="109">
        <f t="shared" si="107"/>
        <v>0</v>
      </c>
      <c r="N242" s="130"/>
      <c r="O242" s="389"/>
      <c r="P242" s="389"/>
      <c r="Q242" s="389"/>
      <c r="R242" s="389"/>
      <c r="S242" s="389"/>
      <c r="T242" s="389"/>
      <c r="U242" s="389"/>
      <c r="V242" s="132"/>
      <c r="W242" s="133"/>
      <c r="X242" s="132"/>
      <c r="Y242" s="132"/>
      <c r="Z242" s="132"/>
      <c r="AA242" s="132"/>
    </row>
    <row r="243" spans="1:27" ht="20.100000000000001" hidden="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28"/>
      <c r="H243" s="398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ref="N243:N246" si="111">SUM(O243:U243)</f>
        <v>0</v>
      </c>
      <c r="O243" s="389"/>
      <c r="P243" s="389"/>
      <c r="Q243" s="389"/>
      <c r="R243" s="389"/>
      <c r="S243" s="389"/>
      <c r="T243" s="389"/>
      <c r="U243" s="389"/>
      <c r="V243" s="132">
        <f t="shared" ref="V243:V246" si="112">SUM(X243:AA243)</f>
        <v>0</v>
      </c>
      <c r="W243" s="133" t="str">
        <f t="shared" ref="W243:W246" si="113">IF(ISERROR(V243/G243),"",V243/G243)</f>
        <v/>
      </c>
      <c r="X243" s="132"/>
      <c r="Y243" s="132"/>
      <c r="Z243" s="132"/>
      <c r="AA243" s="132"/>
    </row>
    <row r="244" spans="1:27" ht="20.100000000000001" hidden="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28"/>
      <c r="H244" s="398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389"/>
      <c r="P244" s="389"/>
      <c r="Q244" s="389"/>
      <c r="R244" s="389"/>
      <c r="S244" s="389"/>
      <c r="T244" s="389"/>
      <c r="U244" s="389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28"/>
      <c r="H245" s="398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389"/>
      <c r="P245" s="389"/>
      <c r="Q245" s="389"/>
      <c r="R245" s="389"/>
      <c r="S245" s="389"/>
      <c r="T245" s="389"/>
      <c r="U245" s="389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28"/>
      <c r="H246" s="398">
        <f t="shared" si="91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7"/>
        <v/>
      </c>
      <c r="N246" s="130">
        <f t="shared" si="111"/>
        <v>0</v>
      </c>
      <c r="O246" s="389"/>
      <c r="P246" s="389"/>
      <c r="Q246" s="389"/>
      <c r="R246" s="389"/>
      <c r="S246" s="389"/>
      <c r="T246" s="389"/>
      <c r="U246" s="389"/>
      <c r="V246" s="132">
        <f t="shared" si="112"/>
        <v>0</v>
      </c>
      <c r="W246" s="133" t="str">
        <f t="shared" si="113"/>
        <v/>
      </c>
      <c r="X246" s="132"/>
      <c r="Y246" s="132"/>
      <c r="Z246" s="132"/>
      <c r="AA246" s="132"/>
    </row>
    <row r="247" spans="1:27" ht="20.100000000000001" hidden="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28"/>
      <c r="H247" s="398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389"/>
      <c r="P247" s="389"/>
      <c r="Q247" s="389"/>
      <c r="R247" s="389"/>
      <c r="S247" s="389"/>
      <c r="T247" s="389"/>
      <c r="U247" s="389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28"/>
      <c r="H248" s="398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389"/>
      <c r="P248" s="389"/>
      <c r="Q248" s="389"/>
      <c r="R248" s="389"/>
      <c r="S248" s="389"/>
      <c r="T248" s="389"/>
      <c r="U248" s="389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28"/>
      <c r="H249" s="398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389"/>
      <c r="P249" s="389"/>
      <c r="Q249" s="389"/>
      <c r="R249" s="389"/>
      <c r="S249" s="389"/>
      <c r="T249" s="389"/>
      <c r="U249" s="389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28"/>
      <c r="H250" s="398">
        <f t="shared" si="91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7"/>
        <v>0</v>
      </c>
      <c r="N250" s="130"/>
      <c r="O250" s="389"/>
      <c r="P250" s="389"/>
      <c r="Q250" s="389"/>
      <c r="R250" s="389"/>
      <c r="S250" s="389"/>
      <c r="T250" s="389"/>
      <c r="U250" s="389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28"/>
      <c r="H251" s="398">
        <f t="shared" si="91"/>
        <v>0</v>
      </c>
      <c r="I251" s="129"/>
      <c r="J251" s="130"/>
      <c r="K251" s="131"/>
      <c r="L251" s="129">
        <v>4</v>
      </c>
      <c r="M251" s="109"/>
      <c r="N251" s="130"/>
      <c r="O251" s="389"/>
      <c r="P251" s="389"/>
      <c r="Q251" s="389"/>
      <c r="R251" s="389"/>
      <c r="S251" s="389"/>
      <c r="T251" s="389"/>
      <c r="U251" s="389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28"/>
      <c r="H252" s="398">
        <f t="shared" si="91"/>
        <v>0</v>
      </c>
      <c r="I252" s="129"/>
      <c r="J252" s="130"/>
      <c r="K252" s="131"/>
      <c r="L252" s="129">
        <v>4</v>
      </c>
      <c r="M252" s="109"/>
      <c r="N252" s="130"/>
      <c r="O252" s="389"/>
      <c r="P252" s="389"/>
      <c r="Q252" s="389"/>
      <c r="R252" s="389"/>
      <c r="S252" s="389"/>
      <c r="T252" s="389"/>
      <c r="U252" s="389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28"/>
      <c r="H253" s="398">
        <f t="shared" si="91"/>
        <v>0</v>
      </c>
      <c r="I253" s="129"/>
      <c r="J253" s="130"/>
      <c r="K253" s="131"/>
      <c r="L253" s="129">
        <v>4</v>
      </c>
      <c r="M253" s="109"/>
      <c r="N253" s="130"/>
      <c r="O253" s="389"/>
      <c r="P253" s="389"/>
      <c r="Q253" s="389"/>
      <c r="R253" s="389"/>
      <c r="S253" s="389"/>
      <c r="T253" s="389"/>
      <c r="U253" s="389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28"/>
      <c r="H254" s="398">
        <f t="shared" si="91"/>
        <v>0</v>
      </c>
      <c r="I254" s="129"/>
      <c r="J254" s="130"/>
      <c r="K254" s="131"/>
      <c r="L254" s="129">
        <v>4</v>
      </c>
      <c r="M254" s="109"/>
      <c r="N254" s="130"/>
      <c r="O254" s="389"/>
      <c r="P254" s="389"/>
      <c r="Q254" s="389"/>
      <c r="R254" s="389"/>
      <c r="S254" s="389"/>
      <c r="T254" s="389"/>
      <c r="U254" s="389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28"/>
      <c r="H255" s="398">
        <f t="shared" si="91"/>
        <v>0</v>
      </c>
      <c r="I255" s="129"/>
      <c r="J255" s="130"/>
      <c r="K255" s="131"/>
      <c r="L255" s="129">
        <v>4</v>
      </c>
      <c r="M255" s="109"/>
      <c r="N255" s="130"/>
      <c r="O255" s="389"/>
      <c r="P255" s="389"/>
      <c r="Q255" s="389"/>
      <c r="R255" s="389"/>
      <c r="S255" s="389"/>
      <c r="T255" s="389"/>
      <c r="U255" s="389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28"/>
      <c r="H256" s="398">
        <f t="shared" si="91"/>
        <v>0</v>
      </c>
      <c r="I256" s="129"/>
      <c r="J256" s="130"/>
      <c r="K256" s="131"/>
      <c r="L256" s="129">
        <v>4</v>
      </c>
      <c r="M256" s="109"/>
      <c r="N256" s="130"/>
      <c r="O256" s="389"/>
      <c r="P256" s="389"/>
      <c r="Q256" s="389"/>
      <c r="R256" s="389"/>
      <c r="S256" s="389"/>
      <c r="T256" s="389"/>
      <c r="U256" s="389"/>
      <c r="V256" s="132"/>
      <c r="W256" s="133"/>
      <c r="X256" s="132"/>
      <c r="Y256" s="132"/>
      <c r="Z256" s="132"/>
      <c r="AA256" s="132"/>
    </row>
    <row r="257" spans="1:27" ht="20.100000000000001" customHeight="1">
      <c r="A257" s="589" t="s">
        <v>216</v>
      </c>
      <c r="B257" s="589"/>
      <c r="C257" s="396" t="s">
        <v>202</v>
      </c>
      <c r="D257" s="143"/>
      <c r="E257" s="143"/>
      <c r="F257" s="144"/>
      <c r="G257" s="145">
        <f>SUM(G200:G256)</f>
        <v>2383</v>
      </c>
      <c r="H257" s="146">
        <f>SUM(H200:H256)</f>
        <v>12021.14</v>
      </c>
      <c r="I257" s="146">
        <f>SUM(I200:I256)</f>
        <v>57.5</v>
      </c>
      <c r="J257" s="130">
        <f t="array" ref="J257">IF(ISERROR(G257/I257),"",G257/I257)</f>
        <v>41.443478260869568</v>
      </c>
      <c r="K257" s="146">
        <f>SUM(K200:K256)</f>
        <v>63.178571428571431</v>
      </c>
      <c r="L257" s="147"/>
      <c r="M257" s="150">
        <f t="shared" ref="M257:V257" si="114">SUM(M200:M256)</f>
        <v>-5.6785714285714306</v>
      </c>
      <c r="N257" s="146">
        <f t="shared" si="114"/>
        <v>0</v>
      </c>
      <c r="O257" s="148">
        <f t="shared" si="114"/>
        <v>0</v>
      </c>
      <c r="P257" s="148">
        <f t="shared" si="114"/>
        <v>0</v>
      </c>
      <c r="Q257" s="148">
        <f t="shared" si="114"/>
        <v>0</v>
      </c>
      <c r="R257" s="148">
        <f t="shared" si="114"/>
        <v>0</v>
      </c>
      <c r="S257" s="148">
        <f t="shared" si="114"/>
        <v>0</v>
      </c>
      <c r="T257" s="148">
        <f t="shared" si="114"/>
        <v>0</v>
      </c>
      <c r="U257" s="148">
        <f t="shared" si="114"/>
        <v>0</v>
      </c>
      <c r="V257" s="149">
        <f t="shared" si="114"/>
        <v>0</v>
      </c>
      <c r="W257" s="133">
        <f t="shared" ref="W257:W264" si="115">IF(ISERROR(V257/G257),"",V257/G257)</f>
        <v>0</v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hidden="1" customHeight="1">
      <c r="A258" s="299">
        <v>30400012</v>
      </c>
      <c r="B258" s="390" t="s">
        <v>217</v>
      </c>
      <c r="C258" s="126" t="s">
        <v>179</v>
      </c>
      <c r="D258" s="108">
        <v>5.03</v>
      </c>
      <c r="E258" s="108"/>
      <c r="F258" s="127"/>
      <c r="G258" s="128"/>
      <c r="H258" s="398">
        <f t="shared" ref="H258:H291" si="116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7">IF(ISERROR(I258-K258),"",I258-K258)</f>
        <v>0</v>
      </c>
      <c r="N258" s="130">
        <f t="shared" ref="N258:N265" si="118">SUM(O258:U258)</f>
        <v>0</v>
      </c>
      <c r="O258" s="389"/>
      <c r="P258" s="389"/>
      <c r="Q258" s="389"/>
      <c r="R258" s="389"/>
      <c r="S258" s="389"/>
      <c r="T258" s="389"/>
      <c r="U258" s="389"/>
      <c r="V258" s="132">
        <f t="shared" ref="V258:V264" si="119">SUM(X258:AA258)</f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30400010</v>
      </c>
      <c r="B259" s="390" t="s">
        <v>217</v>
      </c>
      <c r="C259" s="126" t="s">
        <v>186</v>
      </c>
      <c r="D259" s="108">
        <v>5.03</v>
      </c>
      <c r="E259" s="108"/>
      <c r="F259" s="127"/>
      <c r="G259" s="128"/>
      <c r="H259" s="398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389"/>
      <c r="P259" s="389"/>
      <c r="Q259" s="389"/>
      <c r="R259" s="389"/>
      <c r="S259" s="389"/>
      <c r="T259" s="389"/>
      <c r="U259" s="389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30400011</v>
      </c>
      <c r="B260" s="390" t="s">
        <v>217</v>
      </c>
      <c r="C260" s="126" t="s">
        <v>204</v>
      </c>
      <c r="D260" s="108">
        <v>5.03</v>
      </c>
      <c r="E260" s="108"/>
      <c r="F260" s="127"/>
      <c r="G260" s="128"/>
      <c r="H260" s="398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8.8000000000000007</v>
      </c>
      <c r="M260" s="109">
        <f t="shared" si="117"/>
        <v>0</v>
      </c>
      <c r="N260" s="130">
        <f t="shared" si="118"/>
        <v>0</v>
      </c>
      <c r="O260" s="389"/>
      <c r="P260" s="389"/>
      <c r="Q260" s="389"/>
      <c r="R260" s="389"/>
      <c r="S260" s="389"/>
      <c r="T260" s="389"/>
      <c r="U260" s="389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28"/>
      <c r="H261" s="398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389"/>
      <c r="P261" s="389"/>
      <c r="Q261" s="389"/>
      <c r="R261" s="389"/>
      <c r="S261" s="389"/>
      <c r="T261" s="389"/>
      <c r="U261" s="389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/>
      <c r="G262" s="128"/>
      <c r="H262" s="398">
        <f t="shared" si="116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389"/>
      <c r="P262" s="389"/>
      <c r="Q262" s="389"/>
      <c r="R262" s="389"/>
      <c r="S262" s="389"/>
      <c r="T262" s="389"/>
      <c r="U262" s="389"/>
      <c r="V262" s="132">
        <f t="shared" si="119"/>
        <v>0</v>
      </c>
      <c r="W262" s="133" t="str">
        <f t="shared" si="115"/>
        <v/>
      </c>
      <c r="X262" s="132"/>
      <c r="Y262" s="132"/>
      <c r="Z262" s="132"/>
      <c r="AA262" s="132"/>
    </row>
    <row r="263" spans="1:27" ht="20.10000000000000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>
        <v>42736</v>
      </c>
      <c r="G263" s="128">
        <v>108</v>
      </c>
      <c r="H263" s="398">
        <f t="shared" si="116"/>
        <v>543.24</v>
      </c>
      <c r="I263" s="129">
        <f>11.5*2</f>
        <v>23</v>
      </c>
      <c r="J263" s="130">
        <f t="array" ref="J263">IF(ISERROR(G263/I263),"",G263/I263)</f>
        <v>4.6956521739130439</v>
      </c>
      <c r="K263" s="131">
        <f t="array" ref="K263">IF(ISERROR(G263/L263),"",G263/L263)</f>
        <v>11.61290322580645</v>
      </c>
      <c r="L263" s="129">
        <v>9.3000000000000007</v>
      </c>
      <c r="M263" s="109">
        <f t="shared" si="117"/>
        <v>11.38709677419355</v>
      </c>
      <c r="N263" s="130">
        <f t="shared" si="118"/>
        <v>0</v>
      </c>
      <c r="O263" s="389"/>
      <c r="P263" s="389"/>
      <c r="Q263" s="389"/>
      <c r="R263" s="389"/>
      <c r="S263" s="389"/>
      <c r="T263" s="389"/>
      <c r="U263" s="389"/>
      <c r="V263" s="132">
        <f t="shared" si="119"/>
        <v>0</v>
      </c>
      <c r="W263" s="133">
        <f t="shared" si="115"/>
        <v>0</v>
      </c>
      <c r="X263" s="132"/>
      <c r="Y263" s="132"/>
      <c r="Z263" s="132"/>
      <c r="AA263" s="132"/>
    </row>
    <row r="264" spans="1:27" ht="20.100000000000001" hidden="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/>
      <c r="G264" s="128"/>
      <c r="H264" s="398">
        <f t="shared" si="116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389"/>
      <c r="P264" s="389"/>
      <c r="Q264" s="389"/>
      <c r="R264" s="389"/>
      <c r="S264" s="389"/>
      <c r="T264" s="389"/>
      <c r="U264" s="389"/>
      <c r="V264" s="132">
        <f t="shared" si="119"/>
        <v>0</v>
      </c>
      <c r="W264" s="133" t="str">
        <f t="shared" si="115"/>
        <v/>
      </c>
      <c r="X264" s="132"/>
      <c r="Y264" s="132"/>
      <c r="Z264" s="132"/>
      <c r="AA264" s="132"/>
    </row>
    <row r="265" spans="1:27" ht="20.100000000000001" hidden="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/>
      <c r="G265" s="128"/>
      <c r="H265" s="398">
        <f t="shared" si="116"/>
        <v>0</v>
      </c>
      <c r="I265" s="129"/>
      <c r="J265" s="130"/>
      <c r="K265" s="131">
        <f t="array" ref="K265">IF(ISERROR(G265/L265),"",G265/L265)</f>
        <v>0</v>
      </c>
      <c r="L265" s="129">
        <v>9.3000000000000007</v>
      </c>
      <c r="M265" s="109">
        <f t="shared" si="117"/>
        <v>0</v>
      </c>
      <c r="N265" s="130">
        <f t="shared" si="118"/>
        <v>0</v>
      </c>
      <c r="O265" s="389"/>
      <c r="P265" s="389"/>
      <c r="Q265" s="389"/>
      <c r="R265" s="389"/>
      <c r="S265" s="389"/>
      <c r="T265" s="389"/>
      <c r="U265" s="389"/>
      <c r="V265" s="132"/>
      <c r="W265" s="133"/>
      <c r="X265" s="132"/>
      <c r="Y265" s="132"/>
      <c r="Z265" s="132"/>
      <c r="AA265" s="132"/>
    </row>
    <row r="266" spans="1:27" ht="20.100000000000001" hidden="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28"/>
      <c r="H266" s="398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389"/>
      <c r="P266" s="389"/>
      <c r="Q266" s="389"/>
      <c r="R266" s="389"/>
      <c r="S266" s="389"/>
      <c r="T266" s="389"/>
      <c r="U266" s="389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28"/>
      <c r="H267" s="398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389"/>
      <c r="P267" s="389"/>
      <c r="Q267" s="389"/>
      <c r="R267" s="389"/>
      <c r="S267" s="389"/>
      <c r="T267" s="389"/>
      <c r="U267" s="389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28"/>
      <c r="H268" s="398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389"/>
      <c r="P268" s="389"/>
      <c r="Q268" s="389"/>
      <c r="R268" s="389"/>
      <c r="S268" s="389"/>
      <c r="T268" s="389"/>
      <c r="U268" s="389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28"/>
      <c r="H269" s="398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389"/>
      <c r="P269" s="389"/>
      <c r="Q269" s="389"/>
      <c r="R269" s="389"/>
      <c r="S269" s="389"/>
      <c r="T269" s="389"/>
      <c r="U269" s="389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28"/>
      <c r="H270" s="398">
        <f t="shared" si="116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6" si="120">IF(ISERROR(I270-K270),"",I270-K270)</f>
        <v>0</v>
      </c>
      <c r="N270" s="130">
        <f t="shared" ref="N270:N285" si="121">SUM(O270:U270)</f>
        <v>0</v>
      </c>
      <c r="O270" s="389"/>
      <c r="P270" s="389"/>
      <c r="Q270" s="389"/>
      <c r="R270" s="389"/>
      <c r="S270" s="389"/>
      <c r="T270" s="389"/>
      <c r="U270" s="389"/>
      <c r="V270" s="132">
        <f t="shared" ref="V270:V273" si="122">SUM(X270:AA270)</f>
        <v>0</v>
      </c>
      <c r="W270" s="133" t="str">
        <f t="shared" ref="W270:W277" si="123">IF(ISERROR(V270/G270),"",V270/G270)</f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28"/>
      <c r="H271" s="398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389"/>
      <c r="P271" s="389"/>
      <c r="Q271" s="389"/>
      <c r="R271" s="389"/>
      <c r="S271" s="389"/>
      <c r="T271" s="389"/>
      <c r="U271" s="389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28"/>
      <c r="H272" s="398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389"/>
      <c r="P272" s="389"/>
      <c r="Q272" s="389"/>
      <c r="R272" s="389"/>
      <c r="S272" s="389"/>
      <c r="T272" s="389"/>
      <c r="U272" s="389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28"/>
      <c r="H273" s="398">
        <f t="shared" si="116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20"/>
        <v/>
      </c>
      <c r="N273" s="130">
        <f t="shared" si="121"/>
        <v>0</v>
      </c>
      <c r="O273" s="389"/>
      <c r="P273" s="389"/>
      <c r="Q273" s="389"/>
      <c r="R273" s="389"/>
      <c r="S273" s="389"/>
      <c r="T273" s="389"/>
      <c r="U273" s="389"/>
      <c r="V273" s="132">
        <f t="shared" si="122"/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30600005</v>
      </c>
      <c r="B274" s="390" t="s">
        <v>222</v>
      </c>
      <c r="C274" s="126" t="s">
        <v>181</v>
      </c>
      <c r="D274" s="108">
        <v>9.36</v>
      </c>
      <c r="E274" s="108"/>
      <c r="F274" s="127"/>
      <c r="G274" s="128"/>
      <c r="H274" s="398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389"/>
      <c r="P274" s="389"/>
      <c r="Q274" s="389"/>
      <c r="R274" s="389"/>
      <c r="S274" s="389"/>
      <c r="T274" s="389"/>
      <c r="U274" s="389"/>
      <c r="V274" s="132">
        <f t="shared" ref="V274:V277" si="124">SUM(X274:AA274)</f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30600008</v>
      </c>
      <c r="B275" s="390" t="s">
        <v>222</v>
      </c>
      <c r="C275" s="126" t="s">
        <v>179</v>
      </c>
      <c r="D275" s="108">
        <v>9.36</v>
      </c>
      <c r="E275" s="108"/>
      <c r="F275" s="127"/>
      <c r="G275" s="128"/>
      <c r="H275" s="398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389"/>
      <c r="P275" s="389"/>
      <c r="Q275" s="389"/>
      <c r="R275" s="389"/>
      <c r="S275" s="389"/>
      <c r="T275" s="389"/>
      <c r="U275" s="389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30600007</v>
      </c>
      <c r="B276" s="390" t="s">
        <v>222</v>
      </c>
      <c r="C276" s="126" t="s">
        <v>221</v>
      </c>
      <c r="D276" s="108">
        <v>9.36</v>
      </c>
      <c r="E276" s="108"/>
      <c r="F276" s="127"/>
      <c r="G276" s="128"/>
      <c r="H276" s="398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389"/>
      <c r="P276" s="389"/>
      <c r="Q276" s="389"/>
      <c r="R276" s="389"/>
      <c r="S276" s="389"/>
      <c r="T276" s="389"/>
      <c r="U276" s="389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304">
        <v>30600006</v>
      </c>
      <c r="B277" s="390" t="s">
        <v>222</v>
      </c>
      <c r="C277" s="126" t="s">
        <v>186</v>
      </c>
      <c r="D277" s="108">
        <v>9.36</v>
      </c>
      <c r="E277" s="108"/>
      <c r="F277" s="127"/>
      <c r="G277" s="128"/>
      <c r="H277" s="398">
        <f t="shared" si="116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20"/>
        <v>0</v>
      </c>
      <c r="N277" s="130">
        <f t="shared" si="121"/>
        <v>0</v>
      </c>
      <c r="O277" s="389"/>
      <c r="P277" s="389"/>
      <c r="Q277" s="389"/>
      <c r="R277" s="389"/>
      <c r="S277" s="389"/>
      <c r="T277" s="389"/>
      <c r="U277" s="389"/>
      <c r="V277" s="132">
        <f t="shared" si="124"/>
        <v>0</v>
      </c>
      <c r="W277" s="133" t="str">
        <f t="shared" si="123"/>
        <v/>
      </c>
      <c r="X277" s="132"/>
      <c r="Y277" s="132"/>
      <c r="Z277" s="132"/>
      <c r="AA277" s="132"/>
    </row>
    <row r="278" spans="1:27" ht="20.100000000000001" hidden="1" customHeight="1">
      <c r="A278" s="299">
        <v>30400026</v>
      </c>
      <c r="B278" s="390" t="s">
        <v>393</v>
      </c>
      <c r="C278" s="187" t="s">
        <v>395</v>
      </c>
      <c r="D278" s="108">
        <v>5</v>
      </c>
      <c r="E278" s="108"/>
      <c r="F278" s="127"/>
      <c r="G278" s="128"/>
      <c r="H278" s="398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389"/>
      <c r="P278" s="389"/>
      <c r="Q278" s="389"/>
      <c r="R278" s="389"/>
      <c r="S278" s="389"/>
      <c r="T278" s="389"/>
      <c r="U278" s="389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30400028</v>
      </c>
      <c r="B279" s="390" t="s">
        <v>393</v>
      </c>
      <c r="C279" s="187" t="s">
        <v>402</v>
      </c>
      <c r="D279" s="108">
        <v>5</v>
      </c>
      <c r="E279" s="108"/>
      <c r="F279" s="127"/>
      <c r="G279" s="128"/>
      <c r="H279" s="398">
        <f t="shared" si="116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389"/>
      <c r="P279" s="389"/>
      <c r="Q279" s="389"/>
      <c r="R279" s="389"/>
      <c r="S279" s="389"/>
      <c r="T279" s="389"/>
      <c r="U279" s="389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>
        <v>30400027</v>
      </c>
      <c r="B280" s="390" t="s">
        <v>404</v>
      </c>
      <c r="C280" s="187" t="s">
        <v>405</v>
      </c>
      <c r="D280" s="108">
        <v>5</v>
      </c>
      <c r="E280" s="108"/>
      <c r="F280" s="127"/>
      <c r="G280" s="128"/>
      <c r="H280" s="398">
        <f t="shared" si="116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389"/>
      <c r="P280" s="389"/>
      <c r="Q280" s="389"/>
      <c r="R280" s="389"/>
      <c r="S280" s="389"/>
      <c r="T280" s="389"/>
      <c r="U280" s="389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/>
      <c r="B281" s="390" t="s">
        <v>342</v>
      </c>
      <c r="C281" s="187" t="s">
        <v>372</v>
      </c>
      <c r="D281" s="108">
        <v>5</v>
      </c>
      <c r="E281" s="108"/>
      <c r="F281" s="127"/>
      <c r="G281" s="128"/>
      <c r="H281" s="398">
        <f t="shared" si="116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389"/>
      <c r="P281" s="389"/>
      <c r="Q281" s="389"/>
      <c r="R281" s="389"/>
      <c r="S281" s="389"/>
      <c r="T281" s="389"/>
      <c r="U281" s="389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30600009</v>
      </c>
      <c r="B282" s="390" t="s">
        <v>343</v>
      </c>
      <c r="C282" s="126" t="s">
        <v>345</v>
      </c>
      <c r="D282" s="108">
        <v>5</v>
      </c>
      <c r="E282" s="108"/>
      <c r="F282" s="127"/>
      <c r="G282" s="128"/>
      <c r="H282" s="398">
        <f t="shared" si="116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389"/>
      <c r="P282" s="389"/>
      <c r="Q282" s="389"/>
      <c r="R282" s="389"/>
      <c r="S282" s="389"/>
      <c r="T282" s="389"/>
      <c r="U282" s="389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30600010</v>
      </c>
      <c r="B283" s="390" t="s">
        <v>343</v>
      </c>
      <c r="C283" s="126" t="s">
        <v>347</v>
      </c>
      <c r="D283" s="108">
        <v>5</v>
      </c>
      <c r="E283" s="108"/>
      <c r="F283" s="127"/>
      <c r="G283" s="128"/>
      <c r="H283" s="398">
        <f t="shared" si="116"/>
        <v>0</v>
      </c>
      <c r="I283" s="129"/>
      <c r="J283" s="130"/>
      <c r="K283" s="131">
        <f t="array" ref="K283">IF(ISERROR(G283/L283),"",G283/L283)</f>
        <v>0</v>
      </c>
      <c r="L283" s="129">
        <v>5</v>
      </c>
      <c r="M283" s="109">
        <f t="shared" si="120"/>
        <v>0</v>
      </c>
      <c r="N283" s="130">
        <f t="shared" si="121"/>
        <v>0</v>
      </c>
      <c r="O283" s="389"/>
      <c r="P283" s="389"/>
      <c r="Q283" s="389"/>
      <c r="R283" s="389"/>
      <c r="S283" s="389"/>
      <c r="T283" s="389"/>
      <c r="U283" s="389"/>
      <c r="V283" s="132"/>
      <c r="W283" s="133"/>
      <c r="X283" s="132"/>
      <c r="Y283" s="132"/>
      <c r="Z283" s="132"/>
      <c r="AA283" s="132"/>
    </row>
    <row r="284" spans="1:27" ht="20.100000000000001" hidden="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/>
      <c r="G284" s="128"/>
      <c r="H284" s="398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389"/>
      <c r="P284" s="389"/>
      <c r="Q284" s="389"/>
      <c r="R284" s="389"/>
      <c r="S284" s="389"/>
      <c r="T284" s="389"/>
      <c r="U284" s="389"/>
      <c r="V284" s="132">
        <f t="shared" ref="V284:V285" si="125">SUM(X284:AA284)</f>
        <v>0</v>
      </c>
      <c r="W284" s="133" t="str">
        <f t="shared" ref="W284:W285" si="126">IF(ISERROR(V284/G284),"",V284/G284)</f>
        <v/>
      </c>
      <c r="X284" s="132"/>
      <c r="Y284" s="132"/>
      <c r="Z284" s="132"/>
      <c r="AA284" s="132"/>
    </row>
    <row r="285" spans="1:27" ht="20.100000000000001" hidden="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28"/>
      <c r="H285" s="398">
        <f t="shared" si="116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20"/>
        <v>0</v>
      </c>
      <c r="N285" s="130">
        <f t="shared" si="121"/>
        <v>0</v>
      </c>
      <c r="O285" s="389"/>
      <c r="P285" s="389"/>
      <c r="Q285" s="389"/>
      <c r="R285" s="389"/>
      <c r="S285" s="389"/>
      <c r="T285" s="389"/>
      <c r="U285" s="389"/>
      <c r="V285" s="132">
        <f t="shared" si="125"/>
        <v>0</v>
      </c>
      <c r="W285" s="133" t="str">
        <f t="shared" si="126"/>
        <v/>
      </c>
      <c r="X285" s="132"/>
      <c r="Y285" s="132"/>
      <c r="Z285" s="132"/>
      <c r="AA285" s="132"/>
    </row>
    <row r="286" spans="1:27" ht="20.100000000000001" customHeight="1">
      <c r="A286" s="299">
        <v>30400004</v>
      </c>
      <c r="B286" s="151" t="s">
        <v>419</v>
      </c>
      <c r="C286" s="187" t="s">
        <v>73</v>
      </c>
      <c r="D286" s="108">
        <v>5.03</v>
      </c>
      <c r="E286" s="108"/>
      <c r="F286" s="127">
        <v>42736</v>
      </c>
      <c r="G286" s="128">
        <f>90+42</f>
        <v>132</v>
      </c>
      <c r="H286" s="398">
        <f t="shared" si="116"/>
        <v>663.96</v>
      </c>
      <c r="I286" s="129">
        <f>6*8</f>
        <v>48</v>
      </c>
      <c r="J286" s="130">
        <f t="array" ref="J286">IF(ISERROR(G286/I286),"",G286/I286)</f>
        <v>2.75</v>
      </c>
      <c r="K286" s="131">
        <f t="array" ref="K286">IF(ISERROR(G286/L286),"",G286/L286)</f>
        <v>5.5</v>
      </c>
      <c r="L286" s="129">
        <v>24</v>
      </c>
      <c r="M286" s="109">
        <f t="shared" si="120"/>
        <v>42.5</v>
      </c>
      <c r="N286" s="130"/>
      <c r="O286" s="389"/>
      <c r="P286" s="389"/>
      <c r="Q286" s="389"/>
      <c r="R286" s="389"/>
      <c r="S286" s="389"/>
      <c r="T286" s="389"/>
      <c r="U286" s="389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/>
      <c r="G287" s="128"/>
      <c r="H287" s="398">
        <f t="shared" si="116"/>
        <v>0</v>
      </c>
      <c r="I287" s="129"/>
      <c r="J287" s="130"/>
      <c r="K287" s="131"/>
      <c r="L287" s="129">
        <v>24</v>
      </c>
      <c r="M287" s="109"/>
      <c r="N287" s="130"/>
      <c r="O287" s="389"/>
      <c r="P287" s="389"/>
      <c r="Q287" s="389"/>
      <c r="R287" s="389"/>
      <c r="S287" s="389"/>
      <c r="T287" s="389"/>
      <c r="U287" s="389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/>
      <c r="G288" s="128"/>
      <c r="H288" s="398">
        <f t="shared" si="116"/>
        <v>0</v>
      </c>
      <c r="I288" s="129"/>
      <c r="J288" s="130"/>
      <c r="K288" s="131"/>
      <c r="L288" s="129">
        <v>24</v>
      </c>
      <c r="M288" s="109"/>
      <c r="N288" s="130"/>
      <c r="O288" s="389"/>
      <c r="P288" s="389"/>
      <c r="Q288" s="389"/>
      <c r="R288" s="389"/>
      <c r="S288" s="389"/>
      <c r="T288" s="389"/>
      <c r="U288" s="389"/>
      <c r="V288" s="132"/>
      <c r="W288" s="133"/>
      <c r="X288" s="132"/>
      <c r="Y288" s="132"/>
      <c r="Z288" s="132"/>
      <c r="AA288" s="132"/>
    </row>
    <row r="289" spans="1:27" ht="20.100000000000001" hidden="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/>
      <c r="G289" s="128"/>
      <c r="H289" s="398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ref="M289:M291" si="127">IF(ISERROR(I289-K289),"",I289-K289)</f>
        <v>0</v>
      </c>
      <c r="N289" s="130">
        <f t="shared" ref="N289:N291" si="128">SUM(O289:U289)</f>
        <v>0</v>
      </c>
      <c r="O289" s="389"/>
      <c r="P289" s="389"/>
      <c r="Q289" s="389"/>
      <c r="R289" s="389"/>
      <c r="S289" s="389"/>
      <c r="T289" s="389"/>
      <c r="U289" s="389"/>
      <c r="V289" s="132">
        <f t="shared" ref="V289:V291" si="129">SUM(X289:AA289)</f>
        <v>0</v>
      </c>
      <c r="W289" s="133" t="str">
        <f t="shared" ref="W289:W313" si="130">IF(ISERROR(V289/G289),"",V289/G289)</f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28"/>
      <c r="H290" s="398">
        <f t="shared" si="116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389"/>
      <c r="P290" s="389"/>
      <c r="Q290" s="389"/>
      <c r="R290" s="389"/>
      <c r="S290" s="389"/>
      <c r="T290" s="389"/>
      <c r="U290" s="389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hidden="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/>
      <c r="G291" s="128"/>
      <c r="H291" s="398">
        <f t="shared" si="116"/>
        <v>0</v>
      </c>
      <c r="I291" s="129"/>
      <c r="J291" s="130" t="str">
        <f t="array" ref="J291">IF(ISERROR(G291/I291),"",G291/I291)</f>
        <v/>
      </c>
      <c r="K291" s="398">
        <f t="array" ref="K291">IF(ISERROR(G291/L291),"",G291/L291)</f>
        <v>0</v>
      </c>
      <c r="L291" s="129">
        <v>9</v>
      </c>
      <c r="M291" s="109">
        <f t="shared" si="127"/>
        <v>0</v>
      </c>
      <c r="N291" s="130">
        <f t="shared" si="128"/>
        <v>0</v>
      </c>
      <c r="O291" s="389"/>
      <c r="P291" s="389"/>
      <c r="Q291" s="389"/>
      <c r="R291" s="389"/>
      <c r="S291" s="389"/>
      <c r="T291" s="389"/>
      <c r="U291" s="389"/>
      <c r="V291" s="132">
        <f t="shared" si="129"/>
        <v>0</v>
      </c>
      <c r="W291" s="133" t="str">
        <f t="shared" si="130"/>
        <v/>
      </c>
      <c r="X291" s="132"/>
      <c r="Y291" s="132"/>
      <c r="Z291" s="132"/>
      <c r="AA291" s="132"/>
    </row>
    <row r="292" spans="1:27" ht="20.100000000000001" customHeight="1">
      <c r="A292" s="578" t="s">
        <v>224</v>
      </c>
      <c r="B292" s="579"/>
      <c r="C292" s="396" t="s">
        <v>202</v>
      </c>
      <c r="D292" s="143"/>
      <c r="E292" s="143"/>
      <c r="F292" s="144"/>
      <c r="G292" s="145">
        <f>SUM(G258:G291)</f>
        <v>240</v>
      </c>
      <c r="H292" s="146">
        <f>SUM(H258:H291)</f>
        <v>1207.2</v>
      </c>
      <c r="I292" s="146">
        <f>SUM(I258:I291)</f>
        <v>71</v>
      </c>
      <c r="J292" s="130">
        <f t="array" ref="J292">IF(ISERROR(G292/I292),"",G292/I292)</f>
        <v>3.380281690140845</v>
      </c>
      <c r="K292" s="146">
        <f>SUM(K258:K291)</f>
        <v>17.112903225806448</v>
      </c>
      <c r="L292" s="147"/>
      <c r="M292" s="150">
        <f t="shared" ref="M292:V292" si="131">SUM(M258:M291)</f>
        <v>53.887096774193552</v>
      </c>
      <c r="N292" s="146">
        <f t="shared" si="131"/>
        <v>0</v>
      </c>
      <c r="O292" s="148">
        <f t="shared" si="131"/>
        <v>0</v>
      </c>
      <c r="P292" s="148">
        <f t="shared" si="131"/>
        <v>0</v>
      </c>
      <c r="Q292" s="148">
        <f t="shared" si="131"/>
        <v>0</v>
      </c>
      <c r="R292" s="148">
        <f t="shared" si="131"/>
        <v>0</v>
      </c>
      <c r="S292" s="148">
        <f t="shared" si="131"/>
        <v>0</v>
      </c>
      <c r="T292" s="148">
        <f t="shared" si="131"/>
        <v>0</v>
      </c>
      <c r="U292" s="148">
        <f t="shared" si="131"/>
        <v>0</v>
      </c>
      <c r="V292" s="149">
        <f t="shared" si="131"/>
        <v>0</v>
      </c>
      <c r="W292" s="133">
        <f t="shared" si="130"/>
        <v>0</v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hidden="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/>
      <c r="G293" s="128"/>
      <c r="H293" s="398">
        <f t="shared" ref="H293:H307" si="132">D293*G293</f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ref="M293:M307" si="133">IF(ISERROR(I293-K293),"",I293-K293)</f>
        <v>0</v>
      </c>
      <c r="N293" s="130">
        <f t="shared" ref="N293:N307" si="134">SUM(O293:U293)</f>
        <v>0</v>
      </c>
      <c r="O293" s="389"/>
      <c r="P293" s="389"/>
      <c r="Q293" s="389"/>
      <c r="R293" s="389"/>
      <c r="S293" s="389"/>
      <c r="T293" s="389"/>
      <c r="U293" s="389"/>
      <c r="V293" s="132">
        <f t="shared" ref="V293:V307" si="135">SUM(X293:AA293)</f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hidden="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/>
      <c r="G294" s="128"/>
      <c r="H294" s="398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25</v>
      </c>
      <c r="M294" s="109">
        <f t="shared" si="133"/>
        <v>0</v>
      </c>
      <c r="N294" s="130">
        <f t="shared" si="134"/>
        <v>0</v>
      </c>
      <c r="O294" s="389"/>
      <c r="P294" s="389"/>
      <c r="Q294" s="389"/>
      <c r="R294" s="389"/>
      <c r="S294" s="389"/>
      <c r="T294" s="389"/>
      <c r="U294" s="389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hidden="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/>
      <c r="G295" s="128"/>
      <c r="H295" s="398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20</v>
      </c>
      <c r="M295" s="109">
        <f t="shared" si="133"/>
        <v>0</v>
      </c>
      <c r="N295" s="130">
        <f t="shared" si="134"/>
        <v>0</v>
      </c>
      <c r="O295" s="389"/>
      <c r="P295" s="389"/>
      <c r="Q295" s="389"/>
      <c r="R295" s="389"/>
      <c r="S295" s="389"/>
      <c r="T295" s="389"/>
      <c r="U295" s="389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28"/>
      <c r="H296" s="398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389"/>
      <c r="P296" s="389"/>
      <c r="Q296" s="389"/>
      <c r="R296" s="389"/>
      <c r="S296" s="389"/>
      <c r="T296" s="389"/>
      <c r="U296" s="389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30100054</v>
      </c>
      <c r="B297" s="140" t="s">
        <v>227</v>
      </c>
      <c r="C297" s="394" t="s">
        <v>203</v>
      </c>
      <c r="D297" s="108">
        <v>5.03</v>
      </c>
      <c r="E297" s="108"/>
      <c r="F297" s="127"/>
      <c r="G297" s="128"/>
      <c r="H297" s="398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389"/>
      <c r="P297" s="389"/>
      <c r="Q297" s="389"/>
      <c r="R297" s="389"/>
      <c r="S297" s="389"/>
      <c r="T297" s="389"/>
      <c r="U297" s="389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/>
      <c r="G298" s="128"/>
      <c r="H298" s="398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389"/>
      <c r="P298" s="389"/>
      <c r="Q298" s="389"/>
      <c r="R298" s="389"/>
      <c r="S298" s="389"/>
      <c r="T298" s="389"/>
      <c r="U298" s="389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28"/>
      <c r="H299" s="398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389"/>
      <c r="P299" s="389"/>
      <c r="Q299" s="389"/>
      <c r="R299" s="389"/>
      <c r="S299" s="389"/>
      <c r="T299" s="389"/>
      <c r="U299" s="389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/>
      <c r="B300" s="140" t="s">
        <v>227</v>
      </c>
      <c r="C300" s="394" t="s">
        <v>228</v>
      </c>
      <c r="D300" s="108">
        <v>5.03</v>
      </c>
      <c r="E300" s="108"/>
      <c r="F300" s="127"/>
      <c r="G300" s="128"/>
      <c r="H300" s="398">
        <f t="shared" si="132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3"/>
        <v>0</v>
      </c>
      <c r="N300" s="130">
        <f t="shared" si="134"/>
        <v>0</v>
      </c>
      <c r="O300" s="389"/>
      <c r="P300" s="389"/>
      <c r="Q300" s="389"/>
      <c r="R300" s="389"/>
      <c r="S300" s="389"/>
      <c r="T300" s="389"/>
      <c r="U300" s="389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30101067</v>
      </c>
      <c r="B301" s="140" t="s">
        <v>229</v>
      </c>
      <c r="C301" s="394" t="s">
        <v>212</v>
      </c>
      <c r="D301" s="108">
        <v>5.03</v>
      </c>
      <c r="E301" s="108"/>
      <c r="F301" s="127"/>
      <c r="G301" s="128"/>
      <c r="H301" s="398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389"/>
      <c r="P301" s="389"/>
      <c r="Q301" s="389"/>
      <c r="R301" s="389"/>
      <c r="S301" s="389"/>
      <c r="T301" s="389"/>
      <c r="U301" s="389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30101068</v>
      </c>
      <c r="B302" s="140" t="s">
        <v>229</v>
      </c>
      <c r="C302" s="394" t="s">
        <v>203</v>
      </c>
      <c r="D302" s="108">
        <v>5.03</v>
      </c>
      <c r="E302" s="108"/>
      <c r="F302" s="127"/>
      <c r="G302" s="128"/>
      <c r="H302" s="398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389"/>
      <c r="P302" s="389"/>
      <c r="Q302" s="389"/>
      <c r="R302" s="389"/>
      <c r="S302" s="389"/>
      <c r="T302" s="389"/>
      <c r="U302" s="389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30101069</v>
      </c>
      <c r="B303" s="140" t="s">
        <v>229</v>
      </c>
      <c r="C303" s="394" t="s">
        <v>186</v>
      </c>
      <c r="D303" s="108">
        <v>5.03</v>
      </c>
      <c r="E303" s="108"/>
      <c r="F303" s="127"/>
      <c r="G303" s="128"/>
      <c r="H303" s="398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389"/>
      <c r="P303" s="389"/>
      <c r="Q303" s="389"/>
      <c r="R303" s="389"/>
      <c r="S303" s="389"/>
      <c r="T303" s="389"/>
      <c r="U303" s="389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30101070</v>
      </c>
      <c r="B304" s="140" t="s">
        <v>229</v>
      </c>
      <c r="C304" s="394" t="s">
        <v>228</v>
      </c>
      <c r="D304" s="108">
        <v>5.03</v>
      </c>
      <c r="E304" s="108"/>
      <c r="F304" s="127"/>
      <c r="G304" s="128"/>
      <c r="H304" s="398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389"/>
      <c r="P304" s="389"/>
      <c r="Q304" s="389"/>
      <c r="R304" s="389"/>
      <c r="S304" s="389"/>
      <c r="T304" s="389"/>
      <c r="U304" s="389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299">
        <v>30101071</v>
      </c>
      <c r="B305" s="140" t="s">
        <v>229</v>
      </c>
      <c r="C305" s="394" t="s">
        <v>199</v>
      </c>
      <c r="D305" s="108">
        <v>5.03</v>
      </c>
      <c r="E305" s="108"/>
      <c r="F305" s="127"/>
      <c r="G305" s="128"/>
      <c r="H305" s="398">
        <f t="shared" si="132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3"/>
        <v/>
      </c>
      <c r="N305" s="130">
        <f t="shared" si="134"/>
        <v>0</v>
      </c>
      <c r="O305" s="389"/>
      <c r="P305" s="389"/>
      <c r="Q305" s="389"/>
      <c r="R305" s="389"/>
      <c r="S305" s="389"/>
      <c r="T305" s="389"/>
      <c r="U305" s="389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>
        <v>42736</v>
      </c>
      <c r="G306" s="128">
        <f>90*10</f>
        <v>900</v>
      </c>
      <c r="H306" s="398">
        <f t="shared" si="132"/>
        <v>4554</v>
      </c>
      <c r="I306" s="129">
        <f>11.5*5</f>
        <v>57.5</v>
      </c>
      <c r="J306" s="130">
        <f t="array" ref="J306">IF(ISERROR(G306/I306),"",G306/I306)</f>
        <v>15.652173913043478</v>
      </c>
      <c r="K306" s="131">
        <f t="array" ref="K306">IF(ISERROR(G306/L306),"",G306/L306)</f>
        <v>36</v>
      </c>
      <c r="L306" s="129">
        <v>25</v>
      </c>
      <c r="M306" s="109">
        <f t="shared" si="133"/>
        <v>21.5</v>
      </c>
      <c r="N306" s="130">
        <f t="shared" si="134"/>
        <v>0</v>
      </c>
      <c r="O306" s="389"/>
      <c r="P306" s="389"/>
      <c r="Q306" s="389"/>
      <c r="R306" s="389"/>
      <c r="S306" s="389"/>
      <c r="T306" s="389"/>
      <c r="U306" s="389"/>
      <c r="V306" s="132">
        <f t="shared" si="135"/>
        <v>0</v>
      </c>
      <c r="W306" s="133">
        <f t="shared" si="130"/>
        <v>0</v>
      </c>
      <c r="X306" s="132"/>
      <c r="Y306" s="132"/>
      <c r="Z306" s="132"/>
      <c r="AA306" s="132"/>
    </row>
    <row r="307" spans="1:27" ht="20.100000000000001" hidden="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/>
      <c r="G307" s="128"/>
      <c r="H307" s="398">
        <f t="shared" si="132"/>
        <v>0</v>
      </c>
      <c r="I307" s="129"/>
      <c r="J307" s="130" t="str">
        <f t="array" ref="J307">IF(ISERROR(G307/I307),"",G307/I307)</f>
        <v/>
      </c>
      <c r="K307" s="131">
        <f t="array" ref="K307">IF(ISERROR(G307/L307),"",G307/L307)</f>
        <v>0</v>
      </c>
      <c r="L307" s="129">
        <v>25</v>
      </c>
      <c r="M307" s="109">
        <f t="shared" si="133"/>
        <v>0</v>
      </c>
      <c r="N307" s="130">
        <f t="shared" si="134"/>
        <v>0</v>
      </c>
      <c r="O307" s="389"/>
      <c r="P307" s="389"/>
      <c r="Q307" s="389"/>
      <c r="R307" s="389"/>
      <c r="S307" s="389"/>
      <c r="T307" s="389"/>
      <c r="U307" s="389"/>
      <c r="V307" s="132">
        <f t="shared" si="135"/>
        <v>0</v>
      </c>
      <c r="W307" s="133" t="str">
        <f t="shared" si="130"/>
        <v/>
      </c>
      <c r="X307" s="132"/>
      <c r="Y307" s="132"/>
      <c r="Z307" s="132"/>
      <c r="AA307" s="132"/>
    </row>
    <row r="308" spans="1:27" ht="20.100000000000001" customHeight="1">
      <c r="A308" s="578" t="s">
        <v>231</v>
      </c>
      <c r="B308" s="579"/>
      <c r="C308" s="396" t="s">
        <v>202</v>
      </c>
      <c r="D308" s="143"/>
      <c r="E308" s="143"/>
      <c r="F308" s="144"/>
      <c r="G308" s="145">
        <f>SUM(G293:G307)</f>
        <v>900</v>
      </c>
      <c r="H308" s="146">
        <f>SUM(H293:H307)</f>
        <v>4554</v>
      </c>
      <c r="I308" s="146">
        <f>SUM(I293:I307)</f>
        <v>57.5</v>
      </c>
      <c r="J308" s="130">
        <f t="array" ref="J308">IF(ISERROR(G308/I308),"",G308/I308)</f>
        <v>15.652173913043478</v>
      </c>
      <c r="K308" s="146">
        <f>SUM(K293:K307)</f>
        <v>36</v>
      </c>
      <c r="L308" s="146"/>
      <c r="M308" s="150">
        <f>SUM(M293:M307)</f>
        <v>21.5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>
        <f t="shared" si="130"/>
        <v>0</v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hidden="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28"/>
      <c r="H309" s="398">
        <f t="shared" ref="H309:H318" si="136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6" si="137">IF(ISERROR(I309-K309),"",I309-K309)</f>
        <v>0</v>
      </c>
      <c r="N309" s="130">
        <f t="shared" ref="N309:N313" si="138">SUM(O309:U309)</f>
        <v>0</v>
      </c>
      <c r="O309" s="389"/>
      <c r="P309" s="389"/>
      <c r="Q309" s="389"/>
      <c r="R309" s="389"/>
      <c r="S309" s="389"/>
      <c r="T309" s="389"/>
      <c r="U309" s="389"/>
      <c r="V309" s="132">
        <f t="shared" ref="V309:V313" si="139">SUM(X309:AA309)</f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28"/>
      <c r="H310" s="398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389"/>
      <c r="P310" s="389"/>
      <c r="Q310" s="389"/>
      <c r="R310" s="389"/>
      <c r="S310" s="389"/>
      <c r="T310" s="389"/>
      <c r="U310" s="389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28"/>
      <c r="H311" s="398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389"/>
      <c r="P311" s="389"/>
      <c r="Q311" s="389"/>
      <c r="R311" s="389"/>
      <c r="S311" s="389"/>
      <c r="T311" s="389"/>
      <c r="U311" s="389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28"/>
      <c r="H312" s="398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389"/>
      <c r="P312" s="389"/>
      <c r="Q312" s="389"/>
      <c r="R312" s="389"/>
      <c r="S312" s="389"/>
      <c r="T312" s="389"/>
      <c r="U312" s="389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28"/>
      <c r="H313" s="398">
        <f t="shared" si="136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37"/>
        <v>0</v>
      </c>
      <c r="N313" s="130">
        <f t="shared" si="138"/>
        <v>0</v>
      </c>
      <c r="O313" s="389"/>
      <c r="P313" s="389"/>
      <c r="Q313" s="389"/>
      <c r="R313" s="389"/>
      <c r="S313" s="389"/>
      <c r="T313" s="389"/>
      <c r="U313" s="389"/>
      <c r="V313" s="132">
        <f t="shared" si="139"/>
        <v>0</v>
      </c>
      <c r="W313" s="133" t="str">
        <f t="shared" si="130"/>
        <v/>
      </c>
      <c r="X313" s="132"/>
      <c r="Y313" s="132"/>
      <c r="Z313" s="132"/>
      <c r="AA313" s="132"/>
    </row>
    <row r="314" spans="1:27" ht="20.10000000000000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>
        <v>42727</v>
      </c>
      <c r="G314" s="128">
        <v>18</v>
      </c>
      <c r="H314" s="398">
        <f t="shared" si="136"/>
        <v>90.54</v>
      </c>
      <c r="I314" s="129">
        <v>2</v>
      </c>
      <c r="J314" s="130">
        <f t="array" ref="J314">IF(ISERROR(G314/I314),"",G314/I314)</f>
        <v>9</v>
      </c>
      <c r="K314" s="131">
        <f t="array" ref="K314">IF(ISERROR(G314/L314),"",G314/L314)</f>
        <v>1.3333333333333333</v>
      </c>
      <c r="L314" s="129">
        <v>13.5</v>
      </c>
      <c r="M314" s="109">
        <f t="shared" si="137"/>
        <v>0.66666666666666674</v>
      </c>
      <c r="N314" s="130"/>
      <c r="O314" s="389"/>
      <c r="P314" s="389"/>
      <c r="Q314" s="389"/>
      <c r="R314" s="389"/>
      <c r="S314" s="389"/>
      <c r="T314" s="389"/>
      <c r="U314" s="389"/>
      <c r="V314" s="132"/>
      <c r="W314" s="133"/>
      <c r="X314" s="132"/>
      <c r="Y314" s="132"/>
      <c r="Z314" s="132"/>
      <c r="AA314" s="132"/>
    </row>
    <row r="315" spans="1:27" ht="20.100000000000001" hidden="1" customHeight="1">
      <c r="A315" s="300">
        <v>30400020</v>
      </c>
      <c r="B315" s="134" t="s">
        <v>439</v>
      </c>
      <c r="C315" s="187" t="s">
        <v>74</v>
      </c>
      <c r="D315" s="108">
        <v>5.03</v>
      </c>
      <c r="E315" s="108"/>
      <c r="F315" s="127"/>
      <c r="G315" s="128"/>
      <c r="H315" s="398">
        <f t="shared" si="136"/>
        <v>0</v>
      </c>
      <c r="I315" s="129"/>
      <c r="J315" s="130" t="str">
        <f t="array" ref="J315">IF(ISERROR(G315/I315),"",G315/I315)</f>
        <v/>
      </c>
      <c r="K315" s="131">
        <f t="array" ref="K315">IF(ISERROR(G315/L315),"",G315/L315)</f>
        <v>0</v>
      </c>
      <c r="L315" s="129">
        <v>13.5</v>
      </c>
      <c r="M315" s="109">
        <f t="shared" si="137"/>
        <v>0</v>
      </c>
      <c r="N315" s="130"/>
      <c r="O315" s="389"/>
      <c r="P315" s="389"/>
      <c r="Q315" s="389"/>
      <c r="R315" s="389"/>
      <c r="S315" s="389"/>
      <c r="T315" s="389"/>
      <c r="U315" s="389"/>
      <c r="V315" s="132"/>
      <c r="W315" s="133"/>
      <c r="X315" s="132"/>
      <c r="Y315" s="132"/>
      <c r="Z315" s="132"/>
      <c r="AA315" s="132"/>
    </row>
    <row r="316" spans="1:27" ht="20.100000000000001" customHeight="1">
      <c r="A316" s="300">
        <v>30400021</v>
      </c>
      <c r="B316" s="134" t="s">
        <v>439</v>
      </c>
      <c r="C316" s="187" t="s">
        <v>53</v>
      </c>
      <c r="D316" s="108">
        <v>5.03</v>
      </c>
      <c r="E316" s="108"/>
      <c r="F316" s="127">
        <v>42727</v>
      </c>
      <c r="G316" s="128">
        <v>5</v>
      </c>
      <c r="H316" s="398">
        <f t="shared" si="136"/>
        <v>25.150000000000002</v>
      </c>
      <c r="I316" s="129">
        <v>1</v>
      </c>
      <c r="J316" s="130">
        <f t="array" ref="J316">IF(ISERROR(G316/I316),"",G316/I316)</f>
        <v>5</v>
      </c>
      <c r="K316" s="131">
        <f t="array" ref="K316">IF(ISERROR(G316/L316),"",G316/L316)</f>
        <v>0.37037037037037035</v>
      </c>
      <c r="L316" s="129">
        <v>13.5</v>
      </c>
      <c r="M316" s="109">
        <f t="shared" si="137"/>
        <v>0.62962962962962965</v>
      </c>
      <c r="N316" s="130"/>
      <c r="O316" s="389"/>
      <c r="P316" s="389"/>
      <c r="Q316" s="389"/>
      <c r="R316" s="389"/>
      <c r="S316" s="389"/>
      <c r="T316" s="389"/>
      <c r="U316" s="389"/>
      <c r="V316" s="132"/>
      <c r="W316" s="133"/>
      <c r="X316" s="132"/>
      <c r="Y316" s="132"/>
      <c r="Z316" s="132"/>
      <c r="AA316" s="132"/>
    </row>
    <row r="317" spans="1:27" ht="20.10000000000000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/>
      <c r="G317" s="128"/>
      <c r="H317" s="438">
        <f t="shared" si="136"/>
        <v>0</v>
      </c>
      <c r="I317" s="129"/>
      <c r="J317" s="130"/>
      <c r="K317" s="131"/>
      <c r="L317" s="129"/>
      <c r="M317" s="109"/>
      <c r="N317" s="130"/>
      <c r="O317" s="446"/>
      <c r="P317" s="446"/>
      <c r="Q317" s="446"/>
      <c r="R317" s="446"/>
      <c r="S317" s="446"/>
      <c r="T317" s="446"/>
      <c r="U317" s="446"/>
      <c r="V317" s="132"/>
      <c r="W317" s="133"/>
      <c r="X317" s="132"/>
      <c r="Y317" s="132"/>
      <c r="Z317" s="132"/>
      <c r="AA317" s="132"/>
    </row>
    <row r="318" spans="1:27" ht="20.100000000000001" hidden="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28"/>
      <c r="H318" s="398">
        <f t="shared" si="136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ref="M318" si="140">IF(ISERROR(I318-K318),"",I318-K318)</f>
        <v>0</v>
      </c>
      <c r="N318" s="130">
        <f t="shared" ref="N318" si="141">SUM(O318:U318)</f>
        <v>0</v>
      </c>
      <c r="O318" s="389"/>
      <c r="P318" s="389"/>
      <c r="Q318" s="389"/>
      <c r="R318" s="389"/>
      <c r="S318" s="389"/>
      <c r="T318" s="389"/>
      <c r="U318" s="389"/>
      <c r="V318" s="132">
        <f t="shared" ref="V318" si="142">SUM(X318:AA318)</f>
        <v>0</v>
      </c>
      <c r="W318" s="133" t="str">
        <f t="shared" ref="W318:W323" si="143">IF(ISERROR(V318/G318),"",V318/G318)</f>
        <v/>
      </c>
      <c r="X318" s="132"/>
      <c r="Y318" s="132"/>
      <c r="Z318" s="132"/>
      <c r="AA318" s="132"/>
    </row>
    <row r="319" spans="1:27" ht="20.100000000000001" customHeight="1">
      <c r="A319" s="578" t="s">
        <v>234</v>
      </c>
      <c r="B319" s="579"/>
      <c r="C319" s="396" t="s">
        <v>202</v>
      </c>
      <c r="D319" s="143"/>
      <c r="E319" s="143"/>
      <c r="F319" s="144"/>
      <c r="G319" s="145">
        <f>SUM(G309:G318)</f>
        <v>23</v>
      </c>
      <c r="H319" s="146">
        <f>SUM(H309:H318)</f>
        <v>115.69000000000001</v>
      </c>
      <c r="I319" s="146">
        <f>SUM(I309:I318)</f>
        <v>3</v>
      </c>
      <c r="J319" s="130">
        <f t="array" ref="J319">IF(ISERROR(G319/I319),"",G319/I319)</f>
        <v>7.666666666666667</v>
      </c>
      <c r="K319" s="146">
        <f>SUM(K309:K318)</f>
        <v>1.7037037037037037</v>
      </c>
      <c r="L319" s="147"/>
      <c r="M319" s="150">
        <f>SUM(M309:M318)</f>
        <v>1.2962962962962963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>
        <f t="shared" si="143"/>
        <v>0</v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hidden="1" customHeight="1">
      <c r="A320" s="299">
        <v>30700013</v>
      </c>
      <c r="B320" s="141" t="s">
        <v>235</v>
      </c>
      <c r="C320" s="388"/>
      <c r="D320" s="108">
        <v>3.65</v>
      </c>
      <c r="E320" s="108"/>
      <c r="F320" s="153"/>
      <c r="G320" s="128"/>
      <c r="H320" s="398">
        <f t="shared" ref="H320:H333" si="144">D320*G320</f>
        <v>0</v>
      </c>
      <c r="I320" s="129"/>
      <c r="J320" s="130" t="str">
        <f t="array" ref="J320">IF(ISERROR(G320/I320),"",G320/I320)</f>
        <v/>
      </c>
      <c r="K320" s="398">
        <f t="array" ref="K320">IF(ISERROR(G320/L320),"",G320/L320)</f>
        <v>0</v>
      </c>
      <c r="L320" s="129">
        <v>5</v>
      </c>
      <c r="M320" s="109">
        <f t="shared" ref="M320:M323" si="145">IF(ISERROR(I320-K320),"",I320-K320)</f>
        <v>0</v>
      </c>
      <c r="N320" s="130">
        <f t="shared" ref="N320:N323" si="146">SUM(O320:U320)</f>
        <v>0</v>
      </c>
      <c r="O320" s="389"/>
      <c r="P320" s="389"/>
      <c r="Q320" s="389"/>
      <c r="R320" s="389"/>
      <c r="S320" s="389"/>
      <c r="T320" s="389"/>
      <c r="U320" s="389"/>
      <c r="V320" s="132">
        <f t="shared" ref="V320:V323" si="147">SUM(X320:AA320)</f>
        <v>0</v>
      </c>
      <c r="W320" s="133" t="str">
        <f t="shared" si="143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30700014</v>
      </c>
      <c r="B321" s="141" t="s">
        <v>236</v>
      </c>
      <c r="C321" s="388"/>
      <c r="D321" s="108">
        <v>6.58</v>
      </c>
      <c r="E321" s="108"/>
      <c r="F321" s="127"/>
      <c r="G321" s="128"/>
      <c r="H321" s="398">
        <f t="shared" si="144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</v>
      </c>
      <c r="M321" s="109">
        <f t="shared" si="145"/>
        <v>0</v>
      </c>
      <c r="N321" s="130">
        <f t="shared" si="146"/>
        <v>0</v>
      </c>
      <c r="O321" s="389"/>
      <c r="P321" s="389"/>
      <c r="Q321" s="389"/>
      <c r="R321" s="389"/>
      <c r="S321" s="389"/>
      <c r="T321" s="389"/>
      <c r="U321" s="389"/>
      <c r="V321" s="132">
        <f t="shared" si="147"/>
        <v>0</v>
      </c>
      <c r="W321" s="133" t="str">
        <f t="shared" si="143"/>
        <v/>
      </c>
      <c r="X321" s="132"/>
      <c r="Y321" s="132"/>
      <c r="Z321" s="132"/>
      <c r="AA321" s="132"/>
    </row>
    <row r="322" spans="1:27" ht="20.100000000000001" hidden="1" customHeight="1">
      <c r="A322" s="299">
        <v>30700016</v>
      </c>
      <c r="B322" s="141" t="s">
        <v>237</v>
      </c>
      <c r="C322" s="388"/>
      <c r="D322" s="108">
        <v>7.8</v>
      </c>
      <c r="E322" s="108"/>
      <c r="F322" s="127"/>
      <c r="G322" s="128"/>
      <c r="H322" s="398">
        <f t="shared" si="144"/>
        <v>0</v>
      </c>
      <c r="I322" s="129"/>
      <c r="J322" s="130" t="str">
        <f t="array" ref="J322">IF(ISERROR(G322/I322),"",G322/I322)</f>
        <v/>
      </c>
      <c r="K322" s="131">
        <f t="array" ref="K322">IF(ISERROR(G322/L322),"",G322/L322)</f>
        <v>0</v>
      </c>
      <c r="L322" s="129">
        <v>4.5999999999999996</v>
      </c>
      <c r="M322" s="109">
        <f t="shared" si="145"/>
        <v>0</v>
      </c>
      <c r="N322" s="130">
        <f t="shared" si="146"/>
        <v>0</v>
      </c>
      <c r="O322" s="389"/>
      <c r="P322" s="389"/>
      <c r="Q322" s="389"/>
      <c r="R322" s="389"/>
      <c r="S322" s="389"/>
      <c r="T322" s="389"/>
      <c r="U322" s="389"/>
      <c r="V322" s="132">
        <f t="shared" si="147"/>
        <v>0</v>
      </c>
      <c r="W322" s="133" t="str">
        <f t="shared" si="143"/>
        <v/>
      </c>
      <c r="X322" s="132"/>
      <c r="Y322" s="132"/>
      <c r="Z322" s="132"/>
      <c r="AA322" s="132"/>
    </row>
    <row r="323" spans="1:27" ht="20.100000000000001" hidden="1" customHeight="1">
      <c r="A323" s="299">
        <v>30700017</v>
      </c>
      <c r="B323" s="141" t="s">
        <v>238</v>
      </c>
      <c r="C323" s="388"/>
      <c r="D323" s="108">
        <v>4.4000000000000004</v>
      </c>
      <c r="E323" s="108"/>
      <c r="F323" s="127"/>
      <c r="G323" s="128"/>
      <c r="H323" s="398">
        <f t="shared" si="144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5.8</v>
      </c>
      <c r="M323" s="109">
        <f t="shared" si="145"/>
        <v>0</v>
      </c>
      <c r="N323" s="130">
        <f t="shared" si="146"/>
        <v>0</v>
      </c>
      <c r="O323" s="389"/>
      <c r="P323" s="389"/>
      <c r="Q323" s="389"/>
      <c r="R323" s="389"/>
      <c r="S323" s="389"/>
      <c r="T323" s="389"/>
      <c r="U323" s="389"/>
      <c r="V323" s="132">
        <f t="shared" si="147"/>
        <v>0</v>
      </c>
      <c r="W323" s="133" t="str">
        <f t="shared" si="143"/>
        <v/>
      </c>
      <c r="X323" s="132"/>
      <c r="Y323" s="132"/>
      <c r="Z323" s="132"/>
      <c r="AA323" s="132"/>
    </row>
    <row r="324" spans="1:27" ht="20.100000000000001" hidden="1" customHeight="1">
      <c r="A324" s="299">
        <v>30700001</v>
      </c>
      <c r="B324" s="127" t="s">
        <v>359</v>
      </c>
      <c r="C324" s="388"/>
      <c r="D324" s="108"/>
      <c r="E324" s="108"/>
      <c r="F324" s="127"/>
      <c r="G324" s="128"/>
      <c r="H324" s="398">
        <f t="shared" si="144"/>
        <v>0</v>
      </c>
      <c r="I324" s="129"/>
      <c r="J324" s="130"/>
      <c r="K324" s="131"/>
      <c r="L324" s="129">
        <v>6</v>
      </c>
      <c r="M324" s="109"/>
      <c r="N324" s="130"/>
      <c r="O324" s="389"/>
      <c r="P324" s="389"/>
      <c r="Q324" s="389"/>
      <c r="R324" s="389"/>
      <c r="S324" s="389"/>
      <c r="T324" s="389"/>
      <c r="U324" s="389"/>
      <c r="V324" s="132"/>
      <c r="W324" s="133"/>
      <c r="X324" s="132"/>
      <c r="Y324" s="132"/>
      <c r="Z324" s="132"/>
      <c r="AA324" s="132"/>
    </row>
    <row r="325" spans="1:27" ht="20.100000000000001" hidden="1" customHeight="1">
      <c r="A325" s="305"/>
      <c r="B325" s="388" t="s">
        <v>239</v>
      </c>
      <c r="C325" s="388" t="s">
        <v>179</v>
      </c>
      <c r="D325" s="108">
        <v>6.04</v>
      </c>
      <c r="E325" s="108"/>
      <c r="F325" s="127"/>
      <c r="G325" s="128"/>
      <c r="H325" s="398">
        <f t="shared" si="144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6" si="148">IF(ISERROR(I325-K325),"",I325-K325)</f>
        <v>0</v>
      </c>
      <c r="N325" s="130">
        <f t="shared" ref="N325:N326" si="149">SUM(O325:U325)</f>
        <v>0</v>
      </c>
      <c r="O325" s="389"/>
      <c r="P325" s="389"/>
      <c r="Q325" s="389"/>
      <c r="R325" s="389"/>
      <c r="S325" s="389"/>
      <c r="T325" s="389"/>
      <c r="U325" s="389"/>
      <c r="V325" s="132">
        <f t="shared" ref="V325:V326" si="150">SUM(X325:AA325)</f>
        <v>0</v>
      </c>
      <c r="W325" s="133" t="str">
        <f t="shared" ref="W325:W326" si="151">IF(ISERROR(V325/G325),"",V325/G325)</f>
        <v/>
      </c>
      <c r="X325" s="132"/>
      <c r="Y325" s="132"/>
      <c r="Z325" s="132"/>
      <c r="AA325" s="132"/>
    </row>
    <row r="326" spans="1:27" ht="20.100000000000001" hidden="1" customHeight="1">
      <c r="A326" s="305">
        <v>30700019</v>
      </c>
      <c r="B326" s="388" t="s">
        <v>239</v>
      </c>
      <c r="C326" s="388" t="s">
        <v>186</v>
      </c>
      <c r="D326" s="108">
        <v>6.04</v>
      </c>
      <c r="E326" s="108"/>
      <c r="F326" s="127"/>
      <c r="G326" s="128"/>
      <c r="H326" s="398">
        <f t="shared" si="144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48"/>
        <v>0</v>
      </c>
      <c r="N326" s="130">
        <f t="shared" si="149"/>
        <v>0</v>
      </c>
      <c r="O326" s="389"/>
      <c r="P326" s="389"/>
      <c r="Q326" s="389"/>
      <c r="R326" s="389"/>
      <c r="S326" s="389"/>
      <c r="T326" s="389"/>
      <c r="U326" s="389"/>
      <c r="V326" s="132">
        <f t="shared" si="150"/>
        <v>0</v>
      </c>
      <c r="W326" s="133" t="str">
        <f t="shared" si="151"/>
        <v/>
      </c>
      <c r="X326" s="132"/>
      <c r="Y326" s="132"/>
      <c r="Z326" s="132"/>
      <c r="AA326" s="132"/>
    </row>
    <row r="327" spans="1:27" ht="20.100000000000001" hidden="1" customHeight="1">
      <c r="A327" s="305">
        <v>30601015</v>
      </c>
      <c r="B327" s="388" t="s">
        <v>443</v>
      </c>
      <c r="C327" s="388" t="s">
        <v>179</v>
      </c>
      <c r="D327" s="108">
        <v>6</v>
      </c>
      <c r="E327" s="108"/>
      <c r="F327" s="127"/>
      <c r="G327" s="128"/>
      <c r="H327" s="398">
        <f t="shared" si="144"/>
        <v>0</v>
      </c>
      <c r="I327" s="129"/>
      <c r="J327" s="130"/>
      <c r="K327" s="131"/>
      <c r="L327" s="129"/>
      <c r="M327" s="109"/>
      <c r="N327" s="130"/>
      <c r="O327" s="389"/>
      <c r="P327" s="389"/>
      <c r="Q327" s="389"/>
      <c r="R327" s="389"/>
      <c r="S327" s="389"/>
      <c r="T327" s="389"/>
      <c r="U327" s="389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305">
        <v>30101016</v>
      </c>
      <c r="B328" s="388" t="s">
        <v>443</v>
      </c>
      <c r="C328" s="388" t="s">
        <v>60</v>
      </c>
      <c r="D328" s="108">
        <v>6</v>
      </c>
      <c r="E328" s="108"/>
      <c r="F328" s="127"/>
      <c r="G328" s="128"/>
      <c r="H328" s="398">
        <f t="shared" si="144"/>
        <v>0</v>
      </c>
      <c r="I328" s="129"/>
      <c r="J328" s="130"/>
      <c r="K328" s="131">
        <f t="array" ref="K328">IF(ISERROR(G328/L328),"",G328/L328)</f>
        <v>0</v>
      </c>
      <c r="L328" s="129">
        <v>6</v>
      </c>
      <c r="M328" s="109"/>
      <c r="N328" s="130"/>
      <c r="O328" s="389"/>
      <c r="P328" s="389"/>
      <c r="Q328" s="389"/>
      <c r="R328" s="389"/>
      <c r="S328" s="389"/>
      <c r="T328" s="389"/>
      <c r="U328" s="389"/>
      <c r="V328" s="132"/>
      <c r="W328" s="133"/>
      <c r="X328" s="132"/>
      <c r="Y328" s="132"/>
      <c r="Z328" s="132"/>
      <c r="AA328" s="132"/>
    </row>
    <row r="329" spans="1:27" ht="20.100000000000001" hidden="1" customHeight="1">
      <c r="A329" s="299">
        <v>30700018</v>
      </c>
      <c r="B329" s="390" t="s">
        <v>240</v>
      </c>
      <c r="C329" s="126"/>
      <c r="D329" s="108">
        <v>7.3</v>
      </c>
      <c r="E329" s="108"/>
      <c r="F329" s="127"/>
      <c r="G329" s="128"/>
      <c r="H329" s="398">
        <f t="shared" si="144"/>
        <v>0</v>
      </c>
      <c r="I329" s="129"/>
      <c r="J329" s="130"/>
      <c r="K329" s="131"/>
      <c r="L329" s="129"/>
      <c r="M329" s="109"/>
      <c r="N329" s="130"/>
      <c r="O329" s="389"/>
      <c r="P329" s="389"/>
      <c r="Q329" s="389"/>
      <c r="R329" s="389"/>
      <c r="S329" s="389"/>
      <c r="T329" s="389"/>
      <c r="U329" s="389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30700010</v>
      </c>
      <c r="B330" s="390" t="s">
        <v>241</v>
      </c>
      <c r="C330" s="126"/>
      <c r="D330" s="108">
        <f>78*120/1000</f>
        <v>9.36</v>
      </c>
      <c r="E330" s="108"/>
      <c r="F330" s="127"/>
      <c r="G330" s="128"/>
      <c r="H330" s="398">
        <f t="shared" si="144"/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2">SUM(O330:U330)</f>
        <v>0</v>
      </c>
      <c r="O330" s="389"/>
      <c r="P330" s="389"/>
      <c r="Q330" s="389"/>
      <c r="R330" s="389"/>
      <c r="S330" s="389"/>
      <c r="T330" s="389"/>
      <c r="U330" s="389"/>
      <c r="V330" s="132">
        <f t="shared" ref="V330" si="153">SUM(X330:AA330)</f>
        <v>0</v>
      </c>
      <c r="W330" s="133" t="str">
        <f t="shared" ref="W330" si="154">IF(ISERROR(V330/G330),"",V330/G330)</f>
        <v/>
      </c>
      <c r="X330" s="132"/>
      <c r="Y330" s="132"/>
      <c r="Z330" s="132"/>
      <c r="AA330" s="132"/>
    </row>
    <row r="331" spans="1:27" ht="20.100000000000001" hidden="1" customHeight="1">
      <c r="A331" s="299">
        <v>30700015</v>
      </c>
      <c r="B331" s="390" t="s">
        <v>242</v>
      </c>
      <c r="C331" s="126"/>
      <c r="D331" s="108">
        <v>4.5</v>
      </c>
      <c r="E331" s="108"/>
      <c r="F331" s="127"/>
      <c r="G331" s="128"/>
      <c r="H331" s="398">
        <f t="shared" si="144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389"/>
      <c r="P331" s="389"/>
      <c r="Q331" s="389"/>
      <c r="R331" s="389"/>
      <c r="S331" s="389"/>
      <c r="T331" s="389"/>
      <c r="U331" s="389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299">
        <v>30700012</v>
      </c>
      <c r="B332" s="390" t="s">
        <v>243</v>
      </c>
      <c r="C332" s="126"/>
      <c r="D332" s="108">
        <v>4.5</v>
      </c>
      <c r="E332" s="108"/>
      <c r="F332" s="127"/>
      <c r="G332" s="128"/>
      <c r="H332" s="398">
        <f t="shared" si="144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389"/>
      <c r="P332" s="389"/>
      <c r="Q332" s="389"/>
      <c r="R332" s="389"/>
      <c r="S332" s="389"/>
      <c r="T332" s="389"/>
      <c r="U332" s="389"/>
      <c r="V332" s="132"/>
      <c r="W332" s="133"/>
      <c r="X332" s="132"/>
      <c r="Y332" s="132"/>
      <c r="Z332" s="132"/>
      <c r="AA332" s="132"/>
    </row>
    <row r="333" spans="1:27" ht="20.100000000000001" hidden="1" customHeight="1">
      <c r="A333" s="299"/>
      <c r="B333" s="199" t="s">
        <v>438</v>
      </c>
      <c r="C333" s="126"/>
      <c r="D333" s="108">
        <v>4.5</v>
      </c>
      <c r="E333" s="108"/>
      <c r="F333" s="127"/>
      <c r="G333" s="128"/>
      <c r="H333" s="398">
        <f t="shared" si="144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389"/>
      <c r="P333" s="389"/>
      <c r="Q333" s="389"/>
      <c r="R333" s="389"/>
      <c r="S333" s="389"/>
      <c r="T333" s="389"/>
      <c r="U333" s="389"/>
      <c r="V333" s="132"/>
      <c r="W333" s="133"/>
      <c r="X333" s="132"/>
      <c r="Y333" s="132"/>
      <c r="Z333" s="132"/>
      <c r="AA333" s="132"/>
    </row>
    <row r="334" spans="1:27" ht="20.100000000000001" hidden="1" customHeight="1">
      <c r="A334" s="578" t="s">
        <v>244</v>
      </c>
      <c r="B334" s="579"/>
      <c r="C334" s="396" t="s">
        <v>202</v>
      </c>
      <c r="D334" s="143"/>
      <c r="E334" s="143"/>
      <c r="F334" s="144"/>
      <c r="G334" s="145">
        <f>SUM(G320:G333)</f>
        <v>0</v>
      </c>
      <c r="H334" s="146">
        <f>SUM(H320:H330)</f>
        <v>0</v>
      </c>
      <c r="I334" s="146">
        <f>SUM(I320:I333)</f>
        <v>0</v>
      </c>
      <c r="J334" s="130"/>
      <c r="K334" s="146">
        <f>SUM(K320:K330)</f>
        <v>0</v>
      </c>
      <c r="L334" s="147"/>
      <c r="M334" s="150">
        <f t="shared" ref="M334:AA334" si="155">SUM(M320:M330)</f>
        <v>0</v>
      </c>
      <c r="N334" s="146">
        <f t="shared" si="155"/>
        <v>0</v>
      </c>
      <c r="O334" s="148">
        <f t="shared" si="155"/>
        <v>0</v>
      </c>
      <c r="P334" s="148">
        <f t="shared" si="155"/>
        <v>0</v>
      </c>
      <c r="Q334" s="148">
        <f t="shared" si="155"/>
        <v>0</v>
      </c>
      <c r="R334" s="148">
        <f t="shared" si="155"/>
        <v>0</v>
      </c>
      <c r="S334" s="148">
        <f t="shared" si="155"/>
        <v>0</v>
      </c>
      <c r="T334" s="148">
        <f t="shared" si="155"/>
        <v>0</v>
      </c>
      <c r="U334" s="148">
        <f t="shared" si="155"/>
        <v>0</v>
      </c>
      <c r="V334" s="149">
        <f t="shared" si="155"/>
        <v>0</v>
      </c>
      <c r="W334" s="133">
        <f t="shared" si="155"/>
        <v>0</v>
      </c>
      <c r="X334" s="149">
        <f t="shared" si="155"/>
        <v>0</v>
      </c>
      <c r="Y334" s="149">
        <f t="shared" si="155"/>
        <v>0</v>
      </c>
      <c r="Z334" s="149">
        <f t="shared" si="155"/>
        <v>0</v>
      </c>
      <c r="AA334" s="149">
        <f t="shared" si="155"/>
        <v>0</v>
      </c>
    </row>
    <row r="335" spans="1:27" ht="20.100000000000001" customHeight="1">
      <c r="A335" s="580" t="s">
        <v>246</v>
      </c>
      <c r="B335" s="581"/>
      <c r="C335" s="581"/>
      <c r="D335" s="581"/>
      <c r="E335" s="581"/>
      <c r="F335" s="582"/>
      <c r="G335" s="154">
        <f>SUM(G199,G257,G292,G308,G319,G334)</f>
        <v>5966</v>
      </c>
      <c r="H335" s="154">
        <f>SUM(H199,H257,H292,H308,H319,H334)</f>
        <v>30150.75</v>
      </c>
      <c r="I335" s="154">
        <f>SUM(I199,I257,I292,I308,I319,I334)</f>
        <v>350.5</v>
      </c>
      <c r="J335" s="155">
        <f t="array" ref="J335">IF(ISERROR(G335/I335),"",G335/I335)</f>
        <v>17.021398002853068</v>
      </c>
      <c r="K335" s="154">
        <f>SUM(K199,K257,K292,K308,K319,K334)</f>
        <v>234.64527573380582</v>
      </c>
      <c r="L335" s="155">
        <f>IF(ISERROR(G335/K335),"",G335/K335)</f>
        <v>25.425613114700635</v>
      </c>
      <c r="M335" s="154">
        <f t="shared" ref="M335:AA335" si="156">SUM(M199,M257,M292,M308,M319,M334)</f>
        <v>115.85472426619418</v>
      </c>
      <c r="N335" s="154">
        <f t="shared" si="156"/>
        <v>0</v>
      </c>
      <c r="O335" s="154">
        <f t="shared" si="156"/>
        <v>0</v>
      </c>
      <c r="P335" s="154">
        <f t="shared" si="156"/>
        <v>0</v>
      </c>
      <c r="Q335" s="154">
        <f t="shared" si="156"/>
        <v>0</v>
      </c>
      <c r="R335" s="154">
        <f t="shared" si="156"/>
        <v>0</v>
      </c>
      <c r="S335" s="154">
        <f t="shared" si="156"/>
        <v>0</v>
      </c>
      <c r="T335" s="154">
        <f t="shared" si="156"/>
        <v>0</v>
      </c>
      <c r="U335" s="154">
        <f t="shared" si="156"/>
        <v>0</v>
      </c>
      <c r="V335" s="154">
        <f t="shared" si="156"/>
        <v>0</v>
      </c>
      <c r="W335" s="154">
        <f t="shared" si="156"/>
        <v>0</v>
      </c>
      <c r="X335" s="154">
        <f t="shared" si="156"/>
        <v>0</v>
      </c>
      <c r="Y335" s="154">
        <f t="shared" si="156"/>
        <v>0</v>
      </c>
      <c r="Z335" s="154">
        <f t="shared" si="156"/>
        <v>0</v>
      </c>
      <c r="AA335" s="154">
        <f t="shared" si="156"/>
        <v>0</v>
      </c>
    </row>
    <row r="336" spans="1:27" ht="20.100000000000001" customHeight="1">
      <c r="A336" s="583" t="s">
        <v>476</v>
      </c>
      <c r="B336" s="395" t="s">
        <v>247</v>
      </c>
      <c r="C336" s="586" t="s">
        <v>248</v>
      </c>
      <c r="D336" s="587"/>
      <c r="E336" s="588" t="s">
        <v>249</v>
      </c>
      <c r="F336" s="588"/>
      <c r="G336" s="591" t="s">
        <v>250</v>
      </c>
      <c r="H336" s="591"/>
      <c r="I336" s="588" t="s">
        <v>251</v>
      </c>
      <c r="J336" s="588"/>
      <c r="K336" s="588" t="s">
        <v>252</v>
      </c>
      <c r="L336" s="588"/>
      <c r="M336" s="588" t="s">
        <v>253</v>
      </c>
      <c r="N336" s="588"/>
      <c r="O336" s="588" t="s">
        <v>254</v>
      </c>
      <c r="P336" s="591" t="s">
        <v>255</v>
      </c>
      <c r="Q336" s="591"/>
      <c r="R336" s="591" t="s">
        <v>252</v>
      </c>
      <c r="S336" s="591"/>
      <c r="T336" s="591" t="s">
        <v>256</v>
      </c>
      <c r="U336" s="591"/>
      <c r="V336" s="591" t="s">
        <v>257</v>
      </c>
      <c r="W336" s="591"/>
      <c r="X336" s="591" t="s">
        <v>252</v>
      </c>
      <c r="Y336" s="591"/>
      <c r="Z336" s="591" t="s">
        <v>256</v>
      </c>
      <c r="AA336" s="591"/>
    </row>
    <row r="337" spans="1:27" ht="20.100000000000001" customHeight="1">
      <c r="A337" s="584"/>
      <c r="B337" s="395" t="s">
        <v>258</v>
      </c>
      <c r="C337" s="626">
        <v>1</v>
      </c>
      <c r="D337" s="627"/>
      <c r="E337" s="590">
        <f>C337*11</f>
        <v>11</v>
      </c>
      <c r="F337" s="590"/>
      <c r="G337" s="591">
        <v>1</v>
      </c>
      <c r="H337" s="591"/>
      <c r="I337" s="590">
        <f>G337*11</f>
        <v>11</v>
      </c>
      <c r="J337" s="590"/>
      <c r="K337" s="590">
        <f>E337-I337</f>
        <v>0</v>
      </c>
      <c r="L337" s="590"/>
      <c r="M337" s="592">
        <f>IF(ISERROR(K337/E337),"",K337/E337)</f>
        <v>0</v>
      </c>
      <c r="N337" s="592"/>
      <c r="O337" s="588"/>
      <c r="P337" s="591" t="s">
        <v>201</v>
      </c>
      <c r="Q337" s="591"/>
      <c r="R337" s="593">
        <f>SUM(O199:U199)</f>
        <v>0</v>
      </c>
      <c r="S337" s="593"/>
      <c r="T337" s="594" t="str">
        <f t="array" ref="T337">IF(ISERROR(R337/R344),"",R337/R344)</f>
        <v/>
      </c>
      <c r="U337" s="594"/>
      <c r="V337" s="591" t="s">
        <v>259</v>
      </c>
      <c r="W337" s="591"/>
      <c r="X337" s="628">
        <f>SUM(P198,P256,P291,P307,P318,P333)</f>
        <v>0</v>
      </c>
      <c r="Y337" s="629"/>
      <c r="Z337" s="594" t="str">
        <f t="array" ref="Z337">IF(ISERROR(X337/X344),"",X337/X344)</f>
        <v/>
      </c>
      <c r="AA337" s="594"/>
    </row>
    <row r="338" spans="1:27" ht="20.100000000000001" customHeight="1">
      <c r="A338" s="584"/>
      <c r="B338" s="395" t="s">
        <v>260</v>
      </c>
      <c r="C338" s="586">
        <v>0</v>
      </c>
      <c r="D338" s="587"/>
      <c r="E338" s="590">
        <f>C338*11</f>
        <v>0</v>
      </c>
      <c r="F338" s="590"/>
      <c r="G338" s="591">
        <v>0</v>
      </c>
      <c r="H338" s="591"/>
      <c r="I338" s="590">
        <f>G338*11</f>
        <v>0</v>
      </c>
      <c r="J338" s="590"/>
      <c r="K338" s="590">
        <f>E338-I338</f>
        <v>0</v>
      </c>
      <c r="L338" s="590"/>
      <c r="M338" s="592" t="str">
        <f>IF(ISERROR(K338/E338),"",K338/E338)</f>
        <v/>
      </c>
      <c r="N338" s="592"/>
      <c r="O338" s="588"/>
      <c r="P338" s="591" t="s">
        <v>216</v>
      </c>
      <c r="Q338" s="591"/>
      <c r="R338" s="593">
        <f>SUM(O257:U257)</f>
        <v>0</v>
      </c>
      <c r="S338" s="593"/>
      <c r="T338" s="594" t="str">
        <f>IF(ISERROR(R338/R344),"",R338/R344)</f>
        <v/>
      </c>
      <c r="U338" s="594"/>
      <c r="V338" s="591" t="s">
        <v>261</v>
      </c>
      <c r="W338" s="591"/>
      <c r="X338" s="628">
        <f>SUM(P199,P257,P292,P308,P319,P334)</f>
        <v>0</v>
      </c>
      <c r="Y338" s="629"/>
      <c r="Z338" s="594" t="str">
        <f>IF(ISERROR(X338/X344),"",X338/X344)</f>
        <v/>
      </c>
      <c r="AA338" s="594"/>
    </row>
    <row r="339" spans="1:27" ht="20.100000000000001" customHeight="1">
      <c r="A339" s="584"/>
      <c r="B339" s="395" t="s">
        <v>262</v>
      </c>
      <c r="C339" s="586">
        <v>0</v>
      </c>
      <c r="D339" s="587"/>
      <c r="E339" s="590">
        <f>C339*8</f>
        <v>0</v>
      </c>
      <c r="F339" s="590"/>
      <c r="G339" s="591">
        <v>1</v>
      </c>
      <c r="H339" s="591"/>
      <c r="I339" s="590">
        <f>G339*8</f>
        <v>8</v>
      </c>
      <c r="J339" s="590"/>
      <c r="K339" s="590">
        <f>E339-I339</f>
        <v>-8</v>
      </c>
      <c r="L339" s="590"/>
      <c r="M339" s="592" t="str">
        <f>IF(ISERROR(K339/E339),"",K339/E339)</f>
        <v/>
      </c>
      <c r="N339" s="592"/>
      <c r="O339" s="588"/>
      <c r="P339" s="591" t="s">
        <v>224</v>
      </c>
      <c r="Q339" s="591"/>
      <c r="R339" s="593">
        <f>SUM(O292:U292)</f>
        <v>0</v>
      </c>
      <c r="S339" s="593"/>
      <c r="T339" s="594" t="str">
        <f>IF(ISERROR(R339/R344),"",R339/R344)</f>
        <v/>
      </c>
      <c r="U339" s="594"/>
      <c r="V339" s="591" t="s">
        <v>263</v>
      </c>
      <c r="W339" s="591"/>
      <c r="X339" s="628">
        <f>SUM(P200,P258,P293,P309,P320,P335)</f>
        <v>0</v>
      </c>
      <c r="Y339" s="629"/>
      <c r="Z339" s="594" t="str">
        <f>IF(ISERROR(X339/X344),"",X339/X344)</f>
        <v/>
      </c>
      <c r="AA339" s="594"/>
    </row>
    <row r="340" spans="1:27" ht="20.100000000000001" customHeight="1">
      <c r="A340" s="584"/>
      <c r="B340" s="395" t="s">
        <v>264</v>
      </c>
      <c r="C340" s="586">
        <v>1</v>
      </c>
      <c r="D340" s="587"/>
      <c r="E340" s="590">
        <f>C340*11</f>
        <v>11</v>
      </c>
      <c r="F340" s="590"/>
      <c r="G340" s="591">
        <v>1</v>
      </c>
      <c r="H340" s="591"/>
      <c r="I340" s="590">
        <f>G340*11</f>
        <v>11</v>
      </c>
      <c r="J340" s="590"/>
      <c r="K340" s="590">
        <f>E340-I340</f>
        <v>0</v>
      </c>
      <c r="L340" s="590"/>
      <c r="M340" s="592">
        <f>IF(ISERROR(K340/E340),"",K340/E340)</f>
        <v>0</v>
      </c>
      <c r="N340" s="592"/>
      <c r="O340" s="588"/>
      <c r="P340" s="591" t="s">
        <v>231</v>
      </c>
      <c r="Q340" s="591"/>
      <c r="R340" s="593">
        <f>SUM(O308:U308)</f>
        <v>0</v>
      </c>
      <c r="S340" s="593"/>
      <c r="T340" s="594" t="str">
        <f>IF(ISERROR(R340/R344),"",R340/R344)</f>
        <v/>
      </c>
      <c r="U340" s="594"/>
      <c r="V340" s="591" t="s">
        <v>265</v>
      </c>
      <c r="W340" s="591"/>
      <c r="X340" s="628">
        <f>SUM(P202,P259,P294,P310,P321,P336)</f>
        <v>0</v>
      </c>
      <c r="Y340" s="629"/>
      <c r="Z340" s="594" t="str">
        <f>IF(ISERROR(X340/X344),"",X340/X344)</f>
        <v/>
      </c>
      <c r="AA340" s="594"/>
    </row>
    <row r="341" spans="1:27" ht="20.100000000000001" customHeight="1">
      <c r="A341" s="585"/>
      <c r="B341" s="395" t="s">
        <v>266</v>
      </c>
      <c r="C341" s="596">
        <f>SUM(C337:D340)</f>
        <v>2</v>
      </c>
      <c r="D341" s="597"/>
      <c r="E341" s="590">
        <f>SUM(E337:F340)</f>
        <v>22</v>
      </c>
      <c r="F341" s="590"/>
      <c r="G341" s="591">
        <f>SUM(G337:H340)</f>
        <v>3</v>
      </c>
      <c r="H341" s="591"/>
      <c r="I341" s="590">
        <f>SUM(I337:J340)</f>
        <v>30</v>
      </c>
      <c r="J341" s="590"/>
      <c r="K341" s="590">
        <f>SUM(K337:L340)</f>
        <v>-8</v>
      </c>
      <c r="L341" s="590"/>
      <c r="M341" s="592">
        <f>IF(ISERROR(K341/E341),"",K341/E341)</f>
        <v>-0.36363636363636365</v>
      </c>
      <c r="N341" s="592"/>
      <c r="O341" s="588"/>
      <c r="P341" s="591" t="s">
        <v>234</v>
      </c>
      <c r="Q341" s="591"/>
      <c r="R341" s="593">
        <f>SUM(O319:U319)</f>
        <v>0</v>
      </c>
      <c r="S341" s="593"/>
      <c r="T341" s="594" t="str">
        <f>IF(ISERROR(R341/R344),"",R341/R344)</f>
        <v/>
      </c>
      <c r="U341" s="594"/>
      <c r="V341" s="591" t="s">
        <v>267</v>
      </c>
      <c r="W341" s="591"/>
      <c r="X341" s="628">
        <f>SUM(P203,P260,P295,P311,P322,P337)</f>
        <v>0</v>
      </c>
      <c r="Y341" s="629"/>
      <c r="Z341" s="594" t="str">
        <f>IF(ISERROR(X341/X344),"",X341/X344)</f>
        <v/>
      </c>
      <c r="AA341" s="594"/>
    </row>
    <row r="342" spans="1:27" ht="20.100000000000001" customHeight="1">
      <c r="A342" s="309" t="s">
        <v>477</v>
      </c>
      <c r="B342" s="395">
        <f>G335</f>
        <v>5966</v>
      </c>
      <c r="C342" s="598" t="s">
        <v>269</v>
      </c>
      <c r="D342" s="599"/>
      <c r="E342" s="591">
        <f>H335</f>
        <v>30150.75</v>
      </c>
      <c r="F342" s="591"/>
      <c r="G342" s="591" t="s">
        <v>270</v>
      </c>
      <c r="H342" s="591"/>
      <c r="I342" s="600">
        <f>L335</f>
        <v>25.425613114700635</v>
      </c>
      <c r="J342" s="600"/>
      <c r="K342" s="588" t="s">
        <v>271</v>
      </c>
      <c r="L342" s="588"/>
      <c r="M342" s="600">
        <f>J335</f>
        <v>17.021398002853068</v>
      </c>
      <c r="N342" s="600"/>
      <c r="O342" s="588"/>
      <c r="P342" s="591" t="s">
        <v>244</v>
      </c>
      <c r="Q342" s="591"/>
      <c r="R342" s="593">
        <f>SUM(O334:U334)</f>
        <v>0</v>
      </c>
      <c r="S342" s="593"/>
      <c r="T342" s="594" t="str">
        <f>IF(ISERROR(R342/R344),"",R342/R344)</f>
        <v/>
      </c>
      <c r="U342" s="594"/>
      <c r="V342" s="591" t="s">
        <v>272</v>
      </c>
      <c r="W342" s="591"/>
      <c r="X342" s="628">
        <f>SUM(P204,P261,P296,P312,P323,P338)</f>
        <v>0</v>
      </c>
      <c r="Y342" s="629"/>
      <c r="Z342" s="594" t="str">
        <f>IF(ISERROR(X342/X344),"",X342/X344)</f>
        <v/>
      </c>
      <c r="AA342" s="594"/>
    </row>
    <row r="343" spans="1:27" ht="20.100000000000001" customHeight="1">
      <c r="A343" s="310" t="s">
        <v>478</v>
      </c>
      <c r="B343" s="395">
        <f>I335+C341</f>
        <v>352.5</v>
      </c>
      <c r="C343" s="601" t="s">
        <v>251</v>
      </c>
      <c r="D343" s="602"/>
      <c r="E343" s="603">
        <f>K335+I341</f>
        <v>264.64527573380582</v>
      </c>
      <c r="F343" s="603"/>
      <c r="G343" s="591" t="s">
        <v>274</v>
      </c>
      <c r="H343" s="591"/>
      <c r="I343" s="600">
        <f>B343-E343</f>
        <v>87.854724266194182</v>
      </c>
      <c r="J343" s="600"/>
      <c r="K343" s="588" t="s">
        <v>275</v>
      </c>
      <c r="L343" s="588"/>
      <c r="M343" s="592">
        <f>IF(ISERROR(I343/E343),"",I343/E343)</f>
        <v>0.33197163267922114</v>
      </c>
      <c r="N343" s="592"/>
      <c r="O343" s="588"/>
      <c r="P343" s="591" t="s">
        <v>245</v>
      </c>
      <c r="Q343" s="591"/>
      <c r="R343" s="593"/>
      <c r="S343" s="593"/>
      <c r="T343" s="594" t="str">
        <f>IF(ISERROR(R343/R344),"",R343/R344)</f>
        <v/>
      </c>
      <c r="U343" s="594"/>
      <c r="V343" s="591" t="s">
        <v>264</v>
      </c>
      <c r="W343" s="591"/>
      <c r="X343" s="628">
        <f>SUM(P205,P262,P297,P313,P324,P339)</f>
        <v>0</v>
      </c>
      <c r="Y343" s="629"/>
      <c r="Z343" s="594" t="str">
        <f>IF(ISERROR(X343/X344),"",X343/X344)</f>
        <v/>
      </c>
      <c r="AA343" s="594"/>
    </row>
    <row r="344" spans="1:27" ht="20.100000000000001" customHeight="1">
      <c r="A344" s="310" t="s">
        <v>479</v>
      </c>
      <c r="B344" s="395">
        <f>N335</f>
        <v>0</v>
      </c>
      <c r="C344" s="601" t="s">
        <v>277</v>
      </c>
      <c r="D344" s="602"/>
      <c r="E344" s="594">
        <f>IF(ISERROR(B344/B343),"",B344/B343)</f>
        <v>0</v>
      </c>
      <c r="F344" s="594"/>
      <c r="G344" s="591" t="s">
        <v>278</v>
      </c>
      <c r="H344" s="591"/>
      <c r="I344" s="588">
        <f>V335</f>
        <v>0</v>
      </c>
      <c r="J344" s="588"/>
      <c r="K344" s="588" t="s">
        <v>279</v>
      </c>
      <c r="L344" s="588"/>
      <c r="M344" s="592">
        <f t="array" ref="M344">IF(ISERROR(I344/B342),"",I344/B342)</f>
        <v>0</v>
      </c>
      <c r="N344" s="592"/>
      <c r="O344" s="588"/>
      <c r="P344" s="591" t="s">
        <v>266</v>
      </c>
      <c r="Q344" s="591"/>
      <c r="R344" s="593">
        <f>SUM(R337:S343)</f>
        <v>0</v>
      </c>
      <c r="S344" s="593"/>
      <c r="T344" s="594"/>
      <c r="U344" s="594"/>
      <c r="V344" s="591" t="s">
        <v>266</v>
      </c>
      <c r="W344" s="591"/>
      <c r="X344" s="595">
        <f>SUM(X337:Y343)</f>
        <v>0</v>
      </c>
      <c r="Y344" s="595"/>
      <c r="Z344" s="594"/>
      <c r="AA344" s="594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4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604" t="s">
        <v>480</v>
      </c>
      <c r="B346" s="607" t="s">
        <v>280</v>
      </c>
      <c r="C346" s="607" t="s">
        <v>281</v>
      </c>
      <c r="D346" s="607" t="s">
        <v>282</v>
      </c>
      <c r="E346" s="610" t="s">
        <v>283</v>
      </c>
      <c r="F346" s="623" t="s">
        <v>284</v>
      </c>
      <c r="G346" s="588" t="s">
        <v>285</v>
      </c>
      <c r="H346" s="588"/>
      <c r="I346" s="607" t="s">
        <v>286</v>
      </c>
      <c r="J346" s="613" t="s">
        <v>271</v>
      </c>
      <c r="K346" s="616" t="s">
        <v>287</v>
      </c>
      <c r="L346" s="607" t="s">
        <v>270</v>
      </c>
      <c r="M346" s="619" t="s">
        <v>288</v>
      </c>
      <c r="N346" s="621" t="s">
        <v>252</v>
      </c>
      <c r="O346" s="588" t="s">
        <v>289</v>
      </c>
      <c r="P346" s="588"/>
      <c r="Q346" s="588"/>
      <c r="R346" s="588"/>
      <c r="S346" s="588"/>
      <c r="T346" s="588"/>
      <c r="U346" s="588"/>
      <c r="V346" s="588" t="s">
        <v>290</v>
      </c>
      <c r="W346" s="621" t="s">
        <v>291</v>
      </c>
      <c r="X346" s="588" t="s">
        <v>292</v>
      </c>
      <c r="Y346" s="588"/>
      <c r="Z346" s="588"/>
      <c r="AA346" s="588"/>
    </row>
    <row r="347" spans="1:27" ht="21.95" customHeight="1">
      <c r="A347" s="605"/>
      <c r="B347" s="608"/>
      <c r="C347" s="608"/>
      <c r="D347" s="608"/>
      <c r="E347" s="611"/>
      <c r="F347" s="624"/>
      <c r="G347" s="588"/>
      <c r="H347" s="588"/>
      <c r="I347" s="608"/>
      <c r="J347" s="614"/>
      <c r="K347" s="617"/>
      <c r="L347" s="608"/>
      <c r="M347" s="620"/>
      <c r="N347" s="621"/>
      <c r="O347" s="588" t="s">
        <v>259</v>
      </c>
      <c r="P347" s="588" t="s">
        <v>261</v>
      </c>
      <c r="Q347" s="588" t="s">
        <v>263</v>
      </c>
      <c r="R347" s="622" t="s">
        <v>265</v>
      </c>
      <c r="S347" s="591" t="s">
        <v>267</v>
      </c>
      <c r="T347" s="588" t="s">
        <v>272</v>
      </c>
      <c r="U347" s="588" t="s">
        <v>264</v>
      </c>
      <c r="V347" s="588"/>
      <c r="W347" s="621"/>
      <c r="X347" s="588" t="s">
        <v>293</v>
      </c>
      <c r="Y347" s="588" t="s">
        <v>294</v>
      </c>
      <c r="Z347" s="588" t="s">
        <v>295</v>
      </c>
      <c r="AA347" s="588" t="s">
        <v>264</v>
      </c>
    </row>
    <row r="348" spans="1:27" ht="21.95" customHeight="1">
      <c r="A348" s="606"/>
      <c r="B348" s="609"/>
      <c r="C348" s="609"/>
      <c r="D348" s="609"/>
      <c r="E348" s="612"/>
      <c r="F348" s="625"/>
      <c r="G348" s="348" t="s">
        <v>296</v>
      </c>
      <c r="H348" s="388" t="s">
        <v>297</v>
      </c>
      <c r="I348" s="609"/>
      <c r="J348" s="615"/>
      <c r="K348" s="618"/>
      <c r="L348" s="609"/>
      <c r="M348" s="620"/>
      <c r="N348" s="621"/>
      <c r="O348" s="588"/>
      <c r="P348" s="588"/>
      <c r="Q348" s="588"/>
      <c r="R348" s="622"/>
      <c r="S348" s="591"/>
      <c r="T348" s="588"/>
      <c r="U348" s="588"/>
      <c r="V348" s="588"/>
      <c r="W348" s="621"/>
      <c r="X348" s="588"/>
      <c r="Y348" s="588"/>
      <c r="Z348" s="588"/>
      <c r="AA348" s="588"/>
    </row>
    <row r="349" spans="1:27" ht="20.100000000000001" hidden="1" customHeight="1">
      <c r="A349" s="299">
        <v>30100030</v>
      </c>
      <c r="B349" s="390" t="s">
        <v>178</v>
      </c>
      <c r="C349" s="126" t="s">
        <v>179</v>
      </c>
      <c r="D349" s="108">
        <v>5.03</v>
      </c>
      <c r="E349" s="108"/>
      <c r="F349" s="127"/>
      <c r="G349" s="128"/>
      <c r="H349" s="398">
        <f t="shared" ref="H349:H369" si="157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58" si="158">IF(ISERROR(I349-K349),"",I349-K349)</f>
        <v>0</v>
      </c>
      <c r="N349" s="130">
        <f t="shared" ref="N349:N354" si="159">SUM(O349:U349)</f>
        <v>0</v>
      </c>
      <c r="O349" s="389"/>
      <c r="P349" s="389"/>
      <c r="Q349" s="389"/>
      <c r="R349" s="389"/>
      <c r="S349" s="389"/>
      <c r="T349" s="389"/>
      <c r="U349" s="389"/>
      <c r="V349" s="132">
        <f t="shared" ref="V349:V354" si="160">SUM(X349:AA349)</f>
        <v>0</v>
      </c>
      <c r="W349" s="133" t="str">
        <f t="shared" ref="W349:W354" si="161">IF(ISERROR(V349/G349),"",V349/G349)</f>
        <v/>
      </c>
      <c r="X349" s="132"/>
      <c r="Y349" s="132"/>
      <c r="Z349" s="132"/>
      <c r="AA349" s="132"/>
    </row>
    <row r="350" spans="1:27" ht="20.100000000000001" hidden="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28"/>
      <c r="H350" s="398">
        <f t="shared" si="157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8"/>
        <v>0</v>
      </c>
      <c r="N350" s="130">
        <f t="shared" si="159"/>
        <v>0</v>
      </c>
      <c r="O350" s="389"/>
      <c r="P350" s="389"/>
      <c r="Q350" s="389"/>
      <c r="R350" s="389"/>
      <c r="S350" s="389"/>
      <c r="T350" s="389"/>
      <c r="U350" s="389"/>
      <c r="V350" s="132">
        <f t="shared" si="160"/>
        <v>0</v>
      </c>
      <c r="W350" s="133" t="str">
        <f t="shared" si="161"/>
        <v/>
      </c>
      <c r="X350" s="132"/>
      <c r="Y350" s="132"/>
      <c r="Z350" s="132"/>
      <c r="AA350" s="132"/>
    </row>
    <row r="351" spans="1:27" ht="20.100000000000001" hidden="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28"/>
      <c r="H351" s="398">
        <f t="shared" si="157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58"/>
        <v>0</v>
      </c>
      <c r="N351" s="130">
        <f t="shared" si="159"/>
        <v>0</v>
      </c>
      <c r="O351" s="389"/>
      <c r="P351" s="389"/>
      <c r="Q351" s="389"/>
      <c r="R351" s="389"/>
      <c r="S351" s="389"/>
      <c r="T351" s="389"/>
      <c r="U351" s="389"/>
      <c r="V351" s="132">
        <f t="shared" si="160"/>
        <v>0</v>
      </c>
      <c r="W351" s="133" t="str">
        <f t="shared" si="161"/>
        <v/>
      </c>
      <c r="X351" s="132"/>
      <c r="Y351" s="132"/>
      <c r="Z351" s="132"/>
      <c r="AA351" s="132"/>
    </row>
    <row r="352" spans="1:27" ht="20.100000000000001" hidden="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28"/>
      <c r="H352" s="398">
        <f t="shared" si="157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8"/>
        <v>0</v>
      </c>
      <c r="N352" s="130">
        <f t="shared" si="159"/>
        <v>0</v>
      </c>
      <c r="O352" s="389"/>
      <c r="P352" s="389"/>
      <c r="Q352" s="389"/>
      <c r="R352" s="389"/>
      <c r="S352" s="389"/>
      <c r="T352" s="389"/>
      <c r="U352" s="389"/>
      <c r="V352" s="132">
        <f t="shared" si="160"/>
        <v>0</v>
      </c>
      <c r="W352" s="133" t="str">
        <f t="shared" si="161"/>
        <v/>
      </c>
      <c r="X352" s="132"/>
      <c r="Y352" s="132"/>
      <c r="Z352" s="132"/>
      <c r="AA352" s="132"/>
    </row>
    <row r="353" spans="1:27" ht="20.100000000000001" hidden="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28"/>
      <c r="H353" s="398">
        <f t="shared" si="157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58"/>
        <v>0</v>
      </c>
      <c r="N353" s="130">
        <f t="shared" si="159"/>
        <v>0</v>
      </c>
      <c r="O353" s="389"/>
      <c r="P353" s="389"/>
      <c r="Q353" s="389"/>
      <c r="R353" s="389"/>
      <c r="S353" s="389"/>
      <c r="T353" s="389"/>
      <c r="U353" s="389"/>
      <c r="V353" s="132">
        <f t="shared" si="160"/>
        <v>0</v>
      </c>
      <c r="W353" s="133" t="str">
        <f t="shared" si="161"/>
        <v/>
      </c>
      <c r="X353" s="132"/>
      <c r="Y353" s="132"/>
      <c r="Z353" s="132"/>
      <c r="AA353" s="132"/>
    </row>
    <row r="354" spans="1:27" ht="20.100000000000001" hidden="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137"/>
      <c r="H354" s="398">
        <f t="shared" si="157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58"/>
        <v>0</v>
      </c>
      <c r="N354" s="130">
        <f t="shared" si="159"/>
        <v>0</v>
      </c>
      <c r="O354" s="389"/>
      <c r="P354" s="389"/>
      <c r="Q354" s="389"/>
      <c r="R354" s="389"/>
      <c r="S354" s="389"/>
      <c r="T354" s="389"/>
      <c r="U354" s="389"/>
      <c r="V354" s="132">
        <f t="shared" si="160"/>
        <v>0</v>
      </c>
      <c r="W354" s="133" t="str">
        <f t="shared" si="161"/>
        <v/>
      </c>
      <c r="X354" s="132"/>
      <c r="Y354" s="132"/>
      <c r="Z354" s="132"/>
      <c r="AA354" s="132"/>
    </row>
    <row r="355" spans="1:27" ht="20.100000000000001" hidden="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28"/>
      <c r="H355" s="398">
        <f t="shared" si="157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58"/>
        <v>0</v>
      </c>
      <c r="N355" s="130"/>
      <c r="O355" s="389"/>
      <c r="P355" s="389"/>
      <c r="Q355" s="389"/>
      <c r="R355" s="389"/>
      <c r="S355" s="389"/>
      <c r="T355" s="389"/>
      <c r="U355" s="389"/>
      <c r="V355" s="132"/>
      <c r="W355" s="133"/>
      <c r="X355" s="132"/>
      <c r="Y355" s="132"/>
      <c r="Z355" s="132"/>
      <c r="AA355" s="132"/>
    </row>
    <row r="356" spans="1:27" ht="20.100000000000001" hidden="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28"/>
      <c r="H356" s="398">
        <f t="shared" si="157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58"/>
        <v>0</v>
      </c>
      <c r="N356" s="130"/>
      <c r="O356" s="389"/>
      <c r="P356" s="389"/>
      <c r="Q356" s="389"/>
      <c r="R356" s="389"/>
      <c r="S356" s="389"/>
      <c r="T356" s="389"/>
      <c r="U356" s="389"/>
      <c r="V356" s="132"/>
      <c r="W356" s="133"/>
      <c r="X356" s="132"/>
      <c r="Y356" s="132"/>
      <c r="Z356" s="132"/>
      <c r="AA356" s="132"/>
    </row>
    <row r="357" spans="1:27" ht="20.100000000000001" hidden="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28"/>
      <c r="H357" s="398">
        <f t="shared" si="157"/>
        <v>0</v>
      </c>
      <c r="I357" s="398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58"/>
        <v>0</v>
      </c>
      <c r="N357" s="130">
        <f>SUM(O357:U357)</f>
        <v>0</v>
      </c>
      <c r="O357" s="389"/>
      <c r="P357" s="389"/>
      <c r="Q357" s="389"/>
      <c r="R357" s="389"/>
      <c r="S357" s="389"/>
      <c r="T357" s="389"/>
      <c r="U357" s="389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hidden="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28"/>
      <c r="H358" s="398">
        <f t="shared" si="157"/>
        <v>0</v>
      </c>
      <c r="I358" s="398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58"/>
        <v>0</v>
      </c>
      <c r="N358" s="130">
        <f>SUM(O358:U358)</f>
        <v>0</v>
      </c>
      <c r="O358" s="389"/>
      <c r="P358" s="389"/>
      <c r="Q358" s="389"/>
      <c r="R358" s="389"/>
      <c r="S358" s="389"/>
      <c r="T358" s="389"/>
      <c r="U358" s="389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hidden="1" customHeight="1">
      <c r="A359" s="302">
        <v>30100063</v>
      </c>
      <c r="B359" s="134" t="s">
        <v>191</v>
      </c>
      <c r="C359" s="126" t="s">
        <v>192</v>
      </c>
      <c r="D359" s="108">
        <v>5.03</v>
      </c>
      <c r="E359" s="108"/>
      <c r="F359" s="126"/>
      <c r="G359" s="128"/>
      <c r="H359" s="398">
        <f t="shared" si="157"/>
        <v>0</v>
      </c>
      <c r="I359" s="398"/>
      <c r="J359" s="130"/>
      <c r="K359" s="131"/>
      <c r="L359" s="129"/>
      <c r="M359" s="109"/>
      <c r="N359" s="130"/>
      <c r="O359" s="389"/>
      <c r="P359" s="389"/>
      <c r="Q359" s="389"/>
      <c r="R359" s="389"/>
      <c r="S359" s="389"/>
      <c r="T359" s="389"/>
      <c r="U359" s="389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30100061</v>
      </c>
      <c r="B360" s="134" t="s">
        <v>191</v>
      </c>
      <c r="C360" s="126" t="s">
        <v>193</v>
      </c>
      <c r="D360" s="108">
        <v>5.03</v>
      </c>
      <c r="E360" s="108"/>
      <c r="F360" s="126"/>
      <c r="G360" s="128"/>
      <c r="H360" s="398">
        <f t="shared" si="157"/>
        <v>0</v>
      </c>
      <c r="I360" s="398"/>
      <c r="J360" s="130"/>
      <c r="K360" s="131"/>
      <c r="L360" s="129"/>
      <c r="M360" s="109"/>
      <c r="N360" s="130"/>
      <c r="O360" s="389"/>
      <c r="P360" s="389"/>
      <c r="Q360" s="389"/>
      <c r="R360" s="389"/>
      <c r="S360" s="389"/>
      <c r="T360" s="389"/>
      <c r="U360" s="389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28"/>
      <c r="H361" s="398">
        <f t="shared" si="157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ref="M361:M369" si="162">IF(ISERROR(I361-K361),"",I361-K361)</f>
        <v>0</v>
      </c>
      <c r="N361" s="130">
        <f t="shared" ref="N361:N363" si="163">SUM(O361:U361)</f>
        <v>0</v>
      </c>
      <c r="O361" s="389"/>
      <c r="P361" s="389"/>
      <c r="Q361" s="389"/>
      <c r="R361" s="389"/>
      <c r="S361" s="389"/>
      <c r="T361" s="389"/>
      <c r="U361" s="389"/>
      <c r="V361" s="132">
        <f t="shared" ref="V361:V363" si="164">SUM(X361:AA361)</f>
        <v>0</v>
      </c>
      <c r="W361" s="133" t="str">
        <f t="shared" ref="W361:W363" si="165">IF(ISERROR(V361/G361),"",V361/G361)</f>
        <v/>
      </c>
      <c r="X361" s="132"/>
      <c r="Y361" s="132"/>
      <c r="Z361" s="132"/>
      <c r="AA361" s="132"/>
    </row>
    <row r="362" spans="1:27" ht="20.100000000000001" hidden="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28"/>
      <c r="H362" s="398">
        <f t="shared" si="157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2"/>
        <v>0</v>
      </c>
      <c r="N362" s="130">
        <f t="shared" si="163"/>
        <v>0</v>
      </c>
      <c r="O362" s="389"/>
      <c r="P362" s="389"/>
      <c r="Q362" s="389"/>
      <c r="R362" s="389"/>
      <c r="S362" s="389"/>
      <c r="T362" s="389"/>
      <c r="U362" s="389"/>
      <c r="V362" s="132">
        <f t="shared" si="164"/>
        <v>0</v>
      </c>
      <c r="W362" s="133" t="str">
        <f t="shared" si="165"/>
        <v/>
      </c>
      <c r="X362" s="132"/>
      <c r="Y362" s="132"/>
      <c r="Z362" s="132"/>
      <c r="AA362" s="132"/>
    </row>
    <row r="363" spans="1:27" ht="20.100000000000001" hidden="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28"/>
      <c r="H363" s="398">
        <f t="shared" si="157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2"/>
        <v>0</v>
      </c>
      <c r="N363" s="130">
        <f t="shared" si="163"/>
        <v>0</v>
      </c>
      <c r="O363" s="389"/>
      <c r="P363" s="389"/>
      <c r="Q363" s="389"/>
      <c r="R363" s="389"/>
      <c r="S363" s="389"/>
      <c r="T363" s="389"/>
      <c r="U363" s="389"/>
      <c r="V363" s="132">
        <f t="shared" si="164"/>
        <v>0</v>
      </c>
      <c r="W363" s="133" t="str">
        <f t="shared" si="165"/>
        <v/>
      </c>
      <c r="X363" s="132"/>
      <c r="Y363" s="132"/>
      <c r="Z363" s="132"/>
      <c r="AA363" s="132"/>
    </row>
    <row r="364" spans="1:27" ht="20.100000000000001" hidden="1" customHeight="1">
      <c r="A364" s="300">
        <v>30100003</v>
      </c>
      <c r="B364" s="141" t="s">
        <v>198</v>
      </c>
      <c r="C364" s="388" t="s">
        <v>190</v>
      </c>
      <c r="D364" s="108">
        <v>4.8</v>
      </c>
      <c r="E364" s="108"/>
      <c r="F364" s="127"/>
      <c r="G364" s="128"/>
      <c r="H364" s="398">
        <f t="shared" si="157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2"/>
        <v>0</v>
      </c>
      <c r="N364" s="130"/>
      <c r="O364" s="389"/>
      <c r="P364" s="389"/>
      <c r="Q364" s="389"/>
      <c r="R364" s="389"/>
      <c r="S364" s="389"/>
      <c r="T364" s="389"/>
      <c r="U364" s="389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30100004</v>
      </c>
      <c r="B365" s="141" t="s">
        <v>198</v>
      </c>
      <c r="C365" s="388" t="s">
        <v>187</v>
      </c>
      <c r="D365" s="108">
        <v>4.8</v>
      </c>
      <c r="E365" s="108"/>
      <c r="F365" s="127"/>
      <c r="G365" s="128"/>
      <c r="H365" s="398">
        <f t="shared" si="157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2"/>
        <v>0</v>
      </c>
      <c r="N365" s="130"/>
      <c r="O365" s="389"/>
      <c r="P365" s="389"/>
      <c r="Q365" s="389"/>
      <c r="R365" s="389"/>
      <c r="S365" s="389"/>
      <c r="T365" s="389"/>
      <c r="U365" s="389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30100006</v>
      </c>
      <c r="B366" s="141" t="s">
        <v>198</v>
      </c>
      <c r="C366" s="388" t="s">
        <v>179</v>
      </c>
      <c r="D366" s="108">
        <v>4.8</v>
      </c>
      <c r="E366" s="108"/>
      <c r="F366" s="127"/>
      <c r="G366" s="128"/>
      <c r="H366" s="398">
        <f t="shared" si="157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2"/>
        <v>0</v>
      </c>
      <c r="N366" s="130"/>
      <c r="O366" s="389"/>
      <c r="P366" s="389"/>
      <c r="Q366" s="389"/>
      <c r="R366" s="389"/>
      <c r="S366" s="389"/>
      <c r="T366" s="389"/>
      <c r="U366" s="389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0">
        <v>30100005</v>
      </c>
      <c r="B367" s="141" t="s">
        <v>198</v>
      </c>
      <c r="C367" s="388" t="s">
        <v>199</v>
      </c>
      <c r="D367" s="108">
        <v>4.8</v>
      </c>
      <c r="E367" s="108"/>
      <c r="F367" s="127"/>
      <c r="G367" s="128"/>
      <c r="H367" s="398">
        <f t="shared" si="157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2"/>
        <v>0</v>
      </c>
      <c r="N367" s="130"/>
      <c r="O367" s="389"/>
      <c r="P367" s="389"/>
      <c r="Q367" s="389"/>
      <c r="R367" s="389"/>
      <c r="S367" s="389"/>
      <c r="T367" s="389"/>
      <c r="U367" s="389"/>
      <c r="V367" s="132"/>
      <c r="W367" s="133"/>
      <c r="X367" s="132"/>
      <c r="Y367" s="132"/>
      <c r="Z367" s="132"/>
      <c r="AA367" s="132"/>
    </row>
    <row r="368" spans="1:27" ht="20.100000000000001" hidden="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28"/>
      <c r="H368" s="398">
        <f t="shared" si="157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2"/>
        <v>0</v>
      </c>
      <c r="N368" s="130">
        <f t="shared" ref="N368:N369" si="166">SUM(O368:U368)</f>
        <v>0</v>
      </c>
      <c r="O368" s="389"/>
      <c r="P368" s="389"/>
      <c r="Q368" s="389"/>
      <c r="R368" s="389"/>
      <c r="S368" s="389"/>
      <c r="T368" s="389"/>
      <c r="U368" s="389"/>
      <c r="V368" s="132">
        <f t="shared" ref="V368:V369" si="167">SUM(X368:AA368)</f>
        <v>0</v>
      </c>
      <c r="W368" s="133" t="str">
        <f t="shared" ref="W368:W369" si="168">IF(ISERROR(V368/G368),"",V368/G368)</f>
        <v/>
      </c>
      <c r="X368" s="132"/>
      <c r="Y368" s="132"/>
      <c r="Z368" s="132"/>
      <c r="AA368" s="132"/>
    </row>
    <row r="369" spans="1:27" ht="20.100000000000001" hidden="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28"/>
      <c r="H369" s="398">
        <f t="shared" si="157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2"/>
        <v>0</v>
      </c>
      <c r="N369" s="130">
        <f t="shared" si="166"/>
        <v>0</v>
      </c>
      <c r="O369" s="389"/>
      <c r="P369" s="389"/>
      <c r="Q369" s="389"/>
      <c r="R369" s="389"/>
      <c r="S369" s="389"/>
      <c r="T369" s="389"/>
      <c r="U369" s="389"/>
      <c r="V369" s="132">
        <f t="shared" si="167"/>
        <v>0</v>
      </c>
      <c r="W369" s="133" t="str">
        <f t="shared" si="168"/>
        <v/>
      </c>
      <c r="X369" s="132"/>
      <c r="Y369" s="132"/>
      <c r="Z369" s="132"/>
      <c r="AA369" s="132"/>
    </row>
    <row r="370" spans="1:27" ht="20.100000000000001" hidden="1" customHeight="1">
      <c r="A370" s="578" t="s">
        <v>201</v>
      </c>
      <c r="B370" s="579"/>
      <c r="C370" s="396" t="s">
        <v>202</v>
      </c>
      <c r="D370" s="143"/>
      <c r="E370" s="143"/>
      <c r="F370" s="144"/>
      <c r="G370" s="145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69">SUM(M349:M369)</f>
        <v>0</v>
      </c>
      <c r="N370" s="146">
        <f t="shared" si="169"/>
        <v>0</v>
      </c>
      <c r="O370" s="148">
        <f t="shared" si="169"/>
        <v>0</v>
      </c>
      <c r="P370" s="148">
        <f t="shared" si="169"/>
        <v>0</v>
      </c>
      <c r="Q370" s="148">
        <f t="shared" si="169"/>
        <v>0</v>
      </c>
      <c r="R370" s="148">
        <f t="shared" si="169"/>
        <v>0</v>
      </c>
      <c r="S370" s="148">
        <f t="shared" si="169"/>
        <v>0</v>
      </c>
      <c r="T370" s="148">
        <f t="shared" si="169"/>
        <v>0</v>
      </c>
      <c r="U370" s="148">
        <f t="shared" si="169"/>
        <v>0</v>
      </c>
      <c r="V370" s="149">
        <f t="shared" si="169"/>
        <v>0</v>
      </c>
      <c r="W370" s="133">
        <f t="shared" si="169"/>
        <v>0</v>
      </c>
      <c r="X370" s="149">
        <f t="shared" si="169"/>
        <v>0</v>
      </c>
      <c r="Y370" s="149">
        <f t="shared" si="169"/>
        <v>0</v>
      </c>
      <c r="Z370" s="149">
        <f t="shared" si="169"/>
        <v>0</v>
      </c>
      <c r="AA370" s="149">
        <f t="shared" si="169"/>
        <v>0</v>
      </c>
    </row>
    <row r="371" spans="1:27" ht="20.100000000000001" hidden="1" customHeight="1">
      <c r="A371" s="300">
        <v>30100012</v>
      </c>
      <c r="B371" s="390" t="s">
        <v>206</v>
      </c>
      <c r="C371" s="126" t="s">
        <v>199</v>
      </c>
      <c r="D371" s="108">
        <v>5.03</v>
      </c>
      <c r="E371" s="108"/>
      <c r="F371" s="127"/>
      <c r="G371" s="128"/>
      <c r="H371" s="398">
        <f t="shared" ref="H371:H427" si="170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" si="171">IF(ISERROR(I371-K371),"",I371-K371)</f>
        <v>0</v>
      </c>
      <c r="N371" s="130">
        <f t="shared" ref="N371" si="172">SUM(O371:U371)</f>
        <v>0</v>
      </c>
      <c r="O371" s="393"/>
      <c r="P371" s="393"/>
      <c r="Q371" s="393"/>
      <c r="R371" s="393"/>
      <c r="S371" s="393"/>
      <c r="T371" s="393"/>
      <c r="U371" s="393"/>
      <c r="V371" s="132">
        <f t="shared" ref="V371" si="173">SUM(X371:AA371)</f>
        <v>0</v>
      </c>
      <c r="W371" s="133" t="str">
        <f t="shared" ref="W371" si="174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30100011</v>
      </c>
      <c r="B372" s="390" t="s">
        <v>425</v>
      </c>
      <c r="C372" s="187" t="s">
        <v>427</v>
      </c>
      <c r="D372" s="108">
        <v>5.03</v>
      </c>
      <c r="E372" s="108"/>
      <c r="F372" s="127"/>
      <c r="G372" s="128"/>
      <c r="H372" s="398">
        <f t="shared" si="170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393"/>
      <c r="P372" s="393"/>
      <c r="Q372" s="393"/>
      <c r="R372" s="393"/>
      <c r="S372" s="393"/>
      <c r="T372" s="393"/>
      <c r="U372" s="393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0">
        <v>30100010</v>
      </c>
      <c r="B373" s="390" t="s">
        <v>206</v>
      </c>
      <c r="C373" s="126" t="s">
        <v>186</v>
      </c>
      <c r="D373" s="108">
        <v>5.03</v>
      </c>
      <c r="E373" s="108"/>
      <c r="F373" s="127"/>
      <c r="G373" s="128"/>
      <c r="H373" s="398">
        <f t="shared" si="170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ref="M373:M408" si="175">IF(ISERROR(I373-K373),"",I373-K373)</f>
        <v>0</v>
      </c>
      <c r="N373" s="130">
        <f t="shared" ref="N373:N375" si="176">SUM(O373:U373)</f>
        <v>0</v>
      </c>
      <c r="O373" s="393"/>
      <c r="P373" s="393"/>
      <c r="Q373" s="393"/>
      <c r="R373" s="393"/>
      <c r="S373" s="393"/>
      <c r="T373" s="393"/>
      <c r="U373" s="393"/>
      <c r="V373" s="132">
        <f t="shared" ref="V373:V375" si="177">SUM(X373:AA373)</f>
        <v>0</v>
      </c>
      <c r="W373" s="133" t="str">
        <f t="shared" ref="W373:W375" si="178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0">
        <v>30100014</v>
      </c>
      <c r="B374" s="390" t="s">
        <v>206</v>
      </c>
      <c r="C374" s="126" t="s">
        <v>203</v>
      </c>
      <c r="D374" s="108">
        <v>5.03</v>
      </c>
      <c r="E374" s="108"/>
      <c r="F374" s="127"/>
      <c r="G374" s="128"/>
      <c r="H374" s="398">
        <f t="shared" si="170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5"/>
        <v>0</v>
      </c>
      <c r="N374" s="130">
        <f t="shared" si="176"/>
        <v>0</v>
      </c>
      <c r="O374" s="393"/>
      <c r="P374" s="393"/>
      <c r="Q374" s="393"/>
      <c r="R374" s="393"/>
      <c r="S374" s="393"/>
      <c r="T374" s="393"/>
      <c r="U374" s="393"/>
      <c r="V374" s="132">
        <f t="shared" si="177"/>
        <v>0</v>
      </c>
      <c r="W374" s="133" t="str">
        <f t="shared" si="178"/>
        <v/>
      </c>
      <c r="X374" s="132"/>
      <c r="Y374" s="132"/>
      <c r="Z374" s="132"/>
      <c r="AA374" s="132"/>
    </row>
    <row r="375" spans="1:27" ht="20.100000000000001" hidden="1" customHeight="1">
      <c r="A375" s="300">
        <v>30100013</v>
      </c>
      <c r="B375" s="390" t="s">
        <v>206</v>
      </c>
      <c r="C375" s="126" t="s">
        <v>207</v>
      </c>
      <c r="D375" s="108">
        <v>5.03</v>
      </c>
      <c r="E375" s="108"/>
      <c r="F375" s="127"/>
      <c r="G375" s="128"/>
      <c r="H375" s="398">
        <f t="shared" si="170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5"/>
        <v>0</v>
      </c>
      <c r="N375" s="130">
        <f t="shared" si="176"/>
        <v>0</v>
      </c>
      <c r="O375" s="393"/>
      <c r="P375" s="393"/>
      <c r="Q375" s="393"/>
      <c r="R375" s="393"/>
      <c r="S375" s="393"/>
      <c r="T375" s="393"/>
      <c r="U375" s="393"/>
      <c r="V375" s="132">
        <f t="shared" si="177"/>
        <v>0</v>
      </c>
      <c r="W375" s="133" t="str">
        <f t="shared" si="178"/>
        <v/>
      </c>
      <c r="X375" s="132"/>
      <c r="Y375" s="132"/>
      <c r="Z375" s="132"/>
      <c r="AA375" s="132"/>
    </row>
    <row r="376" spans="1:27" ht="20.100000000000001" hidden="1" customHeight="1">
      <c r="A376" s="300">
        <v>30100016</v>
      </c>
      <c r="B376" s="390" t="s">
        <v>414</v>
      </c>
      <c r="C376" s="187" t="s">
        <v>415</v>
      </c>
      <c r="D376" s="108"/>
      <c r="E376" s="108"/>
      <c r="F376" s="127"/>
      <c r="G376" s="128"/>
      <c r="H376" s="398">
        <f t="shared" si="170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5"/>
        <v>0</v>
      </c>
      <c r="N376" s="130"/>
      <c r="O376" s="393"/>
      <c r="P376" s="393"/>
      <c r="Q376" s="393"/>
      <c r="R376" s="393"/>
      <c r="S376" s="393"/>
      <c r="T376" s="393"/>
      <c r="U376" s="393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30100017</v>
      </c>
      <c r="B377" s="390" t="s">
        <v>414</v>
      </c>
      <c r="C377" s="187" t="s">
        <v>416</v>
      </c>
      <c r="D377" s="108"/>
      <c r="E377" s="108"/>
      <c r="F377" s="127"/>
      <c r="G377" s="128"/>
      <c r="H377" s="398">
        <f t="shared" si="170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5"/>
        <v>0</v>
      </c>
      <c r="N377" s="130"/>
      <c r="O377" s="393"/>
      <c r="P377" s="393"/>
      <c r="Q377" s="393"/>
      <c r="R377" s="393"/>
      <c r="S377" s="393"/>
      <c r="T377" s="393"/>
      <c r="U377" s="393"/>
      <c r="V377" s="132"/>
      <c r="W377" s="133"/>
      <c r="X377" s="132"/>
      <c r="Y377" s="132"/>
      <c r="Z377" s="132"/>
      <c r="AA377" s="132"/>
    </row>
    <row r="378" spans="1:27" ht="20.100000000000001" hidden="1" customHeight="1">
      <c r="A378" s="300">
        <v>30100015</v>
      </c>
      <c r="B378" s="390" t="s">
        <v>414</v>
      </c>
      <c r="C378" s="187" t="s">
        <v>61</v>
      </c>
      <c r="D378" s="108"/>
      <c r="E378" s="108"/>
      <c r="F378" s="127"/>
      <c r="G378" s="128"/>
      <c r="H378" s="398">
        <f t="shared" si="170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5"/>
        <v>0</v>
      </c>
      <c r="N378" s="130"/>
      <c r="O378" s="393"/>
      <c r="P378" s="393"/>
      <c r="Q378" s="393"/>
      <c r="R378" s="393"/>
      <c r="S378" s="393"/>
      <c r="T378" s="393"/>
      <c r="U378" s="393"/>
      <c r="V378" s="132"/>
      <c r="W378" s="133"/>
      <c r="X378" s="132"/>
      <c r="Y378" s="132"/>
      <c r="Z378" s="132"/>
      <c r="AA378" s="132"/>
    </row>
    <row r="379" spans="1:27" ht="20.100000000000001" hidden="1" customHeight="1">
      <c r="A379" s="300">
        <v>30100027</v>
      </c>
      <c r="B379" s="390" t="s">
        <v>208</v>
      </c>
      <c r="C379" s="126" t="s">
        <v>179</v>
      </c>
      <c r="D379" s="108">
        <v>5.08</v>
      </c>
      <c r="E379" s="108"/>
      <c r="F379" s="127"/>
      <c r="G379" s="128"/>
      <c r="H379" s="398">
        <f t="shared" si="170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5"/>
        <v>0</v>
      </c>
      <c r="N379" s="130">
        <f t="shared" ref="N379:N394" si="179">SUM(O379:U379)</f>
        <v>0</v>
      </c>
      <c r="O379" s="393"/>
      <c r="P379" s="393"/>
      <c r="Q379" s="393"/>
      <c r="R379" s="393"/>
      <c r="S379" s="393"/>
      <c r="T379" s="393"/>
      <c r="U379" s="393"/>
      <c r="V379" s="132">
        <f t="shared" ref="V379:V390" si="180">SUM(X379:AA379)</f>
        <v>0</v>
      </c>
      <c r="W379" s="133" t="str">
        <f t="shared" ref="W379:W390" si="181">IF(ISERROR(V379/G379),"",V379/G379)</f>
        <v/>
      </c>
      <c r="X379" s="132"/>
      <c r="Y379" s="132"/>
      <c r="Z379" s="132"/>
      <c r="AA379" s="132"/>
    </row>
    <row r="380" spans="1:27" ht="20.100000000000001" hidden="1" customHeight="1">
      <c r="A380" s="300">
        <v>30100023</v>
      </c>
      <c r="B380" s="390" t="s">
        <v>208</v>
      </c>
      <c r="C380" s="126" t="s">
        <v>204</v>
      </c>
      <c r="D380" s="108">
        <v>5.08</v>
      </c>
      <c r="E380" s="108"/>
      <c r="F380" s="127"/>
      <c r="G380" s="128"/>
      <c r="H380" s="398">
        <f t="shared" si="170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5"/>
        <v>0</v>
      </c>
      <c r="N380" s="130">
        <f t="shared" si="179"/>
        <v>0</v>
      </c>
      <c r="O380" s="393"/>
      <c r="P380" s="393"/>
      <c r="Q380" s="393"/>
      <c r="R380" s="393"/>
      <c r="S380" s="393"/>
      <c r="T380" s="393"/>
      <c r="U380" s="393"/>
      <c r="V380" s="132">
        <f t="shared" si="180"/>
        <v>0</v>
      </c>
      <c r="W380" s="133" t="str">
        <f t="shared" si="181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30100024</v>
      </c>
      <c r="B381" s="390" t="s">
        <v>208</v>
      </c>
      <c r="C381" s="126" t="s">
        <v>205</v>
      </c>
      <c r="D381" s="108">
        <v>5.08</v>
      </c>
      <c r="E381" s="108"/>
      <c r="F381" s="127"/>
      <c r="G381" s="128"/>
      <c r="H381" s="398">
        <f t="shared" si="170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5"/>
        <v>0</v>
      </c>
      <c r="N381" s="130">
        <f t="shared" si="179"/>
        <v>0</v>
      </c>
      <c r="O381" s="393"/>
      <c r="P381" s="393"/>
      <c r="Q381" s="393"/>
      <c r="R381" s="393"/>
      <c r="S381" s="393"/>
      <c r="T381" s="393"/>
      <c r="U381" s="393"/>
      <c r="V381" s="132">
        <f t="shared" si="180"/>
        <v>0</v>
      </c>
      <c r="W381" s="133" t="str">
        <f t="shared" si="181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30100022</v>
      </c>
      <c r="B382" s="390" t="s">
        <v>208</v>
      </c>
      <c r="C382" s="126" t="s">
        <v>186</v>
      </c>
      <c r="D382" s="108">
        <v>5.08</v>
      </c>
      <c r="E382" s="108"/>
      <c r="F382" s="127"/>
      <c r="G382" s="128"/>
      <c r="H382" s="398">
        <f t="shared" si="170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5"/>
        <v>0</v>
      </c>
      <c r="N382" s="130">
        <f t="shared" si="179"/>
        <v>0</v>
      </c>
      <c r="O382" s="393"/>
      <c r="P382" s="393"/>
      <c r="Q382" s="393"/>
      <c r="R382" s="393"/>
      <c r="S382" s="393"/>
      <c r="T382" s="393"/>
      <c r="U382" s="393"/>
      <c r="V382" s="132">
        <f t="shared" si="180"/>
        <v>0</v>
      </c>
      <c r="W382" s="133" t="str">
        <f t="shared" si="181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30100029</v>
      </c>
      <c r="B383" s="390" t="s">
        <v>208</v>
      </c>
      <c r="C383" s="126" t="s">
        <v>203</v>
      </c>
      <c r="D383" s="108">
        <v>5.08</v>
      </c>
      <c r="E383" s="108"/>
      <c r="F383" s="127"/>
      <c r="G383" s="128"/>
      <c r="H383" s="398">
        <f t="shared" si="170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5"/>
        <v>0</v>
      </c>
      <c r="N383" s="130">
        <f t="shared" si="179"/>
        <v>0</v>
      </c>
      <c r="O383" s="393"/>
      <c r="P383" s="393"/>
      <c r="Q383" s="393"/>
      <c r="R383" s="393"/>
      <c r="S383" s="393"/>
      <c r="T383" s="393"/>
      <c r="U383" s="393"/>
      <c r="V383" s="132">
        <f t="shared" si="180"/>
        <v>0</v>
      </c>
      <c r="W383" s="133" t="str">
        <f t="shared" si="181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30100026</v>
      </c>
      <c r="B384" s="390" t="s">
        <v>208</v>
      </c>
      <c r="C384" s="126" t="s">
        <v>199</v>
      </c>
      <c r="D384" s="108">
        <v>5.08</v>
      </c>
      <c r="E384" s="108"/>
      <c r="F384" s="127"/>
      <c r="G384" s="128"/>
      <c r="H384" s="398">
        <f t="shared" si="170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5"/>
        <v>0</v>
      </c>
      <c r="N384" s="130">
        <f t="shared" si="179"/>
        <v>0</v>
      </c>
      <c r="O384" s="389"/>
      <c r="P384" s="389"/>
      <c r="Q384" s="389"/>
      <c r="R384" s="389"/>
      <c r="S384" s="389"/>
      <c r="T384" s="389"/>
      <c r="U384" s="389"/>
      <c r="V384" s="132">
        <f t="shared" si="180"/>
        <v>0</v>
      </c>
      <c r="W384" s="133" t="str">
        <f t="shared" si="181"/>
        <v/>
      </c>
      <c r="X384" s="132"/>
      <c r="Y384" s="132"/>
      <c r="Z384" s="132"/>
      <c r="AA384" s="132"/>
    </row>
    <row r="385" spans="1:27" ht="20.100000000000001" hidden="1" customHeight="1">
      <c r="A385" s="300">
        <v>30100025</v>
      </c>
      <c r="B385" s="390" t="s">
        <v>208</v>
      </c>
      <c r="C385" s="126" t="s">
        <v>187</v>
      </c>
      <c r="D385" s="108">
        <v>5.08</v>
      </c>
      <c r="E385" s="108"/>
      <c r="F385" s="127"/>
      <c r="G385" s="128"/>
      <c r="H385" s="398">
        <f t="shared" si="170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5"/>
        <v>0</v>
      </c>
      <c r="N385" s="130">
        <f t="shared" si="179"/>
        <v>0</v>
      </c>
      <c r="O385" s="393"/>
      <c r="P385" s="393"/>
      <c r="Q385" s="393"/>
      <c r="R385" s="393"/>
      <c r="S385" s="393"/>
      <c r="T385" s="393"/>
      <c r="U385" s="393"/>
      <c r="V385" s="132">
        <f t="shared" si="180"/>
        <v>0</v>
      </c>
      <c r="W385" s="133" t="str">
        <f t="shared" si="181"/>
        <v/>
      </c>
      <c r="X385" s="132"/>
      <c r="Y385" s="132"/>
      <c r="Z385" s="132"/>
      <c r="AA385" s="132"/>
    </row>
    <row r="386" spans="1:27" ht="20.100000000000001" hidden="1" customHeight="1">
      <c r="A386" s="300">
        <v>30100028</v>
      </c>
      <c r="B386" s="390" t="s">
        <v>208</v>
      </c>
      <c r="C386" s="126" t="s">
        <v>207</v>
      </c>
      <c r="D386" s="108">
        <v>5.08</v>
      </c>
      <c r="E386" s="108"/>
      <c r="F386" s="127"/>
      <c r="G386" s="128"/>
      <c r="H386" s="398">
        <f t="shared" si="170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5"/>
        <v>0</v>
      </c>
      <c r="N386" s="130">
        <f t="shared" si="179"/>
        <v>0</v>
      </c>
      <c r="O386" s="389"/>
      <c r="P386" s="389"/>
      <c r="Q386" s="389"/>
      <c r="R386" s="389"/>
      <c r="S386" s="389"/>
      <c r="T386" s="389"/>
      <c r="U386" s="389"/>
      <c r="V386" s="132">
        <f t="shared" si="180"/>
        <v>0</v>
      </c>
      <c r="W386" s="133" t="str">
        <f t="shared" si="181"/>
        <v/>
      </c>
      <c r="X386" s="132"/>
      <c r="Y386" s="132"/>
      <c r="Z386" s="132"/>
      <c r="AA386" s="132"/>
    </row>
    <row r="387" spans="1:27" ht="20.100000000000001" hidden="1" customHeight="1">
      <c r="A387" s="300">
        <v>30100032</v>
      </c>
      <c r="B387" s="390" t="s">
        <v>209</v>
      </c>
      <c r="C387" s="126" t="s">
        <v>194</v>
      </c>
      <c r="D387" s="108">
        <v>5.03</v>
      </c>
      <c r="E387" s="108"/>
      <c r="F387" s="127"/>
      <c r="G387" s="128"/>
      <c r="H387" s="398">
        <f t="shared" si="170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5"/>
        <v>0</v>
      </c>
      <c r="N387" s="130">
        <f t="shared" si="179"/>
        <v>0</v>
      </c>
      <c r="O387" s="393"/>
      <c r="P387" s="393"/>
      <c r="Q387" s="393"/>
      <c r="R387" s="393"/>
      <c r="S387" s="393"/>
      <c r="T387" s="393"/>
      <c r="U387" s="393"/>
      <c r="V387" s="132">
        <f t="shared" si="180"/>
        <v>0</v>
      </c>
      <c r="W387" s="133" t="str">
        <f t="shared" si="181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30100033</v>
      </c>
      <c r="B388" s="390" t="s">
        <v>209</v>
      </c>
      <c r="C388" s="126" t="s">
        <v>179</v>
      </c>
      <c r="D388" s="108">
        <v>5.03</v>
      </c>
      <c r="E388" s="108"/>
      <c r="F388" s="127"/>
      <c r="G388" s="128"/>
      <c r="H388" s="398">
        <f t="shared" si="170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5"/>
        <v>0</v>
      </c>
      <c r="N388" s="130">
        <f t="shared" si="179"/>
        <v>0</v>
      </c>
      <c r="O388" s="393"/>
      <c r="P388" s="393"/>
      <c r="Q388" s="393"/>
      <c r="R388" s="393"/>
      <c r="S388" s="393"/>
      <c r="T388" s="393"/>
      <c r="U388" s="393"/>
      <c r="V388" s="132">
        <f t="shared" si="180"/>
        <v>0</v>
      </c>
      <c r="W388" s="133" t="str">
        <f t="shared" si="181"/>
        <v/>
      </c>
      <c r="X388" s="132"/>
      <c r="Y388" s="132"/>
      <c r="Z388" s="132"/>
      <c r="AA388" s="132"/>
    </row>
    <row r="389" spans="1:27" ht="20.100000000000001" hidden="1" customHeight="1">
      <c r="A389" s="300">
        <v>30100062</v>
      </c>
      <c r="B389" s="390" t="s">
        <v>209</v>
      </c>
      <c r="C389" s="126" t="s">
        <v>195</v>
      </c>
      <c r="D389" s="108">
        <v>5.03</v>
      </c>
      <c r="E389" s="108"/>
      <c r="F389" s="127"/>
      <c r="G389" s="128"/>
      <c r="H389" s="398">
        <f t="shared" si="170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5"/>
        <v>0</v>
      </c>
      <c r="N389" s="130">
        <f t="shared" si="179"/>
        <v>0</v>
      </c>
      <c r="O389" s="393"/>
      <c r="P389" s="393"/>
      <c r="Q389" s="393"/>
      <c r="R389" s="393"/>
      <c r="S389" s="393"/>
      <c r="T389" s="393"/>
      <c r="U389" s="393"/>
      <c r="V389" s="132">
        <f t="shared" si="180"/>
        <v>0</v>
      </c>
      <c r="W389" s="133" t="str">
        <f t="shared" si="181"/>
        <v/>
      </c>
      <c r="X389" s="132"/>
      <c r="Y389" s="132"/>
      <c r="Z389" s="132"/>
      <c r="AA389" s="132"/>
    </row>
    <row r="390" spans="1:27" ht="20.100000000000001" hidden="1" customHeight="1">
      <c r="A390" s="300">
        <v>30100031</v>
      </c>
      <c r="B390" s="390" t="s">
        <v>209</v>
      </c>
      <c r="C390" s="126" t="s">
        <v>204</v>
      </c>
      <c r="D390" s="108">
        <v>5.03</v>
      </c>
      <c r="E390" s="108"/>
      <c r="F390" s="127"/>
      <c r="G390" s="128"/>
      <c r="H390" s="398">
        <f t="shared" si="170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5"/>
        <v>0</v>
      </c>
      <c r="N390" s="130">
        <f t="shared" si="179"/>
        <v>0</v>
      </c>
      <c r="O390" s="393"/>
      <c r="P390" s="393"/>
      <c r="Q390" s="393"/>
      <c r="R390" s="393"/>
      <c r="S390" s="393"/>
      <c r="T390" s="393"/>
      <c r="U390" s="393"/>
      <c r="V390" s="132">
        <f t="shared" si="180"/>
        <v>0</v>
      </c>
      <c r="W390" s="133" t="str">
        <f t="shared" si="181"/>
        <v/>
      </c>
      <c r="X390" s="132"/>
      <c r="Y390" s="132"/>
      <c r="Z390" s="132"/>
      <c r="AA390" s="132"/>
    </row>
    <row r="391" spans="1:27" ht="20.100000000000001" hidden="1" customHeight="1">
      <c r="A391" s="300">
        <v>30100019</v>
      </c>
      <c r="B391" s="390" t="s">
        <v>382</v>
      </c>
      <c r="C391" s="187" t="s">
        <v>383</v>
      </c>
      <c r="D391" s="108">
        <v>5.03</v>
      </c>
      <c r="E391" s="108"/>
      <c r="F391" s="127"/>
      <c r="G391" s="128"/>
      <c r="H391" s="398">
        <f t="shared" si="170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5"/>
        <v>0</v>
      </c>
      <c r="N391" s="130">
        <f t="shared" si="179"/>
        <v>0</v>
      </c>
      <c r="O391" s="393"/>
      <c r="P391" s="393"/>
      <c r="Q391" s="393"/>
      <c r="R391" s="393"/>
      <c r="S391" s="393"/>
      <c r="T391" s="393"/>
      <c r="U391" s="393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30100020</v>
      </c>
      <c r="B392" s="390" t="s">
        <v>382</v>
      </c>
      <c r="C392" s="187" t="s">
        <v>384</v>
      </c>
      <c r="D392" s="108">
        <v>5.03</v>
      </c>
      <c r="E392" s="108"/>
      <c r="F392" s="127"/>
      <c r="G392" s="128"/>
      <c r="H392" s="398">
        <f t="shared" si="170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5"/>
        <v>0</v>
      </c>
      <c r="N392" s="130">
        <f t="shared" si="179"/>
        <v>0</v>
      </c>
      <c r="O392" s="393"/>
      <c r="P392" s="393"/>
      <c r="Q392" s="393"/>
      <c r="R392" s="393"/>
      <c r="S392" s="393"/>
      <c r="T392" s="393"/>
      <c r="U392" s="393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0">
        <v>30100021</v>
      </c>
      <c r="B393" s="390" t="s">
        <v>382</v>
      </c>
      <c r="C393" s="187" t="s">
        <v>389</v>
      </c>
      <c r="D393" s="108">
        <v>5.03</v>
      </c>
      <c r="E393" s="108"/>
      <c r="F393" s="127"/>
      <c r="G393" s="128"/>
      <c r="H393" s="398">
        <f t="shared" si="170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5"/>
        <v>0</v>
      </c>
      <c r="N393" s="130">
        <f t="shared" si="179"/>
        <v>0</v>
      </c>
      <c r="O393" s="393"/>
      <c r="P393" s="393"/>
      <c r="Q393" s="393"/>
      <c r="R393" s="393"/>
      <c r="S393" s="393"/>
      <c r="T393" s="393"/>
      <c r="U393" s="393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0">
        <v>30100018</v>
      </c>
      <c r="B394" s="390" t="s">
        <v>382</v>
      </c>
      <c r="C394" s="187" t="s">
        <v>391</v>
      </c>
      <c r="D394" s="108">
        <v>5.03</v>
      </c>
      <c r="E394" s="108"/>
      <c r="F394" s="127"/>
      <c r="G394" s="128"/>
      <c r="H394" s="398">
        <f t="shared" si="170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5"/>
        <v>0</v>
      </c>
      <c r="N394" s="130">
        <f t="shared" si="179"/>
        <v>0</v>
      </c>
      <c r="O394" s="393"/>
      <c r="P394" s="393"/>
      <c r="Q394" s="393"/>
      <c r="R394" s="393"/>
      <c r="S394" s="393"/>
      <c r="T394" s="393"/>
      <c r="U394" s="393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30700007</v>
      </c>
      <c r="B395" s="390" t="s">
        <v>418</v>
      </c>
      <c r="C395" s="187" t="s">
        <v>364</v>
      </c>
      <c r="D395" s="108">
        <v>5.03</v>
      </c>
      <c r="E395" s="108"/>
      <c r="F395" s="127"/>
      <c r="G395" s="128"/>
      <c r="H395" s="398">
        <f t="shared" si="170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5"/>
        <v>0</v>
      </c>
      <c r="N395" s="130"/>
      <c r="O395" s="393"/>
      <c r="P395" s="393"/>
      <c r="Q395" s="393"/>
      <c r="R395" s="393"/>
      <c r="S395" s="393"/>
      <c r="T395" s="393"/>
      <c r="U395" s="393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30700006</v>
      </c>
      <c r="B396" s="390" t="s">
        <v>418</v>
      </c>
      <c r="C396" s="187" t="s">
        <v>365</v>
      </c>
      <c r="D396" s="108">
        <v>5.03</v>
      </c>
      <c r="E396" s="108"/>
      <c r="F396" s="127"/>
      <c r="G396" s="128"/>
      <c r="H396" s="398">
        <f t="shared" si="170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5"/>
        <v>0</v>
      </c>
      <c r="N396" s="130"/>
      <c r="O396" s="393"/>
      <c r="P396" s="393"/>
      <c r="Q396" s="393"/>
      <c r="R396" s="393"/>
      <c r="S396" s="393"/>
      <c r="T396" s="393"/>
      <c r="U396" s="393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3">
        <v>30700008</v>
      </c>
      <c r="B397" s="390" t="s">
        <v>418</v>
      </c>
      <c r="C397" s="187" t="s">
        <v>366</v>
      </c>
      <c r="D397" s="108">
        <v>5.03</v>
      </c>
      <c r="E397" s="108"/>
      <c r="F397" s="127"/>
      <c r="G397" s="128"/>
      <c r="H397" s="398">
        <f t="shared" si="170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5"/>
        <v>0</v>
      </c>
      <c r="N397" s="130"/>
      <c r="O397" s="393"/>
      <c r="P397" s="393"/>
      <c r="Q397" s="393"/>
      <c r="R397" s="393"/>
      <c r="S397" s="393"/>
      <c r="T397" s="393"/>
      <c r="U397" s="393"/>
      <c r="V397" s="132"/>
      <c r="W397" s="133"/>
      <c r="X397" s="132"/>
      <c r="Y397" s="132"/>
      <c r="Z397" s="132"/>
      <c r="AA397" s="132"/>
    </row>
    <row r="398" spans="1:27" ht="20.100000000000001" hidden="1" customHeight="1">
      <c r="A398" s="303">
        <v>30700009</v>
      </c>
      <c r="B398" s="390" t="s">
        <v>418</v>
      </c>
      <c r="C398" s="187" t="s">
        <v>367</v>
      </c>
      <c r="D398" s="108">
        <v>5.03</v>
      </c>
      <c r="E398" s="108"/>
      <c r="F398" s="127"/>
      <c r="G398" s="128"/>
      <c r="H398" s="398">
        <f t="shared" si="170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5"/>
        <v>0</v>
      </c>
      <c r="N398" s="130"/>
      <c r="O398" s="393"/>
      <c r="P398" s="393"/>
      <c r="Q398" s="393"/>
      <c r="R398" s="393"/>
      <c r="S398" s="393"/>
      <c r="T398" s="393"/>
      <c r="U398" s="393"/>
      <c r="V398" s="132"/>
      <c r="W398" s="133"/>
      <c r="X398" s="132"/>
      <c r="Y398" s="132"/>
      <c r="Z398" s="132"/>
      <c r="AA398" s="132"/>
    </row>
    <row r="399" spans="1:27" ht="20.100000000000001" hidden="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28"/>
      <c r="H399" s="398">
        <f t="shared" si="170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5"/>
        <v>0</v>
      </c>
      <c r="N399" s="130">
        <f t="shared" ref="N399:N408" si="182">SUM(O399:U399)</f>
        <v>0</v>
      </c>
      <c r="O399" s="389"/>
      <c r="P399" s="389"/>
      <c r="Q399" s="389"/>
      <c r="R399" s="389"/>
      <c r="S399" s="389"/>
      <c r="T399" s="389"/>
      <c r="U399" s="389"/>
      <c r="V399" s="132">
        <f t="shared" ref="V399:V408" si="183">SUM(X399:AA399)</f>
        <v>0</v>
      </c>
      <c r="W399" s="133" t="str">
        <f t="shared" ref="W399:W408" si="184">IF(ISERROR(V399/G399),"",V399/G399)</f>
        <v/>
      </c>
      <c r="X399" s="132"/>
      <c r="Y399" s="132"/>
      <c r="Z399" s="132"/>
      <c r="AA399" s="132"/>
    </row>
    <row r="400" spans="1:27" ht="20.100000000000001" hidden="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28"/>
      <c r="H400" s="398">
        <f t="shared" si="170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75"/>
        <v>0</v>
      </c>
      <c r="N400" s="130">
        <f t="shared" si="182"/>
        <v>0</v>
      </c>
      <c r="O400" s="389"/>
      <c r="P400" s="389"/>
      <c r="Q400" s="389"/>
      <c r="R400" s="389"/>
      <c r="S400" s="389"/>
      <c r="T400" s="389"/>
      <c r="U400" s="389"/>
      <c r="V400" s="132">
        <f t="shared" si="183"/>
        <v>0</v>
      </c>
      <c r="W400" s="133" t="str">
        <f t="shared" si="184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28"/>
      <c r="H401" s="398">
        <f t="shared" si="170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75"/>
        <v>0</v>
      </c>
      <c r="N401" s="130">
        <f t="shared" si="182"/>
        <v>0</v>
      </c>
      <c r="O401" s="389"/>
      <c r="P401" s="389"/>
      <c r="Q401" s="389"/>
      <c r="R401" s="389"/>
      <c r="S401" s="389"/>
      <c r="T401" s="389"/>
      <c r="U401" s="389"/>
      <c r="V401" s="132">
        <f t="shared" si="183"/>
        <v>0</v>
      </c>
      <c r="W401" s="133" t="str">
        <f t="shared" si="184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28"/>
      <c r="H402" s="398">
        <f t="shared" si="170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5"/>
        <v>0</v>
      </c>
      <c r="N402" s="130">
        <f t="shared" si="182"/>
        <v>0</v>
      </c>
      <c r="O402" s="389"/>
      <c r="P402" s="389"/>
      <c r="Q402" s="389"/>
      <c r="R402" s="389"/>
      <c r="S402" s="389"/>
      <c r="T402" s="389"/>
      <c r="U402" s="389"/>
      <c r="V402" s="132">
        <f t="shared" si="183"/>
        <v>0</v>
      </c>
      <c r="W402" s="133" t="str">
        <f t="shared" si="184"/>
        <v/>
      </c>
      <c r="X402" s="132"/>
      <c r="Y402" s="132"/>
      <c r="Z402" s="132"/>
      <c r="AA402" s="132"/>
    </row>
    <row r="403" spans="1:27" ht="20.100000000000001" hidden="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28"/>
      <c r="H403" s="398">
        <f t="shared" si="170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5"/>
        <v>0</v>
      </c>
      <c r="N403" s="130">
        <f t="shared" si="182"/>
        <v>0</v>
      </c>
      <c r="O403" s="389"/>
      <c r="P403" s="389"/>
      <c r="Q403" s="389"/>
      <c r="R403" s="389"/>
      <c r="S403" s="389"/>
      <c r="T403" s="389"/>
      <c r="U403" s="389"/>
      <c r="V403" s="132">
        <f t="shared" si="183"/>
        <v>0</v>
      </c>
      <c r="W403" s="133" t="str">
        <f t="shared" si="184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28"/>
      <c r="H404" s="398">
        <f t="shared" si="170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5"/>
        <v>0</v>
      </c>
      <c r="N404" s="130">
        <f t="shared" si="182"/>
        <v>0</v>
      </c>
      <c r="O404" s="389"/>
      <c r="P404" s="389"/>
      <c r="Q404" s="389"/>
      <c r="R404" s="389"/>
      <c r="S404" s="389"/>
      <c r="T404" s="389"/>
      <c r="U404" s="389"/>
      <c r="V404" s="132">
        <f t="shared" si="183"/>
        <v>0</v>
      </c>
      <c r="W404" s="133" t="str">
        <f t="shared" si="184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28"/>
      <c r="H405" s="398">
        <f t="shared" si="170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5"/>
        <v>0</v>
      </c>
      <c r="N405" s="130">
        <f t="shared" si="182"/>
        <v>0</v>
      </c>
      <c r="O405" s="389"/>
      <c r="P405" s="389"/>
      <c r="Q405" s="389"/>
      <c r="R405" s="389"/>
      <c r="S405" s="389"/>
      <c r="T405" s="389"/>
      <c r="U405" s="389"/>
      <c r="V405" s="132">
        <f t="shared" si="183"/>
        <v>0</v>
      </c>
      <c r="W405" s="133" t="str">
        <f t="shared" si="184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28"/>
      <c r="H406" s="398">
        <f t="shared" si="170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5"/>
        <v>0</v>
      </c>
      <c r="N406" s="130">
        <f t="shared" si="182"/>
        <v>0</v>
      </c>
      <c r="O406" s="389"/>
      <c r="P406" s="389"/>
      <c r="Q406" s="389"/>
      <c r="R406" s="389"/>
      <c r="S406" s="389"/>
      <c r="T406" s="389"/>
      <c r="U406" s="389"/>
      <c r="V406" s="132">
        <f t="shared" si="183"/>
        <v>0</v>
      </c>
      <c r="W406" s="133" t="str">
        <f t="shared" si="184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28"/>
      <c r="H407" s="398">
        <f t="shared" si="170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75"/>
        <v>0</v>
      </c>
      <c r="N407" s="130">
        <f t="shared" si="182"/>
        <v>0</v>
      </c>
      <c r="O407" s="389"/>
      <c r="P407" s="389"/>
      <c r="Q407" s="389"/>
      <c r="R407" s="389"/>
      <c r="S407" s="389"/>
      <c r="T407" s="389"/>
      <c r="U407" s="389"/>
      <c r="V407" s="132">
        <f t="shared" si="183"/>
        <v>0</v>
      </c>
      <c r="W407" s="133" t="str">
        <f t="shared" si="184"/>
        <v/>
      </c>
      <c r="X407" s="132"/>
      <c r="Y407" s="132"/>
      <c r="Z407" s="132"/>
      <c r="AA407" s="132"/>
    </row>
    <row r="408" spans="1:27" ht="20.100000000000001" hidden="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28"/>
      <c r="H408" s="398">
        <f t="shared" si="170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75"/>
        <v>0</v>
      </c>
      <c r="N408" s="130">
        <f t="shared" si="182"/>
        <v>0</v>
      </c>
      <c r="O408" s="389"/>
      <c r="P408" s="389"/>
      <c r="Q408" s="389"/>
      <c r="R408" s="389"/>
      <c r="S408" s="389"/>
      <c r="T408" s="389"/>
      <c r="U408" s="389"/>
      <c r="V408" s="132">
        <f t="shared" si="183"/>
        <v>0</v>
      </c>
      <c r="W408" s="133" t="str">
        <f t="shared" si="184"/>
        <v/>
      </c>
      <c r="X408" s="132"/>
      <c r="Y408" s="132"/>
      <c r="Z408" s="132"/>
      <c r="AA408" s="132"/>
    </row>
    <row r="409" spans="1:27" ht="20.100000000000001" hidden="1" customHeight="1">
      <c r="A409" s="300">
        <v>30100043</v>
      </c>
      <c r="B409" s="134" t="s">
        <v>429</v>
      </c>
      <c r="C409" s="187" t="s">
        <v>427</v>
      </c>
      <c r="D409" s="108">
        <v>50.3</v>
      </c>
      <c r="E409" s="108"/>
      <c r="F409" s="127"/>
      <c r="G409" s="128"/>
      <c r="H409" s="398">
        <f t="shared" si="170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389"/>
      <c r="P409" s="389"/>
      <c r="Q409" s="389"/>
      <c r="R409" s="389"/>
      <c r="S409" s="389"/>
      <c r="T409" s="389"/>
      <c r="U409" s="389"/>
      <c r="V409" s="132"/>
      <c r="W409" s="133"/>
      <c r="X409" s="132"/>
      <c r="Y409" s="132"/>
      <c r="Z409" s="132"/>
      <c r="AA409" s="132"/>
    </row>
    <row r="410" spans="1:27" ht="20.100000000000001" hidden="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28"/>
      <c r="H410" s="398">
        <f t="shared" si="170"/>
        <v>0</v>
      </c>
      <c r="I410" s="129"/>
      <c r="J410" s="130"/>
      <c r="K410" s="131"/>
      <c r="L410" s="129">
        <v>50</v>
      </c>
      <c r="M410" s="109"/>
      <c r="N410" s="130"/>
      <c r="O410" s="389"/>
      <c r="P410" s="389"/>
      <c r="Q410" s="389"/>
      <c r="R410" s="389"/>
      <c r="S410" s="389"/>
      <c r="T410" s="389"/>
      <c r="U410" s="389"/>
      <c r="V410" s="132"/>
      <c r="W410" s="133"/>
      <c r="X410" s="132"/>
      <c r="Y410" s="132"/>
      <c r="Z410" s="132"/>
      <c r="AA410" s="132"/>
    </row>
    <row r="411" spans="1:27" ht="20.100000000000001" hidden="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28"/>
      <c r="H411" s="398">
        <f t="shared" si="170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5">IF(ISERROR(I411-K411),"",I411-K411)</f>
        <v>0</v>
      </c>
      <c r="N411" s="130">
        <f t="shared" ref="N411:N412" si="186">SUM(O411:U411)</f>
        <v>0</v>
      </c>
      <c r="O411" s="389"/>
      <c r="P411" s="389"/>
      <c r="Q411" s="389"/>
      <c r="R411" s="389"/>
      <c r="S411" s="389"/>
      <c r="T411" s="389"/>
      <c r="U411" s="389"/>
      <c r="V411" s="132">
        <f t="shared" ref="V411:V412" si="187">SUM(X411:AA411)</f>
        <v>0</v>
      </c>
      <c r="W411" s="133" t="str">
        <f t="shared" ref="W411:W412" si="188">IF(ISERROR(V411/G411),"",V411/G411)</f>
        <v/>
      </c>
      <c r="X411" s="132"/>
      <c r="Y411" s="132"/>
      <c r="Z411" s="132"/>
      <c r="AA411" s="132"/>
    </row>
    <row r="412" spans="1:27" ht="20.100000000000001" hidden="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28"/>
      <c r="H412" s="398">
        <f t="shared" si="170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5"/>
        <v>0</v>
      </c>
      <c r="N412" s="130">
        <f t="shared" si="186"/>
        <v>0</v>
      </c>
      <c r="O412" s="389"/>
      <c r="P412" s="389"/>
      <c r="Q412" s="389"/>
      <c r="R412" s="389"/>
      <c r="S412" s="389"/>
      <c r="T412" s="389"/>
      <c r="U412" s="389"/>
      <c r="V412" s="132">
        <f t="shared" si="187"/>
        <v>0</v>
      </c>
      <c r="W412" s="133" t="str">
        <f t="shared" si="188"/>
        <v/>
      </c>
      <c r="X412" s="132"/>
      <c r="Y412" s="132"/>
      <c r="Z412" s="132"/>
      <c r="AA412" s="132"/>
    </row>
    <row r="413" spans="1:27" ht="20.100000000000001" hidden="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28"/>
      <c r="H413" s="398">
        <f t="shared" si="170"/>
        <v>0</v>
      </c>
      <c r="I413" s="129"/>
      <c r="J413" s="130"/>
      <c r="K413" s="131"/>
      <c r="L413" s="129"/>
      <c r="M413" s="109"/>
      <c r="N413" s="130"/>
      <c r="O413" s="389"/>
      <c r="P413" s="389"/>
      <c r="Q413" s="389"/>
      <c r="R413" s="389"/>
      <c r="S413" s="389"/>
      <c r="T413" s="389"/>
      <c r="U413" s="389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28"/>
      <c r="H414" s="398">
        <f t="shared" si="170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89">IF(ISERROR(I414-K414),"",I414-K414)</f>
        <v/>
      </c>
      <c r="N414" s="130">
        <f t="shared" ref="N414:N417" si="190">SUM(O414:U414)</f>
        <v>0</v>
      </c>
      <c r="O414" s="389"/>
      <c r="P414" s="389"/>
      <c r="Q414" s="389"/>
      <c r="R414" s="389"/>
      <c r="S414" s="389"/>
      <c r="T414" s="389"/>
      <c r="U414" s="389"/>
      <c r="V414" s="132">
        <f t="shared" ref="V414:V417" si="191">SUM(X414:AA414)</f>
        <v>0</v>
      </c>
      <c r="W414" s="133" t="str">
        <f t="shared" ref="W414:W417" si="192">IF(ISERROR(V414/G414),"",V414/G414)</f>
        <v/>
      </c>
      <c r="X414" s="132"/>
      <c r="Y414" s="132"/>
      <c r="Z414" s="132"/>
      <c r="AA414" s="132"/>
    </row>
    <row r="415" spans="1:27" ht="20.100000000000001" hidden="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28"/>
      <c r="H415" s="398">
        <f t="shared" si="170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89"/>
        <v/>
      </c>
      <c r="N415" s="130">
        <f t="shared" si="190"/>
        <v>0</v>
      </c>
      <c r="O415" s="389"/>
      <c r="P415" s="389"/>
      <c r="Q415" s="389"/>
      <c r="R415" s="389"/>
      <c r="S415" s="389"/>
      <c r="T415" s="389"/>
      <c r="U415" s="389"/>
      <c r="V415" s="132">
        <f t="shared" si="191"/>
        <v>0</v>
      </c>
      <c r="W415" s="133" t="str">
        <f t="shared" si="192"/>
        <v/>
      </c>
      <c r="X415" s="132"/>
      <c r="Y415" s="132"/>
      <c r="Z415" s="132"/>
      <c r="AA415" s="132"/>
    </row>
    <row r="416" spans="1:27" ht="20.100000000000001" hidden="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28"/>
      <c r="H416" s="398">
        <f t="shared" si="170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89"/>
        <v/>
      </c>
      <c r="N416" s="130">
        <f t="shared" si="190"/>
        <v>0</v>
      </c>
      <c r="O416" s="389"/>
      <c r="P416" s="389"/>
      <c r="Q416" s="389"/>
      <c r="R416" s="389"/>
      <c r="S416" s="389"/>
      <c r="T416" s="389"/>
      <c r="U416" s="389"/>
      <c r="V416" s="132">
        <f t="shared" si="191"/>
        <v>0</v>
      </c>
      <c r="W416" s="133" t="str">
        <f t="shared" si="192"/>
        <v/>
      </c>
      <c r="X416" s="132"/>
      <c r="Y416" s="132"/>
      <c r="Z416" s="132"/>
      <c r="AA416" s="132"/>
    </row>
    <row r="417" spans="1:27" ht="20.100000000000001" hidden="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28"/>
      <c r="H417" s="398">
        <f t="shared" si="170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89"/>
        <v/>
      </c>
      <c r="N417" s="130">
        <f t="shared" si="190"/>
        <v>0</v>
      </c>
      <c r="O417" s="389"/>
      <c r="P417" s="389"/>
      <c r="Q417" s="389"/>
      <c r="R417" s="389"/>
      <c r="S417" s="389"/>
      <c r="T417" s="389"/>
      <c r="U417" s="389"/>
      <c r="V417" s="132">
        <f t="shared" si="191"/>
        <v>0</v>
      </c>
      <c r="W417" s="133" t="str">
        <f t="shared" si="192"/>
        <v/>
      </c>
      <c r="X417" s="132"/>
      <c r="Y417" s="132"/>
      <c r="Z417" s="132"/>
      <c r="AA417" s="132"/>
    </row>
    <row r="418" spans="1:27" ht="20.100000000000001" hidden="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28"/>
      <c r="H418" s="398">
        <f t="shared" si="170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89"/>
        <v>0</v>
      </c>
      <c r="N418" s="130"/>
      <c r="O418" s="389"/>
      <c r="P418" s="389"/>
      <c r="Q418" s="389"/>
      <c r="R418" s="389"/>
      <c r="S418" s="389"/>
      <c r="T418" s="389"/>
      <c r="U418" s="389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28"/>
      <c r="H419" s="398">
        <f t="shared" si="170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89"/>
        <v>0</v>
      </c>
      <c r="N419" s="130"/>
      <c r="O419" s="389"/>
      <c r="P419" s="389"/>
      <c r="Q419" s="389"/>
      <c r="R419" s="389"/>
      <c r="S419" s="389"/>
      <c r="T419" s="389"/>
      <c r="U419" s="389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28"/>
      <c r="H420" s="398">
        <f t="shared" si="170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89"/>
        <v>0</v>
      </c>
      <c r="N420" s="130"/>
      <c r="O420" s="389"/>
      <c r="P420" s="389"/>
      <c r="Q420" s="389"/>
      <c r="R420" s="389"/>
      <c r="S420" s="389"/>
      <c r="T420" s="389"/>
      <c r="U420" s="389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28"/>
      <c r="H421" s="398">
        <f t="shared" si="170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89"/>
        <v>0</v>
      </c>
      <c r="N421" s="130"/>
      <c r="O421" s="389"/>
      <c r="P421" s="389"/>
      <c r="Q421" s="389"/>
      <c r="R421" s="389"/>
      <c r="S421" s="389"/>
      <c r="T421" s="389"/>
      <c r="U421" s="389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28"/>
      <c r="H422" s="398">
        <f t="shared" si="170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89"/>
        <v>0</v>
      </c>
      <c r="N422" s="130"/>
      <c r="O422" s="389"/>
      <c r="P422" s="389"/>
      <c r="Q422" s="389"/>
      <c r="R422" s="389"/>
      <c r="S422" s="389"/>
      <c r="T422" s="389"/>
      <c r="U422" s="389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28"/>
      <c r="H423" s="398">
        <f t="shared" si="170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89"/>
        <v>0</v>
      </c>
      <c r="N423" s="130"/>
      <c r="O423" s="389"/>
      <c r="P423" s="389"/>
      <c r="Q423" s="389"/>
      <c r="R423" s="389"/>
      <c r="S423" s="389"/>
      <c r="T423" s="389"/>
      <c r="U423" s="389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28"/>
      <c r="H424" s="398">
        <f t="shared" si="170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89"/>
        <v>0</v>
      </c>
      <c r="N424" s="130"/>
      <c r="O424" s="389"/>
      <c r="P424" s="389"/>
      <c r="Q424" s="389"/>
      <c r="R424" s="389"/>
      <c r="S424" s="389"/>
      <c r="T424" s="389"/>
      <c r="U424" s="389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28"/>
      <c r="H425" s="398">
        <f t="shared" si="170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89"/>
        <v>0</v>
      </c>
      <c r="N425" s="130"/>
      <c r="O425" s="389"/>
      <c r="P425" s="389"/>
      <c r="Q425" s="389"/>
      <c r="R425" s="389"/>
      <c r="S425" s="389"/>
      <c r="T425" s="389"/>
      <c r="U425" s="389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28"/>
      <c r="H426" s="398">
        <f t="shared" si="170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89"/>
        <v>0</v>
      </c>
      <c r="N426" s="130"/>
      <c r="O426" s="389"/>
      <c r="P426" s="389"/>
      <c r="Q426" s="389"/>
      <c r="R426" s="389"/>
      <c r="S426" s="389"/>
      <c r="T426" s="389"/>
      <c r="U426" s="389"/>
      <c r="V426" s="132"/>
      <c r="W426" s="133"/>
      <c r="X426" s="132"/>
      <c r="Y426" s="132"/>
      <c r="Z426" s="132"/>
      <c r="AA426" s="132"/>
    </row>
    <row r="427" spans="1:27" ht="20.100000000000001" hidden="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28"/>
      <c r="H427" s="398">
        <f t="shared" si="170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89"/>
        <v>0</v>
      </c>
      <c r="N427" s="130"/>
      <c r="O427" s="389"/>
      <c r="P427" s="389"/>
      <c r="Q427" s="389"/>
      <c r="R427" s="389"/>
      <c r="S427" s="389"/>
      <c r="T427" s="389"/>
      <c r="U427" s="389"/>
      <c r="V427" s="132"/>
      <c r="W427" s="133"/>
      <c r="X427" s="132"/>
      <c r="Y427" s="132"/>
      <c r="Z427" s="132"/>
      <c r="AA427" s="132"/>
    </row>
    <row r="428" spans="1:27" ht="20.100000000000001" hidden="1" customHeight="1">
      <c r="A428" s="589" t="s">
        <v>216</v>
      </c>
      <c r="B428" s="589"/>
      <c r="C428" s="396" t="s">
        <v>202</v>
      </c>
      <c r="D428" s="143"/>
      <c r="E428" s="143"/>
      <c r="F428" s="144"/>
      <c r="G428" s="145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3">SUM(M371:M427)</f>
        <v>0</v>
      </c>
      <c r="N428" s="146">
        <f t="shared" si="193"/>
        <v>0</v>
      </c>
      <c r="O428" s="148">
        <f t="shared" si="193"/>
        <v>0</v>
      </c>
      <c r="P428" s="148">
        <f t="shared" si="193"/>
        <v>0</v>
      </c>
      <c r="Q428" s="148">
        <f t="shared" si="193"/>
        <v>0</v>
      </c>
      <c r="R428" s="148">
        <f t="shared" si="193"/>
        <v>0</v>
      </c>
      <c r="S428" s="148">
        <f t="shared" si="193"/>
        <v>0</v>
      </c>
      <c r="T428" s="148">
        <f t="shared" si="193"/>
        <v>0</v>
      </c>
      <c r="U428" s="148">
        <f t="shared" si="193"/>
        <v>0</v>
      </c>
      <c r="V428" s="149">
        <f t="shared" si="193"/>
        <v>0</v>
      </c>
      <c r="W428" s="133" t="str">
        <f t="shared" ref="W428:W435" si="194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customHeight="1">
      <c r="A429" s="299">
        <v>30400012</v>
      </c>
      <c r="B429" s="390" t="s">
        <v>217</v>
      </c>
      <c r="C429" s="126" t="s">
        <v>179</v>
      </c>
      <c r="D429" s="108">
        <v>5.03</v>
      </c>
      <c r="E429" s="108"/>
      <c r="F429" s="127">
        <v>42736</v>
      </c>
      <c r="G429" s="128">
        <f>72*6+57+60+72+31+23+46+56+64</f>
        <v>841</v>
      </c>
      <c r="H429" s="398">
        <f t="shared" ref="H429:H462" si="195">D429*G429</f>
        <v>4230.2300000000005</v>
      </c>
      <c r="I429" s="129">
        <f>11*2+7+7+10.5+8+10.5</f>
        <v>65</v>
      </c>
      <c r="J429" s="130">
        <f t="array" ref="J429">IF(ISERROR(G429/I429),"",G429/I429)</f>
        <v>12.938461538461539</v>
      </c>
      <c r="K429" s="131">
        <f t="array" ref="K429">IF(ISERROR(G429/L429),"",G429/L429)</f>
        <v>95.568181818181813</v>
      </c>
      <c r="L429" s="129">
        <v>8.8000000000000007</v>
      </c>
      <c r="M429" s="109">
        <f t="shared" ref="M429:M436" si="196">IF(ISERROR(I429-K429),"",I429-K429)</f>
        <v>-30.568181818181813</v>
      </c>
      <c r="N429" s="130">
        <f t="shared" ref="N429:N436" si="197">SUM(O429:U429)</f>
        <v>0</v>
      </c>
      <c r="O429" s="389"/>
      <c r="P429" s="389"/>
      <c r="Q429" s="389"/>
      <c r="R429" s="389"/>
      <c r="S429" s="389"/>
      <c r="T429" s="389"/>
      <c r="U429" s="389"/>
      <c r="V429" s="132">
        <f t="shared" ref="V429:V435" si="198">SUM(X429:AA429)</f>
        <v>0</v>
      </c>
      <c r="W429" s="133">
        <f t="shared" si="194"/>
        <v>0</v>
      </c>
      <c r="X429" s="132"/>
      <c r="Y429" s="132"/>
      <c r="Z429" s="132"/>
      <c r="AA429" s="132"/>
    </row>
    <row r="430" spans="1:27" ht="20.100000000000001" hidden="1" customHeight="1">
      <c r="A430" s="299">
        <v>30400010</v>
      </c>
      <c r="B430" s="390" t="s">
        <v>217</v>
      </c>
      <c r="C430" s="126" t="s">
        <v>186</v>
      </c>
      <c r="D430" s="108">
        <v>5.03</v>
      </c>
      <c r="E430" s="108"/>
      <c r="F430" s="127"/>
      <c r="G430" s="128"/>
      <c r="H430" s="398">
        <f t="shared" si="195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8.8000000000000007</v>
      </c>
      <c r="M430" s="109">
        <f t="shared" si="196"/>
        <v>0</v>
      </c>
      <c r="N430" s="130">
        <f t="shared" si="197"/>
        <v>0</v>
      </c>
      <c r="O430" s="389"/>
      <c r="P430" s="389"/>
      <c r="Q430" s="389"/>
      <c r="R430" s="389"/>
      <c r="S430" s="389"/>
      <c r="T430" s="389"/>
      <c r="U430" s="389"/>
      <c r="V430" s="132">
        <f t="shared" si="198"/>
        <v>0</v>
      </c>
      <c r="W430" s="133" t="str">
        <f t="shared" si="194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30400011</v>
      </c>
      <c r="B431" s="390" t="s">
        <v>217</v>
      </c>
      <c r="C431" s="126" t="s">
        <v>204</v>
      </c>
      <c r="D431" s="108">
        <v>5.03</v>
      </c>
      <c r="E431" s="108"/>
      <c r="F431" s="127"/>
      <c r="G431" s="128"/>
      <c r="H431" s="398">
        <f t="shared" si="195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8.8000000000000007</v>
      </c>
      <c r="M431" s="109">
        <f t="shared" si="196"/>
        <v>0</v>
      </c>
      <c r="N431" s="130">
        <f t="shared" si="197"/>
        <v>0</v>
      </c>
      <c r="O431" s="389"/>
      <c r="P431" s="389"/>
      <c r="Q431" s="389"/>
      <c r="R431" s="389"/>
      <c r="S431" s="389"/>
      <c r="T431" s="389"/>
      <c r="U431" s="389"/>
      <c r="V431" s="132">
        <f t="shared" si="198"/>
        <v>0</v>
      </c>
      <c r="W431" s="133" t="str">
        <f t="shared" si="194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28"/>
      <c r="H432" s="398">
        <f t="shared" si="195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6"/>
        <v>0</v>
      </c>
      <c r="N432" s="130">
        <f t="shared" si="197"/>
        <v>0</v>
      </c>
      <c r="O432" s="389"/>
      <c r="P432" s="389"/>
      <c r="Q432" s="389"/>
      <c r="R432" s="389"/>
      <c r="S432" s="389"/>
      <c r="T432" s="389"/>
      <c r="U432" s="389"/>
      <c r="V432" s="132">
        <f t="shared" si="198"/>
        <v>0</v>
      </c>
      <c r="W432" s="133" t="str">
        <f t="shared" si="194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/>
      <c r="G433" s="128"/>
      <c r="H433" s="398">
        <f t="shared" si="195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6"/>
        <v>0</v>
      </c>
      <c r="N433" s="130">
        <f t="shared" si="197"/>
        <v>0</v>
      </c>
      <c r="O433" s="389"/>
      <c r="P433" s="389"/>
      <c r="Q433" s="389"/>
      <c r="R433" s="389"/>
      <c r="S433" s="389"/>
      <c r="T433" s="389"/>
      <c r="U433" s="389"/>
      <c r="V433" s="132">
        <f t="shared" si="198"/>
        <v>0</v>
      </c>
      <c r="W433" s="133" t="str">
        <f t="shared" si="194"/>
        <v/>
      </c>
      <c r="X433" s="132"/>
      <c r="Y433" s="132"/>
      <c r="Z433" s="132"/>
      <c r="AA433" s="132"/>
    </row>
    <row r="434" spans="1:27" ht="20.10000000000000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>
        <v>42736</v>
      </c>
      <c r="G434" s="128">
        <f>36+11</f>
        <v>47</v>
      </c>
      <c r="H434" s="398">
        <f t="shared" si="195"/>
        <v>236.41000000000003</v>
      </c>
      <c r="I434" s="129">
        <f>20+9+1.5</f>
        <v>30.5</v>
      </c>
      <c r="J434" s="130">
        <f t="array" ref="J434">IF(ISERROR(G434/I434),"",G434/I434)</f>
        <v>1.540983606557377</v>
      </c>
      <c r="K434" s="131">
        <f t="array" ref="K434">IF(ISERROR(G434/L434),"",G434/L434)</f>
        <v>5.053763440860215</v>
      </c>
      <c r="L434" s="129">
        <v>9.3000000000000007</v>
      </c>
      <c r="M434" s="109">
        <f t="shared" si="196"/>
        <v>25.446236559139784</v>
      </c>
      <c r="N434" s="130">
        <f t="shared" si="197"/>
        <v>0</v>
      </c>
      <c r="O434" s="389"/>
      <c r="P434" s="389"/>
      <c r="Q434" s="389"/>
      <c r="R434" s="389"/>
      <c r="S434" s="389"/>
      <c r="T434" s="389"/>
      <c r="U434" s="389"/>
      <c r="V434" s="132">
        <f t="shared" si="198"/>
        <v>0</v>
      </c>
      <c r="W434" s="133">
        <f t="shared" si="194"/>
        <v>0</v>
      </c>
      <c r="X434" s="132"/>
      <c r="Y434" s="132"/>
      <c r="Z434" s="132"/>
      <c r="AA434" s="132"/>
    </row>
    <row r="435" spans="1:27" ht="20.100000000000001" hidden="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/>
      <c r="G435" s="128"/>
      <c r="H435" s="398">
        <f t="shared" si="195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9.3000000000000007</v>
      </c>
      <c r="M435" s="109">
        <f t="shared" si="196"/>
        <v>0</v>
      </c>
      <c r="N435" s="130">
        <f t="shared" si="197"/>
        <v>0</v>
      </c>
      <c r="O435" s="389"/>
      <c r="P435" s="389"/>
      <c r="Q435" s="389"/>
      <c r="R435" s="389"/>
      <c r="S435" s="389"/>
      <c r="T435" s="389"/>
      <c r="U435" s="389"/>
      <c r="V435" s="132">
        <f t="shared" si="198"/>
        <v>0</v>
      </c>
      <c r="W435" s="133" t="str">
        <f t="shared" si="194"/>
        <v/>
      </c>
      <c r="X435" s="132"/>
      <c r="Y435" s="132"/>
      <c r="Z435" s="132"/>
      <c r="AA435" s="132"/>
    </row>
    <row r="436" spans="1:27" ht="20.100000000000001" hidden="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/>
      <c r="G436" s="128"/>
      <c r="H436" s="398">
        <f t="shared" si="195"/>
        <v>0</v>
      </c>
      <c r="I436" s="129"/>
      <c r="J436" s="130"/>
      <c r="K436" s="131">
        <f t="array" ref="K436">IF(ISERROR(G436/L436),"",G436/L436)</f>
        <v>0</v>
      </c>
      <c r="L436" s="129">
        <v>9.3000000000000007</v>
      </c>
      <c r="M436" s="109">
        <f t="shared" si="196"/>
        <v>0</v>
      </c>
      <c r="N436" s="130">
        <f t="shared" si="197"/>
        <v>0</v>
      </c>
      <c r="O436" s="389"/>
      <c r="P436" s="389"/>
      <c r="Q436" s="389"/>
      <c r="R436" s="389"/>
      <c r="S436" s="389"/>
      <c r="T436" s="389"/>
      <c r="U436" s="389"/>
      <c r="V436" s="132"/>
      <c r="W436" s="133"/>
      <c r="X436" s="132"/>
      <c r="Y436" s="132"/>
      <c r="Z436" s="132"/>
      <c r="AA436" s="132"/>
    </row>
    <row r="437" spans="1:27" ht="20.100000000000001" hidden="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28"/>
      <c r="H437" s="398">
        <f t="shared" si="195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389"/>
      <c r="P437" s="389"/>
      <c r="Q437" s="389"/>
      <c r="R437" s="389"/>
      <c r="S437" s="389"/>
      <c r="T437" s="389"/>
      <c r="U437" s="389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28"/>
      <c r="H438" s="398">
        <f t="shared" si="195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389"/>
      <c r="P438" s="389"/>
      <c r="Q438" s="389"/>
      <c r="R438" s="389"/>
      <c r="S438" s="389"/>
      <c r="T438" s="389"/>
      <c r="U438" s="389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28"/>
      <c r="H439" s="398">
        <f t="shared" si="195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389"/>
      <c r="P439" s="389"/>
      <c r="Q439" s="389"/>
      <c r="R439" s="389"/>
      <c r="S439" s="389"/>
      <c r="T439" s="389"/>
      <c r="U439" s="389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28"/>
      <c r="H440" s="398">
        <f t="shared" si="195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389"/>
      <c r="P440" s="389"/>
      <c r="Q440" s="389"/>
      <c r="R440" s="389"/>
      <c r="S440" s="389"/>
      <c r="T440" s="389"/>
      <c r="U440" s="389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hidden="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28"/>
      <c r="H441" s="398">
        <f t="shared" si="195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2" si="199">IF(ISERROR(I441-K441),"",I441-K441)</f>
        <v>0</v>
      </c>
      <c r="N441" s="130">
        <f t="shared" ref="N441:N456" si="200">SUM(O441:U441)</f>
        <v>0</v>
      </c>
      <c r="O441" s="389"/>
      <c r="P441" s="389"/>
      <c r="Q441" s="389"/>
      <c r="R441" s="389"/>
      <c r="S441" s="389"/>
      <c r="T441" s="389"/>
      <c r="U441" s="389"/>
      <c r="V441" s="132">
        <f t="shared" ref="V441:V444" si="201">SUM(X441:AA441)</f>
        <v>0</v>
      </c>
      <c r="W441" s="133" t="str">
        <f t="shared" ref="W441:W448" si="202">IF(ISERROR(V441/G441),"",V441/G441)</f>
        <v/>
      </c>
      <c r="X441" s="132"/>
      <c r="Y441" s="132"/>
      <c r="Z441" s="132"/>
      <c r="AA441" s="132"/>
    </row>
    <row r="442" spans="1:27" ht="20.100000000000001" hidden="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28"/>
      <c r="H442" s="398">
        <f t="shared" si="195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199"/>
        <v/>
      </c>
      <c r="N442" s="130">
        <f t="shared" si="200"/>
        <v>0</v>
      </c>
      <c r="O442" s="389"/>
      <c r="P442" s="389"/>
      <c r="Q442" s="389"/>
      <c r="R442" s="389"/>
      <c r="S442" s="389"/>
      <c r="T442" s="389"/>
      <c r="U442" s="389"/>
      <c r="V442" s="132">
        <f t="shared" si="201"/>
        <v>0</v>
      </c>
      <c r="W442" s="133" t="str">
        <f t="shared" si="202"/>
        <v/>
      </c>
      <c r="X442" s="132"/>
      <c r="Y442" s="132"/>
      <c r="Z442" s="132"/>
      <c r="AA442" s="132"/>
    </row>
    <row r="443" spans="1:27" ht="20.100000000000001" hidden="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28"/>
      <c r="H443" s="398">
        <f t="shared" si="195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199"/>
        <v/>
      </c>
      <c r="N443" s="130">
        <f t="shared" si="200"/>
        <v>0</v>
      </c>
      <c r="O443" s="389"/>
      <c r="P443" s="389"/>
      <c r="Q443" s="389"/>
      <c r="R443" s="389"/>
      <c r="S443" s="389"/>
      <c r="T443" s="389"/>
      <c r="U443" s="389"/>
      <c r="V443" s="132">
        <f t="shared" si="201"/>
        <v>0</v>
      </c>
      <c r="W443" s="133" t="str">
        <f t="shared" si="202"/>
        <v/>
      </c>
      <c r="X443" s="132"/>
      <c r="Y443" s="132"/>
      <c r="Z443" s="132"/>
      <c r="AA443" s="132"/>
    </row>
    <row r="444" spans="1:27" ht="20.100000000000001" hidden="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28"/>
      <c r="H444" s="398">
        <f t="shared" si="195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199"/>
        <v/>
      </c>
      <c r="N444" s="130">
        <f t="shared" si="200"/>
        <v>0</v>
      </c>
      <c r="O444" s="389"/>
      <c r="P444" s="389"/>
      <c r="Q444" s="389"/>
      <c r="R444" s="389"/>
      <c r="S444" s="389"/>
      <c r="T444" s="389"/>
      <c r="U444" s="389"/>
      <c r="V444" s="132">
        <f t="shared" si="201"/>
        <v>0</v>
      </c>
      <c r="W444" s="133" t="str">
        <f t="shared" si="202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30600005</v>
      </c>
      <c r="B445" s="390" t="s">
        <v>222</v>
      </c>
      <c r="C445" s="126" t="s">
        <v>181</v>
      </c>
      <c r="D445" s="108">
        <v>9.36</v>
      </c>
      <c r="E445" s="108"/>
      <c r="F445" s="127"/>
      <c r="G445" s="128"/>
      <c r="H445" s="398">
        <f t="shared" si="195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199"/>
        <v>0</v>
      </c>
      <c r="N445" s="130">
        <f t="shared" si="200"/>
        <v>0</v>
      </c>
      <c r="O445" s="389"/>
      <c r="P445" s="389"/>
      <c r="Q445" s="389"/>
      <c r="R445" s="389"/>
      <c r="S445" s="389"/>
      <c r="T445" s="389"/>
      <c r="U445" s="389"/>
      <c r="V445" s="132">
        <f t="shared" ref="V445:V448" si="203">SUM(X445:AA445)</f>
        <v>0</v>
      </c>
      <c r="W445" s="133" t="str">
        <f t="shared" si="202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30600008</v>
      </c>
      <c r="B446" s="390" t="s">
        <v>222</v>
      </c>
      <c r="C446" s="126" t="s">
        <v>179</v>
      </c>
      <c r="D446" s="108">
        <v>9.36</v>
      </c>
      <c r="E446" s="108"/>
      <c r="F446" s="127"/>
      <c r="G446" s="128"/>
      <c r="H446" s="398">
        <f t="shared" si="195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199"/>
        <v>0</v>
      </c>
      <c r="N446" s="130">
        <f t="shared" si="200"/>
        <v>0</v>
      </c>
      <c r="O446" s="389"/>
      <c r="P446" s="389"/>
      <c r="Q446" s="389"/>
      <c r="R446" s="389"/>
      <c r="S446" s="389"/>
      <c r="T446" s="389"/>
      <c r="U446" s="389"/>
      <c r="V446" s="132">
        <f t="shared" si="203"/>
        <v>0</v>
      </c>
      <c r="W446" s="133" t="str">
        <f t="shared" si="202"/>
        <v/>
      </c>
      <c r="X446" s="132"/>
      <c r="Y446" s="132"/>
      <c r="Z446" s="132"/>
      <c r="AA446" s="132"/>
    </row>
    <row r="447" spans="1:27" ht="20.100000000000001" hidden="1" customHeight="1">
      <c r="A447" s="304">
        <v>30600007</v>
      </c>
      <c r="B447" s="390" t="s">
        <v>222</v>
      </c>
      <c r="C447" s="126" t="s">
        <v>221</v>
      </c>
      <c r="D447" s="108">
        <v>9.36</v>
      </c>
      <c r="E447" s="108"/>
      <c r="F447" s="127"/>
      <c r="G447" s="128"/>
      <c r="H447" s="398">
        <f t="shared" si="195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199"/>
        <v>0</v>
      </c>
      <c r="N447" s="130">
        <f t="shared" si="200"/>
        <v>0</v>
      </c>
      <c r="O447" s="389"/>
      <c r="P447" s="389"/>
      <c r="Q447" s="389"/>
      <c r="R447" s="389"/>
      <c r="S447" s="389"/>
      <c r="T447" s="389"/>
      <c r="U447" s="389"/>
      <c r="V447" s="132">
        <f t="shared" si="203"/>
        <v>0</v>
      </c>
      <c r="W447" s="133" t="str">
        <f t="shared" si="202"/>
        <v/>
      </c>
      <c r="X447" s="132"/>
      <c r="Y447" s="132"/>
      <c r="Z447" s="132"/>
      <c r="AA447" s="132"/>
    </row>
    <row r="448" spans="1:27" ht="20.100000000000001" hidden="1" customHeight="1">
      <c r="A448" s="304">
        <v>30600006</v>
      </c>
      <c r="B448" s="390" t="s">
        <v>222</v>
      </c>
      <c r="C448" s="126" t="s">
        <v>186</v>
      </c>
      <c r="D448" s="108">
        <v>9.36</v>
      </c>
      <c r="E448" s="108"/>
      <c r="F448" s="127"/>
      <c r="G448" s="128"/>
      <c r="H448" s="398">
        <f t="shared" si="195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199"/>
        <v>0</v>
      </c>
      <c r="N448" s="130">
        <f t="shared" si="200"/>
        <v>0</v>
      </c>
      <c r="O448" s="389"/>
      <c r="P448" s="389"/>
      <c r="Q448" s="389"/>
      <c r="R448" s="389"/>
      <c r="S448" s="389"/>
      <c r="T448" s="389"/>
      <c r="U448" s="389"/>
      <c r="V448" s="132">
        <f t="shared" si="203"/>
        <v>0</v>
      </c>
      <c r="W448" s="133" t="str">
        <f t="shared" si="202"/>
        <v/>
      </c>
      <c r="X448" s="132"/>
      <c r="Y448" s="132"/>
      <c r="Z448" s="132"/>
      <c r="AA448" s="132"/>
    </row>
    <row r="449" spans="1:27" ht="20.100000000000001" hidden="1" customHeight="1">
      <c r="A449" s="299">
        <v>30400026</v>
      </c>
      <c r="B449" s="390" t="s">
        <v>393</v>
      </c>
      <c r="C449" s="187" t="s">
        <v>395</v>
      </c>
      <c r="D449" s="108">
        <v>5</v>
      </c>
      <c r="E449" s="108"/>
      <c r="F449" s="127"/>
      <c r="G449" s="128"/>
      <c r="H449" s="398">
        <f t="shared" si="195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199"/>
        <v>0</v>
      </c>
      <c r="N449" s="130">
        <f t="shared" si="200"/>
        <v>0</v>
      </c>
      <c r="O449" s="389"/>
      <c r="P449" s="389"/>
      <c r="Q449" s="389"/>
      <c r="R449" s="389"/>
      <c r="S449" s="389"/>
      <c r="T449" s="389"/>
      <c r="U449" s="389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>
        <v>30400028</v>
      </c>
      <c r="B450" s="390" t="s">
        <v>393</v>
      </c>
      <c r="C450" s="187" t="s">
        <v>402</v>
      </c>
      <c r="D450" s="108">
        <v>5</v>
      </c>
      <c r="E450" s="108"/>
      <c r="F450" s="127"/>
      <c r="G450" s="128"/>
      <c r="H450" s="398">
        <f t="shared" si="195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199"/>
        <v>0</v>
      </c>
      <c r="N450" s="130">
        <f t="shared" si="200"/>
        <v>0</v>
      </c>
      <c r="O450" s="389"/>
      <c r="P450" s="389"/>
      <c r="Q450" s="389"/>
      <c r="R450" s="389"/>
      <c r="S450" s="389"/>
      <c r="T450" s="389"/>
      <c r="U450" s="389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30400027</v>
      </c>
      <c r="B451" s="390" t="s">
        <v>404</v>
      </c>
      <c r="C451" s="187" t="s">
        <v>405</v>
      </c>
      <c r="D451" s="108">
        <v>5</v>
      </c>
      <c r="E451" s="108"/>
      <c r="F451" s="127"/>
      <c r="G451" s="128"/>
      <c r="H451" s="398">
        <f t="shared" si="195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199"/>
        <v>0</v>
      </c>
      <c r="N451" s="130">
        <f t="shared" si="200"/>
        <v>0</v>
      </c>
      <c r="O451" s="389"/>
      <c r="P451" s="389"/>
      <c r="Q451" s="389"/>
      <c r="R451" s="389"/>
      <c r="S451" s="389"/>
      <c r="T451" s="389"/>
      <c r="U451" s="389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/>
      <c r="B452" s="390" t="s">
        <v>342</v>
      </c>
      <c r="C452" s="187" t="s">
        <v>372</v>
      </c>
      <c r="D452" s="108">
        <v>5</v>
      </c>
      <c r="E452" s="108"/>
      <c r="F452" s="127"/>
      <c r="G452" s="128"/>
      <c r="H452" s="398">
        <f t="shared" si="195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199"/>
        <v>0</v>
      </c>
      <c r="N452" s="130">
        <f t="shared" si="200"/>
        <v>0</v>
      </c>
      <c r="O452" s="389"/>
      <c r="P452" s="389"/>
      <c r="Q452" s="389"/>
      <c r="R452" s="389"/>
      <c r="S452" s="389"/>
      <c r="T452" s="389"/>
      <c r="U452" s="389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30600009</v>
      </c>
      <c r="B453" s="390" t="s">
        <v>343</v>
      </c>
      <c r="C453" s="126" t="s">
        <v>345</v>
      </c>
      <c r="D453" s="108">
        <v>5</v>
      </c>
      <c r="E453" s="108"/>
      <c r="F453" s="127"/>
      <c r="G453" s="128"/>
      <c r="H453" s="398">
        <f t="shared" si="195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199"/>
        <v>0</v>
      </c>
      <c r="N453" s="130">
        <f t="shared" si="200"/>
        <v>0</v>
      </c>
      <c r="O453" s="389"/>
      <c r="P453" s="389"/>
      <c r="Q453" s="389"/>
      <c r="R453" s="389"/>
      <c r="S453" s="389"/>
      <c r="T453" s="389"/>
      <c r="U453" s="389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299">
        <v>30600010</v>
      </c>
      <c r="B454" s="390" t="s">
        <v>343</v>
      </c>
      <c r="C454" s="126" t="s">
        <v>347</v>
      </c>
      <c r="D454" s="108">
        <v>5</v>
      </c>
      <c r="E454" s="108"/>
      <c r="F454" s="127"/>
      <c r="G454" s="128"/>
      <c r="H454" s="398">
        <f t="shared" si="195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199"/>
        <v>0</v>
      </c>
      <c r="N454" s="130">
        <f t="shared" si="200"/>
        <v>0</v>
      </c>
      <c r="O454" s="389"/>
      <c r="P454" s="389"/>
      <c r="Q454" s="389"/>
      <c r="R454" s="389"/>
      <c r="S454" s="389"/>
      <c r="T454" s="389"/>
      <c r="U454" s="389"/>
      <c r="V454" s="132"/>
      <c r="W454" s="133"/>
      <c r="X454" s="132"/>
      <c r="Y454" s="132"/>
      <c r="Z454" s="132"/>
      <c r="AA454" s="132"/>
    </row>
    <row r="455" spans="1:27" ht="20.100000000000001" hidden="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/>
      <c r="G455" s="128"/>
      <c r="H455" s="398">
        <f t="shared" si="195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15.5</v>
      </c>
      <c r="M455" s="109">
        <f t="shared" si="199"/>
        <v>0</v>
      </c>
      <c r="N455" s="130">
        <f t="shared" si="200"/>
        <v>0</v>
      </c>
      <c r="O455" s="389"/>
      <c r="P455" s="389"/>
      <c r="Q455" s="389"/>
      <c r="R455" s="389"/>
      <c r="S455" s="389"/>
      <c r="T455" s="389"/>
      <c r="U455" s="389"/>
      <c r="V455" s="132">
        <f t="shared" ref="V455:V456" si="204">SUM(X455:AA455)</f>
        <v>0</v>
      </c>
      <c r="W455" s="133" t="str">
        <f t="shared" ref="W455:W456" si="205">IF(ISERROR(V455/G455),"",V455/G455)</f>
        <v/>
      </c>
      <c r="X455" s="132"/>
      <c r="Y455" s="132"/>
      <c r="Z455" s="132"/>
      <c r="AA455" s="132"/>
    </row>
    <row r="456" spans="1:27" ht="20.100000000000001" hidden="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/>
      <c r="G456" s="128"/>
      <c r="H456" s="398">
        <f t="shared" si="195"/>
        <v>0</v>
      </c>
      <c r="I456" s="129"/>
      <c r="J456" s="130" t="str">
        <f t="array" ref="J456">IF(ISERROR(G456/I456),"",G456/I456)</f>
        <v/>
      </c>
      <c r="K456" s="131">
        <f t="array" ref="K456">IF(ISERROR(G456/L456),"",G456/L456)</f>
        <v>0</v>
      </c>
      <c r="L456" s="129">
        <v>15.5</v>
      </c>
      <c r="M456" s="109">
        <f t="shared" si="199"/>
        <v>0</v>
      </c>
      <c r="N456" s="130">
        <f t="shared" si="200"/>
        <v>0</v>
      </c>
      <c r="O456" s="389"/>
      <c r="P456" s="389"/>
      <c r="Q456" s="389"/>
      <c r="R456" s="389"/>
      <c r="S456" s="389"/>
      <c r="T456" s="389"/>
      <c r="U456" s="389"/>
      <c r="V456" s="132">
        <f t="shared" si="204"/>
        <v>0</v>
      </c>
      <c r="W456" s="133" t="str">
        <f t="shared" si="205"/>
        <v/>
      </c>
      <c r="X456" s="132"/>
      <c r="Y456" s="132"/>
      <c r="Z456" s="132"/>
      <c r="AA456" s="132"/>
    </row>
    <row r="457" spans="1:27" ht="20.100000000000001" hidden="1" customHeight="1">
      <c r="A457" s="299">
        <v>30400004</v>
      </c>
      <c r="B457" s="151" t="s">
        <v>419</v>
      </c>
      <c r="C457" s="187" t="s">
        <v>73</v>
      </c>
      <c r="D457" s="108"/>
      <c r="E457" s="108"/>
      <c r="F457" s="127"/>
      <c r="G457" s="128"/>
      <c r="H457" s="398">
        <f t="shared" si="195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199"/>
        <v>0</v>
      </c>
      <c r="N457" s="130"/>
      <c r="O457" s="389"/>
      <c r="P457" s="389"/>
      <c r="Q457" s="389"/>
      <c r="R457" s="389"/>
      <c r="S457" s="389"/>
      <c r="T457" s="389"/>
      <c r="U457" s="389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28"/>
      <c r="H458" s="398">
        <f t="shared" si="195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199"/>
        <v>0</v>
      </c>
      <c r="N458" s="130"/>
      <c r="O458" s="389"/>
      <c r="P458" s="389"/>
      <c r="Q458" s="389"/>
      <c r="R458" s="389"/>
      <c r="S458" s="389"/>
      <c r="T458" s="389"/>
      <c r="U458" s="389"/>
      <c r="V458" s="132"/>
      <c r="W458" s="133"/>
      <c r="X458" s="132"/>
      <c r="Y458" s="132"/>
      <c r="Z458" s="132"/>
      <c r="AA458" s="132"/>
    </row>
    <row r="459" spans="1:27" ht="20.100000000000001" hidden="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28"/>
      <c r="H459" s="398">
        <f t="shared" si="195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199"/>
        <v>0</v>
      </c>
      <c r="N459" s="130"/>
      <c r="O459" s="389"/>
      <c r="P459" s="389"/>
      <c r="Q459" s="389"/>
      <c r="R459" s="389"/>
      <c r="S459" s="389"/>
      <c r="T459" s="389"/>
      <c r="U459" s="389"/>
      <c r="V459" s="132"/>
      <c r="W459" s="133"/>
      <c r="X459" s="132"/>
      <c r="Y459" s="132"/>
      <c r="Z459" s="132"/>
      <c r="AA459" s="132"/>
    </row>
    <row r="460" spans="1:27" ht="20.100000000000001" hidden="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28"/>
      <c r="H460" s="398">
        <f t="shared" si="195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199"/>
        <v>0</v>
      </c>
      <c r="N460" s="130">
        <f t="shared" ref="N460:N462" si="206">SUM(O460:U460)</f>
        <v>0</v>
      </c>
      <c r="O460" s="389"/>
      <c r="P460" s="389"/>
      <c r="Q460" s="389"/>
      <c r="R460" s="389"/>
      <c r="S460" s="389"/>
      <c r="T460" s="389"/>
      <c r="U460" s="389"/>
      <c r="V460" s="132">
        <f t="shared" ref="V460:V462" si="207">SUM(X460:AA460)</f>
        <v>0</v>
      </c>
      <c r="W460" s="133" t="str">
        <f t="shared" ref="W460:W484" si="208">IF(ISERROR(V460/G460),"",V460/G460)</f>
        <v/>
      </c>
      <c r="X460" s="132"/>
      <c r="Y460" s="132"/>
      <c r="Z460" s="132"/>
      <c r="AA460" s="132"/>
    </row>
    <row r="461" spans="1:27" ht="20.100000000000001" hidden="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28"/>
      <c r="H461" s="398">
        <f t="shared" si="195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si="199"/>
        <v>0</v>
      </c>
      <c r="N461" s="130">
        <f t="shared" si="206"/>
        <v>0</v>
      </c>
      <c r="O461" s="389"/>
      <c r="P461" s="389"/>
      <c r="Q461" s="389"/>
      <c r="R461" s="389"/>
      <c r="S461" s="389"/>
      <c r="T461" s="389"/>
      <c r="U461" s="389"/>
      <c r="V461" s="132">
        <f t="shared" si="207"/>
        <v>0</v>
      </c>
      <c r="W461" s="133" t="str">
        <f t="shared" si="208"/>
        <v/>
      </c>
      <c r="X461" s="132"/>
      <c r="Y461" s="132"/>
      <c r="Z461" s="132"/>
      <c r="AA461" s="132"/>
    </row>
    <row r="462" spans="1:27" ht="20.100000000000001" hidden="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28"/>
      <c r="H462" s="398">
        <f t="shared" si="195"/>
        <v>0</v>
      </c>
      <c r="I462" s="129"/>
      <c r="J462" s="130" t="str">
        <f t="array" ref="J462">IF(ISERROR(G462/I462),"",G462/I462)</f>
        <v/>
      </c>
      <c r="K462" s="398">
        <f t="array" ref="K462">IF(ISERROR(G462/L462),"",G462/L462)</f>
        <v>0</v>
      </c>
      <c r="L462" s="129">
        <v>9</v>
      </c>
      <c r="M462" s="109">
        <f t="shared" si="199"/>
        <v>0</v>
      </c>
      <c r="N462" s="130">
        <f t="shared" si="206"/>
        <v>0</v>
      </c>
      <c r="O462" s="389"/>
      <c r="P462" s="389"/>
      <c r="Q462" s="389"/>
      <c r="R462" s="389"/>
      <c r="S462" s="389"/>
      <c r="T462" s="389"/>
      <c r="U462" s="389"/>
      <c r="V462" s="132">
        <f t="shared" si="207"/>
        <v>0</v>
      </c>
      <c r="W462" s="133" t="str">
        <f t="shared" si="208"/>
        <v/>
      </c>
      <c r="X462" s="132"/>
      <c r="Y462" s="132"/>
      <c r="Z462" s="132"/>
      <c r="AA462" s="132"/>
    </row>
    <row r="463" spans="1:27" ht="20.100000000000001" customHeight="1">
      <c r="A463" s="578" t="s">
        <v>224</v>
      </c>
      <c r="B463" s="579"/>
      <c r="C463" s="396" t="s">
        <v>202</v>
      </c>
      <c r="D463" s="143"/>
      <c r="E463" s="143"/>
      <c r="F463" s="144"/>
      <c r="G463" s="145">
        <f>SUM(G429:G462)</f>
        <v>888</v>
      </c>
      <c r="H463" s="146">
        <f>SUM(H429:H462)</f>
        <v>4466.6400000000003</v>
      </c>
      <c r="I463" s="146">
        <f>SUM(I429:I462)</f>
        <v>95.5</v>
      </c>
      <c r="J463" s="130">
        <f t="array" ref="J463">IF(ISERROR(G463/I463),"",G463/I463)</f>
        <v>9.2984293193717278</v>
      </c>
      <c r="K463" s="146">
        <f>SUM(K429:K462)</f>
        <v>100.62194525904202</v>
      </c>
      <c r="L463" s="147"/>
      <c r="M463" s="150">
        <f t="shared" ref="M463:V463" si="209">SUM(M429:M462)</f>
        <v>-5.1219452590420289</v>
      </c>
      <c r="N463" s="146">
        <f t="shared" si="209"/>
        <v>0</v>
      </c>
      <c r="O463" s="148">
        <f t="shared" si="209"/>
        <v>0</v>
      </c>
      <c r="P463" s="148">
        <f t="shared" si="209"/>
        <v>0</v>
      </c>
      <c r="Q463" s="148">
        <f t="shared" si="209"/>
        <v>0</v>
      </c>
      <c r="R463" s="148">
        <f t="shared" si="209"/>
        <v>0</v>
      </c>
      <c r="S463" s="148">
        <f t="shared" si="209"/>
        <v>0</v>
      </c>
      <c r="T463" s="148">
        <f t="shared" si="209"/>
        <v>0</v>
      </c>
      <c r="U463" s="148">
        <f t="shared" si="209"/>
        <v>0</v>
      </c>
      <c r="V463" s="149">
        <f t="shared" si="209"/>
        <v>0</v>
      </c>
      <c r="W463" s="133">
        <f t="shared" si="208"/>
        <v>0</v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hidden="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28"/>
      <c r="H464" s="398">
        <f t="shared" ref="H464:H478" si="210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8" si="211">IF(ISERROR(I464-K464),"",I464-K464)</f>
        <v>0</v>
      </c>
      <c r="N464" s="130">
        <f t="shared" ref="N464:N478" si="212">SUM(O464:U464)</f>
        <v>0</v>
      </c>
      <c r="O464" s="389"/>
      <c r="P464" s="389"/>
      <c r="Q464" s="389"/>
      <c r="R464" s="389"/>
      <c r="S464" s="389"/>
      <c r="T464" s="389"/>
      <c r="U464" s="389"/>
      <c r="V464" s="132">
        <f t="shared" ref="V464:V478" si="213">SUM(X464:AA464)</f>
        <v>0</v>
      </c>
      <c r="W464" s="133" t="str">
        <f t="shared" si="208"/>
        <v/>
      </c>
      <c r="X464" s="132"/>
      <c r="Y464" s="132"/>
      <c r="Z464" s="132"/>
      <c r="AA464" s="132"/>
    </row>
    <row r="465" spans="1:27" ht="20.100000000000001" hidden="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28"/>
      <c r="H465" s="398">
        <f t="shared" si="210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1"/>
        <v>0</v>
      </c>
      <c r="N465" s="130">
        <f t="shared" si="212"/>
        <v>0</v>
      </c>
      <c r="O465" s="389"/>
      <c r="P465" s="389"/>
      <c r="Q465" s="389"/>
      <c r="R465" s="389"/>
      <c r="S465" s="389"/>
      <c r="T465" s="389"/>
      <c r="U465" s="389"/>
      <c r="V465" s="132">
        <f t="shared" si="213"/>
        <v>0</v>
      </c>
      <c r="W465" s="133" t="str">
        <f t="shared" si="208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28"/>
      <c r="H466" s="398">
        <f t="shared" si="210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1"/>
        <v>0</v>
      </c>
      <c r="N466" s="130">
        <f t="shared" si="212"/>
        <v>0</v>
      </c>
      <c r="O466" s="389"/>
      <c r="P466" s="389"/>
      <c r="Q466" s="389"/>
      <c r="R466" s="389"/>
      <c r="S466" s="389"/>
      <c r="T466" s="389"/>
      <c r="U466" s="389"/>
      <c r="V466" s="132">
        <f t="shared" si="213"/>
        <v>0</v>
      </c>
      <c r="W466" s="133" t="str">
        <f t="shared" si="208"/>
        <v/>
      </c>
      <c r="X466" s="132"/>
      <c r="Y466" s="132"/>
      <c r="Z466" s="132"/>
      <c r="AA466" s="132"/>
    </row>
    <row r="467" spans="1:27" ht="20.100000000000001" hidden="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28"/>
      <c r="H467" s="398">
        <f t="shared" si="210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1"/>
        <v>0</v>
      </c>
      <c r="N467" s="130">
        <f t="shared" si="212"/>
        <v>0</v>
      </c>
      <c r="O467" s="389"/>
      <c r="P467" s="389"/>
      <c r="Q467" s="389"/>
      <c r="R467" s="389"/>
      <c r="S467" s="389"/>
      <c r="T467" s="389"/>
      <c r="U467" s="389"/>
      <c r="V467" s="132">
        <f t="shared" si="213"/>
        <v>0</v>
      </c>
      <c r="W467" s="133" t="str">
        <f t="shared" si="208"/>
        <v/>
      </c>
      <c r="X467" s="132"/>
      <c r="Y467" s="132"/>
      <c r="Z467" s="132"/>
      <c r="AA467" s="132"/>
    </row>
    <row r="468" spans="1:27" ht="20.100000000000001" hidden="1" customHeight="1">
      <c r="A468" s="299">
        <v>30100054</v>
      </c>
      <c r="B468" s="140" t="s">
        <v>227</v>
      </c>
      <c r="C468" s="394" t="s">
        <v>203</v>
      </c>
      <c r="D468" s="108">
        <v>5.03</v>
      </c>
      <c r="E468" s="108"/>
      <c r="F468" s="127"/>
      <c r="G468" s="128"/>
      <c r="H468" s="398">
        <f t="shared" si="210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1"/>
        <v>0</v>
      </c>
      <c r="N468" s="130">
        <f t="shared" si="212"/>
        <v>0</v>
      </c>
      <c r="O468" s="389"/>
      <c r="P468" s="389"/>
      <c r="Q468" s="389"/>
      <c r="R468" s="389"/>
      <c r="S468" s="389"/>
      <c r="T468" s="389"/>
      <c r="U468" s="389"/>
      <c r="V468" s="132">
        <f t="shared" si="213"/>
        <v>0</v>
      </c>
      <c r="W468" s="133" t="str">
        <f t="shared" si="208"/>
        <v/>
      </c>
      <c r="X468" s="132"/>
      <c r="Y468" s="132"/>
      <c r="Z468" s="132"/>
      <c r="AA468" s="132"/>
    </row>
    <row r="469" spans="1:27" ht="20.100000000000001" hidden="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28"/>
      <c r="H469" s="398">
        <f t="shared" si="210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1"/>
        <v>0</v>
      </c>
      <c r="N469" s="130">
        <f t="shared" si="212"/>
        <v>0</v>
      </c>
      <c r="O469" s="389"/>
      <c r="P469" s="389"/>
      <c r="Q469" s="389"/>
      <c r="R469" s="389"/>
      <c r="S469" s="389"/>
      <c r="T469" s="389"/>
      <c r="U469" s="389"/>
      <c r="V469" s="132">
        <f t="shared" si="213"/>
        <v>0</v>
      </c>
      <c r="W469" s="133" t="str">
        <f t="shared" si="208"/>
        <v/>
      </c>
      <c r="X469" s="132"/>
      <c r="Y469" s="132"/>
      <c r="Z469" s="132"/>
      <c r="AA469" s="132"/>
    </row>
    <row r="470" spans="1:27" ht="20.100000000000001" hidden="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28"/>
      <c r="H470" s="398">
        <f t="shared" si="210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1"/>
        <v>0</v>
      </c>
      <c r="N470" s="130">
        <f t="shared" si="212"/>
        <v>0</v>
      </c>
      <c r="O470" s="389"/>
      <c r="P470" s="389"/>
      <c r="Q470" s="389"/>
      <c r="R470" s="389"/>
      <c r="S470" s="389"/>
      <c r="T470" s="389"/>
      <c r="U470" s="389"/>
      <c r="V470" s="132">
        <f t="shared" si="213"/>
        <v>0</v>
      </c>
      <c r="W470" s="133" t="str">
        <f t="shared" si="208"/>
        <v/>
      </c>
      <c r="X470" s="132"/>
      <c r="Y470" s="132"/>
      <c r="Z470" s="132"/>
      <c r="AA470" s="132"/>
    </row>
    <row r="471" spans="1:27" ht="20.100000000000001" hidden="1" customHeight="1">
      <c r="A471" s="299"/>
      <c r="B471" s="140" t="s">
        <v>227</v>
      </c>
      <c r="C471" s="394" t="s">
        <v>228</v>
      </c>
      <c r="D471" s="108">
        <v>5.03</v>
      </c>
      <c r="E471" s="108"/>
      <c r="F471" s="127"/>
      <c r="G471" s="128"/>
      <c r="H471" s="398">
        <f t="shared" si="210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1"/>
        <v>0</v>
      </c>
      <c r="N471" s="130">
        <f t="shared" si="212"/>
        <v>0</v>
      </c>
      <c r="O471" s="389"/>
      <c r="P471" s="389"/>
      <c r="Q471" s="389"/>
      <c r="R471" s="389"/>
      <c r="S471" s="389"/>
      <c r="T471" s="389"/>
      <c r="U471" s="389"/>
      <c r="V471" s="132">
        <f t="shared" si="213"/>
        <v>0</v>
      </c>
      <c r="W471" s="133" t="str">
        <f t="shared" si="208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30101067</v>
      </c>
      <c r="B472" s="140" t="s">
        <v>229</v>
      </c>
      <c r="C472" s="394" t="s">
        <v>212</v>
      </c>
      <c r="D472" s="108">
        <v>5.03</v>
      </c>
      <c r="E472" s="108"/>
      <c r="F472" s="127"/>
      <c r="G472" s="128"/>
      <c r="H472" s="398">
        <f t="shared" si="210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1"/>
        <v/>
      </c>
      <c r="N472" s="130">
        <f t="shared" si="212"/>
        <v>0</v>
      </c>
      <c r="O472" s="389"/>
      <c r="P472" s="389"/>
      <c r="Q472" s="389"/>
      <c r="R472" s="389"/>
      <c r="S472" s="389"/>
      <c r="T472" s="389"/>
      <c r="U472" s="389"/>
      <c r="V472" s="132">
        <f t="shared" si="213"/>
        <v>0</v>
      </c>
      <c r="W472" s="133" t="str">
        <f t="shared" si="208"/>
        <v/>
      </c>
      <c r="X472" s="132"/>
      <c r="Y472" s="132"/>
      <c r="Z472" s="132"/>
      <c r="AA472" s="132"/>
    </row>
    <row r="473" spans="1:27" ht="20.100000000000001" hidden="1" customHeight="1">
      <c r="A473" s="299">
        <v>30101068</v>
      </c>
      <c r="B473" s="140" t="s">
        <v>229</v>
      </c>
      <c r="C473" s="394" t="s">
        <v>203</v>
      </c>
      <c r="D473" s="108">
        <v>5.03</v>
      </c>
      <c r="E473" s="108"/>
      <c r="F473" s="127"/>
      <c r="G473" s="128"/>
      <c r="H473" s="398">
        <f t="shared" si="210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1"/>
        <v/>
      </c>
      <c r="N473" s="130">
        <f t="shared" si="212"/>
        <v>0</v>
      </c>
      <c r="O473" s="389"/>
      <c r="P473" s="389"/>
      <c r="Q473" s="389"/>
      <c r="R473" s="389"/>
      <c r="S473" s="389"/>
      <c r="T473" s="389"/>
      <c r="U473" s="389"/>
      <c r="V473" s="132">
        <f t="shared" si="213"/>
        <v>0</v>
      </c>
      <c r="W473" s="133" t="str">
        <f t="shared" si="208"/>
        <v/>
      </c>
      <c r="X473" s="132"/>
      <c r="Y473" s="132"/>
      <c r="Z473" s="132"/>
      <c r="AA473" s="132"/>
    </row>
    <row r="474" spans="1:27" ht="20.100000000000001" hidden="1" customHeight="1">
      <c r="A474" s="299">
        <v>30101069</v>
      </c>
      <c r="B474" s="140" t="s">
        <v>229</v>
      </c>
      <c r="C474" s="394" t="s">
        <v>186</v>
      </c>
      <c r="D474" s="108">
        <v>5.03</v>
      </c>
      <c r="E474" s="108"/>
      <c r="F474" s="127"/>
      <c r="G474" s="128"/>
      <c r="H474" s="398">
        <f t="shared" si="210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1"/>
        <v/>
      </c>
      <c r="N474" s="130">
        <f t="shared" si="212"/>
        <v>0</v>
      </c>
      <c r="O474" s="389"/>
      <c r="P474" s="389"/>
      <c r="Q474" s="389"/>
      <c r="R474" s="389"/>
      <c r="S474" s="389"/>
      <c r="T474" s="389"/>
      <c r="U474" s="389"/>
      <c r="V474" s="132">
        <f t="shared" si="213"/>
        <v>0</v>
      </c>
      <c r="W474" s="133" t="str">
        <f t="shared" si="208"/>
        <v/>
      </c>
      <c r="X474" s="132"/>
      <c r="Y474" s="132"/>
      <c r="Z474" s="132"/>
      <c r="AA474" s="132"/>
    </row>
    <row r="475" spans="1:27" ht="20.100000000000001" hidden="1" customHeight="1">
      <c r="A475" s="299">
        <v>30101070</v>
      </c>
      <c r="B475" s="140" t="s">
        <v>229</v>
      </c>
      <c r="C475" s="394" t="s">
        <v>228</v>
      </c>
      <c r="D475" s="108">
        <v>5.03</v>
      </c>
      <c r="E475" s="108"/>
      <c r="F475" s="127"/>
      <c r="G475" s="128"/>
      <c r="H475" s="398">
        <f t="shared" si="210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1"/>
        <v/>
      </c>
      <c r="N475" s="130">
        <f t="shared" si="212"/>
        <v>0</v>
      </c>
      <c r="O475" s="389"/>
      <c r="P475" s="389"/>
      <c r="Q475" s="389"/>
      <c r="R475" s="389"/>
      <c r="S475" s="389"/>
      <c r="T475" s="389"/>
      <c r="U475" s="389"/>
      <c r="V475" s="132">
        <f t="shared" si="213"/>
        <v>0</v>
      </c>
      <c r="W475" s="133" t="str">
        <f t="shared" si="208"/>
        <v/>
      </c>
      <c r="X475" s="132"/>
      <c r="Y475" s="132"/>
      <c r="Z475" s="132"/>
      <c r="AA475" s="132"/>
    </row>
    <row r="476" spans="1:27" ht="20.100000000000001" hidden="1" customHeight="1">
      <c r="A476" s="299">
        <v>30101071</v>
      </c>
      <c r="B476" s="140" t="s">
        <v>229</v>
      </c>
      <c r="C476" s="394" t="s">
        <v>199</v>
      </c>
      <c r="D476" s="108">
        <v>5.03</v>
      </c>
      <c r="E476" s="108"/>
      <c r="F476" s="127"/>
      <c r="G476" s="128"/>
      <c r="H476" s="398">
        <f t="shared" si="210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1"/>
        <v/>
      </c>
      <c r="N476" s="130">
        <f t="shared" si="212"/>
        <v>0</v>
      </c>
      <c r="O476" s="389"/>
      <c r="P476" s="389"/>
      <c r="Q476" s="389"/>
      <c r="R476" s="389"/>
      <c r="S476" s="389"/>
      <c r="T476" s="389"/>
      <c r="U476" s="389"/>
      <c r="V476" s="132">
        <f t="shared" si="213"/>
        <v>0</v>
      </c>
      <c r="W476" s="133" t="str">
        <f t="shared" si="208"/>
        <v/>
      </c>
      <c r="X476" s="132"/>
      <c r="Y476" s="132"/>
      <c r="Z476" s="132"/>
      <c r="AA476" s="132"/>
    </row>
    <row r="477" spans="1:27" ht="20.100000000000001" hidden="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28"/>
      <c r="H477" s="398">
        <f t="shared" si="210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si="211"/>
        <v>0</v>
      </c>
      <c r="N477" s="130">
        <f t="shared" si="212"/>
        <v>0</v>
      </c>
      <c r="O477" s="389"/>
      <c r="P477" s="389"/>
      <c r="Q477" s="389"/>
      <c r="R477" s="389"/>
      <c r="S477" s="389"/>
      <c r="T477" s="389"/>
      <c r="U477" s="389"/>
      <c r="V477" s="132">
        <f t="shared" si="213"/>
        <v>0</v>
      </c>
      <c r="W477" s="133" t="str">
        <f t="shared" si="208"/>
        <v/>
      </c>
      <c r="X477" s="132"/>
      <c r="Y477" s="132"/>
      <c r="Z477" s="132"/>
      <c r="AA477" s="132"/>
    </row>
    <row r="478" spans="1:27" ht="20.100000000000001" hidden="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28"/>
      <c r="H478" s="398">
        <f t="shared" si="210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1"/>
        <v>0</v>
      </c>
      <c r="N478" s="130">
        <f t="shared" si="212"/>
        <v>0</v>
      </c>
      <c r="O478" s="389"/>
      <c r="P478" s="389"/>
      <c r="Q478" s="389"/>
      <c r="R478" s="389"/>
      <c r="S478" s="389"/>
      <c r="T478" s="389"/>
      <c r="U478" s="389"/>
      <c r="V478" s="132">
        <f t="shared" si="213"/>
        <v>0</v>
      </c>
      <c r="W478" s="133" t="str">
        <f t="shared" si="208"/>
        <v/>
      </c>
      <c r="X478" s="132"/>
      <c r="Y478" s="132"/>
      <c r="Z478" s="132"/>
      <c r="AA478" s="132"/>
    </row>
    <row r="479" spans="1:27" ht="20.100000000000001" hidden="1" customHeight="1">
      <c r="A479" s="578" t="s">
        <v>231</v>
      </c>
      <c r="B479" s="579"/>
      <c r="C479" s="396" t="s">
        <v>202</v>
      </c>
      <c r="D479" s="143"/>
      <c r="E479" s="143"/>
      <c r="F479" s="144"/>
      <c r="G479" s="145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08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hidden="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28"/>
      <c r="H480" s="398">
        <f t="shared" ref="H480:H489" si="214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4" si="215">IF(ISERROR(I480-K480),"",I480-K480)</f>
        <v>0</v>
      </c>
      <c r="N480" s="130">
        <f t="shared" ref="N480:N484" si="216">SUM(O480:U480)</f>
        <v>0</v>
      </c>
      <c r="O480" s="389"/>
      <c r="P480" s="389"/>
      <c r="Q480" s="389"/>
      <c r="R480" s="389"/>
      <c r="S480" s="389"/>
      <c r="T480" s="389"/>
      <c r="U480" s="389"/>
      <c r="V480" s="132">
        <f t="shared" ref="V480:V484" si="217">SUM(X480:AA480)</f>
        <v>0</v>
      </c>
      <c r="W480" s="133" t="str">
        <f t="shared" si="208"/>
        <v/>
      </c>
      <c r="X480" s="132"/>
      <c r="Y480" s="132"/>
      <c r="Z480" s="132"/>
      <c r="AA480" s="132"/>
    </row>
    <row r="481" spans="1:27" ht="20.100000000000001" hidden="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28"/>
      <c r="H481" s="398">
        <f t="shared" si="214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5"/>
        <v>0</v>
      </c>
      <c r="N481" s="130">
        <f t="shared" si="216"/>
        <v>0</v>
      </c>
      <c r="O481" s="389"/>
      <c r="P481" s="389"/>
      <c r="Q481" s="389"/>
      <c r="R481" s="389"/>
      <c r="S481" s="389"/>
      <c r="T481" s="389"/>
      <c r="U481" s="389"/>
      <c r="V481" s="132">
        <f t="shared" si="217"/>
        <v>0</v>
      </c>
      <c r="W481" s="133" t="str">
        <f t="shared" si="208"/>
        <v/>
      </c>
      <c r="X481" s="132"/>
      <c r="Y481" s="132"/>
      <c r="Z481" s="132"/>
      <c r="AA481" s="132"/>
    </row>
    <row r="482" spans="1:27" ht="20.100000000000001" hidden="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28"/>
      <c r="H482" s="398">
        <f t="shared" si="214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5"/>
        <v>0</v>
      </c>
      <c r="N482" s="130">
        <f t="shared" si="216"/>
        <v>0</v>
      </c>
      <c r="O482" s="389"/>
      <c r="P482" s="389"/>
      <c r="Q482" s="389"/>
      <c r="R482" s="389"/>
      <c r="S482" s="389"/>
      <c r="T482" s="389"/>
      <c r="U482" s="389"/>
      <c r="V482" s="132">
        <f t="shared" si="217"/>
        <v>0</v>
      </c>
      <c r="W482" s="133" t="str">
        <f t="shared" si="208"/>
        <v/>
      </c>
      <c r="X482" s="132"/>
      <c r="Y482" s="132"/>
      <c r="Z482" s="132"/>
      <c r="AA482" s="132"/>
    </row>
    <row r="483" spans="1:27" ht="20.100000000000001" hidden="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28"/>
      <c r="H483" s="398">
        <f t="shared" si="214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15"/>
        <v>0</v>
      </c>
      <c r="N483" s="130">
        <f t="shared" si="216"/>
        <v>0</v>
      </c>
      <c r="O483" s="389"/>
      <c r="P483" s="389"/>
      <c r="Q483" s="389"/>
      <c r="R483" s="389"/>
      <c r="S483" s="389"/>
      <c r="T483" s="389"/>
      <c r="U483" s="389"/>
      <c r="V483" s="132">
        <f t="shared" si="217"/>
        <v>0</v>
      </c>
      <c r="W483" s="133" t="str">
        <f t="shared" si="208"/>
        <v/>
      </c>
      <c r="X483" s="132"/>
      <c r="Y483" s="132"/>
      <c r="Z483" s="132"/>
      <c r="AA483" s="132"/>
    </row>
    <row r="484" spans="1:27" ht="20.100000000000001" hidden="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28"/>
      <c r="H484" s="398">
        <f t="shared" si="214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15"/>
        <v>0</v>
      </c>
      <c r="N484" s="130">
        <f t="shared" si="216"/>
        <v>0</v>
      </c>
      <c r="O484" s="389"/>
      <c r="P484" s="389"/>
      <c r="Q484" s="389"/>
      <c r="R484" s="389"/>
      <c r="S484" s="389"/>
      <c r="T484" s="389"/>
      <c r="U484" s="389"/>
      <c r="V484" s="132">
        <f t="shared" si="217"/>
        <v>0</v>
      </c>
      <c r="W484" s="133" t="str">
        <f t="shared" si="208"/>
        <v/>
      </c>
      <c r="X484" s="132"/>
      <c r="Y484" s="132"/>
      <c r="Z484" s="132"/>
      <c r="AA484" s="132"/>
    </row>
    <row r="485" spans="1:27" ht="20.100000000000001" hidden="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28"/>
      <c r="H485" s="398">
        <f t="shared" si="214"/>
        <v>0</v>
      </c>
      <c r="I485" s="129"/>
      <c r="J485" s="130"/>
      <c r="K485" s="131"/>
      <c r="L485" s="129">
        <v>13.5</v>
      </c>
      <c r="M485" s="109"/>
      <c r="N485" s="130"/>
      <c r="O485" s="389"/>
      <c r="P485" s="389"/>
      <c r="Q485" s="389"/>
      <c r="R485" s="389"/>
      <c r="S485" s="389"/>
      <c r="T485" s="389"/>
      <c r="U485" s="389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30400020</v>
      </c>
      <c r="B486" s="134" t="s">
        <v>439</v>
      </c>
      <c r="C486" s="187" t="s">
        <v>74</v>
      </c>
      <c r="D486" s="108">
        <v>5.04</v>
      </c>
      <c r="E486" s="108"/>
      <c r="F486" s="127"/>
      <c r="G486" s="128"/>
      <c r="H486" s="398">
        <f t="shared" si="214"/>
        <v>0</v>
      </c>
      <c r="I486" s="129"/>
      <c r="J486" s="130"/>
      <c r="K486" s="131"/>
      <c r="L486" s="129">
        <v>13.5</v>
      </c>
      <c r="M486" s="109"/>
      <c r="N486" s="130"/>
      <c r="O486" s="389"/>
      <c r="P486" s="389"/>
      <c r="Q486" s="389"/>
      <c r="R486" s="389"/>
      <c r="S486" s="389"/>
      <c r="T486" s="389"/>
      <c r="U486" s="389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0">
        <v>30400021</v>
      </c>
      <c r="B487" s="134" t="s">
        <v>439</v>
      </c>
      <c r="C487" s="187" t="s">
        <v>53</v>
      </c>
      <c r="D487" s="108">
        <v>5.04</v>
      </c>
      <c r="E487" s="108"/>
      <c r="F487" s="127"/>
      <c r="G487" s="128"/>
      <c r="H487" s="398">
        <f t="shared" si="214"/>
        <v>0</v>
      </c>
      <c r="I487" s="129"/>
      <c r="J487" s="130"/>
      <c r="K487" s="131"/>
      <c r="L487" s="129">
        <v>13.5</v>
      </c>
      <c r="M487" s="109"/>
      <c r="N487" s="130"/>
      <c r="O487" s="389"/>
      <c r="P487" s="389"/>
      <c r="Q487" s="389"/>
      <c r="R487" s="389"/>
      <c r="S487" s="389"/>
      <c r="T487" s="389"/>
      <c r="U487" s="389"/>
      <c r="V487" s="132"/>
      <c r="W487" s="133"/>
      <c r="X487" s="132"/>
      <c r="Y487" s="132"/>
      <c r="Z487" s="132"/>
      <c r="AA487" s="132"/>
    </row>
    <row r="488" spans="1:27" ht="20.10000000000000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28"/>
      <c r="H488" s="438">
        <f t="shared" si="214"/>
        <v>0</v>
      </c>
      <c r="I488" s="129"/>
      <c r="J488" s="130"/>
      <c r="K488" s="131"/>
      <c r="L488" s="129">
        <v>13.5</v>
      </c>
      <c r="M488" s="109"/>
      <c r="N488" s="130"/>
      <c r="O488" s="446"/>
      <c r="P488" s="446"/>
      <c r="Q488" s="446"/>
      <c r="R488" s="446"/>
      <c r="S488" s="446"/>
      <c r="T488" s="446"/>
      <c r="U488" s="446"/>
      <c r="V488" s="132"/>
      <c r="W488" s="133"/>
      <c r="X488" s="132"/>
      <c r="Y488" s="132"/>
      <c r="Z488" s="132"/>
      <c r="AA488" s="132"/>
    </row>
    <row r="489" spans="1:27" ht="20.100000000000001" hidden="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28"/>
      <c r="H489" s="398">
        <f t="shared" si="214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ref="M489" si="218">IF(ISERROR(I489-K489),"",I489-K489)</f>
        <v>0</v>
      </c>
      <c r="N489" s="130">
        <f t="shared" ref="N489" si="219">SUM(O489:U489)</f>
        <v>0</v>
      </c>
      <c r="O489" s="389"/>
      <c r="P489" s="389"/>
      <c r="Q489" s="389"/>
      <c r="R489" s="389"/>
      <c r="S489" s="389"/>
      <c r="T489" s="389"/>
      <c r="U489" s="389"/>
      <c r="V489" s="132">
        <f t="shared" ref="V489" si="220">SUM(X489:AA489)</f>
        <v>0</v>
      </c>
      <c r="W489" s="133" t="str">
        <f t="shared" ref="W489:W494" si="221">IF(ISERROR(V489/G489),"",V489/G489)</f>
        <v/>
      </c>
      <c r="X489" s="132"/>
      <c r="Y489" s="132"/>
      <c r="Z489" s="132"/>
      <c r="AA489" s="132"/>
    </row>
    <row r="490" spans="1:27" ht="20.100000000000001" hidden="1" customHeight="1">
      <c r="A490" s="578" t="s">
        <v>234</v>
      </c>
      <c r="B490" s="579"/>
      <c r="C490" s="396" t="s">
        <v>202</v>
      </c>
      <c r="D490" s="143"/>
      <c r="E490" s="143"/>
      <c r="F490" s="144"/>
      <c r="G490" s="145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1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hidden="1" customHeight="1">
      <c r="A491" s="299">
        <v>30700013</v>
      </c>
      <c r="B491" s="141" t="s">
        <v>235</v>
      </c>
      <c r="C491" s="388"/>
      <c r="D491" s="108">
        <v>3.65</v>
      </c>
      <c r="E491" s="108"/>
      <c r="F491" s="153"/>
      <c r="G491" s="128"/>
      <c r="H491" s="398">
        <f t="shared" ref="H491:H505" si="222">D491*G491</f>
        <v>0</v>
      </c>
      <c r="I491" s="129"/>
      <c r="J491" s="130" t="str">
        <f t="array" ref="J491">IF(ISERROR(G491/I491),"",G491/I491)</f>
        <v/>
      </c>
      <c r="K491" s="398">
        <f t="array" ref="K491">IF(ISERROR(G491/L491),"",G491/L491)</f>
        <v>0</v>
      </c>
      <c r="L491" s="129">
        <v>5</v>
      </c>
      <c r="M491" s="109">
        <f t="shared" ref="M491:M494" si="223">IF(ISERROR(I491-K491),"",I491-K491)</f>
        <v>0</v>
      </c>
      <c r="N491" s="130">
        <f t="shared" ref="N491:N494" si="224">SUM(O491:U491)</f>
        <v>0</v>
      </c>
      <c r="O491" s="389"/>
      <c r="P491" s="389"/>
      <c r="Q491" s="389"/>
      <c r="R491" s="389"/>
      <c r="S491" s="389"/>
      <c r="T491" s="389"/>
      <c r="U491" s="389"/>
      <c r="V491" s="132">
        <f t="shared" ref="V491:V494" si="225">SUM(X491:AA491)</f>
        <v>0</v>
      </c>
      <c r="W491" s="133" t="str">
        <f t="shared" si="221"/>
        <v/>
      </c>
      <c r="X491" s="132"/>
      <c r="Y491" s="132"/>
      <c r="Z491" s="132"/>
      <c r="AA491" s="132"/>
    </row>
    <row r="492" spans="1:27" ht="20.100000000000001" hidden="1" customHeight="1">
      <c r="A492" s="299">
        <v>30700014</v>
      </c>
      <c r="B492" s="141" t="s">
        <v>236</v>
      </c>
      <c r="C492" s="388"/>
      <c r="D492" s="108">
        <v>6.58</v>
      </c>
      <c r="E492" s="108"/>
      <c r="F492" s="127"/>
      <c r="G492" s="128"/>
      <c r="H492" s="398">
        <f t="shared" si="222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3"/>
        <v>0</v>
      </c>
      <c r="N492" s="130">
        <f t="shared" si="224"/>
        <v>0</v>
      </c>
      <c r="O492" s="389"/>
      <c r="P492" s="389"/>
      <c r="Q492" s="389"/>
      <c r="R492" s="389"/>
      <c r="S492" s="389"/>
      <c r="T492" s="389"/>
      <c r="U492" s="389"/>
      <c r="V492" s="132">
        <f t="shared" si="225"/>
        <v>0</v>
      </c>
      <c r="W492" s="133" t="str">
        <f t="shared" si="221"/>
        <v/>
      </c>
      <c r="X492" s="132"/>
      <c r="Y492" s="132"/>
      <c r="Z492" s="132"/>
      <c r="AA492" s="132"/>
    </row>
    <row r="493" spans="1:27" ht="20.100000000000001" hidden="1" customHeight="1">
      <c r="A493" s="299">
        <v>30700016</v>
      </c>
      <c r="B493" s="141" t="s">
        <v>237</v>
      </c>
      <c r="C493" s="388"/>
      <c r="D493" s="108">
        <v>7.8</v>
      </c>
      <c r="E493" s="108"/>
      <c r="F493" s="127"/>
      <c r="G493" s="128"/>
      <c r="H493" s="398">
        <f t="shared" si="222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3"/>
        <v>0</v>
      </c>
      <c r="N493" s="130">
        <f t="shared" si="224"/>
        <v>0</v>
      </c>
      <c r="O493" s="389"/>
      <c r="P493" s="389"/>
      <c r="Q493" s="389"/>
      <c r="R493" s="389"/>
      <c r="S493" s="389"/>
      <c r="T493" s="389"/>
      <c r="U493" s="389"/>
      <c r="V493" s="132">
        <f t="shared" si="225"/>
        <v>0</v>
      </c>
      <c r="W493" s="133" t="str">
        <f t="shared" si="221"/>
        <v/>
      </c>
      <c r="X493" s="132"/>
      <c r="Y493" s="132"/>
      <c r="Z493" s="132"/>
      <c r="AA493" s="132"/>
    </row>
    <row r="494" spans="1:27" ht="20.100000000000001" hidden="1" customHeight="1">
      <c r="A494" s="299">
        <v>30700017</v>
      </c>
      <c r="B494" s="141" t="s">
        <v>238</v>
      </c>
      <c r="C494" s="388"/>
      <c r="D494" s="108">
        <v>4.4000000000000004</v>
      </c>
      <c r="E494" s="108"/>
      <c r="F494" s="127"/>
      <c r="G494" s="128"/>
      <c r="H494" s="398">
        <f t="shared" si="222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3"/>
        <v>0</v>
      </c>
      <c r="N494" s="130">
        <f t="shared" si="224"/>
        <v>0</v>
      </c>
      <c r="O494" s="389"/>
      <c r="P494" s="389"/>
      <c r="Q494" s="389"/>
      <c r="R494" s="389"/>
      <c r="S494" s="389"/>
      <c r="T494" s="389"/>
      <c r="U494" s="389"/>
      <c r="V494" s="132">
        <f t="shared" si="225"/>
        <v>0</v>
      </c>
      <c r="W494" s="133" t="str">
        <f t="shared" si="221"/>
        <v/>
      </c>
      <c r="X494" s="132"/>
      <c r="Y494" s="132"/>
      <c r="Z494" s="132"/>
      <c r="AA494" s="132"/>
    </row>
    <row r="495" spans="1:27" ht="20.100000000000001" hidden="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28"/>
      <c r="H495" s="398">
        <f t="shared" si="222"/>
        <v>0</v>
      </c>
      <c r="I495" s="129"/>
      <c r="J495" s="130"/>
      <c r="K495" s="131"/>
      <c r="L495" s="129"/>
      <c r="M495" s="109"/>
      <c r="N495" s="130"/>
      <c r="O495" s="389"/>
      <c r="P495" s="389"/>
      <c r="Q495" s="389"/>
      <c r="R495" s="389"/>
      <c r="S495" s="389"/>
      <c r="T495" s="389"/>
      <c r="U495" s="389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299">
        <v>30700001</v>
      </c>
      <c r="B496" s="127" t="s">
        <v>359</v>
      </c>
      <c r="C496" s="388"/>
      <c r="D496" s="108"/>
      <c r="E496" s="108"/>
      <c r="F496" s="127"/>
      <c r="G496" s="128"/>
      <c r="H496" s="398">
        <f t="shared" si="222"/>
        <v>0</v>
      </c>
      <c r="I496" s="129"/>
      <c r="J496" s="130"/>
      <c r="K496" s="131"/>
      <c r="L496" s="129">
        <v>6</v>
      </c>
      <c r="M496" s="109"/>
      <c r="N496" s="130"/>
      <c r="O496" s="389"/>
      <c r="P496" s="389"/>
      <c r="Q496" s="389"/>
      <c r="R496" s="389"/>
      <c r="S496" s="389"/>
      <c r="T496" s="389"/>
      <c r="U496" s="389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/>
      <c r="B497" s="388" t="s">
        <v>239</v>
      </c>
      <c r="C497" s="388" t="s">
        <v>179</v>
      </c>
      <c r="D497" s="108">
        <v>6.04</v>
      </c>
      <c r="E497" s="108"/>
      <c r="F497" s="127"/>
      <c r="G497" s="128"/>
      <c r="H497" s="398">
        <f t="shared" si="222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498" si="226">IF(ISERROR(I497-K497),"",I497-K497)</f>
        <v>0</v>
      </c>
      <c r="N497" s="130">
        <f t="shared" ref="N497:N498" si="227">SUM(O497:U497)</f>
        <v>0</v>
      </c>
      <c r="O497" s="389"/>
      <c r="P497" s="389"/>
      <c r="Q497" s="389"/>
      <c r="R497" s="389"/>
      <c r="S497" s="389"/>
      <c r="T497" s="389"/>
      <c r="U497" s="389"/>
      <c r="V497" s="132">
        <f t="shared" ref="V497:V498" si="228">SUM(X497:AA497)</f>
        <v>0</v>
      </c>
      <c r="W497" s="133" t="str">
        <f t="shared" ref="W497:W498" si="229">IF(ISERROR(V497/G497),"",V497/G497)</f>
        <v/>
      </c>
      <c r="X497" s="132"/>
      <c r="Y497" s="132"/>
      <c r="Z497" s="132"/>
      <c r="AA497" s="132"/>
    </row>
    <row r="498" spans="1:27" ht="20.100000000000001" hidden="1" customHeight="1">
      <c r="A498" s="305">
        <v>30700019</v>
      </c>
      <c r="B498" s="388" t="s">
        <v>239</v>
      </c>
      <c r="C498" s="388" t="s">
        <v>186</v>
      </c>
      <c r="D498" s="108">
        <v>6.04</v>
      </c>
      <c r="E498" s="108"/>
      <c r="F498" s="127"/>
      <c r="G498" s="128"/>
      <c r="H498" s="398">
        <f t="shared" si="222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6"/>
        <v>0</v>
      </c>
      <c r="N498" s="130">
        <f t="shared" si="227"/>
        <v>0</v>
      </c>
      <c r="O498" s="389"/>
      <c r="P498" s="389"/>
      <c r="Q498" s="389"/>
      <c r="R498" s="389"/>
      <c r="S498" s="389"/>
      <c r="T498" s="389"/>
      <c r="U498" s="389"/>
      <c r="V498" s="132">
        <f t="shared" si="228"/>
        <v>0</v>
      </c>
      <c r="W498" s="133" t="str">
        <f t="shared" si="229"/>
        <v/>
      </c>
      <c r="X498" s="132"/>
      <c r="Y498" s="132"/>
      <c r="Z498" s="132"/>
      <c r="AA498" s="132"/>
    </row>
    <row r="499" spans="1:27" ht="20.100000000000001" hidden="1" customHeight="1">
      <c r="A499" s="305">
        <v>30601015</v>
      </c>
      <c r="B499" s="388" t="s">
        <v>443</v>
      </c>
      <c r="C499" s="388" t="s">
        <v>179</v>
      </c>
      <c r="D499" s="108"/>
      <c r="E499" s="108"/>
      <c r="F499" s="127"/>
      <c r="G499" s="128"/>
      <c r="H499" s="398">
        <f t="shared" si="222"/>
        <v>0</v>
      </c>
      <c r="I499" s="129"/>
      <c r="J499" s="130"/>
      <c r="K499" s="131"/>
      <c r="L499" s="129"/>
      <c r="M499" s="109"/>
      <c r="N499" s="130"/>
      <c r="O499" s="389"/>
      <c r="P499" s="389"/>
      <c r="Q499" s="389"/>
      <c r="R499" s="389"/>
      <c r="S499" s="389"/>
      <c r="T499" s="389"/>
      <c r="U499" s="389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305">
        <v>30101016</v>
      </c>
      <c r="B500" s="388" t="s">
        <v>443</v>
      </c>
      <c r="C500" s="388" t="s">
        <v>186</v>
      </c>
      <c r="D500" s="108"/>
      <c r="E500" s="108"/>
      <c r="F500" s="127"/>
      <c r="G500" s="128"/>
      <c r="H500" s="398">
        <f t="shared" si="222"/>
        <v>0</v>
      </c>
      <c r="I500" s="129"/>
      <c r="J500" s="130"/>
      <c r="K500" s="131"/>
      <c r="L500" s="129"/>
      <c r="M500" s="109"/>
      <c r="N500" s="130"/>
      <c r="O500" s="389"/>
      <c r="P500" s="389"/>
      <c r="Q500" s="389"/>
      <c r="R500" s="389"/>
      <c r="S500" s="389"/>
      <c r="T500" s="389"/>
      <c r="U500" s="389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30700018</v>
      </c>
      <c r="B501" s="390" t="s">
        <v>240</v>
      </c>
      <c r="C501" s="126"/>
      <c r="D501" s="108">
        <v>7.3</v>
      </c>
      <c r="E501" s="108"/>
      <c r="F501" s="127"/>
      <c r="G501" s="128"/>
      <c r="H501" s="398">
        <f t="shared" si="222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ref="M501" si="230">IF(ISERROR(I501-K501),"",I501-K501)</f>
        <v>0</v>
      </c>
      <c r="N501" s="130">
        <f t="shared" ref="N501" si="231">SUM(O501:U501)</f>
        <v>0</v>
      </c>
      <c r="O501" s="389"/>
      <c r="P501" s="389"/>
      <c r="Q501" s="389"/>
      <c r="R501" s="389"/>
      <c r="S501" s="389"/>
      <c r="T501" s="389"/>
      <c r="U501" s="389"/>
      <c r="V501" s="132">
        <f t="shared" ref="V501" si="232">SUM(X501:AA501)</f>
        <v>0</v>
      </c>
      <c r="W501" s="133" t="str">
        <f t="shared" ref="W501" si="233">IF(ISERROR(V501/G501),"",V501/G501)</f>
        <v/>
      </c>
      <c r="X501" s="132"/>
      <c r="Y501" s="132"/>
      <c r="Z501" s="132"/>
      <c r="AA501" s="132"/>
    </row>
    <row r="502" spans="1:27" ht="20.100000000000001" hidden="1" customHeight="1">
      <c r="A502" s="299">
        <v>30700010</v>
      </c>
      <c r="B502" s="390" t="s">
        <v>241</v>
      </c>
      <c r="C502" s="126"/>
      <c r="D502" s="108">
        <f>78*120/1000</f>
        <v>9.36</v>
      </c>
      <c r="E502" s="108"/>
      <c r="F502" s="127"/>
      <c r="G502" s="128"/>
      <c r="H502" s="398">
        <f t="shared" si="222"/>
        <v>0</v>
      </c>
      <c r="I502" s="129"/>
      <c r="J502" s="130"/>
      <c r="K502" s="131"/>
      <c r="L502" s="129"/>
      <c r="M502" s="109"/>
      <c r="N502" s="130"/>
      <c r="O502" s="389"/>
      <c r="P502" s="389"/>
      <c r="Q502" s="389"/>
      <c r="R502" s="389"/>
      <c r="S502" s="389"/>
      <c r="T502" s="389"/>
      <c r="U502" s="389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299">
        <v>30700015</v>
      </c>
      <c r="B503" s="390" t="s">
        <v>242</v>
      </c>
      <c r="C503" s="126"/>
      <c r="D503" s="108">
        <v>4.5</v>
      </c>
      <c r="E503" s="108"/>
      <c r="F503" s="127"/>
      <c r="G503" s="128"/>
      <c r="H503" s="398">
        <f t="shared" si="222"/>
        <v>0</v>
      </c>
      <c r="I503" s="129"/>
      <c r="J503" s="130"/>
      <c r="K503" s="131"/>
      <c r="L503" s="129"/>
      <c r="M503" s="109"/>
      <c r="N503" s="130"/>
      <c r="O503" s="389"/>
      <c r="P503" s="389"/>
      <c r="Q503" s="389"/>
      <c r="R503" s="389"/>
      <c r="S503" s="389"/>
      <c r="T503" s="389"/>
      <c r="U503" s="389"/>
      <c r="V503" s="132"/>
      <c r="W503" s="133"/>
      <c r="X503" s="132"/>
      <c r="Y503" s="132"/>
      <c r="Z503" s="132"/>
      <c r="AA503" s="132"/>
    </row>
    <row r="504" spans="1:27" ht="20.100000000000001" hidden="1" customHeight="1">
      <c r="A504" s="299">
        <v>30700012</v>
      </c>
      <c r="B504" s="390" t="s">
        <v>243</v>
      </c>
      <c r="C504" s="126"/>
      <c r="D504" s="108">
        <v>4.5</v>
      </c>
      <c r="E504" s="108"/>
      <c r="F504" s="127"/>
      <c r="G504" s="128"/>
      <c r="H504" s="398">
        <f t="shared" si="222"/>
        <v>0</v>
      </c>
      <c r="I504" s="129"/>
      <c r="J504" s="130"/>
      <c r="K504" s="131"/>
      <c r="L504" s="129"/>
      <c r="M504" s="109"/>
      <c r="N504" s="130"/>
      <c r="O504" s="389"/>
      <c r="P504" s="389"/>
      <c r="Q504" s="389"/>
      <c r="R504" s="389"/>
      <c r="S504" s="389"/>
      <c r="T504" s="389"/>
      <c r="U504" s="389"/>
      <c r="V504" s="132"/>
      <c r="W504" s="133"/>
      <c r="X504" s="132"/>
      <c r="Y504" s="132"/>
      <c r="Z504" s="132"/>
      <c r="AA504" s="132"/>
    </row>
    <row r="505" spans="1:27" ht="20.100000000000001" hidden="1" customHeight="1">
      <c r="A505" s="299"/>
      <c r="B505" s="390"/>
      <c r="C505" s="126"/>
      <c r="D505" s="108"/>
      <c r="E505" s="108"/>
      <c r="F505" s="127"/>
      <c r="G505" s="128"/>
      <c r="H505" s="398">
        <f t="shared" si="222"/>
        <v>0</v>
      </c>
      <c r="I505" s="129"/>
      <c r="J505" s="130"/>
      <c r="K505" s="131"/>
      <c r="L505" s="129"/>
      <c r="M505" s="109"/>
      <c r="N505" s="130"/>
      <c r="O505" s="389"/>
      <c r="P505" s="389"/>
      <c r="Q505" s="389"/>
      <c r="R505" s="389"/>
      <c r="S505" s="389"/>
      <c r="T505" s="389"/>
      <c r="U505" s="389"/>
      <c r="V505" s="132"/>
      <c r="W505" s="133"/>
      <c r="X505" s="132"/>
      <c r="Y505" s="132"/>
      <c r="Z505" s="132"/>
      <c r="AA505" s="132"/>
    </row>
    <row r="506" spans="1:27" ht="20.100000000000001" hidden="1" customHeight="1">
      <c r="A506" s="578" t="s">
        <v>244</v>
      </c>
      <c r="B506" s="579"/>
      <c r="C506" s="396" t="s">
        <v>202</v>
      </c>
      <c r="D506" s="143"/>
      <c r="E506" s="143"/>
      <c r="F506" s="144"/>
      <c r="G506" s="145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4">SUM(M491:M501)</f>
        <v>0</v>
      </c>
      <c r="N506" s="146">
        <f t="shared" si="234"/>
        <v>0</v>
      </c>
      <c r="O506" s="148">
        <f t="shared" si="234"/>
        <v>0</v>
      </c>
      <c r="P506" s="148">
        <f t="shared" si="234"/>
        <v>0</v>
      </c>
      <c r="Q506" s="148">
        <f t="shared" si="234"/>
        <v>0</v>
      </c>
      <c r="R506" s="148">
        <f t="shared" si="234"/>
        <v>0</v>
      </c>
      <c r="S506" s="148">
        <f t="shared" si="234"/>
        <v>0</v>
      </c>
      <c r="T506" s="148">
        <f t="shared" si="234"/>
        <v>0</v>
      </c>
      <c r="U506" s="148">
        <f t="shared" si="234"/>
        <v>0</v>
      </c>
      <c r="V506" s="149">
        <f t="shared" si="234"/>
        <v>0</v>
      </c>
      <c r="W506" s="133">
        <f t="shared" si="234"/>
        <v>0</v>
      </c>
      <c r="X506" s="149">
        <f t="shared" si="234"/>
        <v>0</v>
      </c>
      <c r="Y506" s="149">
        <f t="shared" si="234"/>
        <v>0</v>
      </c>
      <c r="Z506" s="149">
        <f t="shared" si="234"/>
        <v>0</v>
      </c>
      <c r="AA506" s="149">
        <f t="shared" si="234"/>
        <v>0</v>
      </c>
    </row>
    <row r="507" spans="1:27" ht="20.100000000000001" customHeight="1">
      <c r="A507" s="580" t="s">
        <v>246</v>
      </c>
      <c r="B507" s="581"/>
      <c r="C507" s="581"/>
      <c r="D507" s="581"/>
      <c r="E507" s="581"/>
      <c r="F507" s="582"/>
      <c r="G507" s="154">
        <f>SUM(G370,G428,G463,G479,G490,G506)</f>
        <v>888</v>
      </c>
      <c r="H507" s="154">
        <f>SUM(H370,H428,H463,H479,H490,H506)</f>
        <v>4466.6400000000003</v>
      </c>
      <c r="I507" s="154">
        <f>SUM(I370,I428,I463,I479,I490,I506)</f>
        <v>95.5</v>
      </c>
      <c r="J507" s="155">
        <f t="array" ref="J507">IF(ISERROR(G507/I507),"",G507/I507)</f>
        <v>9.2984293193717278</v>
      </c>
      <c r="K507" s="154">
        <f>SUM(K370,K428,K463,K479,K490,K506)</f>
        <v>100.62194525904202</v>
      </c>
      <c r="L507" s="155">
        <f>IF(ISERROR(G507/K507),"",G507/K507)</f>
        <v>8.8251126303901692</v>
      </c>
      <c r="M507" s="154">
        <f t="shared" ref="M507:V507" si="235">SUM(M370,M428,M463,M479,M490,M506)</f>
        <v>-5.1219452590420289</v>
      </c>
      <c r="N507" s="154">
        <f t="shared" si="235"/>
        <v>0</v>
      </c>
      <c r="O507" s="154">
        <f t="shared" si="235"/>
        <v>0</v>
      </c>
      <c r="P507" s="154">
        <f t="shared" si="235"/>
        <v>0</v>
      </c>
      <c r="Q507" s="154">
        <f t="shared" si="235"/>
        <v>0</v>
      </c>
      <c r="R507" s="154">
        <f t="shared" si="235"/>
        <v>0</v>
      </c>
      <c r="S507" s="154">
        <f t="shared" si="235"/>
        <v>0</v>
      </c>
      <c r="T507" s="154">
        <f t="shared" si="235"/>
        <v>0</v>
      </c>
      <c r="U507" s="154">
        <f t="shared" si="235"/>
        <v>0</v>
      </c>
      <c r="V507" s="154">
        <f t="shared" si="235"/>
        <v>0</v>
      </c>
      <c r="W507" s="156">
        <f t="shared" ref="W507" si="236">IF(ISERROR(V507/G507),"",V507/G507)</f>
        <v>0</v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583" t="s">
        <v>476</v>
      </c>
      <c r="B508" s="395" t="s">
        <v>247</v>
      </c>
      <c r="C508" s="586" t="s">
        <v>248</v>
      </c>
      <c r="D508" s="587"/>
      <c r="E508" s="588" t="s">
        <v>249</v>
      </c>
      <c r="F508" s="588"/>
      <c r="G508" s="591" t="s">
        <v>250</v>
      </c>
      <c r="H508" s="591"/>
      <c r="I508" s="588" t="s">
        <v>251</v>
      </c>
      <c r="J508" s="588"/>
      <c r="K508" s="588" t="s">
        <v>252</v>
      </c>
      <c r="L508" s="588"/>
      <c r="M508" s="588" t="s">
        <v>253</v>
      </c>
      <c r="N508" s="588"/>
      <c r="O508" s="588" t="s">
        <v>254</v>
      </c>
      <c r="P508" s="591" t="s">
        <v>255</v>
      </c>
      <c r="Q508" s="591"/>
      <c r="R508" s="591" t="s">
        <v>252</v>
      </c>
      <c r="S508" s="591"/>
      <c r="T508" s="591" t="s">
        <v>256</v>
      </c>
      <c r="U508" s="591"/>
      <c r="V508" s="591" t="s">
        <v>257</v>
      </c>
      <c r="W508" s="591"/>
      <c r="X508" s="591" t="s">
        <v>252</v>
      </c>
      <c r="Y508" s="591"/>
      <c r="Z508" s="591" t="s">
        <v>256</v>
      </c>
      <c r="AA508" s="591"/>
    </row>
    <row r="509" spans="1:27" ht="20.100000000000001" customHeight="1">
      <c r="A509" s="584"/>
      <c r="B509" s="395" t="s">
        <v>258</v>
      </c>
      <c r="C509" s="586">
        <v>0</v>
      </c>
      <c r="D509" s="587"/>
      <c r="E509" s="590">
        <f>C509*11</f>
        <v>0</v>
      </c>
      <c r="F509" s="590"/>
      <c r="G509" s="591">
        <v>0</v>
      </c>
      <c r="H509" s="591"/>
      <c r="I509" s="590">
        <f>G509*11</f>
        <v>0</v>
      </c>
      <c r="J509" s="590"/>
      <c r="K509" s="590">
        <f>E509-I509</f>
        <v>0</v>
      </c>
      <c r="L509" s="590"/>
      <c r="M509" s="592" t="str">
        <f>IF(ISERROR(K509/E509),"",K509/E509)</f>
        <v/>
      </c>
      <c r="N509" s="592"/>
      <c r="O509" s="588"/>
      <c r="P509" s="591" t="s">
        <v>201</v>
      </c>
      <c r="Q509" s="591"/>
      <c r="R509" s="593">
        <f>SUM(O370:U370)</f>
        <v>0</v>
      </c>
      <c r="S509" s="593"/>
      <c r="T509" s="594" t="str">
        <f t="array" ref="T509">IF(ISERROR(R509/R516),"",R509/R516)</f>
        <v/>
      </c>
      <c r="U509" s="594"/>
      <c r="V509" s="591" t="s">
        <v>259</v>
      </c>
      <c r="W509" s="591"/>
      <c r="X509" s="595">
        <f>SUM(O370,O428,O463,O479,O490,O506)</f>
        <v>0</v>
      </c>
      <c r="Y509" s="595"/>
      <c r="Z509" s="594" t="str">
        <f t="array" ref="Z509">IF(ISERROR(X509/X516),"",X509/X516)</f>
        <v/>
      </c>
      <c r="AA509" s="594"/>
    </row>
    <row r="510" spans="1:27" ht="20.100000000000001" customHeight="1">
      <c r="A510" s="584"/>
      <c r="B510" s="395" t="s">
        <v>260</v>
      </c>
      <c r="C510" s="586">
        <v>0</v>
      </c>
      <c r="D510" s="587"/>
      <c r="E510" s="590">
        <f>C510*11</f>
        <v>0</v>
      </c>
      <c r="F510" s="590"/>
      <c r="G510" s="591">
        <v>0</v>
      </c>
      <c r="H510" s="591"/>
      <c r="I510" s="590">
        <f>G510*11</f>
        <v>0</v>
      </c>
      <c r="J510" s="590"/>
      <c r="K510" s="590">
        <f>E510-I510</f>
        <v>0</v>
      </c>
      <c r="L510" s="590"/>
      <c r="M510" s="592" t="str">
        <f>IF(ISERROR(K510/E510),"",K510/E510)</f>
        <v/>
      </c>
      <c r="N510" s="592"/>
      <c r="O510" s="588"/>
      <c r="P510" s="591" t="s">
        <v>216</v>
      </c>
      <c r="Q510" s="591"/>
      <c r="R510" s="593">
        <f>SUM(O428:U428)</f>
        <v>0</v>
      </c>
      <c r="S510" s="593"/>
      <c r="T510" s="594" t="str">
        <f>IF(ISERROR(R510/R516),"",R510/R516)</f>
        <v/>
      </c>
      <c r="U510" s="594"/>
      <c r="V510" s="591" t="s">
        <v>261</v>
      </c>
      <c r="W510" s="591"/>
      <c r="X510" s="595">
        <f>SUM(O371,O429,O464,O480,O491,O507)</f>
        <v>0</v>
      </c>
      <c r="Y510" s="595"/>
      <c r="Z510" s="594" t="str">
        <f>IF(ISERROR(X510/X516),"",X510/X516)</f>
        <v/>
      </c>
      <c r="AA510" s="594"/>
    </row>
    <row r="511" spans="1:27" ht="20.100000000000001" customHeight="1">
      <c r="A511" s="584"/>
      <c r="B511" s="395" t="s">
        <v>262</v>
      </c>
      <c r="C511" s="586">
        <v>0</v>
      </c>
      <c r="D511" s="587"/>
      <c r="E511" s="590">
        <f>C511*11</f>
        <v>0</v>
      </c>
      <c r="F511" s="590"/>
      <c r="G511" s="591">
        <v>0</v>
      </c>
      <c r="H511" s="591"/>
      <c r="I511" s="590">
        <f>G511*11</f>
        <v>0</v>
      </c>
      <c r="J511" s="590"/>
      <c r="K511" s="590">
        <f>E511-I511</f>
        <v>0</v>
      </c>
      <c r="L511" s="590"/>
      <c r="M511" s="592" t="str">
        <f>IF(ISERROR(K511/E511),"",K511/E511)</f>
        <v/>
      </c>
      <c r="N511" s="592"/>
      <c r="O511" s="588"/>
      <c r="P511" s="591" t="s">
        <v>224</v>
      </c>
      <c r="Q511" s="591"/>
      <c r="R511" s="593">
        <f>SUM(O463:U463)</f>
        <v>0</v>
      </c>
      <c r="S511" s="593"/>
      <c r="T511" s="594" t="str">
        <f>IF(ISERROR(R511/R516),"",R511/R516)</f>
        <v/>
      </c>
      <c r="U511" s="594"/>
      <c r="V511" s="591" t="s">
        <v>263</v>
      </c>
      <c r="W511" s="591"/>
      <c r="X511" s="595">
        <f>SUM(O373,O430,O465,O481,O492,O508)</f>
        <v>0</v>
      </c>
      <c r="Y511" s="595"/>
      <c r="Z511" s="594" t="str">
        <f>IF(ISERROR(X511/X516),"",X511/X516)</f>
        <v/>
      </c>
      <c r="AA511" s="594"/>
    </row>
    <row r="512" spans="1:27" ht="20.100000000000001" customHeight="1">
      <c r="A512" s="584"/>
      <c r="B512" s="395" t="s">
        <v>264</v>
      </c>
      <c r="C512" s="586">
        <v>1</v>
      </c>
      <c r="D512" s="587"/>
      <c r="E512" s="590">
        <f>C512*11</f>
        <v>11</v>
      </c>
      <c r="F512" s="590"/>
      <c r="G512" s="591">
        <v>1</v>
      </c>
      <c r="H512" s="591"/>
      <c r="I512" s="590">
        <f>G512*11</f>
        <v>11</v>
      </c>
      <c r="J512" s="590"/>
      <c r="K512" s="590">
        <f>E512-I512</f>
        <v>0</v>
      </c>
      <c r="L512" s="590"/>
      <c r="M512" s="592">
        <f>IF(ISERROR(K512/E512),"",K512/E512)</f>
        <v>0</v>
      </c>
      <c r="N512" s="592"/>
      <c r="O512" s="588"/>
      <c r="P512" s="591" t="s">
        <v>231</v>
      </c>
      <c r="Q512" s="591"/>
      <c r="R512" s="593">
        <f>SUM(O479:U479)</f>
        <v>0</v>
      </c>
      <c r="S512" s="593"/>
      <c r="T512" s="594" t="str">
        <f>IF(ISERROR(R512/R516),"",R512/R516)</f>
        <v/>
      </c>
      <c r="U512" s="594"/>
      <c r="V512" s="591" t="s">
        <v>265</v>
      </c>
      <c r="W512" s="591"/>
      <c r="X512" s="595">
        <f>SUM(O374,O431,O466,O482,O493,O509)</f>
        <v>0</v>
      </c>
      <c r="Y512" s="595"/>
      <c r="Z512" s="594" t="str">
        <f>IF(ISERROR(X512/X516),"",X512/X516)</f>
        <v/>
      </c>
      <c r="AA512" s="594"/>
    </row>
    <row r="513" spans="1:27" ht="20.100000000000001" customHeight="1">
      <c r="A513" s="585"/>
      <c r="B513" s="395" t="s">
        <v>266</v>
      </c>
      <c r="C513" s="596">
        <f>SUM(C509:D512)</f>
        <v>1</v>
      </c>
      <c r="D513" s="597"/>
      <c r="E513" s="590">
        <f>SUM(E509:F512)</f>
        <v>11</v>
      </c>
      <c r="F513" s="590"/>
      <c r="G513" s="591">
        <f>SUM(G509:H512)</f>
        <v>1</v>
      </c>
      <c r="H513" s="591"/>
      <c r="I513" s="590">
        <f>SUM(I509:J512)</f>
        <v>11</v>
      </c>
      <c r="J513" s="590"/>
      <c r="K513" s="590">
        <f>SUM(K509:L512)</f>
        <v>0</v>
      </c>
      <c r="L513" s="590"/>
      <c r="M513" s="592">
        <f>IF(ISERROR(K513/E513),"",K513/E513)</f>
        <v>0</v>
      </c>
      <c r="N513" s="592"/>
      <c r="O513" s="588"/>
      <c r="P513" s="591" t="s">
        <v>234</v>
      </c>
      <c r="Q513" s="591"/>
      <c r="R513" s="593">
        <f>SUM(O490:U490)</f>
        <v>0</v>
      </c>
      <c r="S513" s="593"/>
      <c r="T513" s="594" t="str">
        <f>IF(ISERROR(R513/R516),"",R513/R516)</f>
        <v/>
      </c>
      <c r="U513" s="594"/>
      <c r="V513" s="591" t="s">
        <v>267</v>
      </c>
      <c r="W513" s="591"/>
      <c r="X513" s="595">
        <f>SUM(O375,O432,O467,O483,O494,O510)</f>
        <v>0</v>
      </c>
      <c r="Y513" s="595"/>
      <c r="Z513" s="594" t="str">
        <f>IF(ISERROR(X513/X516),"",X513/X516)</f>
        <v/>
      </c>
      <c r="AA513" s="594"/>
    </row>
    <row r="514" spans="1:27" ht="20.100000000000001" customHeight="1">
      <c r="A514" s="307" t="s">
        <v>477</v>
      </c>
      <c r="B514" s="395">
        <f>G507</f>
        <v>888</v>
      </c>
      <c r="C514" s="598" t="s">
        <v>269</v>
      </c>
      <c r="D514" s="599"/>
      <c r="E514" s="591">
        <f>H507</f>
        <v>4466.6400000000003</v>
      </c>
      <c r="F514" s="591"/>
      <c r="G514" s="591" t="s">
        <v>270</v>
      </c>
      <c r="H514" s="591"/>
      <c r="I514" s="600">
        <f>L507</f>
        <v>8.8251126303901692</v>
      </c>
      <c r="J514" s="600"/>
      <c r="K514" s="588" t="s">
        <v>271</v>
      </c>
      <c r="L514" s="588"/>
      <c r="M514" s="600">
        <f>J507</f>
        <v>9.2984293193717278</v>
      </c>
      <c r="N514" s="600"/>
      <c r="O514" s="588"/>
      <c r="P514" s="591" t="s">
        <v>244</v>
      </c>
      <c r="Q514" s="591"/>
      <c r="R514" s="593">
        <f>SUM(O506:U506)</f>
        <v>0</v>
      </c>
      <c r="S514" s="593"/>
      <c r="T514" s="594" t="str">
        <f>IF(ISERROR(R514/R516),"",R514/R516)</f>
        <v/>
      </c>
      <c r="U514" s="594"/>
      <c r="V514" s="591" t="s">
        <v>272</v>
      </c>
      <c r="W514" s="591"/>
      <c r="X514" s="595">
        <f>SUM(O376,O433,O468,O484,O495,O511)</f>
        <v>0</v>
      </c>
      <c r="Y514" s="595"/>
      <c r="Z514" s="594" t="str">
        <f>IF(ISERROR(X514/X516),"",X514/X516)</f>
        <v/>
      </c>
      <c r="AA514" s="594"/>
    </row>
    <row r="515" spans="1:27" ht="20.100000000000001" customHeight="1">
      <c r="A515" s="308" t="s">
        <v>478</v>
      </c>
      <c r="B515" s="395">
        <f>I507+C513</f>
        <v>96.5</v>
      </c>
      <c r="C515" s="601" t="s">
        <v>251</v>
      </c>
      <c r="D515" s="602"/>
      <c r="E515" s="603">
        <f>K507+I513</f>
        <v>111.62194525904202</v>
      </c>
      <c r="F515" s="603"/>
      <c r="G515" s="591" t="s">
        <v>274</v>
      </c>
      <c r="H515" s="591"/>
      <c r="I515" s="600">
        <f>B515-E515</f>
        <v>-15.121945259042022</v>
      </c>
      <c r="J515" s="600"/>
      <c r="K515" s="588" t="s">
        <v>275</v>
      </c>
      <c r="L515" s="588"/>
      <c r="M515" s="592">
        <f>IF(ISERROR(I515/E515),"",I515/E515)</f>
        <v>-0.13547466158154109</v>
      </c>
      <c r="N515" s="592"/>
      <c r="O515" s="588"/>
      <c r="P515" s="591" t="s">
        <v>245</v>
      </c>
      <c r="Q515" s="591"/>
      <c r="R515" s="593"/>
      <c r="S515" s="593"/>
      <c r="T515" s="594" t="str">
        <f>IF(ISERROR(R515/R516),"",R515/R516)</f>
        <v/>
      </c>
      <c r="U515" s="594"/>
      <c r="V515" s="591" t="s">
        <v>264</v>
      </c>
      <c r="W515" s="591"/>
      <c r="X515" s="595">
        <f>SUM(O377,O434,O469,O489,O496,O512)</f>
        <v>0</v>
      </c>
      <c r="Y515" s="595"/>
      <c r="Z515" s="594" t="str">
        <f>IF(ISERROR(X515/X516),"",X515/X516)</f>
        <v/>
      </c>
      <c r="AA515" s="594"/>
    </row>
    <row r="516" spans="1:27" ht="20.100000000000001" customHeight="1">
      <c r="A516" s="308" t="s">
        <v>479</v>
      </c>
      <c r="B516" s="395">
        <f>N507</f>
        <v>0</v>
      </c>
      <c r="C516" s="601" t="s">
        <v>277</v>
      </c>
      <c r="D516" s="602"/>
      <c r="E516" s="594">
        <f>IF(ISERROR(B516/B515),"",B516/B515)</f>
        <v>0</v>
      </c>
      <c r="F516" s="594"/>
      <c r="G516" s="591" t="s">
        <v>278</v>
      </c>
      <c r="H516" s="591"/>
      <c r="I516" s="588">
        <f>V507</f>
        <v>0</v>
      </c>
      <c r="J516" s="588"/>
      <c r="K516" s="588" t="s">
        <v>279</v>
      </c>
      <c r="L516" s="588"/>
      <c r="M516" s="592">
        <f t="array" ref="M516">IF(ISERROR(I516/B514),"",I516/B514)</f>
        <v>0</v>
      </c>
      <c r="N516" s="592"/>
      <c r="O516" s="588"/>
      <c r="P516" s="591" t="s">
        <v>266</v>
      </c>
      <c r="Q516" s="591"/>
      <c r="R516" s="593">
        <f>SUM(R509:S515)</f>
        <v>0</v>
      </c>
      <c r="S516" s="593"/>
      <c r="T516" s="594"/>
      <c r="U516" s="594"/>
      <c r="V516" s="591" t="s">
        <v>266</v>
      </c>
      <c r="W516" s="591"/>
      <c r="X516" s="595">
        <f>SUM(X509:Y515)</f>
        <v>0</v>
      </c>
      <c r="Y516" s="595"/>
      <c r="Z516" s="594"/>
      <c r="AA516" s="594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630" t="str">
        <f>IF(ISERROR(#REF!/#REF!),"",#REF!/#REF!)</f>
        <v/>
      </c>
      <c r="H517" s="630"/>
      <c r="I517" s="630"/>
      <c r="J517" s="125"/>
      <c r="K517" s="160"/>
      <c r="L517" s="122"/>
      <c r="M517" s="122"/>
      <c r="N517" s="630" t="str">
        <f>IF(ISERROR(G517/#REF!),"",G517/#REF!)</f>
        <v/>
      </c>
      <c r="O517" s="630"/>
      <c r="P517" s="630"/>
      <c r="Q517" s="630"/>
      <c r="R517" s="630"/>
      <c r="S517" s="397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6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633" t="s">
        <v>268</v>
      </c>
      <c r="B519" s="633"/>
      <c r="C519" s="586">
        <f>SUM(B171,B342,B514)</f>
        <v>12534</v>
      </c>
      <c r="D519" s="587"/>
      <c r="E519" s="633" t="s">
        <v>269</v>
      </c>
      <c r="F519" s="633"/>
      <c r="G519" s="603">
        <f>SUM(E171,E342,E514)</f>
        <v>63305.899999999994</v>
      </c>
      <c r="H519" s="603"/>
      <c r="I519" s="591" t="s">
        <v>270</v>
      </c>
      <c r="J519" s="633"/>
      <c r="K519" s="586">
        <f>IF(ISERROR(C519/G520),"",C519/G520)</f>
        <v>18.933039605131381</v>
      </c>
      <c r="L519" s="587"/>
      <c r="M519" s="591" t="s">
        <v>271</v>
      </c>
      <c r="N519" s="591"/>
      <c r="O519" s="628">
        <f t="array" ref="O519">IF(ISERROR(C519/C520),"",C519/C520)</f>
        <v>17.372141372141371</v>
      </c>
      <c r="P519" s="629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591" t="s">
        <v>273</v>
      </c>
      <c r="B520" s="591"/>
      <c r="C520" s="586">
        <f>SUM(B172,B343,B515)</f>
        <v>721.5</v>
      </c>
      <c r="D520" s="587"/>
      <c r="E520" s="591" t="s">
        <v>251</v>
      </c>
      <c r="F520" s="591"/>
      <c r="G520" s="603">
        <f>SUM(E172,E343,E515)</f>
        <v>662.01731266663262</v>
      </c>
      <c r="H520" s="603"/>
      <c r="I520" s="601" t="s">
        <v>274</v>
      </c>
      <c r="J520" s="602"/>
      <c r="K520" s="598">
        <f>C520-G520</f>
        <v>59.48268733336738</v>
      </c>
      <c r="L520" s="599"/>
      <c r="M520" s="598" t="s">
        <v>275</v>
      </c>
      <c r="N520" s="599"/>
      <c r="O520" s="631">
        <f>IF(ISERROR(K520/C520),"",K520/C520)</f>
        <v>8.244308708713427E-2</v>
      </c>
      <c r="P520" s="632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601" t="s">
        <v>276</v>
      </c>
      <c r="B521" s="602"/>
      <c r="C521" s="586">
        <f>SUM(B173,B344,B516)</f>
        <v>0</v>
      </c>
      <c r="D521" s="587"/>
      <c r="E521" s="601" t="s">
        <v>277</v>
      </c>
      <c r="F521" s="602"/>
      <c r="G521" s="594">
        <f>IF(ISERROR(C521/C520),"",C521/C520)</f>
        <v>0</v>
      </c>
      <c r="H521" s="594"/>
      <c r="I521" s="591" t="s">
        <v>278</v>
      </c>
      <c r="J521" s="633"/>
      <c r="K521" s="603">
        <f>SUM(I173,I344,I516)</f>
        <v>0</v>
      </c>
      <c r="L521" s="603"/>
      <c r="M521" s="633" t="s">
        <v>279</v>
      </c>
      <c r="N521" s="633"/>
      <c r="O521" s="631">
        <f t="array" ref="O521">IF(ISERROR(K521/C519),"",K521/C519)</f>
        <v>0</v>
      </c>
      <c r="P521" s="632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347"/>
      <c r="H522" s="168"/>
      <c r="I522" s="397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601" t="s">
        <v>298</v>
      </c>
      <c r="B523" s="602"/>
      <c r="C523" s="601" t="s">
        <v>299</v>
      </c>
      <c r="D523" s="602"/>
      <c r="E523" s="601" t="s">
        <v>256</v>
      </c>
      <c r="F523" s="602"/>
      <c r="G523" s="634" t="s">
        <v>254</v>
      </c>
      <c r="H523" s="635"/>
      <c r="I523" s="601" t="s">
        <v>255</v>
      </c>
      <c r="J523" s="599"/>
      <c r="K523" s="601" t="s">
        <v>300</v>
      </c>
      <c r="L523" s="602"/>
      <c r="M523" s="601" t="s">
        <v>256</v>
      </c>
      <c r="N523" s="602"/>
      <c r="O523" s="591" t="s">
        <v>257</v>
      </c>
      <c r="P523" s="591"/>
      <c r="Q523" s="601" t="s">
        <v>300</v>
      </c>
      <c r="R523" s="602"/>
      <c r="S523" s="601" t="s">
        <v>256</v>
      </c>
      <c r="T523" s="602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640" t="s">
        <v>201</v>
      </c>
      <c r="B524" s="602"/>
      <c r="C524" s="601">
        <f>SUM(G28,G199,G370)</f>
        <v>4292</v>
      </c>
      <c r="D524" s="602"/>
      <c r="E524" s="641">
        <f>IF(ISERROR(C524/C530),"",C524/C530)</f>
        <v>0.34242859422371152</v>
      </c>
      <c r="F524" s="642"/>
      <c r="G524" s="636"/>
      <c r="H524" s="637"/>
      <c r="I524" s="643" t="s">
        <v>301</v>
      </c>
      <c r="J524" s="644"/>
      <c r="K524" s="598">
        <f t="shared" ref="K524:K529" si="237">SUM(R166,U337,U509)</f>
        <v>0</v>
      </c>
      <c r="L524" s="599"/>
      <c r="M524" s="641" t="str">
        <f t="array" ref="M524">IF(ISERROR(K524/K530),"",K524/K530)</f>
        <v/>
      </c>
      <c r="N524" s="642"/>
      <c r="O524" s="591" t="s">
        <v>259</v>
      </c>
      <c r="P524" s="591"/>
      <c r="Q524" s="628">
        <f t="shared" ref="Q524:Q529" si="238">SUM(X166,AA337,AA509)</f>
        <v>0</v>
      </c>
      <c r="R524" s="629"/>
      <c r="S524" s="641" t="str">
        <f t="array" ref="S524">IF(ISERROR(Q524/Q530),"",Q524/Q530)</f>
        <v/>
      </c>
      <c r="T524" s="642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640" t="s">
        <v>216</v>
      </c>
      <c r="B525" s="602"/>
      <c r="C525" s="601">
        <f>SUM(G86,G257,G428)</f>
        <v>4521</v>
      </c>
      <c r="D525" s="602"/>
      <c r="E525" s="641">
        <f>IF(ISERROR(C525/C530),"",C525/C530)</f>
        <v>0.36069889899473434</v>
      </c>
      <c r="F525" s="642"/>
      <c r="G525" s="636"/>
      <c r="H525" s="637"/>
      <c r="I525" s="643" t="s">
        <v>302</v>
      </c>
      <c r="J525" s="644"/>
      <c r="K525" s="598">
        <f t="shared" si="237"/>
        <v>0</v>
      </c>
      <c r="L525" s="599"/>
      <c r="M525" s="641" t="str">
        <f>IF(ISERROR(K525/K530),"",K525/K530)</f>
        <v/>
      </c>
      <c r="N525" s="642"/>
      <c r="O525" s="591" t="s">
        <v>261</v>
      </c>
      <c r="P525" s="591"/>
      <c r="Q525" s="628">
        <f t="shared" si="238"/>
        <v>0</v>
      </c>
      <c r="R525" s="629"/>
      <c r="S525" s="641" t="str">
        <f>IF(ISERROR(Q525/Q530),"",Q525/Q530)</f>
        <v/>
      </c>
      <c r="T525" s="642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640" t="s">
        <v>224</v>
      </c>
      <c r="B526" s="602"/>
      <c r="C526" s="601">
        <f>SUM(G121,G292,G463)</f>
        <v>1917</v>
      </c>
      <c r="D526" s="602"/>
      <c r="E526" s="641">
        <f>IF(ISERROR(C526/C530),"",C526/C530)</f>
        <v>0.15294399234083295</v>
      </c>
      <c r="F526" s="642"/>
      <c r="G526" s="636"/>
      <c r="H526" s="637"/>
      <c r="I526" s="643" t="s">
        <v>303</v>
      </c>
      <c r="J526" s="644"/>
      <c r="K526" s="598">
        <f t="shared" si="237"/>
        <v>0</v>
      </c>
      <c r="L526" s="599"/>
      <c r="M526" s="641" t="str">
        <f>IF(ISERROR(K526/K530),"",K526/K530)</f>
        <v/>
      </c>
      <c r="N526" s="642"/>
      <c r="O526" s="591" t="s">
        <v>263</v>
      </c>
      <c r="P526" s="591"/>
      <c r="Q526" s="628">
        <f t="shared" si="238"/>
        <v>0</v>
      </c>
      <c r="R526" s="629"/>
      <c r="S526" s="641" t="str">
        <f>IF(ISERROR(Q526/Q530),"",Q526/Q530)</f>
        <v/>
      </c>
      <c r="T526" s="642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640" t="s">
        <v>231</v>
      </c>
      <c r="B527" s="602"/>
      <c r="C527" s="601">
        <f>SUM(G137,G308,G479)</f>
        <v>1781</v>
      </c>
      <c r="D527" s="602"/>
      <c r="E527" s="641">
        <f>IF(ISERROR(C527/C530),"",C527/C530)</f>
        <v>0.14209350566459231</v>
      </c>
      <c r="F527" s="642"/>
      <c r="G527" s="636"/>
      <c r="H527" s="637"/>
      <c r="I527" s="643" t="s">
        <v>304</v>
      </c>
      <c r="J527" s="644"/>
      <c r="K527" s="598">
        <f t="shared" si="237"/>
        <v>0</v>
      </c>
      <c r="L527" s="599"/>
      <c r="M527" s="641" t="str">
        <f>IF(ISERROR(K527/K530),"",K527/K530)</f>
        <v/>
      </c>
      <c r="N527" s="642"/>
      <c r="O527" s="591" t="s">
        <v>305</v>
      </c>
      <c r="P527" s="591"/>
      <c r="Q527" s="628">
        <f t="shared" si="238"/>
        <v>0</v>
      </c>
      <c r="R527" s="629"/>
      <c r="S527" s="641" t="str">
        <f>IF(ISERROR(Q527/Q530),"",Q527/Q530)</f>
        <v/>
      </c>
      <c r="T527" s="642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640" t="s">
        <v>234</v>
      </c>
      <c r="B528" s="602"/>
      <c r="C528" s="601">
        <f>SUM(G148,G319,G490)</f>
        <v>23</v>
      </c>
      <c r="D528" s="602"/>
      <c r="E528" s="641">
        <f>IF(ISERROR(C528/C530),"",C528/C530)</f>
        <v>1.8350087761289293E-3</v>
      </c>
      <c r="F528" s="642"/>
      <c r="G528" s="636"/>
      <c r="H528" s="637"/>
      <c r="I528" s="643" t="s">
        <v>306</v>
      </c>
      <c r="J528" s="644"/>
      <c r="K528" s="598">
        <f t="shared" si="237"/>
        <v>0</v>
      </c>
      <c r="L528" s="599"/>
      <c r="M528" s="641" t="str">
        <f>IF(ISERROR(K528/K530),"",K528/K530)</f>
        <v/>
      </c>
      <c r="N528" s="642"/>
      <c r="O528" s="591" t="s">
        <v>267</v>
      </c>
      <c r="P528" s="591"/>
      <c r="Q528" s="628">
        <f t="shared" si="238"/>
        <v>0</v>
      </c>
      <c r="R528" s="629"/>
      <c r="S528" s="641" t="str">
        <f>IF(ISERROR(Q528/Q530),"",Q528/Q530)</f>
        <v/>
      </c>
      <c r="T528" s="642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640" t="s">
        <v>244</v>
      </c>
      <c r="B529" s="602"/>
      <c r="C529" s="601">
        <f>SUM(G163,G334,G506)</f>
        <v>0</v>
      </c>
      <c r="D529" s="602"/>
      <c r="E529" s="641">
        <f>IF(ISERROR(C529/C530),"",C529/C530)</f>
        <v>0</v>
      </c>
      <c r="F529" s="642"/>
      <c r="G529" s="636"/>
      <c r="H529" s="637"/>
      <c r="I529" s="643" t="s">
        <v>307</v>
      </c>
      <c r="J529" s="644"/>
      <c r="K529" s="598">
        <f t="shared" si="237"/>
        <v>0</v>
      </c>
      <c r="L529" s="599"/>
      <c r="M529" s="641" t="str">
        <f>IF(ISERROR(K529/K530),"",K529/K530)</f>
        <v/>
      </c>
      <c r="N529" s="642"/>
      <c r="O529" s="591" t="s">
        <v>272</v>
      </c>
      <c r="P529" s="591"/>
      <c r="Q529" s="628">
        <f t="shared" si="238"/>
        <v>0</v>
      </c>
      <c r="R529" s="629"/>
      <c r="S529" s="641" t="str">
        <f>IF(ISERROR(Q529/Q530),"",Q529/Q530)</f>
        <v/>
      </c>
      <c r="T529" s="642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601" t="s">
        <v>266</v>
      </c>
      <c r="B530" s="602"/>
      <c r="C530" s="601">
        <f>SUM(C524:C529)</f>
        <v>12534</v>
      </c>
      <c r="D530" s="602"/>
      <c r="E530" s="641">
        <f>SUM(E524:F529)</f>
        <v>1</v>
      </c>
      <c r="F530" s="642"/>
      <c r="G530" s="638"/>
      <c r="H530" s="639"/>
      <c r="I530" s="601" t="s">
        <v>266</v>
      </c>
      <c r="J530" s="599"/>
      <c r="K530" s="598">
        <f>SUM(R173,U344,U516)</f>
        <v>0</v>
      </c>
      <c r="L530" s="599"/>
      <c r="M530" s="641"/>
      <c r="N530" s="642"/>
      <c r="O530" s="591" t="s">
        <v>266</v>
      </c>
      <c r="P530" s="591"/>
      <c r="Q530" s="628">
        <f>SUM(Q524:R529)</f>
        <v>0</v>
      </c>
      <c r="R530" s="629"/>
      <c r="S530" s="641">
        <f>SUM(S524:T529)</f>
        <v>0</v>
      </c>
      <c r="T530" s="642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172"/>
      <c r="D531" s="172"/>
      <c r="E531" s="172"/>
      <c r="F531" s="172"/>
      <c r="G531" s="173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643" t="s">
        <v>308</v>
      </c>
      <c r="B532" s="597"/>
      <c r="C532" s="388" t="s">
        <v>309</v>
      </c>
      <c r="D532" s="388" t="s">
        <v>310</v>
      </c>
      <c r="E532" s="388" t="s">
        <v>311</v>
      </c>
      <c r="F532" s="388" t="s">
        <v>312</v>
      </c>
      <c r="G532" s="348" t="s">
        <v>313</v>
      </c>
      <c r="H532" s="129" t="s">
        <v>314</v>
      </c>
      <c r="I532" s="129" t="s">
        <v>315</v>
      </c>
      <c r="J532" s="129" t="s">
        <v>316</v>
      </c>
      <c r="K532" s="389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398" t="s">
        <v>322</v>
      </c>
      <c r="Q532" s="129" t="s">
        <v>323</v>
      </c>
      <c r="R532" s="109" t="s">
        <v>324</v>
      </c>
      <c r="S532" s="388" t="s">
        <v>325</v>
      </c>
      <c r="T532" s="388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645" t="s">
        <v>327</v>
      </c>
      <c r="B533" s="646"/>
      <c r="C533" s="106">
        <f>D533+E533+F533-G533-O533-P533</f>
        <v>38</v>
      </c>
      <c r="D533" s="106">
        <f>+'31'!C533</f>
        <v>38</v>
      </c>
      <c r="E533" s="106"/>
      <c r="F533" s="106"/>
      <c r="G533" s="107"/>
      <c r="H533" s="106"/>
      <c r="I533" s="106"/>
      <c r="J533" s="106">
        <f>C533-H533-I533</f>
        <v>38</v>
      </c>
      <c r="K533" s="106"/>
      <c r="L533" s="106"/>
      <c r="M533" s="106"/>
      <c r="N533" s="106"/>
      <c r="O533" s="106"/>
      <c r="P533" s="108"/>
      <c r="Q533" s="106">
        <f>J533-K533-L533</f>
        <v>38</v>
      </c>
      <c r="R533" s="109">
        <f>Q533*11-M533-N533</f>
        <v>418</v>
      </c>
      <c r="S533" s="391">
        <f t="array" ref="S533">IF(ISERROR(Q533/J533),"",Q533/J533)</f>
        <v>1</v>
      </c>
      <c r="T533" s="391">
        <f t="array" ref="T533">IF(ISERROR((O533:P533)/C533),"",SUM(O533:P533)/C533)</f>
        <v>0</v>
      </c>
      <c r="X533" s="116"/>
      <c r="Y533" s="116"/>
      <c r="Z533" s="159"/>
      <c r="AA533" s="159"/>
    </row>
    <row r="534" spans="1:27" ht="20.100000000000001" customHeight="1">
      <c r="A534" s="645" t="s">
        <v>328</v>
      </c>
      <c r="B534" s="646"/>
      <c r="C534" s="106">
        <f>D534+E534+F534-G534-O534-P534</f>
        <v>44</v>
      </c>
      <c r="D534" s="106">
        <f>+'31'!C534</f>
        <v>45</v>
      </c>
      <c r="E534" s="110"/>
      <c r="F534" s="110"/>
      <c r="G534" s="107"/>
      <c r="H534" s="106"/>
      <c r="I534" s="106"/>
      <c r="J534" s="106">
        <f>C534-H534-I534</f>
        <v>44</v>
      </c>
      <c r="K534" s="106"/>
      <c r="L534" s="106"/>
      <c r="M534" s="106"/>
      <c r="N534" s="106"/>
      <c r="O534" s="110"/>
      <c r="P534" s="111">
        <v>1</v>
      </c>
      <c r="Q534" s="106">
        <f>J534-K534-L534</f>
        <v>44</v>
      </c>
      <c r="R534" s="109">
        <f>Q534*11-M534-N534</f>
        <v>484</v>
      </c>
      <c r="S534" s="391">
        <f t="array" ref="S534">IF(ISERROR(Q534/J534),"",Q534/J534)</f>
        <v>1</v>
      </c>
      <c r="T534" s="391">
        <f t="array" ref="T534">IF(ISERROR((O534:P534)/C534),"",SUM(O534:P534)/C534)</f>
        <v>2.2727272727272728E-2</v>
      </c>
      <c r="X534" s="116"/>
      <c r="Y534" s="116"/>
      <c r="Z534" s="159"/>
      <c r="AA534" s="159"/>
    </row>
    <row r="535" spans="1:27" ht="20.100000000000001" customHeight="1">
      <c r="A535" s="645" t="s">
        <v>329</v>
      </c>
      <c r="B535" s="646"/>
      <c r="C535" s="106">
        <f>D535+E535+F535-G535-O535-P535</f>
        <v>10</v>
      </c>
      <c r="D535" s="106">
        <f>+'31'!C535</f>
        <v>10</v>
      </c>
      <c r="E535" s="110"/>
      <c r="F535" s="110"/>
      <c r="G535" s="107"/>
      <c r="H535" s="106"/>
      <c r="I535" s="106"/>
      <c r="J535" s="106">
        <f>C535-H535-I535</f>
        <v>10</v>
      </c>
      <c r="K535" s="106"/>
      <c r="L535" s="106"/>
      <c r="M535" s="106"/>
      <c r="N535" s="106"/>
      <c r="O535" s="110"/>
      <c r="P535" s="111"/>
      <c r="Q535" s="106">
        <f>J535-K535-L535</f>
        <v>10</v>
      </c>
      <c r="R535" s="109">
        <f>Q535*11-M535-N535</f>
        <v>110</v>
      </c>
      <c r="S535" s="391">
        <f t="array" ref="S535">IF(ISERROR(Q535/J535),"",Q535/J535)</f>
        <v>1</v>
      </c>
      <c r="T535" s="391">
        <f t="array" ref="T535">IF(ISERROR((O535:P535)/C535),"",SUM(O535:P535)/C535)</f>
        <v>0</v>
      </c>
      <c r="V535" s="179"/>
      <c r="X535" s="116"/>
      <c r="Y535" s="116"/>
      <c r="Z535" s="159"/>
      <c r="AA535" s="159"/>
    </row>
    <row r="536" spans="1:27" ht="20.100000000000001" customHeight="1">
      <c r="A536" s="647" t="s">
        <v>330</v>
      </c>
      <c r="B536" s="648"/>
      <c r="C536" s="112">
        <f>SUM(C533:C535)</f>
        <v>92</v>
      </c>
      <c r="D536" s="112">
        <f t="shared" ref="D536:N536" si="239">SUM(D533:D535)</f>
        <v>93</v>
      </c>
      <c r="E536" s="112">
        <f t="shared" si="239"/>
        <v>0</v>
      </c>
      <c r="F536" s="112">
        <f t="shared" si="239"/>
        <v>0</v>
      </c>
      <c r="G536" s="113">
        <f t="shared" si="239"/>
        <v>0</v>
      </c>
      <c r="H536" s="112">
        <f t="shared" si="239"/>
        <v>0</v>
      </c>
      <c r="I536" s="112">
        <f t="shared" si="239"/>
        <v>0</v>
      </c>
      <c r="J536" s="112">
        <f t="shared" si="239"/>
        <v>92</v>
      </c>
      <c r="K536" s="112">
        <f t="shared" si="239"/>
        <v>0</v>
      </c>
      <c r="L536" s="112">
        <f t="shared" si="239"/>
        <v>0</v>
      </c>
      <c r="M536" s="112">
        <f t="shared" si="239"/>
        <v>0</v>
      </c>
      <c r="N536" s="112">
        <f t="shared" si="239"/>
        <v>0</v>
      </c>
      <c r="O536" s="112">
        <f>SUM(O533:O535)</f>
        <v>0</v>
      </c>
      <c r="P536" s="112">
        <f>SUM(P533:P535)</f>
        <v>1</v>
      </c>
      <c r="Q536" s="112">
        <f>SUM(Q533:Q535)</f>
        <v>92</v>
      </c>
      <c r="R536" s="114">
        <f>SUM(R533:R535)</f>
        <v>1012</v>
      </c>
      <c r="S536" s="115">
        <f t="array" ref="S536">IF(ISERROR(Q536/J536),"",Q536/J536)</f>
        <v>1</v>
      </c>
      <c r="T536" s="115">
        <f t="array" ref="T536">IF(ISERROR((O536:P536)/C536),"",SUM(O536:P536)/C536)</f>
        <v>1.0869565217391304E-2</v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7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7"/>
      <c r="H538" s="116"/>
      <c r="I538" s="118" t="s">
        <v>332</v>
      </c>
      <c r="J538" s="198" t="s">
        <v>447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54" spans="2:2">
      <c r="B554" s="121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115" activePane="bottomRight" state="frozen"/>
      <selection activeCell="E487" sqref="E487"/>
      <selection pane="topRight" activeCell="E487" sqref="E487"/>
      <selection pane="bottomLeft" activeCell="E487" sqref="E487"/>
      <selection pane="bottomRight" activeCell="F534" sqref="F534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55" t="s">
        <v>413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55"/>
      <c r="M1" s="555"/>
      <c r="N1" s="555"/>
      <c r="O1" s="555"/>
      <c r="P1" s="555"/>
      <c r="Q1" s="555"/>
      <c r="R1" s="555"/>
      <c r="S1" s="555"/>
      <c r="T1" s="555"/>
      <c r="U1" s="555"/>
      <c r="V1" s="555"/>
      <c r="W1" s="555"/>
      <c r="X1" s="555"/>
      <c r="Y1" s="555"/>
      <c r="Z1" s="555"/>
      <c r="AA1" s="555"/>
    </row>
    <row r="2" spans="1:27" ht="18.75">
      <c r="A2" s="556"/>
      <c r="B2" s="556"/>
      <c r="C2" s="556"/>
      <c r="D2" s="556"/>
      <c r="E2" s="556"/>
      <c r="F2" s="556"/>
      <c r="G2" s="556"/>
      <c r="H2" s="556"/>
      <c r="I2" s="556"/>
      <c r="J2" s="556"/>
      <c r="K2" s="556"/>
      <c r="L2" s="556"/>
      <c r="M2" s="556"/>
      <c r="N2" s="556"/>
      <c r="O2" s="556"/>
      <c r="P2" s="556"/>
      <c r="Q2" s="556"/>
      <c r="R2" s="556"/>
      <c r="S2" s="556"/>
      <c r="T2" s="556"/>
      <c r="U2" s="556"/>
      <c r="V2" s="556"/>
      <c r="W2" s="556"/>
      <c r="X2" s="556"/>
      <c r="Y2" s="556"/>
      <c r="Z2" s="556"/>
      <c r="AA2" s="556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57" t="s">
        <v>12</v>
      </c>
      <c r="B4" s="557" t="s">
        <v>25</v>
      </c>
      <c r="C4" s="557" t="s">
        <v>26</v>
      </c>
      <c r="D4" s="557" t="s">
        <v>27</v>
      </c>
      <c r="E4" s="560" t="s">
        <v>28</v>
      </c>
      <c r="F4" s="563" t="s">
        <v>29</v>
      </c>
      <c r="G4" s="566" t="s">
        <v>30</v>
      </c>
      <c r="H4" s="566"/>
      <c r="I4" s="557" t="s">
        <v>31</v>
      </c>
      <c r="J4" s="569" t="s">
        <v>32</v>
      </c>
      <c r="K4" s="572" t="s">
        <v>33</v>
      </c>
      <c r="L4" s="557" t="s">
        <v>34</v>
      </c>
      <c r="M4" s="575" t="s">
        <v>35</v>
      </c>
      <c r="N4" s="577" t="s">
        <v>36</v>
      </c>
      <c r="O4" s="566" t="s">
        <v>37</v>
      </c>
      <c r="P4" s="566"/>
      <c r="Q4" s="566"/>
      <c r="R4" s="566"/>
      <c r="S4" s="566"/>
      <c r="T4" s="566"/>
      <c r="U4" s="566"/>
      <c r="V4" s="566" t="s">
        <v>38</v>
      </c>
      <c r="W4" s="577" t="s">
        <v>39</v>
      </c>
      <c r="X4" s="566" t="s">
        <v>40</v>
      </c>
      <c r="Y4" s="566"/>
      <c r="Z4" s="566"/>
      <c r="AA4" s="566"/>
    </row>
    <row r="5" spans="1:27" s="104" customFormat="1" ht="15" customHeight="1">
      <c r="A5" s="558"/>
      <c r="B5" s="558"/>
      <c r="C5" s="558"/>
      <c r="D5" s="558"/>
      <c r="E5" s="561"/>
      <c r="F5" s="564"/>
      <c r="G5" s="566"/>
      <c r="H5" s="566"/>
      <c r="I5" s="558"/>
      <c r="J5" s="570"/>
      <c r="K5" s="573"/>
      <c r="L5" s="558"/>
      <c r="M5" s="576"/>
      <c r="N5" s="577"/>
      <c r="O5" s="566" t="s">
        <v>41</v>
      </c>
      <c r="P5" s="566" t="s">
        <v>42</v>
      </c>
      <c r="Q5" s="566" t="s">
        <v>43</v>
      </c>
      <c r="R5" s="567" t="s">
        <v>44</v>
      </c>
      <c r="S5" s="568" t="s">
        <v>45</v>
      </c>
      <c r="T5" s="566" t="s">
        <v>46</v>
      </c>
      <c r="U5" s="566" t="s">
        <v>47</v>
      </c>
      <c r="V5" s="566"/>
      <c r="W5" s="577"/>
      <c r="X5" s="566" t="s">
        <v>13</v>
      </c>
      <c r="Y5" s="566" t="s">
        <v>48</v>
      </c>
      <c r="Z5" s="566" t="s">
        <v>49</v>
      </c>
      <c r="AA5" s="566" t="s">
        <v>47</v>
      </c>
    </row>
    <row r="6" spans="1:27" s="104" customFormat="1" ht="27.75" customHeight="1">
      <c r="A6" s="559"/>
      <c r="B6" s="559"/>
      <c r="C6" s="559"/>
      <c r="D6" s="559"/>
      <c r="E6" s="562"/>
      <c r="F6" s="565"/>
      <c r="G6" s="350" t="s">
        <v>50</v>
      </c>
      <c r="H6" s="387" t="s">
        <v>51</v>
      </c>
      <c r="I6" s="559"/>
      <c r="J6" s="571"/>
      <c r="K6" s="574"/>
      <c r="L6" s="559"/>
      <c r="M6" s="576"/>
      <c r="N6" s="577"/>
      <c r="O6" s="566"/>
      <c r="P6" s="566"/>
      <c r="Q6" s="566"/>
      <c r="R6" s="567"/>
      <c r="S6" s="568"/>
      <c r="T6" s="566"/>
      <c r="U6" s="566"/>
      <c r="V6" s="566"/>
      <c r="W6" s="577"/>
      <c r="X6" s="566"/>
      <c r="Y6" s="566"/>
      <c r="Z6" s="566"/>
      <c r="AA6" s="566"/>
    </row>
    <row r="7" spans="1:27" ht="20.100000000000001" hidden="1" customHeight="1">
      <c r="A7" s="299">
        <v>30100030</v>
      </c>
      <c r="B7" s="390" t="s">
        <v>178</v>
      </c>
      <c r="C7" s="126" t="s">
        <v>179</v>
      </c>
      <c r="D7" s="108">
        <v>5.03</v>
      </c>
      <c r="E7" s="108"/>
      <c r="F7" s="127"/>
      <c r="G7" s="128"/>
      <c r="H7" s="398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389"/>
      <c r="P7" s="389"/>
      <c r="Q7" s="389"/>
      <c r="R7" s="389"/>
      <c r="S7" s="389"/>
      <c r="T7" s="389"/>
      <c r="U7" s="389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398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389"/>
      <c r="Q8" s="389"/>
      <c r="R8" s="389"/>
      <c r="S8" s="389"/>
      <c r="T8" s="389"/>
      <c r="U8" s="389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398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389"/>
      <c r="P9" s="389"/>
      <c r="Q9" s="389"/>
      <c r="R9" s="389"/>
      <c r="S9" s="389"/>
      <c r="T9" s="389"/>
      <c r="U9" s="389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>
        <v>42736</v>
      </c>
      <c r="G10" s="128">
        <f>72+108*4</f>
        <v>504</v>
      </c>
      <c r="H10" s="398">
        <f t="shared" si="0"/>
        <v>2535.1200000000003</v>
      </c>
      <c r="I10" s="129">
        <f>9*4</f>
        <v>36</v>
      </c>
      <c r="J10" s="130">
        <f t="array" ref="J10">IF(ISERROR(G10/I10),"",G10/I10)</f>
        <v>14</v>
      </c>
      <c r="K10" s="131">
        <f t="array" ref="K10">IF(ISERROR(G10/L10),"",G10/L10)</f>
        <v>26.526315789473685</v>
      </c>
      <c r="L10" s="129">
        <v>19</v>
      </c>
      <c r="M10" s="109">
        <f t="shared" si="1"/>
        <v>9.473684210526315</v>
      </c>
      <c r="N10" s="130">
        <f t="shared" si="4"/>
        <v>0</v>
      </c>
      <c r="O10" s="389"/>
      <c r="P10" s="389"/>
      <c r="Q10" s="389"/>
      <c r="R10" s="389"/>
      <c r="S10" s="389"/>
      <c r="T10" s="389"/>
      <c r="U10" s="389"/>
      <c r="V10" s="132">
        <f t="shared" si="2"/>
        <v>0</v>
      </c>
      <c r="W10" s="133">
        <f t="shared" si="3"/>
        <v>0</v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398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389"/>
      <c r="P11" s="389"/>
      <c r="Q11" s="389"/>
      <c r="R11" s="389"/>
      <c r="S11" s="389"/>
      <c r="T11" s="389"/>
      <c r="U11" s="389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398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389"/>
      <c r="P12" s="389"/>
      <c r="Q12" s="389"/>
      <c r="R12" s="389"/>
      <c r="S12" s="389"/>
      <c r="T12" s="389"/>
      <c r="U12" s="389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398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389"/>
      <c r="P13" s="389"/>
      <c r="Q13" s="389"/>
      <c r="R13" s="389"/>
      <c r="S13" s="389"/>
      <c r="T13" s="389"/>
      <c r="U13" s="389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398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389"/>
      <c r="P14" s="389"/>
      <c r="Q14" s="389"/>
      <c r="R14" s="389"/>
      <c r="S14" s="389"/>
      <c r="T14" s="389"/>
      <c r="U14" s="389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398">
        <f t="shared" si="0"/>
        <v>0</v>
      </c>
      <c r="I15" s="398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389"/>
      <c r="P15" s="389"/>
      <c r="Q15" s="389"/>
      <c r="R15" s="389"/>
      <c r="S15" s="389"/>
      <c r="T15" s="389"/>
      <c r="U15" s="389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39">
        <v>42737</v>
      </c>
      <c r="G16" s="128">
        <f>100+40</f>
        <v>140</v>
      </c>
      <c r="H16" s="398">
        <f t="shared" si="0"/>
        <v>705.6</v>
      </c>
      <c r="I16" s="398">
        <f>2*5</f>
        <v>10</v>
      </c>
      <c r="J16" s="130">
        <f t="array" ref="J16">IF(ISERROR(G16/I16),"",G16/I16)</f>
        <v>14</v>
      </c>
      <c r="K16" s="131">
        <f t="array" ref="K16">IF(ISERROR(G16/L16),"",G16/L16)</f>
        <v>8.235294117647058</v>
      </c>
      <c r="L16" s="129">
        <v>17</v>
      </c>
      <c r="M16" s="109">
        <f t="shared" si="1"/>
        <v>1.764705882352942</v>
      </c>
      <c r="N16" s="130">
        <f t="shared" si="4"/>
        <v>0</v>
      </c>
      <c r="O16" s="389"/>
      <c r="P16" s="389"/>
      <c r="Q16" s="389"/>
      <c r="R16" s="389"/>
      <c r="S16" s="389"/>
      <c r="T16" s="389"/>
      <c r="U16" s="389"/>
      <c r="V16" s="132">
        <f>SUM(X16:AA16)</f>
        <v>0</v>
      </c>
      <c r="W16" s="133">
        <f>IF(ISERROR(V16/G16),"",V16/G16)</f>
        <v>0</v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398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389"/>
      <c r="P17" s="389"/>
      <c r="Q17" s="389"/>
      <c r="R17" s="389"/>
      <c r="S17" s="389"/>
      <c r="T17" s="389"/>
      <c r="U17" s="389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398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389"/>
      <c r="P18" s="389"/>
      <c r="Q18" s="389"/>
      <c r="R18" s="389"/>
      <c r="S18" s="389"/>
      <c r="T18" s="389"/>
      <c r="U18" s="389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398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389"/>
      <c r="P19" s="389"/>
      <c r="Q19" s="389"/>
      <c r="R19" s="389"/>
      <c r="S19" s="389"/>
      <c r="T19" s="389"/>
      <c r="U19" s="389"/>
      <c r="V19" s="132">
        <f t="shared" ref="V19:V21" si="5">SUM(X19:AA19)</f>
        <v>0</v>
      </c>
      <c r="W19" s="392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>
        <v>42736</v>
      </c>
      <c r="G20" s="128">
        <f>100+90+100*3</f>
        <v>490</v>
      </c>
      <c r="H20" s="398">
        <f t="shared" si="0"/>
        <v>2494.1</v>
      </c>
      <c r="I20" s="129">
        <f>4*5+1.5*5</f>
        <v>27.5</v>
      </c>
      <c r="J20" s="130">
        <f t="array" ref="J20">IF(ISERROR(G20/I20),"",G20/I20)</f>
        <v>17.818181818181817</v>
      </c>
      <c r="K20" s="131">
        <f t="array" ref="K20">IF(ISERROR(G20/L20),"",G20/L20)</f>
        <v>21.304347826086957</v>
      </c>
      <c r="L20" s="129">
        <v>23</v>
      </c>
      <c r="M20" s="109">
        <f t="shared" si="1"/>
        <v>6.195652173913043</v>
      </c>
      <c r="N20" s="130">
        <f t="shared" si="4"/>
        <v>0</v>
      </c>
      <c r="O20" s="389"/>
      <c r="P20" s="389"/>
      <c r="Q20" s="389"/>
      <c r="R20" s="389"/>
      <c r="S20" s="389"/>
      <c r="T20" s="389"/>
      <c r="U20" s="389"/>
      <c r="V20" s="132">
        <f t="shared" si="5"/>
        <v>0</v>
      </c>
      <c r="W20" s="133">
        <f t="shared" si="6"/>
        <v>0</v>
      </c>
      <c r="X20" s="132"/>
      <c r="Y20" s="132"/>
      <c r="Z20" s="132"/>
      <c r="AA20" s="132"/>
    </row>
    <row r="21" spans="1:27" ht="20.10000000000000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>
        <v>42736</v>
      </c>
      <c r="G21" s="128">
        <f>80+100+100</f>
        <v>280</v>
      </c>
      <c r="H21" s="398">
        <f t="shared" si="0"/>
        <v>1425.2</v>
      </c>
      <c r="I21" s="129">
        <f>2*5+1.5*5</f>
        <v>17.5</v>
      </c>
      <c r="J21" s="130">
        <f t="array" ref="J21">IF(ISERROR(G21/I21),"",G21/I21)</f>
        <v>16</v>
      </c>
      <c r="K21" s="131">
        <f t="array" ref="K21">IF(ISERROR(G21/L21),"",G21/L21)</f>
        <v>12.173913043478262</v>
      </c>
      <c r="L21" s="129">
        <v>23</v>
      </c>
      <c r="M21" s="109">
        <f t="shared" si="1"/>
        <v>5.3260869565217384</v>
      </c>
      <c r="N21" s="130">
        <f t="shared" si="4"/>
        <v>0</v>
      </c>
      <c r="O21" s="389"/>
      <c r="P21" s="389"/>
      <c r="Q21" s="389"/>
      <c r="R21" s="389"/>
      <c r="S21" s="389"/>
      <c r="T21" s="389"/>
      <c r="U21" s="389"/>
      <c r="V21" s="132">
        <f t="shared" si="5"/>
        <v>0</v>
      </c>
      <c r="W21" s="133">
        <f t="shared" si="6"/>
        <v>0</v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388" t="s">
        <v>190</v>
      </c>
      <c r="D22" s="108">
        <v>4.8</v>
      </c>
      <c r="E22" s="108"/>
      <c r="F22" s="127"/>
      <c r="G22" s="128"/>
      <c r="H22" s="398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389"/>
      <c r="P22" s="389"/>
      <c r="Q22" s="389"/>
      <c r="R22" s="389"/>
      <c r="S22" s="389"/>
      <c r="T22" s="389"/>
      <c r="U22" s="389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388" t="s">
        <v>187</v>
      </c>
      <c r="D23" s="108">
        <v>4.8</v>
      </c>
      <c r="E23" s="108"/>
      <c r="F23" s="127"/>
      <c r="G23" s="128"/>
      <c r="H23" s="398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389"/>
      <c r="P23" s="389"/>
      <c r="Q23" s="389"/>
      <c r="R23" s="389"/>
      <c r="S23" s="389"/>
      <c r="T23" s="389"/>
      <c r="U23" s="389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388" t="s">
        <v>179</v>
      </c>
      <c r="D24" s="108">
        <v>4.8</v>
      </c>
      <c r="E24" s="108"/>
      <c r="F24" s="127"/>
      <c r="G24" s="128"/>
      <c r="H24" s="398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389"/>
      <c r="P24" s="389"/>
      <c r="Q24" s="389"/>
      <c r="R24" s="389"/>
      <c r="S24" s="389"/>
      <c r="T24" s="389"/>
      <c r="U24" s="389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388" t="s">
        <v>199</v>
      </c>
      <c r="D25" s="108">
        <v>4.8</v>
      </c>
      <c r="E25" s="108"/>
      <c r="F25" s="127"/>
      <c r="G25" s="128"/>
      <c r="H25" s="398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389"/>
      <c r="P25" s="389"/>
      <c r="Q25" s="389"/>
      <c r="R25" s="389"/>
      <c r="S25" s="389"/>
      <c r="T25" s="389"/>
      <c r="U25" s="389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398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389"/>
      <c r="P26" s="389"/>
      <c r="Q26" s="389"/>
      <c r="R26" s="389"/>
      <c r="S26" s="389"/>
      <c r="T26" s="389"/>
      <c r="U26" s="389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398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389"/>
      <c r="P27" s="389"/>
      <c r="Q27" s="389"/>
      <c r="R27" s="389"/>
      <c r="S27" s="389"/>
      <c r="T27" s="389"/>
      <c r="U27" s="389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578" t="s">
        <v>201</v>
      </c>
      <c r="B28" s="579"/>
      <c r="C28" s="396" t="s">
        <v>202</v>
      </c>
      <c r="D28" s="143"/>
      <c r="E28" s="143"/>
      <c r="F28" s="144"/>
      <c r="G28" s="145">
        <f>SUM(G7:G27)</f>
        <v>1414</v>
      </c>
      <c r="H28" s="146">
        <f>SUM(H7:H27)</f>
        <v>7160.0199999999995</v>
      </c>
      <c r="I28" s="146">
        <f>SUM(I7:I27)</f>
        <v>91</v>
      </c>
      <c r="J28" s="130">
        <f t="array" ref="J28">IF(ISERROR(G28/I28),"",G28/I28)</f>
        <v>15.538461538461538</v>
      </c>
      <c r="K28" s="146">
        <f>SUM(K7:K27)</f>
        <v>68.239870776685962</v>
      </c>
      <c r="L28" s="147"/>
      <c r="M28" s="146">
        <f t="shared" ref="M28:V28" si="10">SUM(M7:M27)</f>
        <v>22.760129223314038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390" t="s">
        <v>206</v>
      </c>
      <c r="C29" s="126" t="s">
        <v>199</v>
      </c>
      <c r="D29" s="108">
        <v>5.03</v>
      </c>
      <c r="E29" s="108"/>
      <c r="F29" s="127"/>
      <c r="G29" s="128"/>
      <c r="H29" s="398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393"/>
      <c r="P29" s="393"/>
      <c r="Q29" s="393"/>
      <c r="R29" s="393"/>
      <c r="S29" s="393"/>
      <c r="T29" s="393"/>
      <c r="U29" s="393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390" t="s">
        <v>425</v>
      </c>
      <c r="C30" s="187" t="s">
        <v>427</v>
      </c>
      <c r="D30" s="108">
        <v>5.03</v>
      </c>
      <c r="E30" s="108"/>
      <c r="F30" s="127"/>
      <c r="G30" s="128"/>
      <c r="H30" s="398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393"/>
      <c r="P30" s="393"/>
      <c r="Q30" s="393"/>
      <c r="R30" s="393"/>
      <c r="S30" s="393"/>
      <c r="T30" s="393"/>
      <c r="U30" s="393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390" t="s">
        <v>206</v>
      </c>
      <c r="C31" s="126" t="s">
        <v>186</v>
      </c>
      <c r="D31" s="108">
        <v>5.03</v>
      </c>
      <c r="E31" s="108"/>
      <c r="F31" s="127"/>
      <c r="G31" s="128"/>
      <c r="H31" s="398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393"/>
      <c r="P31" s="393"/>
      <c r="Q31" s="393"/>
      <c r="R31" s="393"/>
      <c r="S31" s="393"/>
      <c r="T31" s="393"/>
      <c r="U31" s="393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390" t="s">
        <v>206</v>
      </c>
      <c r="C32" s="126" t="s">
        <v>203</v>
      </c>
      <c r="D32" s="108">
        <v>5.03</v>
      </c>
      <c r="E32" s="108"/>
      <c r="F32" s="127"/>
      <c r="G32" s="128"/>
      <c r="H32" s="398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393"/>
      <c r="P32" s="393"/>
      <c r="Q32" s="393"/>
      <c r="R32" s="393"/>
      <c r="S32" s="393"/>
      <c r="T32" s="393"/>
      <c r="U32" s="393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390" t="s">
        <v>206</v>
      </c>
      <c r="C33" s="126" t="s">
        <v>207</v>
      </c>
      <c r="D33" s="108">
        <v>5.03</v>
      </c>
      <c r="E33" s="108"/>
      <c r="F33" s="127"/>
      <c r="G33" s="128"/>
      <c r="H33" s="398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393"/>
      <c r="P33" s="393"/>
      <c r="Q33" s="393"/>
      <c r="R33" s="393"/>
      <c r="S33" s="393"/>
      <c r="T33" s="393"/>
      <c r="U33" s="393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390" t="s">
        <v>414</v>
      </c>
      <c r="C34" s="187" t="s">
        <v>415</v>
      </c>
      <c r="D34" s="108">
        <v>5.03</v>
      </c>
      <c r="E34" s="108"/>
      <c r="F34" s="127"/>
      <c r="G34" s="128"/>
      <c r="H34" s="398">
        <f t="shared" si="11"/>
        <v>0</v>
      </c>
      <c r="I34" s="129"/>
      <c r="J34" s="130"/>
      <c r="K34" s="131"/>
      <c r="L34" s="129">
        <v>52</v>
      </c>
      <c r="M34" s="109"/>
      <c r="N34" s="130"/>
      <c r="O34" s="393"/>
      <c r="P34" s="393"/>
      <c r="Q34" s="393"/>
      <c r="R34" s="393"/>
      <c r="S34" s="393"/>
      <c r="T34" s="393"/>
      <c r="U34" s="393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390" t="s">
        <v>414</v>
      </c>
      <c r="C35" s="187" t="s">
        <v>416</v>
      </c>
      <c r="D35" s="108">
        <v>5.03</v>
      </c>
      <c r="E35" s="108"/>
      <c r="F35" s="127"/>
      <c r="G35" s="128"/>
      <c r="H35" s="398">
        <f t="shared" si="11"/>
        <v>0</v>
      </c>
      <c r="I35" s="129"/>
      <c r="J35" s="130"/>
      <c r="K35" s="131"/>
      <c r="L35" s="129">
        <v>52</v>
      </c>
      <c r="M35" s="109"/>
      <c r="N35" s="130"/>
      <c r="O35" s="393"/>
      <c r="P35" s="393"/>
      <c r="Q35" s="393"/>
      <c r="R35" s="393"/>
      <c r="S35" s="393"/>
      <c r="T35" s="393"/>
      <c r="U35" s="393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390" t="s">
        <v>414</v>
      </c>
      <c r="C36" s="187" t="s">
        <v>61</v>
      </c>
      <c r="D36" s="108">
        <v>5.03</v>
      </c>
      <c r="E36" s="108"/>
      <c r="F36" s="127"/>
      <c r="G36" s="128"/>
      <c r="H36" s="398">
        <f t="shared" si="11"/>
        <v>0</v>
      </c>
      <c r="I36" s="129"/>
      <c r="J36" s="130"/>
      <c r="K36" s="131"/>
      <c r="L36" s="129">
        <v>52</v>
      </c>
      <c r="M36" s="109"/>
      <c r="N36" s="130"/>
      <c r="O36" s="393"/>
      <c r="P36" s="393"/>
      <c r="Q36" s="393"/>
      <c r="R36" s="393"/>
      <c r="S36" s="393"/>
      <c r="T36" s="393"/>
      <c r="U36" s="393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390" t="s">
        <v>208</v>
      </c>
      <c r="C37" s="126" t="s">
        <v>179</v>
      </c>
      <c r="D37" s="108">
        <v>5.08</v>
      </c>
      <c r="E37" s="108"/>
      <c r="F37" s="127"/>
      <c r="G37" s="128"/>
      <c r="H37" s="398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393"/>
      <c r="P37" s="393"/>
      <c r="Q37" s="393"/>
      <c r="R37" s="393"/>
      <c r="S37" s="393"/>
      <c r="T37" s="393"/>
      <c r="U37" s="393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customHeight="1">
      <c r="A38" s="300">
        <v>30100023</v>
      </c>
      <c r="B38" s="390" t="s">
        <v>208</v>
      </c>
      <c r="C38" s="126" t="s">
        <v>204</v>
      </c>
      <c r="D38" s="108">
        <v>5.08</v>
      </c>
      <c r="E38" s="108"/>
      <c r="F38" s="127">
        <v>42736</v>
      </c>
      <c r="G38" s="128">
        <f>108*6</f>
        <v>648</v>
      </c>
      <c r="H38" s="398">
        <f t="shared" si="11"/>
        <v>3291.84</v>
      </c>
      <c r="I38" s="129">
        <f>11*3</f>
        <v>33</v>
      </c>
      <c r="J38" s="130">
        <f t="array" ref="J38">IF(ISERROR(G38/I38),"",G38/I38)</f>
        <v>19.636363636363637</v>
      </c>
      <c r="K38" s="131">
        <f t="array" ref="K38">IF(ISERROR(G38/L38),"",G38/L38)</f>
        <v>30.857142857142858</v>
      </c>
      <c r="L38" s="129">
        <v>21</v>
      </c>
      <c r="M38" s="109">
        <f t="shared" si="19"/>
        <v>2.1428571428571423</v>
      </c>
      <c r="N38" s="130">
        <f t="shared" si="20"/>
        <v>0</v>
      </c>
      <c r="O38" s="393"/>
      <c r="P38" s="393"/>
      <c r="Q38" s="393"/>
      <c r="R38" s="393"/>
      <c r="S38" s="393"/>
      <c r="T38" s="393"/>
      <c r="U38" s="393"/>
      <c r="V38" s="132">
        <f t="shared" si="21"/>
        <v>0</v>
      </c>
      <c r="W38" s="133">
        <f t="shared" si="22"/>
        <v>0</v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390" t="s">
        <v>208</v>
      </c>
      <c r="C39" s="126" t="s">
        <v>205</v>
      </c>
      <c r="D39" s="108">
        <v>5.08</v>
      </c>
      <c r="E39" s="108"/>
      <c r="F39" s="127"/>
      <c r="G39" s="128"/>
      <c r="H39" s="398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393"/>
      <c r="P39" s="393"/>
      <c r="Q39" s="393"/>
      <c r="R39" s="393"/>
      <c r="S39" s="393"/>
      <c r="T39" s="393"/>
      <c r="U39" s="393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390" t="s">
        <v>208</v>
      </c>
      <c r="C40" s="126" t="s">
        <v>186</v>
      </c>
      <c r="D40" s="108">
        <v>5.08</v>
      </c>
      <c r="E40" s="108"/>
      <c r="F40" s="127"/>
      <c r="G40" s="128"/>
      <c r="H40" s="398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393"/>
      <c r="P40" s="393"/>
      <c r="Q40" s="393"/>
      <c r="R40" s="393"/>
      <c r="S40" s="393"/>
      <c r="T40" s="393"/>
      <c r="U40" s="393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390" t="s">
        <v>208</v>
      </c>
      <c r="C41" s="126" t="s">
        <v>203</v>
      </c>
      <c r="D41" s="108">
        <v>5.08</v>
      </c>
      <c r="E41" s="108"/>
      <c r="F41" s="127"/>
      <c r="G41" s="128"/>
      <c r="H41" s="398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393"/>
      <c r="P41" s="393"/>
      <c r="Q41" s="393"/>
      <c r="R41" s="393"/>
      <c r="S41" s="393"/>
      <c r="T41" s="393"/>
      <c r="U41" s="393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390" t="s">
        <v>208</v>
      </c>
      <c r="C42" s="126" t="s">
        <v>199</v>
      </c>
      <c r="D42" s="108">
        <v>5.08</v>
      </c>
      <c r="E42" s="108"/>
      <c r="F42" s="127"/>
      <c r="G42" s="128"/>
      <c r="H42" s="398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389"/>
      <c r="P42" s="389"/>
      <c r="Q42" s="389"/>
      <c r="R42" s="389"/>
      <c r="S42" s="389"/>
      <c r="T42" s="389"/>
      <c r="U42" s="389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390" t="s">
        <v>208</v>
      </c>
      <c r="C43" s="126" t="s">
        <v>187</v>
      </c>
      <c r="D43" s="108">
        <v>5.08</v>
      </c>
      <c r="E43" s="108"/>
      <c r="F43" s="127"/>
      <c r="G43" s="128"/>
      <c r="H43" s="398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393"/>
      <c r="P43" s="393"/>
      <c r="Q43" s="393"/>
      <c r="R43" s="393"/>
      <c r="S43" s="393"/>
      <c r="T43" s="393"/>
      <c r="U43" s="393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390" t="s">
        <v>208</v>
      </c>
      <c r="C44" s="126" t="s">
        <v>207</v>
      </c>
      <c r="D44" s="108">
        <v>5.08</v>
      </c>
      <c r="E44" s="108"/>
      <c r="F44" s="127"/>
      <c r="G44" s="128"/>
      <c r="H44" s="398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389"/>
      <c r="P44" s="389"/>
      <c r="Q44" s="389"/>
      <c r="R44" s="389"/>
      <c r="S44" s="389"/>
      <c r="T44" s="389"/>
      <c r="U44" s="389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390" t="s">
        <v>209</v>
      </c>
      <c r="C45" s="126" t="s">
        <v>194</v>
      </c>
      <c r="D45" s="108">
        <v>5.03</v>
      </c>
      <c r="E45" s="108"/>
      <c r="F45" s="127"/>
      <c r="G45" s="128"/>
      <c r="H45" s="398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393"/>
      <c r="P45" s="393"/>
      <c r="Q45" s="393"/>
      <c r="R45" s="393"/>
      <c r="S45" s="393"/>
      <c r="T45" s="393"/>
      <c r="U45" s="393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customHeight="1">
      <c r="A46" s="300">
        <v>30100033</v>
      </c>
      <c r="B46" s="390" t="s">
        <v>209</v>
      </c>
      <c r="C46" s="126" t="s">
        <v>179</v>
      </c>
      <c r="D46" s="108">
        <v>5.03</v>
      </c>
      <c r="E46" s="108"/>
      <c r="F46" s="127">
        <v>42736</v>
      </c>
      <c r="G46" s="128">
        <f>108*14+87+50</f>
        <v>1649</v>
      </c>
      <c r="H46" s="398">
        <f t="shared" si="11"/>
        <v>8294.4700000000012</v>
      </c>
      <c r="I46" s="129">
        <f>11*2</f>
        <v>22</v>
      </c>
      <c r="J46" s="130">
        <f t="array" ref="J46">IF(ISERROR(G46/I46),"",G46/I46)</f>
        <v>74.954545454545453</v>
      </c>
      <c r="K46" s="131">
        <f t="array" ref="K46">IF(ISERROR(G46/L46),"",G46/L46)</f>
        <v>29.446428571428573</v>
      </c>
      <c r="L46" s="129">
        <v>56</v>
      </c>
      <c r="M46" s="109">
        <f t="shared" si="19"/>
        <v>-7.446428571428573</v>
      </c>
      <c r="N46" s="130">
        <f t="shared" si="20"/>
        <v>0</v>
      </c>
      <c r="O46" s="393"/>
      <c r="P46" s="393"/>
      <c r="Q46" s="393"/>
      <c r="R46" s="393"/>
      <c r="S46" s="393"/>
      <c r="T46" s="393"/>
      <c r="U46" s="393"/>
      <c r="V46" s="132">
        <f t="shared" si="21"/>
        <v>0</v>
      </c>
      <c r="W46" s="133">
        <f t="shared" si="22"/>
        <v>0</v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390" t="s">
        <v>209</v>
      </c>
      <c r="C47" s="126" t="s">
        <v>195</v>
      </c>
      <c r="D47" s="108">
        <v>5.03</v>
      </c>
      <c r="E47" s="108"/>
      <c r="F47" s="127"/>
      <c r="G47" s="128"/>
      <c r="H47" s="398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393"/>
      <c r="P47" s="393"/>
      <c r="Q47" s="393"/>
      <c r="R47" s="393"/>
      <c r="S47" s="393"/>
      <c r="T47" s="393"/>
      <c r="U47" s="393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390" t="s">
        <v>209</v>
      </c>
      <c r="C48" s="126" t="s">
        <v>204</v>
      </c>
      <c r="D48" s="108">
        <v>5.03</v>
      </c>
      <c r="E48" s="108"/>
      <c r="F48" s="127"/>
      <c r="G48" s="128"/>
      <c r="H48" s="398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393"/>
      <c r="P48" s="393"/>
      <c r="Q48" s="393"/>
      <c r="R48" s="393"/>
      <c r="S48" s="393"/>
      <c r="T48" s="393"/>
      <c r="U48" s="393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390" t="s">
        <v>382</v>
      </c>
      <c r="C49" s="187" t="s">
        <v>383</v>
      </c>
      <c r="D49" s="108">
        <v>5.03</v>
      </c>
      <c r="E49" s="108"/>
      <c r="F49" s="127"/>
      <c r="G49" s="128"/>
      <c r="H49" s="398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393"/>
      <c r="P49" s="393"/>
      <c r="Q49" s="393"/>
      <c r="R49" s="393"/>
      <c r="S49" s="393"/>
      <c r="T49" s="393"/>
      <c r="U49" s="393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390" t="s">
        <v>382</v>
      </c>
      <c r="C50" s="187" t="s">
        <v>384</v>
      </c>
      <c r="D50" s="108">
        <v>5.03</v>
      </c>
      <c r="E50" s="108"/>
      <c r="F50" s="127"/>
      <c r="G50" s="128"/>
      <c r="H50" s="398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393"/>
      <c r="P50" s="393"/>
      <c r="Q50" s="393"/>
      <c r="R50" s="393"/>
      <c r="S50" s="393"/>
      <c r="T50" s="393"/>
      <c r="U50" s="393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390" t="s">
        <v>382</v>
      </c>
      <c r="C51" s="187" t="s">
        <v>389</v>
      </c>
      <c r="D51" s="108">
        <v>5.03</v>
      </c>
      <c r="E51" s="108"/>
      <c r="F51" s="127"/>
      <c r="G51" s="128"/>
      <c r="H51" s="398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393"/>
      <c r="P51" s="393"/>
      <c r="Q51" s="393"/>
      <c r="R51" s="393"/>
      <c r="S51" s="393"/>
      <c r="T51" s="393"/>
      <c r="U51" s="393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390" t="s">
        <v>382</v>
      </c>
      <c r="C52" s="187" t="s">
        <v>391</v>
      </c>
      <c r="D52" s="108">
        <v>5.03</v>
      </c>
      <c r="E52" s="108"/>
      <c r="F52" s="127"/>
      <c r="G52" s="128"/>
      <c r="H52" s="398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393"/>
      <c r="P52" s="393"/>
      <c r="Q52" s="393"/>
      <c r="R52" s="393"/>
      <c r="S52" s="393"/>
      <c r="T52" s="393"/>
      <c r="U52" s="393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390" t="s">
        <v>418</v>
      </c>
      <c r="C53" s="187" t="s">
        <v>364</v>
      </c>
      <c r="D53" s="108">
        <v>5.03</v>
      </c>
      <c r="E53" s="108"/>
      <c r="F53" s="127"/>
      <c r="G53" s="128"/>
      <c r="H53" s="398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393"/>
      <c r="P53" s="393"/>
      <c r="Q53" s="393"/>
      <c r="R53" s="393"/>
      <c r="S53" s="393"/>
      <c r="T53" s="393"/>
      <c r="U53" s="393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390" t="s">
        <v>418</v>
      </c>
      <c r="C54" s="187" t="s">
        <v>365</v>
      </c>
      <c r="D54" s="108">
        <v>5.03</v>
      </c>
      <c r="E54" s="108"/>
      <c r="F54" s="127"/>
      <c r="G54" s="128"/>
      <c r="H54" s="398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393"/>
      <c r="P54" s="393"/>
      <c r="Q54" s="393"/>
      <c r="R54" s="393"/>
      <c r="S54" s="393"/>
      <c r="T54" s="393"/>
      <c r="U54" s="393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390" t="s">
        <v>418</v>
      </c>
      <c r="C55" s="187" t="s">
        <v>366</v>
      </c>
      <c r="D55" s="108">
        <v>5.03</v>
      </c>
      <c r="E55" s="108"/>
      <c r="F55" s="127"/>
      <c r="G55" s="128"/>
      <c r="H55" s="398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393"/>
      <c r="P55" s="393"/>
      <c r="Q55" s="393"/>
      <c r="R55" s="393"/>
      <c r="S55" s="393"/>
      <c r="T55" s="393"/>
      <c r="U55" s="393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390" t="s">
        <v>418</v>
      </c>
      <c r="C56" s="187" t="s">
        <v>367</v>
      </c>
      <c r="D56" s="108">
        <v>5.03</v>
      </c>
      <c r="E56" s="108"/>
      <c r="F56" s="127"/>
      <c r="G56" s="128"/>
      <c r="H56" s="398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393"/>
      <c r="P56" s="393"/>
      <c r="Q56" s="393"/>
      <c r="R56" s="393"/>
      <c r="S56" s="393"/>
      <c r="T56" s="393"/>
      <c r="U56" s="393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398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389"/>
      <c r="P57" s="389"/>
      <c r="Q57" s="389"/>
      <c r="R57" s="389"/>
      <c r="S57" s="389"/>
      <c r="T57" s="389"/>
      <c r="U57" s="389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398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389"/>
      <c r="P58" s="389"/>
      <c r="Q58" s="389"/>
      <c r="R58" s="389"/>
      <c r="S58" s="389"/>
      <c r="T58" s="389"/>
      <c r="U58" s="389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398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389"/>
      <c r="P59" s="389"/>
      <c r="Q59" s="389"/>
      <c r="R59" s="389"/>
      <c r="S59" s="389"/>
      <c r="T59" s="389"/>
      <c r="U59" s="389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398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389"/>
      <c r="P60" s="389"/>
      <c r="Q60" s="389"/>
      <c r="R60" s="389"/>
      <c r="S60" s="389"/>
      <c r="T60" s="389"/>
      <c r="U60" s="389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398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389"/>
      <c r="P61" s="389"/>
      <c r="Q61" s="389"/>
      <c r="R61" s="389"/>
      <c r="S61" s="389"/>
      <c r="T61" s="389"/>
      <c r="U61" s="389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398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389"/>
      <c r="P62" s="389"/>
      <c r="Q62" s="389"/>
      <c r="R62" s="389"/>
      <c r="S62" s="389"/>
      <c r="T62" s="389"/>
      <c r="U62" s="389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398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389"/>
      <c r="P63" s="389"/>
      <c r="Q63" s="389"/>
      <c r="R63" s="389"/>
      <c r="S63" s="389"/>
      <c r="T63" s="389"/>
      <c r="U63" s="389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398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389"/>
      <c r="P64" s="389"/>
      <c r="Q64" s="389"/>
      <c r="R64" s="389"/>
      <c r="S64" s="389"/>
      <c r="T64" s="389"/>
      <c r="U64" s="389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398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389"/>
      <c r="P65" s="389"/>
      <c r="Q65" s="389"/>
      <c r="R65" s="389"/>
      <c r="S65" s="389"/>
      <c r="T65" s="389"/>
      <c r="U65" s="389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398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389"/>
      <c r="P66" s="389"/>
      <c r="Q66" s="389"/>
      <c r="R66" s="389"/>
      <c r="S66" s="389"/>
      <c r="T66" s="389"/>
      <c r="U66" s="389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398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389"/>
      <c r="P67" s="389"/>
      <c r="Q67" s="389"/>
      <c r="R67" s="389"/>
      <c r="S67" s="389"/>
      <c r="T67" s="389"/>
      <c r="U67" s="389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398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389"/>
      <c r="P68" s="389"/>
      <c r="Q68" s="389"/>
      <c r="R68" s="389"/>
      <c r="S68" s="389"/>
      <c r="T68" s="389"/>
      <c r="U68" s="389"/>
      <c r="V68" s="132"/>
      <c r="W68" s="133"/>
      <c r="X68" s="132"/>
      <c r="Y68" s="132"/>
      <c r="Z68" s="132"/>
      <c r="AA68" s="132"/>
    </row>
    <row r="69" spans="1:27" ht="20.10000000000000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>
        <v>42736</v>
      </c>
      <c r="G69" s="128">
        <v>85</v>
      </c>
      <c r="H69" s="398">
        <f t="shared" si="11"/>
        <v>427.55</v>
      </c>
      <c r="I69" s="129">
        <f>1*4</f>
        <v>4</v>
      </c>
      <c r="J69" s="130">
        <f t="array" ref="J69">IF(ISERROR(G69/I69),"",G69/I69)</f>
        <v>21.25</v>
      </c>
      <c r="K69" s="131">
        <f t="array" ref="K69">IF(ISERROR(G69/L69),"",G69/L69)</f>
        <v>3.9534883720930232</v>
      </c>
      <c r="L69" s="129">
        <v>21.5</v>
      </c>
      <c r="M69" s="109">
        <f t="shared" ref="M69:M70" si="26">IF(ISERROR(I69-K69),"",I69-K69)</f>
        <v>4.6511627906976827E-2</v>
      </c>
      <c r="N69" s="130">
        <f t="shared" ref="N69:N70" si="27">SUM(O69:U69)</f>
        <v>0</v>
      </c>
      <c r="O69" s="389"/>
      <c r="P69" s="389"/>
      <c r="Q69" s="389"/>
      <c r="R69" s="389"/>
      <c r="S69" s="389"/>
      <c r="T69" s="389"/>
      <c r="U69" s="389"/>
      <c r="V69" s="132">
        <f t="shared" ref="V69:V70" si="28">SUM(X69:AA69)</f>
        <v>0</v>
      </c>
      <c r="W69" s="133">
        <f t="shared" ref="W69:W70" si="29">IF(ISERROR(V69/G69),"",V69/G69)</f>
        <v>0</v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398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389"/>
      <c r="P70" s="389"/>
      <c r="Q70" s="389"/>
      <c r="R70" s="389"/>
      <c r="S70" s="389"/>
      <c r="T70" s="389"/>
      <c r="U70" s="389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398">
        <f t="shared" si="11"/>
        <v>0</v>
      </c>
      <c r="I71" s="129"/>
      <c r="J71" s="130"/>
      <c r="K71" s="131"/>
      <c r="L71" s="129"/>
      <c r="M71" s="109"/>
      <c r="N71" s="130"/>
      <c r="O71" s="389"/>
      <c r="P71" s="389"/>
      <c r="Q71" s="389"/>
      <c r="R71" s="389"/>
      <c r="S71" s="389"/>
      <c r="T71" s="389"/>
      <c r="U71" s="389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398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389"/>
      <c r="P72" s="389"/>
      <c r="Q72" s="389"/>
      <c r="R72" s="389"/>
      <c r="S72" s="389"/>
      <c r="T72" s="389"/>
      <c r="U72" s="389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398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389"/>
      <c r="P73" s="389"/>
      <c r="Q73" s="389"/>
      <c r="R73" s="389"/>
      <c r="S73" s="389"/>
      <c r="T73" s="389"/>
      <c r="U73" s="389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398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389"/>
      <c r="P74" s="389"/>
      <c r="Q74" s="389"/>
      <c r="R74" s="389"/>
      <c r="S74" s="389"/>
      <c r="T74" s="389"/>
      <c r="U74" s="389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398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389"/>
      <c r="P75" s="389"/>
      <c r="Q75" s="389"/>
      <c r="R75" s="389"/>
      <c r="S75" s="389"/>
      <c r="T75" s="389"/>
      <c r="U75" s="389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398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389"/>
      <c r="P76" s="389"/>
      <c r="Q76" s="389"/>
      <c r="R76" s="389"/>
      <c r="S76" s="389"/>
      <c r="T76" s="389"/>
      <c r="U76" s="389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398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389"/>
      <c r="P77" s="389"/>
      <c r="Q77" s="389"/>
      <c r="R77" s="389"/>
      <c r="S77" s="389"/>
      <c r="T77" s="389"/>
      <c r="U77" s="389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398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389"/>
      <c r="P78" s="389"/>
      <c r="Q78" s="389"/>
      <c r="R78" s="389"/>
      <c r="S78" s="389"/>
      <c r="T78" s="389"/>
      <c r="U78" s="389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398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389"/>
      <c r="P79" s="389"/>
      <c r="Q79" s="389"/>
      <c r="R79" s="389"/>
      <c r="S79" s="389"/>
      <c r="T79" s="389"/>
      <c r="U79" s="389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398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389"/>
      <c r="P80" s="389"/>
      <c r="Q80" s="389"/>
      <c r="R80" s="389"/>
      <c r="S80" s="389"/>
      <c r="T80" s="389"/>
      <c r="U80" s="389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398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389"/>
      <c r="P81" s="389"/>
      <c r="Q81" s="389"/>
      <c r="R81" s="389"/>
      <c r="S81" s="389"/>
      <c r="T81" s="389"/>
      <c r="U81" s="389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398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389"/>
      <c r="P82" s="389"/>
      <c r="Q82" s="389"/>
      <c r="R82" s="389"/>
      <c r="S82" s="389"/>
      <c r="T82" s="389"/>
      <c r="U82" s="389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398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389"/>
      <c r="P83" s="389"/>
      <c r="Q83" s="389"/>
      <c r="R83" s="389"/>
      <c r="S83" s="389"/>
      <c r="T83" s="389"/>
      <c r="U83" s="389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398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389"/>
      <c r="P84" s="389"/>
      <c r="Q84" s="389"/>
      <c r="R84" s="389"/>
      <c r="S84" s="389"/>
      <c r="T84" s="389"/>
      <c r="U84" s="389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398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389"/>
      <c r="P85" s="389"/>
      <c r="Q85" s="389"/>
      <c r="R85" s="389"/>
      <c r="S85" s="389"/>
      <c r="T85" s="389"/>
      <c r="U85" s="389"/>
      <c r="V85" s="132"/>
      <c r="W85" s="133"/>
      <c r="X85" s="132"/>
      <c r="Y85" s="132"/>
      <c r="Z85" s="132"/>
      <c r="AA85" s="132"/>
    </row>
    <row r="86" spans="1:27" ht="20.100000000000001" customHeight="1">
      <c r="A86" s="589" t="s">
        <v>216</v>
      </c>
      <c r="B86" s="589"/>
      <c r="C86" s="396" t="s">
        <v>202</v>
      </c>
      <c r="D86" s="143"/>
      <c r="E86" s="143"/>
      <c r="F86" s="144"/>
      <c r="G86" s="145">
        <f>SUM(G29:G85)</f>
        <v>2382</v>
      </c>
      <c r="H86" s="146">
        <f>SUM(H29:H85)</f>
        <v>12013.86</v>
      </c>
      <c r="I86" s="146">
        <f>SUM(I29:I85)</f>
        <v>59</v>
      </c>
      <c r="J86" s="130">
        <f t="array" ref="J86">IF(ISERROR(G86/I86),"",G86/I86)</f>
        <v>40.372881355932201</v>
      </c>
      <c r="K86" s="146">
        <f>SUM(K29:K85)</f>
        <v>64.25705980066445</v>
      </c>
      <c r="L86" s="147"/>
      <c r="M86" s="150">
        <f t="shared" ref="M86:V86" si="34">SUM(M29:M85)</f>
        <v>-5.2570598006644538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390" t="s">
        <v>217</v>
      </c>
      <c r="C87" s="126" t="s">
        <v>179</v>
      </c>
      <c r="D87" s="108">
        <v>5.03</v>
      </c>
      <c r="E87" s="108"/>
      <c r="F87" s="127"/>
      <c r="G87" s="128"/>
      <c r="H87" s="398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7" si="37">IF(ISERROR(I87-K87),"",I87-K87)</f>
        <v>0</v>
      </c>
      <c r="N87" s="130">
        <f t="shared" ref="N87:N93" si="38">SUM(O87:U87)</f>
        <v>0</v>
      </c>
      <c r="O87" s="389"/>
      <c r="P87" s="389"/>
      <c r="Q87" s="389"/>
      <c r="R87" s="389"/>
      <c r="S87" s="389"/>
      <c r="T87" s="389"/>
      <c r="U87" s="389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390" t="s">
        <v>217</v>
      </c>
      <c r="C88" s="126" t="s">
        <v>186</v>
      </c>
      <c r="D88" s="108">
        <v>5.03</v>
      </c>
      <c r="E88" s="108"/>
      <c r="F88" s="127"/>
      <c r="G88" s="128"/>
      <c r="H88" s="398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389"/>
      <c r="P88" s="389"/>
      <c r="Q88" s="389"/>
      <c r="R88" s="389"/>
      <c r="S88" s="389"/>
      <c r="T88" s="389"/>
      <c r="U88" s="389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390" t="s">
        <v>217</v>
      </c>
      <c r="C89" s="126" t="s">
        <v>204</v>
      </c>
      <c r="D89" s="108">
        <v>5.03</v>
      </c>
      <c r="E89" s="108"/>
      <c r="F89" s="127"/>
      <c r="G89" s="128"/>
      <c r="H89" s="398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389"/>
      <c r="P89" s="389"/>
      <c r="Q89" s="389"/>
      <c r="R89" s="389"/>
      <c r="S89" s="389"/>
      <c r="T89" s="389"/>
      <c r="U89" s="389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398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389"/>
      <c r="P90" s="389"/>
      <c r="Q90" s="389"/>
      <c r="R90" s="389"/>
      <c r="S90" s="389"/>
      <c r="T90" s="389"/>
      <c r="U90" s="389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398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389"/>
      <c r="P91" s="389"/>
      <c r="Q91" s="389"/>
      <c r="R91" s="389"/>
      <c r="S91" s="389"/>
      <c r="T91" s="389"/>
      <c r="U91" s="389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398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389"/>
      <c r="P92" s="389"/>
      <c r="Q92" s="389"/>
      <c r="R92" s="389"/>
      <c r="S92" s="389"/>
      <c r="T92" s="389"/>
      <c r="U92" s="389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398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389"/>
      <c r="P93" s="389"/>
      <c r="Q93" s="389"/>
      <c r="R93" s="389"/>
      <c r="S93" s="389"/>
      <c r="T93" s="389"/>
      <c r="U93" s="389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customHeight="1">
      <c r="A94" s="299">
        <v>30400015</v>
      </c>
      <c r="B94" s="151" t="s">
        <v>512</v>
      </c>
      <c r="C94" s="126" t="s">
        <v>218</v>
      </c>
      <c r="D94" s="108">
        <v>5.03</v>
      </c>
      <c r="E94" s="108"/>
      <c r="F94" s="127">
        <v>42737</v>
      </c>
      <c r="G94" s="128">
        <v>81</v>
      </c>
      <c r="H94" s="398">
        <f t="shared" si="36"/>
        <v>407.43</v>
      </c>
      <c r="I94" s="129">
        <v>11</v>
      </c>
      <c r="J94" s="130">
        <f t="array" ref="J94">IF(ISERROR(G94/I94),"",G94/I94)</f>
        <v>7.3636363636363633</v>
      </c>
      <c r="K94" s="131">
        <f t="array" ref="K94">IF(ISERROR(G94/L94),"",G94/L94)</f>
        <v>8.7096774193548381</v>
      </c>
      <c r="L94" s="129">
        <v>9.3000000000000007</v>
      </c>
      <c r="M94" s="109">
        <f t="shared" si="37"/>
        <v>2.2903225806451619</v>
      </c>
      <c r="N94" s="130"/>
      <c r="O94" s="389"/>
      <c r="P94" s="389"/>
      <c r="Q94" s="389"/>
      <c r="R94" s="389"/>
      <c r="S94" s="389"/>
      <c r="T94" s="389"/>
      <c r="U94" s="389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398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389"/>
      <c r="P95" s="389"/>
      <c r="Q95" s="389"/>
      <c r="R95" s="389"/>
      <c r="S95" s="389"/>
      <c r="T95" s="389"/>
      <c r="U95" s="389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398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389"/>
      <c r="P96" s="389"/>
      <c r="Q96" s="389"/>
      <c r="R96" s="389"/>
      <c r="S96" s="389"/>
      <c r="T96" s="389"/>
      <c r="U96" s="389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398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389"/>
      <c r="P97" s="389"/>
      <c r="Q97" s="389"/>
      <c r="R97" s="389"/>
      <c r="S97" s="389"/>
      <c r="T97" s="389"/>
      <c r="U97" s="389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398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389"/>
      <c r="P98" s="389"/>
      <c r="Q98" s="389"/>
      <c r="R98" s="389"/>
      <c r="S98" s="389"/>
      <c r="T98" s="389"/>
      <c r="U98" s="389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398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389"/>
      <c r="P99" s="389"/>
      <c r="Q99" s="389"/>
      <c r="R99" s="389"/>
      <c r="S99" s="389"/>
      <c r="T99" s="389"/>
      <c r="U99" s="389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398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389"/>
      <c r="P100" s="389"/>
      <c r="Q100" s="389"/>
      <c r="R100" s="389"/>
      <c r="S100" s="389"/>
      <c r="T100" s="389"/>
      <c r="U100" s="389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398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389"/>
      <c r="P101" s="389"/>
      <c r="Q101" s="389"/>
      <c r="R101" s="389"/>
      <c r="S101" s="389"/>
      <c r="T101" s="389"/>
      <c r="U101" s="389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398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389"/>
      <c r="P102" s="389"/>
      <c r="Q102" s="389"/>
      <c r="R102" s="389"/>
      <c r="S102" s="389"/>
      <c r="T102" s="389"/>
      <c r="U102" s="389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390" t="s">
        <v>222</v>
      </c>
      <c r="C103" s="126" t="s">
        <v>181</v>
      </c>
      <c r="D103" s="108">
        <v>10.199999999999999</v>
      </c>
      <c r="E103" s="108"/>
      <c r="F103" s="127"/>
      <c r="G103" s="128"/>
      <c r="H103" s="398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389"/>
      <c r="P103" s="389"/>
      <c r="Q103" s="389"/>
      <c r="R103" s="389"/>
      <c r="S103" s="389"/>
      <c r="T103" s="389"/>
      <c r="U103" s="389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390" t="s">
        <v>222</v>
      </c>
      <c r="C104" s="126" t="s">
        <v>179</v>
      </c>
      <c r="D104" s="108">
        <v>10.199999999999999</v>
      </c>
      <c r="E104" s="108"/>
      <c r="F104" s="127"/>
      <c r="G104" s="128"/>
      <c r="H104" s="398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389"/>
      <c r="P104" s="389"/>
      <c r="Q104" s="389"/>
      <c r="R104" s="389"/>
      <c r="S104" s="389"/>
      <c r="T104" s="389"/>
      <c r="U104" s="389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390" t="s">
        <v>222</v>
      </c>
      <c r="C105" s="126" t="s">
        <v>221</v>
      </c>
      <c r="D105" s="108">
        <v>10.199999999999999</v>
      </c>
      <c r="E105" s="108"/>
      <c r="F105" s="127"/>
      <c r="G105" s="128"/>
      <c r="H105" s="398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389"/>
      <c r="P105" s="389"/>
      <c r="Q105" s="389"/>
      <c r="R105" s="389"/>
      <c r="S105" s="389"/>
      <c r="T105" s="389"/>
      <c r="U105" s="389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390" t="s">
        <v>222</v>
      </c>
      <c r="C106" s="126" t="s">
        <v>186</v>
      </c>
      <c r="D106" s="108">
        <v>10.199999999999999</v>
      </c>
      <c r="E106" s="108"/>
      <c r="F106" s="127"/>
      <c r="G106" s="128"/>
      <c r="H106" s="398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389"/>
      <c r="P106" s="389"/>
      <c r="Q106" s="389"/>
      <c r="R106" s="389"/>
      <c r="S106" s="389"/>
      <c r="T106" s="389"/>
      <c r="U106" s="389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390" t="s">
        <v>393</v>
      </c>
      <c r="C107" s="187" t="s">
        <v>395</v>
      </c>
      <c r="D107" s="108">
        <v>5</v>
      </c>
      <c r="E107" s="108"/>
      <c r="F107" s="127"/>
      <c r="G107" s="128"/>
      <c r="H107" s="398">
        <f t="shared" si="36"/>
        <v>0</v>
      </c>
      <c r="I107" s="129"/>
      <c r="J107" s="130" t="str">
        <f t="array" ref="J107">IF(ISERROR(G107/I107),"",G107/I107)</f>
        <v/>
      </c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389"/>
      <c r="P107" s="389"/>
      <c r="Q107" s="389"/>
      <c r="R107" s="389"/>
      <c r="S107" s="389"/>
      <c r="T107" s="389"/>
      <c r="U107" s="389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390" t="s">
        <v>393</v>
      </c>
      <c r="C108" s="187" t="s">
        <v>402</v>
      </c>
      <c r="D108" s="108">
        <v>5</v>
      </c>
      <c r="E108" s="108"/>
      <c r="F108" s="127"/>
      <c r="G108" s="128"/>
      <c r="H108" s="398">
        <f t="shared" si="36"/>
        <v>0</v>
      </c>
      <c r="I108" s="129"/>
      <c r="J108" s="130" t="str">
        <f t="array" ref="J108">IF(ISERROR(G108/I108),"",G108/I108)</f>
        <v/>
      </c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389"/>
      <c r="P108" s="389"/>
      <c r="Q108" s="389"/>
      <c r="R108" s="389"/>
      <c r="S108" s="389"/>
      <c r="T108" s="389"/>
      <c r="U108" s="389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390" t="s">
        <v>404</v>
      </c>
      <c r="C109" s="187" t="s">
        <v>405</v>
      </c>
      <c r="D109" s="108">
        <v>5</v>
      </c>
      <c r="E109" s="108"/>
      <c r="F109" s="127"/>
      <c r="G109" s="128"/>
      <c r="H109" s="398">
        <f t="shared" si="36"/>
        <v>0</v>
      </c>
      <c r="I109" s="129"/>
      <c r="J109" s="130" t="str">
        <f t="array" ref="J109">IF(ISERROR(G109/I109),"",G109/I109)</f>
        <v/>
      </c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389"/>
      <c r="P109" s="389"/>
      <c r="Q109" s="389"/>
      <c r="R109" s="389"/>
      <c r="S109" s="389"/>
      <c r="T109" s="389"/>
      <c r="U109" s="389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390" t="s">
        <v>492</v>
      </c>
      <c r="C110" s="187" t="s">
        <v>372</v>
      </c>
      <c r="D110" s="108">
        <v>5</v>
      </c>
      <c r="E110" s="108"/>
      <c r="F110" s="127"/>
      <c r="G110" s="128"/>
      <c r="H110" s="398">
        <f t="shared" si="36"/>
        <v>0</v>
      </c>
      <c r="I110" s="129"/>
      <c r="J110" s="130" t="str">
        <f t="array" ref="J110">IF(ISERROR(G110/I110),"",G110/I110)</f>
        <v/>
      </c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389"/>
      <c r="P110" s="389"/>
      <c r="Q110" s="389"/>
      <c r="R110" s="389"/>
      <c r="S110" s="389"/>
      <c r="T110" s="389"/>
      <c r="U110" s="389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390" t="s">
        <v>343</v>
      </c>
      <c r="C111" s="126" t="s">
        <v>345</v>
      </c>
      <c r="D111" s="108">
        <v>5</v>
      </c>
      <c r="E111" s="108"/>
      <c r="F111" s="127"/>
      <c r="G111" s="128"/>
      <c r="H111" s="398">
        <f t="shared" si="36"/>
        <v>0</v>
      </c>
      <c r="I111" s="129"/>
      <c r="J111" s="130" t="str">
        <f t="array" ref="J111">IF(ISERROR(G111/I111),"",G111/I111)</f>
        <v/>
      </c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389"/>
      <c r="P111" s="389"/>
      <c r="Q111" s="389"/>
      <c r="R111" s="389"/>
      <c r="S111" s="389"/>
      <c r="T111" s="389"/>
      <c r="U111" s="389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390" t="s">
        <v>343</v>
      </c>
      <c r="C112" s="126" t="s">
        <v>347</v>
      </c>
      <c r="D112" s="108">
        <v>5</v>
      </c>
      <c r="E112" s="108"/>
      <c r="F112" s="127"/>
      <c r="G112" s="128"/>
      <c r="H112" s="398">
        <f t="shared" si="36"/>
        <v>0</v>
      </c>
      <c r="I112" s="129"/>
      <c r="J112" s="130" t="str">
        <f t="array" ref="J112">IF(ISERROR(G112/I112),"",G112/I112)</f>
        <v/>
      </c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389"/>
      <c r="P112" s="389"/>
      <c r="Q112" s="389"/>
      <c r="R112" s="389"/>
      <c r="S112" s="389"/>
      <c r="T112" s="389"/>
      <c r="U112" s="389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398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389"/>
      <c r="P113" s="389"/>
      <c r="Q113" s="389"/>
      <c r="R113" s="389"/>
      <c r="S113" s="389"/>
      <c r="T113" s="389"/>
      <c r="U113" s="389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398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389"/>
      <c r="P114" s="389"/>
      <c r="Q114" s="389"/>
      <c r="R114" s="389"/>
      <c r="S114" s="389"/>
      <c r="T114" s="389"/>
      <c r="U114" s="389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>
        <v>42736</v>
      </c>
      <c r="G115" s="128">
        <f>23+21+90+90+90</f>
        <v>314</v>
      </c>
      <c r="H115" s="398">
        <f t="shared" si="36"/>
        <v>1570</v>
      </c>
      <c r="I115" s="129">
        <f>2.5*4+5.5</f>
        <v>15.5</v>
      </c>
      <c r="J115" s="130">
        <f t="array" ref="J115">IF(ISERROR(G115/I115),"",G115/I115)</f>
        <v>20.258064516129032</v>
      </c>
      <c r="K115" s="131">
        <f t="array" ref="K115">IF(ISERROR(G115/L115),"",G115/L115)</f>
        <v>13.083333333333334</v>
      </c>
      <c r="L115" s="129">
        <v>24</v>
      </c>
      <c r="M115" s="109">
        <f t="shared" si="37"/>
        <v>2.4166666666666661</v>
      </c>
      <c r="N115" s="130"/>
      <c r="O115" s="389"/>
      <c r="P115" s="389"/>
      <c r="Q115" s="389"/>
      <c r="R115" s="389"/>
      <c r="S115" s="389"/>
      <c r="T115" s="389"/>
      <c r="U115" s="389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398">
        <f t="shared" si="36"/>
        <v>0</v>
      </c>
      <c r="I116" s="129"/>
      <c r="J116" s="130" t="str">
        <f t="array" ref="J116">IF(ISERROR(G116/I116),"",G116/I116)</f>
        <v/>
      </c>
      <c r="K116" s="131">
        <f t="array" ref="K116">IF(ISERROR(G116/L116),"",G116/L116)</f>
        <v>0</v>
      </c>
      <c r="L116" s="129">
        <v>24</v>
      </c>
      <c r="M116" s="109">
        <f t="shared" si="37"/>
        <v>0</v>
      </c>
      <c r="N116" s="130"/>
      <c r="O116" s="389"/>
      <c r="P116" s="389"/>
      <c r="Q116" s="389"/>
      <c r="R116" s="389"/>
      <c r="S116" s="389"/>
      <c r="T116" s="389"/>
      <c r="U116" s="389"/>
      <c r="V116" s="132"/>
      <c r="W116" s="133"/>
      <c r="X116" s="132"/>
      <c r="Y116" s="132"/>
      <c r="Z116" s="132"/>
      <c r="AA116" s="132"/>
    </row>
    <row r="117" spans="1:27" ht="20.10000000000000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>
        <v>42736</v>
      </c>
      <c r="G117" s="128">
        <f>90+89+90</f>
        <v>269</v>
      </c>
      <c r="H117" s="398">
        <f t="shared" si="36"/>
        <v>1345</v>
      </c>
      <c r="I117" s="129">
        <f>4*4+2.5</f>
        <v>18.5</v>
      </c>
      <c r="J117" s="130">
        <f t="array" ref="J117">IF(ISERROR(G117/I117),"",G117/I117)</f>
        <v>14.54054054054054</v>
      </c>
      <c r="K117" s="131">
        <f t="array" ref="K117">IF(ISERROR(G117/L117),"",G117/L117)</f>
        <v>11.208333333333334</v>
      </c>
      <c r="L117" s="129">
        <v>24</v>
      </c>
      <c r="M117" s="109">
        <f t="shared" si="37"/>
        <v>7.2916666666666661</v>
      </c>
      <c r="N117" s="130"/>
      <c r="O117" s="389"/>
      <c r="P117" s="389"/>
      <c r="Q117" s="389"/>
      <c r="R117" s="389"/>
      <c r="S117" s="389"/>
      <c r="T117" s="389"/>
      <c r="U117" s="389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398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389"/>
      <c r="P118" s="389"/>
      <c r="Q118" s="389"/>
      <c r="R118" s="389"/>
      <c r="S118" s="389"/>
      <c r="T118" s="389"/>
      <c r="U118" s="389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398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389"/>
      <c r="P119" s="389"/>
      <c r="Q119" s="389"/>
      <c r="R119" s="389"/>
      <c r="S119" s="389"/>
      <c r="T119" s="389"/>
      <c r="U119" s="389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398">
        <f t="shared" si="36"/>
        <v>0</v>
      </c>
      <c r="I120" s="129"/>
      <c r="J120" s="130" t="str">
        <f t="array" ref="J120">IF(ISERROR(G120/I120),"",G120/I120)</f>
        <v/>
      </c>
      <c r="K120" s="398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389"/>
      <c r="P120" s="389"/>
      <c r="Q120" s="389"/>
      <c r="R120" s="389"/>
      <c r="S120" s="389"/>
      <c r="T120" s="389"/>
      <c r="U120" s="389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578" t="s">
        <v>224</v>
      </c>
      <c r="B121" s="579"/>
      <c r="C121" s="396" t="s">
        <v>202</v>
      </c>
      <c r="D121" s="143"/>
      <c r="E121" s="143"/>
      <c r="F121" s="144"/>
      <c r="G121" s="145">
        <f>SUM(G87:G120)</f>
        <v>664</v>
      </c>
      <c r="H121" s="146">
        <f>SUM(H87:H120)</f>
        <v>3322.4300000000003</v>
      </c>
      <c r="I121" s="146">
        <f>SUM(I87:I120)</f>
        <v>45</v>
      </c>
      <c r="J121" s="130">
        <f t="array" ref="J121">IF(ISERROR(G121/I121),"",G121/I121)</f>
        <v>14.755555555555556</v>
      </c>
      <c r="K121" s="146">
        <f>SUM(K87:K120)</f>
        <v>33.001344086021504</v>
      </c>
      <c r="L121" s="147"/>
      <c r="M121" s="150">
        <f t="shared" ref="M121:V121" si="50">SUM(M87:M120)</f>
        <v>11.998655913978494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398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389"/>
      <c r="P122" s="389"/>
      <c r="Q122" s="389"/>
      <c r="R122" s="389"/>
      <c r="S122" s="389"/>
      <c r="T122" s="389"/>
      <c r="U122" s="389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398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389"/>
      <c r="P123" s="389"/>
      <c r="Q123" s="389"/>
      <c r="R123" s="389"/>
      <c r="S123" s="389"/>
      <c r="T123" s="389"/>
      <c r="U123" s="389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398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389"/>
      <c r="P124" s="389"/>
      <c r="Q124" s="389"/>
      <c r="R124" s="389"/>
      <c r="S124" s="389"/>
      <c r="T124" s="389"/>
      <c r="U124" s="389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398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389"/>
      <c r="P125" s="389"/>
      <c r="Q125" s="389"/>
      <c r="R125" s="389"/>
      <c r="S125" s="389"/>
      <c r="T125" s="389"/>
      <c r="U125" s="389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394" t="s">
        <v>203</v>
      </c>
      <c r="D126" s="108">
        <v>5.03</v>
      </c>
      <c r="E126" s="108"/>
      <c r="F126" s="127"/>
      <c r="G126" s="128"/>
      <c r="H126" s="398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389"/>
      <c r="P126" s="389"/>
      <c r="Q126" s="389"/>
      <c r="R126" s="389"/>
      <c r="S126" s="389"/>
      <c r="T126" s="389"/>
      <c r="U126" s="389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398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389"/>
      <c r="P127" s="389"/>
      <c r="Q127" s="389"/>
      <c r="R127" s="389"/>
      <c r="S127" s="389"/>
      <c r="T127" s="389"/>
      <c r="U127" s="389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398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389"/>
      <c r="P128" s="389"/>
      <c r="Q128" s="389"/>
      <c r="R128" s="389"/>
      <c r="S128" s="389"/>
      <c r="T128" s="389"/>
      <c r="U128" s="389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394" t="s">
        <v>228</v>
      </c>
      <c r="D129" s="108">
        <v>5.03</v>
      </c>
      <c r="E129" s="108"/>
      <c r="F129" s="127"/>
      <c r="G129" s="128"/>
      <c r="H129" s="398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389"/>
      <c r="P129" s="389"/>
      <c r="Q129" s="389"/>
      <c r="R129" s="389"/>
      <c r="S129" s="389"/>
      <c r="T129" s="389"/>
      <c r="U129" s="389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394" t="s">
        <v>212</v>
      </c>
      <c r="D130" s="108">
        <v>5.03</v>
      </c>
      <c r="E130" s="108"/>
      <c r="F130" s="127"/>
      <c r="G130" s="128"/>
      <c r="H130" s="398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389"/>
      <c r="P130" s="389"/>
      <c r="Q130" s="389"/>
      <c r="R130" s="389"/>
      <c r="S130" s="389"/>
      <c r="T130" s="389"/>
      <c r="U130" s="389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394" t="s">
        <v>203</v>
      </c>
      <c r="D131" s="108">
        <v>5.03</v>
      </c>
      <c r="E131" s="108"/>
      <c r="F131" s="127"/>
      <c r="G131" s="128"/>
      <c r="H131" s="398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389"/>
      <c r="P131" s="389"/>
      <c r="Q131" s="389"/>
      <c r="R131" s="389"/>
      <c r="S131" s="389"/>
      <c r="T131" s="389"/>
      <c r="U131" s="389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394" t="s">
        <v>186</v>
      </c>
      <c r="D132" s="108">
        <v>5.03</v>
      </c>
      <c r="E132" s="108"/>
      <c r="F132" s="127"/>
      <c r="G132" s="128"/>
      <c r="H132" s="398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389"/>
      <c r="P132" s="389"/>
      <c r="Q132" s="389"/>
      <c r="R132" s="389"/>
      <c r="S132" s="389"/>
      <c r="T132" s="389"/>
      <c r="U132" s="389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394" t="s">
        <v>228</v>
      </c>
      <c r="D133" s="108">
        <v>5.03</v>
      </c>
      <c r="E133" s="108"/>
      <c r="F133" s="127"/>
      <c r="G133" s="128"/>
      <c r="H133" s="398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389"/>
      <c r="P133" s="389"/>
      <c r="Q133" s="389"/>
      <c r="R133" s="389"/>
      <c r="S133" s="389"/>
      <c r="T133" s="389"/>
      <c r="U133" s="389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394" t="s">
        <v>199</v>
      </c>
      <c r="D134" s="108">
        <v>5.03</v>
      </c>
      <c r="E134" s="108"/>
      <c r="F134" s="127"/>
      <c r="G134" s="128"/>
      <c r="H134" s="398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389"/>
      <c r="P134" s="389"/>
      <c r="Q134" s="389"/>
      <c r="R134" s="389"/>
      <c r="S134" s="389"/>
      <c r="T134" s="389"/>
      <c r="U134" s="389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398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389"/>
      <c r="P135" s="389"/>
      <c r="Q135" s="389"/>
      <c r="R135" s="389"/>
      <c r="S135" s="389"/>
      <c r="T135" s="389"/>
      <c r="U135" s="389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>
        <v>42737</v>
      </c>
      <c r="G136" s="128">
        <f>90*8+37</f>
        <v>757</v>
      </c>
      <c r="H136" s="398">
        <f t="shared" si="51"/>
        <v>3830.4199999999996</v>
      </c>
      <c r="I136" s="129">
        <f>11*3</f>
        <v>33</v>
      </c>
      <c r="J136" s="130">
        <f t="array" ref="J136">IF(ISERROR(G136/I136),"",G136/I136)</f>
        <v>22.939393939393938</v>
      </c>
      <c r="K136" s="131">
        <f t="array" ref="K136">IF(ISERROR(G136/L136),"",G136/L136)</f>
        <v>32.913043478260867</v>
      </c>
      <c r="L136" s="129">
        <v>23</v>
      </c>
      <c r="M136" s="109">
        <f t="shared" si="52"/>
        <v>8.6956521739132597E-2</v>
      </c>
      <c r="N136" s="130">
        <f t="shared" si="53"/>
        <v>0</v>
      </c>
      <c r="O136" s="389"/>
      <c r="P136" s="389"/>
      <c r="Q136" s="389"/>
      <c r="R136" s="389"/>
      <c r="S136" s="389"/>
      <c r="T136" s="389"/>
      <c r="U136" s="389"/>
      <c r="V136" s="132">
        <f t="shared" si="54"/>
        <v>0</v>
      </c>
      <c r="W136" s="133">
        <f t="shared" si="49"/>
        <v>0</v>
      </c>
      <c r="X136" s="132"/>
      <c r="Y136" s="132"/>
      <c r="Z136" s="132"/>
      <c r="AA136" s="132"/>
    </row>
    <row r="137" spans="1:27" ht="20.100000000000001" customHeight="1">
      <c r="A137" s="578" t="s">
        <v>231</v>
      </c>
      <c r="B137" s="579"/>
      <c r="C137" s="396" t="s">
        <v>202</v>
      </c>
      <c r="D137" s="143"/>
      <c r="E137" s="143"/>
      <c r="F137" s="144"/>
      <c r="G137" s="145">
        <f>SUM(G122:G136)</f>
        <v>757</v>
      </c>
      <c r="H137" s="146">
        <f>SUM(H122:H136)</f>
        <v>3830.4199999999996</v>
      </c>
      <c r="I137" s="146">
        <f>SUM(I122:I136)</f>
        <v>33</v>
      </c>
      <c r="J137" s="130">
        <f t="array" ref="J137">IF(ISERROR(G137/I137),"",G137/I137)</f>
        <v>22.939393939393938</v>
      </c>
      <c r="K137" s="146">
        <f>SUM(K122:K136)</f>
        <v>32.913043478260867</v>
      </c>
      <c r="L137" s="147"/>
      <c r="M137" s="150">
        <f>SUM(M122:M136)</f>
        <v>8.6956521739132597E-2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49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398">
        <f t="shared" ref="H138:H147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389"/>
      <c r="P138" s="389"/>
      <c r="Q138" s="389"/>
      <c r="R138" s="389"/>
      <c r="S138" s="389"/>
      <c r="T138" s="389"/>
      <c r="U138" s="389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398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389"/>
      <c r="P139" s="389"/>
      <c r="Q139" s="389"/>
      <c r="R139" s="389"/>
      <c r="S139" s="389"/>
      <c r="T139" s="389"/>
      <c r="U139" s="389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398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389"/>
      <c r="P140" s="389"/>
      <c r="Q140" s="389"/>
      <c r="R140" s="389"/>
      <c r="S140" s="389"/>
      <c r="T140" s="389"/>
      <c r="U140" s="389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398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389"/>
      <c r="P141" s="389"/>
      <c r="Q141" s="389"/>
      <c r="R141" s="389"/>
      <c r="S141" s="389"/>
      <c r="T141" s="389"/>
      <c r="U141" s="389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398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389"/>
      <c r="P142" s="389"/>
      <c r="Q142" s="389"/>
      <c r="R142" s="389"/>
      <c r="S142" s="389"/>
      <c r="T142" s="389"/>
      <c r="U142" s="389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398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389"/>
      <c r="P143" s="389"/>
      <c r="Q143" s="389"/>
      <c r="R143" s="389"/>
      <c r="S143" s="389"/>
      <c r="T143" s="389"/>
      <c r="U143" s="389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/>
      <c r="G144" s="128"/>
      <c r="H144" s="398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389"/>
      <c r="P144" s="389"/>
      <c r="Q144" s="389"/>
      <c r="R144" s="389"/>
      <c r="S144" s="389"/>
      <c r="T144" s="389"/>
      <c r="U144" s="389"/>
      <c r="V144" s="132"/>
      <c r="W144" s="133"/>
      <c r="X144" s="132"/>
      <c r="Y144" s="132"/>
      <c r="Z144" s="132"/>
      <c r="AA144" s="132"/>
    </row>
    <row r="145" spans="1:27" ht="20.100000000000001" hidden="1" customHeight="1">
      <c r="A145" s="300">
        <v>30400021</v>
      </c>
      <c r="B145" s="134" t="s">
        <v>439</v>
      </c>
      <c r="C145" s="187" t="s">
        <v>53</v>
      </c>
      <c r="D145" s="108">
        <v>5.04</v>
      </c>
      <c r="E145" s="108"/>
      <c r="F145" s="127"/>
      <c r="G145" s="128"/>
      <c r="H145" s="398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389"/>
      <c r="P145" s="389"/>
      <c r="Q145" s="389"/>
      <c r="R145" s="389"/>
      <c r="S145" s="389"/>
      <c r="T145" s="389"/>
      <c r="U145" s="389"/>
      <c r="V145" s="132"/>
      <c r="W145" s="133"/>
      <c r="X145" s="132"/>
      <c r="Y145" s="132"/>
      <c r="Z145" s="132"/>
      <c r="AA145" s="132"/>
    </row>
    <row r="146" spans="1:27" ht="20.10000000000000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/>
      <c r="G146" s="128"/>
      <c r="H146" s="438">
        <f t="shared" si="55"/>
        <v>0</v>
      </c>
      <c r="I146" s="129"/>
      <c r="J146" s="130"/>
      <c r="K146" s="131">
        <f t="array" ref="K146">IF(ISERROR(G146/L146),"",G146/L146)</f>
        <v>0</v>
      </c>
      <c r="L146" s="129">
        <v>13.5</v>
      </c>
      <c r="M146" s="109"/>
      <c r="N146" s="130"/>
      <c r="O146" s="446"/>
      <c r="P146" s="446"/>
      <c r="Q146" s="446"/>
      <c r="R146" s="446"/>
      <c r="S146" s="446"/>
      <c r="T146" s="446"/>
      <c r="U146" s="446"/>
      <c r="V146" s="132"/>
      <c r="W146" s="133"/>
      <c r="X146" s="132"/>
      <c r="Y146" s="132"/>
      <c r="Z146" s="132"/>
      <c r="AA146" s="132"/>
    </row>
    <row r="147" spans="1:27" ht="20.100000000000001" hidden="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28"/>
      <c r="H147" s="398">
        <f t="shared" si="55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ref="M147" si="59">IF(ISERROR(I147-K147),"",I147-K147)</f>
        <v>0</v>
      </c>
      <c r="N147" s="130">
        <f t="shared" ref="N147" si="60">SUM(O147:U147)</f>
        <v>0</v>
      </c>
      <c r="O147" s="389"/>
      <c r="P147" s="389"/>
      <c r="Q147" s="389"/>
      <c r="R147" s="389"/>
      <c r="S147" s="389"/>
      <c r="T147" s="389"/>
      <c r="U147" s="389"/>
      <c r="V147" s="132">
        <f t="shared" ref="V147" si="61">SUM(X147:AA147)</f>
        <v>0</v>
      </c>
      <c r="W147" s="133" t="str">
        <f t="shared" ref="W147:W152" si="62">IF(ISERROR(V147/G147),"",V147/G147)</f>
        <v/>
      </c>
      <c r="X147" s="132"/>
      <c r="Y147" s="132"/>
      <c r="Z147" s="132"/>
      <c r="AA147" s="132"/>
    </row>
    <row r="148" spans="1:27" ht="20.100000000000001" hidden="1" customHeight="1">
      <c r="A148" s="578" t="s">
        <v>234</v>
      </c>
      <c r="B148" s="579"/>
      <c r="C148" s="396" t="s">
        <v>202</v>
      </c>
      <c r="D148" s="143"/>
      <c r="E148" s="143"/>
      <c r="F148" s="144"/>
      <c r="G148" s="145">
        <f>SUM(G138:G147)</f>
        <v>0</v>
      </c>
      <c r="H148" s="146">
        <f>SUM(H138:H147)</f>
        <v>0</v>
      </c>
      <c r="I148" s="146">
        <f>SUM(I138:I147)</f>
        <v>0</v>
      </c>
      <c r="J148" s="130" t="str">
        <f t="array" ref="J148">IF(ISERROR(G148/I148),"",G148/I148)</f>
        <v/>
      </c>
      <c r="K148" s="146">
        <f>SUM(K138:K147)</f>
        <v>0</v>
      </c>
      <c r="L148" s="147"/>
      <c r="M148" s="150">
        <f>SUM(M138:M147)</f>
        <v>0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 t="str">
        <f t="shared" si="62"/>
        <v/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hidden="1" customHeight="1">
      <c r="A149" s="299">
        <v>30700013</v>
      </c>
      <c r="B149" s="298" t="s">
        <v>103</v>
      </c>
      <c r="C149" s="388"/>
      <c r="D149" s="108">
        <v>3.65</v>
      </c>
      <c r="E149" s="108"/>
      <c r="F149" s="153"/>
      <c r="G149" s="128"/>
      <c r="H149" s="398">
        <f t="shared" ref="H149:H162" si="63">D149*G149</f>
        <v>0</v>
      </c>
      <c r="I149" s="129"/>
      <c r="J149" s="130" t="str">
        <f t="array" ref="J149">IF(ISERROR(G149/I149),"",G149/I149)</f>
        <v/>
      </c>
      <c r="K149" s="398">
        <f t="array" ref="K149">IF(ISERROR(G149/L149),"",G149/L149)</f>
        <v>0</v>
      </c>
      <c r="L149" s="129">
        <v>5</v>
      </c>
      <c r="M149" s="109">
        <f t="shared" ref="M149:M152" si="64">IF(ISERROR(I149-K149),"",I149-K149)</f>
        <v>0</v>
      </c>
      <c r="N149" s="130">
        <f t="shared" ref="N149:N152" si="65">SUM(O149:U149)</f>
        <v>0</v>
      </c>
      <c r="O149" s="389"/>
      <c r="P149" s="389"/>
      <c r="Q149" s="389"/>
      <c r="R149" s="389"/>
      <c r="S149" s="389"/>
      <c r="T149" s="389"/>
      <c r="U149" s="389"/>
      <c r="V149" s="132">
        <f t="shared" ref="V149:V152" si="66">SUM(X149:AA149)</f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30700014</v>
      </c>
      <c r="B150" s="141" t="s">
        <v>236</v>
      </c>
      <c r="C150" s="388"/>
      <c r="D150" s="108">
        <v>6.58</v>
      </c>
      <c r="E150" s="108"/>
      <c r="F150" s="127"/>
      <c r="G150" s="128"/>
      <c r="H150" s="398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5</v>
      </c>
      <c r="M150" s="109">
        <f t="shared" si="64"/>
        <v>0</v>
      </c>
      <c r="N150" s="130">
        <f t="shared" si="65"/>
        <v>0</v>
      </c>
      <c r="O150" s="389"/>
      <c r="P150" s="389"/>
      <c r="Q150" s="389"/>
      <c r="R150" s="389"/>
      <c r="S150" s="389"/>
      <c r="T150" s="389"/>
      <c r="U150" s="389"/>
      <c r="V150" s="132">
        <f t="shared" si="66"/>
        <v>0</v>
      </c>
      <c r="W150" s="133" t="str">
        <f t="shared" si="62"/>
        <v/>
      </c>
      <c r="X150" s="132"/>
      <c r="Y150" s="132"/>
      <c r="Z150" s="132"/>
      <c r="AA150" s="132"/>
    </row>
    <row r="151" spans="1:27" ht="20.100000000000001" customHeight="1">
      <c r="A151" s="299">
        <v>30700016</v>
      </c>
      <c r="B151" s="141" t="s">
        <v>237</v>
      </c>
      <c r="C151" s="388"/>
      <c r="D151" s="108">
        <v>7.8</v>
      </c>
      <c r="E151" s="108"/>
      <c r="F151" s="127">
        <v>42737</v>
      </c>
      <c r="G151" s="128">
        <f>32*3</f>
        <v>96</v>
      </c>
      <c r="H151" s="398">
        <f t="shared" si="63"/>
        <v>748.8</v>
      </c>
      <c r="I151" s="129">
        <v>5</v>
      </c>
      <c r="J151" s="130">
        <f t="array" ref="J151">IF(ISERROR(G151/I151),"",G151/I151)</f>
        <v>19.2</v>
      </c>
      <c r="K151" s="131">
        <f t="array" ref="K151">IF(ISERROR(G151/L151),"",G151/L151)</f>
        <v>20.869565217391305</v>
      </c>
      <c r="L151" s="129">
        <v>4.5999999999999996</v>
      </c>
      <c r="M151" s="109">
        <f t="shared" si="64"/>
        <v>-15.869565217391305</v>
      </c>
      <c r="N151" s="130">
        <f t="shared" si="65"/>
        <v>0</v>
      </c>
      <c r="O151" s="389"/>
      <c r="P151" s="389"/>
      <c r="Q151" s="389"/>
      <c r="R151" s="389"/>
      <c r="S151" s="389"/>
      <c r="T151" s="389"/>
      <c r="U151" s="389"/>
      <c r="V151" s="132">
        <f t="shared" si="66"/>
        <v>0</v>
      </c>
      <c r="W151" s="133">
        <f t="shared" si="62"/>
        <v>0</v>
      </c>
      <c r="X151" s="132"/>
      <c r="Y151" s="132"/>
      <c r="Z151" s="132"/>
      <c r="AA151" s="132"/>
    </row>
    <row r="152" spans="1:27" ht="20.100000000000001" hidden="1" customHeight="1">
      <c r="A152" s="299">
        <v>30700017</v>
      </c>
      <c r="B152" s="141" t="s">
        <v>238</v>
      </c>
      <c r="C152" s="388"/>
      <c r="D152" s="108">
        <v>4.4000000000000004</v>
      </c>
      <c r="E152" s="108"/>
      <c r="F152" s="127"/>
      <c r="G152" s="128"/>
      <c r="H152" s="398">
        <f t="shared" si="63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5.8</v>
      </c>
      <c r="M152" s="109">
        <f t="shared" si="64"/>
        <v>0</v>
      </c>
      <c r="N152" s="130">
        <f t="shared" si="65"/>
        <v>0</v>
      </c>
      <c r="O152" s="389"/>
      <c r="P152" s="389"/>
      <c r="Q152" s="389"/>
      <c r="R152" s="389"/>
      <c r="S152" s="389"/>
      <c r="T152" s="389"/>
      <c r="U152" s="389"/>
      <c r="V152" s="132">
        <f t="shared" si="66"/>
        <v>0</v>
      </c>
      <c r="W152" s="133" t="str">
        <f t="shared" si="62"/>
        <v/>
      </c>
      <c r="X152" s="132"/>
      <c r="Y152" s="132"/>
      <c r="Z152" s="132"/>
      <c r="AA152" s="132"/>
    </row>
    <row r="153" spans="1:27" ht="20.100000000000001" hidden="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28"/>
      <c r="H153" s="398">
        <f t="shared" si="63"/>
        <v>0</v>
      </c>
      <c r="I153" s="129"/>
      <c r="J153" s="130"/>
      <c r="K153" s="131"/>
      <c r="L153" s="129">
        <v>6</v>
      </c>
      <c r="M153" s="109"/>
      <c r="N153" s="130"/>
      <c r="O153" s="389"/>
      <c r="P153" s="389"/>
      <c r="Q153" s="389"/>
      <c r="R153" s="389"/>
      <c r="S153" s="389"/>
      <c r="T153" s="389"/>
      <c r="U153" s="389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5"/>
      <c r="B154" s="388" t="s">
        <v>239</v>
      </c>
      <c r="C154" s="388" t="s">
        <v>179</v>
      </c>
      <c r="D154" s="108">
        <v>6.04</v>
      </c>
      <c r="E154" s="108"/>
      <c r="F154" s="127"/>
      <c r="G154" s="128"/>
      <c r="H154" s="398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5" si="67">IF(ISERROR(I154-K154),"",I154-K154)</f>
        <v>0</v>
      </c>
      <c r="N154" s="130">
        <f t="shared" ref="N154:N155" si="68">SUM(O154:U154)</f>
        <v>0</v>
      </c>
      <c r="O154" s="389"/>
      <c r="P154" s="389"/>
      <c r="Q154" s="389"/>
      <c r="R154" s="389"/>
      <c r="S154" s="389"/>
      <c r="T154" s="389"/>
      <c r="U154" s="389"/>
      <c r="V154" s="132">
        <f t="shared" ref="V154:V155" si="69">SUM(X154:AA154)</f>
        <v>0</v>
      </c>
      <c r="W154" s="133" t="str">
        <f t="shared" ref="W154:W155" si="70">IF(ISERROR(V154/G154),"",V154/G154)</f>
        <v/>
      </c>
      <c r="X154" s="132"/>
      <c r="Y154" s="132"/>
      <c r="Z154" s="132"/>
      <c r="AA154" s="132"/>
    </row>
    <row r="155" spans="1:27" ht="20.100000000000001" hidden="1" customHeight="1">
      <c r="A155" s="305">
        <v>30700019</v>
      </c>
      <c r="B155" s="388" t="s">
        <v>239</v>
      </c>
      <c r="C155" s="388" t="s">
        <v>186</v>
      </c>
      <c r="D155" s="108">
        <v>6.04</v>
      </c>
      <c r="E155" s="108"/>
      <c r="F155" s="127"/>
      <c r="G155" s="128"/>
      <c r="H155" s="398">
        <f t="shared" si="63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7"/>
        <v>0</v>
      </c>
      <c r="N155" s="130">
        <f t="shared" si="68"/>
        <v>0</v>
      </c>
      <c r="O155" s="389"/>
      <c r="P155" s="389"/>
      <c r="Q155" s="389"/>
      <c r="R155" s="389"/>
      <c r="S155" s="389"/>
      <c r="T155" s="389"/>
      <c r="U155" s="389"/>
      <c r="V155" s="132">
        <f t="shared" si="69"/>
        <v>0</v>
      </c>
      <c r="W155" s="133" t="str">
        <f t="shared" si="70"/>
        <v/>
      </c>
      <c r="X155" s="132"/>
      <c r="Y155" s="132"/>
      <c r="Z155" s="132"/>
      <c r="AA155" s="132"/>
    </row>
    <row r="156" spans="1:27" ht="20.100000000000001" hidden="1" customHeight="1">
      <c r="A156" s="305">
        <v>30601015</v>
      </c>
      <c r="B156" s="388" t="s">
        <v>443</v>
      </c>
      <c r="C156" s="388" t="s">
        <v>179</v>
      </c>
      <c r="D156" s="108">
        <v>6</v>
      </c>
      <c r="E156" s="108"/>
      <c r="F156" s="127"/>
      <c r="G156" s="128"/>
      <c r="H156" s="398">
        <f t="shared" si="63"/>
        <v>0</v>
      </c>
      <c r="I156" s="129"/>
      <c r="J156" s="130"/>
      <c r="K156" s="131"/>
      <c r="L156" s="129"/>
      <c r="M156" s="109"/>
      <c r="N156" s="130"/>
      <c r="O156" s="389"/>
      <c r="P156" s="389"/>
      <c r="Q156" s="389"/>
      <c r="R156" s="389"/>
      <c r="S156" s="389"/>
      <c r="T156" s="389"/>
      <c r="U156" s="389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305">
        <v>30101016</v>
      </c>
      <c r="B157" s="388" t="s">
        <v>443</v>
      </c>
      <c r="C157" s="388" t="s">
        <v>60</v>
      </c>
      <c r="D157" s="108">
        <v>6</v>
      </c>
      <c r="E157" s="108"/>
      <c r="F157" s="127"/>
      <c r="G157" s="128"/>
      <c r="H157" s="398">
        <f t="shared" si="63"/>
        <v>0</v>
      </c>
      <c r="I157" s="129"/>
      <c r="J157" s="130"/>
      <c r="K157" s="131"/>
      <c r="L157" s="129">
        <v>6</v>
      </c>
      <c r="M157" s="109"/>
      <c r="N157" s="130"/>
      <c r="O157" s="389"/>
      <c r="P157" s="389"/>
      <c r="Q157" s="389"/>
      <c r="R157" s="389"/>
      <c r="S157" s="389"/>
      <c r="T157" s="389"/>
      <c r="U157" s="389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299">
        <v>30700018</v>
      </c>
      <c r="B158" s="390" t="s">
        <v>240</v>
      </c>
      <c r="C158" s="126"/>
      <c r="D158" s="108">
        <v>7.3</v>
      </c>
      <c r="E158" s="108"/>
      <c r="F158" s="127"/>
      <c r="G158" s="128"/>
      <c r="H158" s="398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1">IF(ISERROR(I158-K158),"",I158-K158)</f>
        <v/>
      </c>
      <c r="N158" s="130">
        <f t="shared" ref="N158:N159" si="72">SUM(O158:U158)</f>
        <v>0</v>
      </c>
      <c r="O158" s="389"/>
      <c r="P158" s="389"/>
      <c r="Q158" s="389"/>
      <c r="R158" s="389"/>
      <c r="S158" s="389"/>
      <c r="T158" s="389"/>
      <c r="U158" s="389"/>
      <c r="V158" s="132">
        <f t="shared" ref="V158:V159" si="73">SUM(X158:AA158)</f>
        <v>0</v>
      </c>
      <c r="W158" s="133" t="str">
        <f t="shared" ref="W158:W159" si="74">IF(ISERROR(V158/G158),"",V158/G158)</f>
        <v/>
      </c>
      <c r="X158" s="132"/>
      <c r="Y158" s="132"/>
      <c r="Z158" s="132"/>
      <c r="AA158" s="132"/>
    </row>
    <row r="159" spans="1:27" ht="20.100000000000001" hidden="1" customHeight="1">
      <c r="A159" s="299">
        <v>30700010</v>
      </c>
      <c r="B159" s="390" t="s">
        <v>241</v>
      </c>
      <c r="C159" s="126"/>
      <c r="D159" s="108">
        <f>78*120/1000</f>
        <v>9.36</v>
      </c>
      <c r="E159" s="108"/>
      <c r="F159" s="127"/>
      <c r="G159" s="128"/>
      <c r="H159" s="398">
        <f t="shared" si="63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2"/>
        <v>0</v>
      </c>
      <c r="O159" s="389"/>
      <c r="P159" s="389"/>
      <c r="Q159" s="389"/>
      <c r="R159" s="389"/>
      <c r="S159" s="389"/>
      <c r="T159" s="389"/>
      <c r="U159" s="389"/>
      <c r="V159" s="132">
        <f t="shared" si="73"/>
        <v>0</v>
      </c>
      <c r="W159" s="133" t="str">
        <f t="shared" si="74"/>
        <v/>
      </c>
      <c r="X159" s="132"/>
      <c r="Y159" s="132"/>
      <c r="Z159" s="132"/>
      <c r="AA159" s="132"/>
    </row>
    <row r="160" spans="1:27" ht="20.100000000000001" hidden="1" customHeight="1">
      <c r="A160" s="299">
        <v>30700015</v>
      </c>
      <c r="B160" s="390" t="s">
        <v>242</v>
      </c>
      <c r="C160" s="126"/>
      <c r="D160" s="108">
        <v>4.5</v>
      </c>
      <c r="E160" s="108"/>
      <c r="F160" s="127"/>
      <c r="G160" s="128"/>
      <c r="H160" s="398">
        <f t="shared" si="63"/>
        <v>0</v>
      </c>
      <c r="I160" s="129"/>
      <c r="J160" s="130"/>
      <c r="K160" s="131"/>
      <c r="L160" s="129"/>
      <c r="M160" s="109"/>
      <c r="N160" s="130"/>
      <c r="O160" s="389"/>
      <c r="P160" s="389"/>
      <c r="Q160" s="389"/>
      <c r="R160" s="389"/>
      <c r="S160" s="389"/>
      <c r="T160" s="389"/>
      <c r="U160" s="389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299">
        <v>30700012</v>
      </c>
      <c r="B161" s="390" t="s">
        <v>243</v>
      </c>
      <c r="C161" s="126"/>
      <c r="D161" s="108">
        <v>4.5</v>
      </c>
      <c r="E161" s="108"/>
      <c r="F161" s="127"/>
      <c r="G161" s="128"/>
      <c r="H161" s="398">
        <f t="shared" si="63"/>
        <v>0</v>
      </c>
      <c r="I161" s="129"/>
      <c r="J161" s="130"/>
      <c r="K161" s="131"/>
      <c r="L161" s="129"/>
      <c r="M161" s="109"/>
      <c r="N161" s="130"/>
      <c r="O161" s="389"/>
      <c r="P161" s="389"/>
      <c r="Q161" s="389"/>
      <c r="R161" s="389"/>
      <c r="S161" s="389"/>
      <c r="T161" s="389"/>
      <c r="U161" s="389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306">
        <v>30101063</v>
      </c>
      <c r="B162" s="254" t="s">
        <v>436</v>
      </c>
      <c r="C162" s="126"/>
      <c r="D162" s="108">
        <v>5.03</v>
      </c>
      <c r="E162" s="108"/>
      <c r="F162" s="127"/>
      <c r="G162" s="128"/>
      <c r="H162" s="398">
        <f t="shared" si="63"/>
        <v>0</v>
      </c>
      <c r="I162" s="129"/>
      <c r="J162" s="130"/>
      <c r="K162" s="131"/>
      <c r="L162" s="129"/>
      <c r="M162" s="109"/>
      <c r="N162" s="130"/>
      <c r="O162" s="389"/>
      <c r="P162" s="389"/>
      <c r="Q162" s="389"/>
      <c r="R162" s="389"/>
      <c r="S162" s="389"/>
      <c r="T162" s="389"/>
      <c r="U162" s="389"/>
      <c r="V162" s="132"/>
      <c r="W162" s="133"/>
      <c r="X162" s="132"/>
      <c r="Y162" s="132"/>
      <c r="Z162" s="132"/>
      <c r="AA162" s="132"/>
    </row>
    <row r="163" spans="1:27" ht="20.100000000000001" customHeight="1">
      <c r="A163" s="578" t="s">
        <v>244</v>
      </c>
      <c r="B163" s="579"/>
      <c r="C163" s="396" t="s">
        <v>202</v>
      </c>
      <c r="D163" s="143"/>
      <c r="E163" s="143"/>
      <c r="F163" s="144"/>
      <c r="G163" s="145">
        <f>SUM(G149:G161)</f>
        <v>96</v>
      </c>
      <c r="H163" s="146">
        <f>SUM(H149:H159)</f>
        <v>748.8</v>
      </c>
      <c r="I163" s="146">
        <f>SUM(I149:I161)</f>
        <v>5</v>
      </c>
      <c r="J163" s="130">
        <f t="array" ref="J163">IF(ISERROR(G163/I163),"",G163/I163)</f>
        <v>19.2</v>
      </c>
      <c r="K163" s="146">
        <f>SUM(K149:K159)</f>
        <v>20.869565217391305</v>
      </c>
      <c r="L163" s="147"/>
      <c r="M163" s="150">
        <f t="shared" ref="M163:V163" si="75">SUM(M149:M159)</f>
        <v>-15.869565217391305</v>
      </c>
      <c r="N163" s="146">
        <f t="shared" si="75"/>
        <v>0</v>
      </c>
      <c r="O163" s="148">
        <f t="shared" si="75"/>
        <v>0</v>
      </c>
      <c r="P163" s="148">
        <f t="shared" si="75"/>
        <v>0</v>
      </c>
      <c r="Q163" s="148">
        <f t="shared" si="75"/>
        <v>0</v>
      </c>
      <c r="R163" s="148">
        <f t="shared" si="75"/>
        <v>0</v>
      </c>
      <c r="S163" s="148">
        <f t="shared" si="75"/>
        <v>0</v>
      </c>
      <c r="T163" s="148">
        <f t="shared" si="75"/>
        <v>0</v>
      </c>
      <c r="U163" s="148">
        <f t="shared" si="75"/>
        <v>0</v>
      </c>
      <c r="V163" s="149">
        <f t="shared" si="75"/>
        <v>0</v>
      </c>
      <c r="W163" s="133">
        <f>IF(ISERROR(V163/G163),"",V163/G163)</f>
        <v>0</v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580" t="s">
        <v>246</v>
      </c>
      <c r="B164" s="581"/>
      <c r="C164" s="581"/>
      <c r="D164" s="581"/>
      <c r="E164" s="581"/>
      <c r="F164" s="582"/>
      <c r="G164" s="154">
        <f>SUM(G28,G86,G121,G137,G148,G163)</f>
        <v>5313</v>
      </c>
      <c r="H164" s="154">
        <f>SUM(H28,H86,H121,H137,H148,H163)</f>
        <v>27075.53</v>
      </c>
      <c r="I164" s="154">
        <f>SUM(I28,I86,I121,I137,I148,I163)</f>
        <v>233</v>
      </c>
      <c r="J164" s="155">
        <f t="array" ref="J164">IF(ISERROR(G164/I164),"",G164/I164)</f>
        <v>22.802575107296136</v>
      </c>
      <c r="K164" s="154">
        <f>SUM(K28,K86,K121,K137,K148,K163)</f>
        <v>219.2808833590241</v>
      </c>
      <c r="L164" s="155">
        <f>IF(ISERROR(G164/K164),"",G164/K164)</f>
        <v>24.229198271247082</v>
      </c>
      <c r="M164" s="154">
        <f t="shared" ref="M164:AA164" si="76">SUM(M28,M86,M121,M137,M148,M163)</f>
        <v>13.719116640975905</v>
      </c>
      <c r="N164" s="154">
        <f t="shared" si="76"/>
        <v>0</v>
      </c>
      <c r="O164" s="154">
        <f t="shared" si="76"/>
        <v>0</v>
      </c>
      <c r="P164" s="154">
        <f t="shared" si="76"/>
        <v>0</v>
      </c>
      <c r="Q164" s="154">
        <f t="shared" si="76"/>
        <v>0</v>
      </c>
      <c r="R164" s="154">
        <f t="shared" si="76"/>
        <v>0</v>
      </c>
      <c r="S164" s="154">
        <f t="shared" si="76"/>
        <v>0</v>
      </c>
      <c r="T164" s="154">
        <f t="shared" si="76"/>
        <v>0</v>
      </c>
      <c r="U164" s="154">
        <f t="shared" si="76"/>
        <v>0</v>
      </c>
      <c r="V164" s="154">
        <f t="shared" si="76"/>
        <v>0</v>
      </c>
      <c r="W164" s="154">
        <f t="shared" si="76"/>
        <v>0</v>
      </c>
      <c r="X164" s="154">
        <f t="shared" si="76"/>
        <v>0</v>
      </c>
      <c r="Y164" s="154">
        <f t="shared" si="76"/>
        <v>0</v>
      </c>
      <c r="Z164" s="154">
        <f t="shared" si="76"/>
        <v>0</v>
      </c>
      <c r="AA164" s="154">
        <f t="shared" si="76"/>
        <v>0</v>
      </c>
    </row>
    <row r="165" spans="1:27" ht="20.100000000000001" customHeight="1">
      <c r="A165" s="583" t="s">
        <v>476</v>
      </c>
      <c r="B165" s="395" t="s">
        <v>247</v>
      </c>
      <c r="C165" s="586" t="s">
        <v>248</v>
      </c>
      <c r="D165" s="587"/>
      <c r="E165" s="588" t="s">
        <v>249</v>
      </c>
      <c r="F165" s="588"/>
      <c r="G165" s="591" t="s">
        <v>250</v>
      </c>
      <c r="H165" s="591"/>
      <c r="I165" s="588" t="s">
        <v>251</v>
      </c>
      <c r="J165" s="588"/>
      <c r="K165" s="588" t="s">
        <v>252</v>
      </c>
      <c r="L165" s="588"/>
      <c r="M165" s="588" t="s">
        <v>253</v>
      </c>
      <c r="N165" s="588"/>
      <c r="O165" s="588" t="s">
        <v>254</v>
      </c>
      <c r="P165" s="591" t="s">
        <v>255</v>
      </c>
      <c r="Q165" s="591"/>
      <c r="R165" s="591" t="s">
        <v>252</v>
      </c>
      <c r="S165" s="591"/>
      <c r="T165" s="591" t="s">
        <v>256</v>
      </c>
      <c r="U165" s="591"/>
      <c r="V165" s="591" t="s">
        <v>257</v>
      </c>
      <c r="W165" s="591"/>
      <c r="X165" s="591" t="s">
        <v>252</v>
      </c>
      <c r="Y165" s="591"/>
      <c r="Z165" s="591" t="s">
        <v>256</v>
      </c>
      <c r="AA165" s="591"/>
    </row>
    <row r="166" spans="1:27" ht="20.100000000000001" customHeight="1">
      <c r="A166" s="584"/>
      <c r="B166" s="395" t="s">
        <v>258</v>
      </c>
      <c r="C166" s="586">
        <v>1</v>
      </c>
      <c r="D166" s="587"/>
      <c r="E166" s="590">
        <f>C166*11</f>
        <v>11</v>
      </c>
      <c r="F166" s="590"/>
      <c r="G166" s="591">
        <v>1</v>
      </c>
      <c r="H166" s="591"/>
      <c r="I166" s="590">
        <f>G166*11</f>
        <v>11</v>
      </c>
      <c r="J166" s="590"/>
      <c r="K166" s="590">
        <f>E166-I166</f>
        <v>0</v>
      </c>
      <c r="L166" s="590"/>
      <c r="M166" s="592">
        <f>IF(ISERROR(K166/E166),"",K166/E166)</f>
        <v>0</v>
      </c>
      <c r="N166" s="592"/>
      <c r="O166" s="588"/>
      <c r="P166" s="591" t="s">
        <v>201</v>
      </c>
      <c r="Q166" s="591"/>
      <c r="R166" s="593">
        <f>SUM(O28:U28)</f>
        <v>0</v>
      </c>
      <c r="S166" s="593"/>
      <c r="T166" s="594" t="str">
        <f t="array" ref="T166">IF(ISERROR(R166/R173),"",R166/R173)</f>
        <v/>
      </c>
      <c r="U166" s="594"/>
      <c r="V166" s="591" t="s">
        <v>259</v>
      </c>
      <c r="W166" s="591"/>
      <c r="X166" s="595">
        <f>SUM(P27,P85,P120,P136,P147,P161)</f>
        <v>0</v>
      </c>
      <c r="Y166" s="595"/>
      <c r="Z166" s="594" t="str">
        <f t="array" ref="Z166">IF(ISERROR(X166/X173),"",X166/X173)</f>
        <v/>
      </c>
      <c r="AA166" s="594"/>
    </row>
    <row r="167" spans="1:27" ht="20.100000000000001" customHeight="1">
      <c r="A167" s="584"/>
      <c r="B167" s="395" t="s">
        <v>260</v>
      </c>
      <c r="C167" s="586">
        <v>1</v>
      </c>
      <c r="D167" s="587"/>
      <c r="E167" s="590">
        <f>C167*11</f>
        <v>11</v>
      </c>
      <c r="F167" s="590"/>
      <c r="G167" s="591">
        <v>1</v>
      </c>
      <c r="H167" s="591"/>
      <c r="I167" s="590">
        <f>G167*11</f>
        <v>11</v>
      </c>
      <c r="J167" s="590"/>
      <c r="K167" s="590">
        <f>E167-I167</f>
        <v>0</v>
      </c>
      <c r="L167" s="590"/>
      <c r="M167" s="592">
        <f>IF(ISERROR(K167/E167),"",K167/E167)</f>
        <v>0</v>
      </c>
      <c r="N167" s="592"/>
      <c r="O167" s="588"/>
      <c r="P167" s="591" t="s">
        <v>216</v>
      </c>
      <c r="Q167" s="591"/>
      <c r="R167" s="593">
        <f>SUM(O86:U86)</f>
        <v>0</v>
      </c>
      <c r="S167" s="593"/>
      <c r="T167" s="594" t="str">
        <f>IF(ISERROR(R167/R173),"",R167/R173)</f>
        <v/>
      </c>
      <c r="U167" s="594"/>
      <c r="V167" s="591" t="s">
        <v>261</v>
      </c>
      <c r="W167" s="591"/>
      <c r="X167" s="595">
        <f>SUM(P28,P86,P121,P137,P148,P163)</f>
        <v>0</v>
      </c>
      <c r="Y167" s="595"/>
      <c r="Z167" s="594" t="str">
        <f>IF(ISERROR(X167/X173),"",X167/X173)</f>
        <v/>
      </c>
      <c r="AA167" s="594"/>
    </row>
    <row r="168" spans="1:27" ht="20.100000000000001" customHeight="1">
      <c r="A168" s="584"/>
      <c r="B168" s="395" t="s">
        <v>262</v>
      </c>
      <c r="C168" s="586">
        <v>1</v>
      </c>
      <c r="D168" s="587"/>
      <c r="E168" s="590">
        <f>C168*8</f>
        <v>8</v>
      </c>
      <c r="F168" s="590"/>
      <c r="G168" s="591">
        <v>1</v>
      </c>
      <c r="H168" s="591"/>
      <c r="I168" s="590">
        <f>G168*8</f>
        <v>8</v>
      </c>
      <c r="J168" s="590"/>
      <c r="K168" s="590">
        <f>E168-I168</f>
        <v>0</v>
      </c>
      <c r="L168" s="590"/>
      <c r="M168" s="592">
        <f>IF(ISERROR(K168/E168),"",K168/E168)</f>
        <v>0</v>
      </c>
      <c r="N168" s="592"/>
      <c r="O168" s="588"/>
      <c r="P168" s="591" t="s">
        <v>224</v>
      </c>
      <c r="Q168" s="591"/>
      <c r="R168" s="593">
        <f>SUM(O121:U121)</f>
        <v>0</v>
      </c>
      <c r="S168" s="593"/>
      <c r="T168" s="594" t="str">
        <f>IF(ISERROR(R168/R173),"",R168/R173)</f>
        <v/>
      </c>
      <c r="U168" s="594"/>
      <c r="V168" s="591" t="s">
        <v>263</v>
      </c>
      <c r="W168" s="591"/>
      <c r="X168" s="595">
        <f>SUM(P29,P87,P122,P138,P149,P164)</f>
        <v>0</v>
      </c>
      <c r="Y168" s="595"/>
      <c r="Z168" s="594" t="str">
        <f>IF(ISERROR(X168/X173),"",X168/X173)</f>
        <v/>
      </c>
      <c r="AA168" s="594"/>
    </row>
    <row r="169" spans="1:27" ht="20.100000000000001" customHeight="1">
      <c r="A169" s="584"/>
      <c r="B169" s="395" t="s">
        <v>264</v>
      </c>
      <c r="C169" s="586">
        <v>1</v>
      </c>
      <c r="D169" s="587"/>
      <c r="E169" s="590">
        <f>C169*11</f>
        <v>11</v>
      </c>
      <c r="F169" s="590"/>
      <c r="G169" s="591">
        <v>1</v>
      </c>
      <c r="H169" s="591"/>
      <c r="I169" s="590">
        <f>G169*11</f>
        <v>11</v>
      </c>
      <c r="J169" s="590"/>
      <c r="K169" s="590">
        <f>E169-I169</f>
        <v>0</v>
      </c>
      <c r="L169" s="590"/>
      <c r="M169" s="592">
        <f>IF(ISERROR(K169/E169),"",K169/E169)</f>
        <v>0</v>
      </c>
      <c r="N169" s="592"/>
      <c r="O169" s="588"/>
      <c r="P169" s="591" t="s">
        <v>231</v>
      </c>
      <c r="Q169" s="591"/>
      <c r="R169" s="593">
        <f>SUM(O137:U137)</f>
        <v>0</v>
      </c>
      <c r="S169" s="593"/>
      <c r="T169" s="594" t="str">
        <f>IF(ISERROR(R169/R173),"",R169/R173)</f>
        <v/>
      </c>
      <c r="U169" s="594"/>
      <c r="V169" s="591" t="s">
        <v>265</v>
      </c>
      <c r="W169" s="591"/>
      <c r="X169" s="595">
        <f>SUM(P31,P88,P123,P139,P150,P165)</f>
        <v>0</v>
      </c>
      <c r="Y169" s="595"/>
      <c r="Z169" s="594" t="str">
        <f>IF(ISERROR(X169/X173),"",X169/X173)</f>
        <v/>
      </c>
      <c r="AA169" s="594"/>
    </row>
    <row r="170" spans="1:27" ht="20.100000000000001" customHeight="1">
      <c r="A170" s="585"/>
      <c r="B170" s="395" t="s">
        <v>266</v>
      </c>
      <c r="C170" s="596">
        <f>SUM(C166:D169)</f>
        <v>4</v>
      </c>
      <c r="D170" s="597"/>
      <c r="E170" s="590">
        <f>SUM(E166:F169)</f>
        <v>41</v>
      </c>
      <c r="F170" s="590"/>
      <c r="G170" s="591">
        <f>SUM(G166:H169)</f>
        <v>4</v>
      </c>
      <c r="H170" s="591"/>
      <c r="I170" s="590">
        <f>SUM(I166:J169)</f>
        <v>41</v>
      </c>
      <c r="J170" s="590"/>
      <c r="K170" s="590">
        <f>SUM(K166:L169)</f>
        <v>0</v>
      </c>
      <c r="L170" s="590"/>
      <c r="M170" s="592">
        <f>IF(ISERROR(K170/E170),"",K170/E170)</f>
        <v>0</v>
      </c>
      <c r="N170" s="592"/>
      <c r="O170" s="588"/>
      <c r="P170" s="591" t="s">
        <v>234</v>
      </c>
      <c r="Q170" s="591"/>
      <c r="R170" s="593">
        <f>SUM(O148:U148)</f>
        <v>0</v>
      </c>
      <c r="S170" s="593"/>
      <c r="T170" s="594" t="str">
        <f>IF(ISERROR(R170/R173),"",R170/R173)</f>
        <v/>
      </c>
      <c r="U170" s="594"/>
      <c r="V170" s="591" t="s">
        <v>267</v>
      </c>
      <c r="W170" s="591"/>
      <c r="X170" s="595">
        <f>SUM(P32,P89,P124,P140,P151,P166)</f>
        <v>0</v>
      </c>
      <c r="Y170" s="595"/>
      <c r="Z170" s="594" t="str">
        <f>IF(ISERROR(X170/X173),"",X170/X173)</f>
        <v/>
      </c>
      <c r="AA170" s="594"/>
    </row>
    <row r="171" spans="1:27" ht="20.100000000000001" customHeight="1">
      <c r="A171" s="307" t="s">
        <v>477</v>
      </c>
      <c r="B171" s="395">
        <f>G164</f>
        <v>5313</v>
      </c>
      <c r="C171" s="598" t="s">
        <v>269</v>
      </c>
      <c r="D171" s="599"/>
      <c r="E171" s="591">
        <f>H164</f>
        <v>27075.53</v>
      </c>
      <c r="F171" s="591"/>
      <c r="G171" s="591" t="s">
        <v>270</v>
      </c>
      <c r="H171" s="591"/>
      <c r="I171" s="600">
        <f>L164</f>
        <v>24.229198271247082</v>
      </c>
      <c r="J171" s="600"/>
      <c r="K171" s="588" t="s">
        <v>271</v>
      </c>
      <c r="L171" s="588"/>
      <c r="M171" s="600">
        <f>J164</f>
        <v>22.802575107296136</v>
      </c>
      <c r="N171" s="600"/>
      <c r="O171" s="588"/>
      <c r="P171" s="591" t="s">
        <v>244</v>
      </c>
      <c r="Q171" s="591"/>
      <c r="R171" s="593">
        <f>SUM(O163:U163)</f>
        <v>0</v>
      </c>
      <c r="S171" s="593"/>
      <c r="T171" s="594" t="str">
        <f>IF(ISERROR(R171/R173),"",R171/R173)</f>
        <v/>
      </c>
      <c r="U171" s="594"/>
      <c r="V171" s="591" t="s">
        <v>272</v>
      </c>
      <c r="W171" s="591"/>
      <c r="X171" s="595">
        <f>SUM(P33,P90,P125,P141,P152,P167)</f>
        <v>0</v>
      </c>
      <c r="Y171" s="595"/>
      <c r="Z171" s="594" t="str">
        <f>IF(ISERROR(X171/X173),"",X171/X173)</f>
        <v/>
      </c>
      <c r="AA171" s="594"/>
    </row>
    <row r="172" spans="1:27" ht="20.100000000000001" customHeight="1">
      <c r="A172" s="308" t="s">
        <v>478</v>
      </c>
      <c r="B172" s="395">
        <f>I164+C170</f>
        <v>237</v>
      </c>
      <c r="C172" s="601" t="s">
        <v>251</v>
      </c>
      <c r="D172" s="602"/>
      <c r="E172" s="603">
        <f>K164+I170</f>
        <v>260.28088335902407</v>
      </c>
      <c r="F172" s="603"/>
      <c r="G172" s="591" t="s">
        <v>274</v>
      </c>
      <c r="H172" s="591"/>
      <c r="I172" s="600">
        <f>B172-E172</f>
        <v>-23.280883359024074</v>
      </c>
      <c r="J172" s="600"/>
      <c r="K172" s="588" t="s">
        <v>275</v>
      </c>
      <c r="L172" s="588"/>
      <c r="M172" s="592">
        <f>IF(ISERROR(I172/E172),"",I172/E172)</f>
        <v>-8.9445229548076655E-2</v>
      </c>
      <c r="N172" s="592"/>
      <c r="O172" s="588"/>
      <c r="P172" s="591" t="s">
        <v>245</v>
      </c>
      <c r="Q172" s="591"/>
      <c r="R172" s="593"/>
      <c r="S172" s="593"/>
      <c r="T172" s="594" t="str">
        <f>IF(ISERROR(R172/R173),"",R172/R173)</f>
        <v/>
      </c>
      <c r="U172" s="594"/>
      <c r="V172" s="591" t="s">
        <v>264</v>
      </c>
      <c r="W172" s="591"/>
      <c r="X172" s="595"/>
      <c r="Y172" s="595"/>
      <c r="Z172" s="594" t="str">
        <f>IF(ISERROR(X172/X173),"",X172/X173)</f>
        <v/>
      </c>
      <c r="AA172" s="594"/>
    </row>
    <row r="173" spans="1:27" ht="20.100000000000001" customHeight="1">
      <c r="A173" s="308" t="s">
        <v>479</v>
      </c>
      <c r="B173" s="395">
        <f>N164</f>
        <v>0</v>
      </c>
      <c r="C173" s="601" t="s">
        <v>277</v>
      </c>
      <c r="D173" s="602"/>
      <c r="E173" s="594">
        <f>IF(ISERROR(B173/B172),"",B173/B172)</f>
        <v>0</v>
      </c>
      <c r="F173" s="594"/>
      <c r="G173" s="591" t="s">
        <v>278</v>
      </c>
      <c r="H173" s="591"/>
      <c r="I173" s="588">
        <f>V164</f>
        <v>0</v>
      </c>
      <c r="J173" s="588"/>
      <c r="K173" s="588" t="s">
        <v>279</v>
      </c>
      <c r="L173" s="588"/>
      <c r="M173" s="592">
        <f t="array" ref="M173">IF(ISERROR(I173/B171),"",I173/B171)</f>
        <v>0</v>
      </c>
      <c r="N173" s="592"/>
      <c r="O173" s="588"/>
      <c r="P173" s="591" t="s">
        <v>266</v>
      </c>
      <c r="Q173" s="591"/>
      <c r="R173" s="593">
        <f>SUM(R166:S172)</f>
        <v>0</v>
      </c>
      <c r="S173" s="593"/>
      <c r="T173" s="594"/>
      <c r="U173" s="594"/>
      <c r="V173" s="591" t="s">
        <v>266</v>
      </c>
      <c r="W173" s="591"/>
      <c r="X173" s="595">
        <f>SUM(X166:Y172)</f>
        <v>0</v>
      </c>
      <c r="Y173" s="595"/>
      <c r="Z173" s="594"/>
      <c r="AA173" s="594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4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604" t="s">
        <v>480</v>
      </c>
      <c r="B175" s="607" t="s">
        <v>280</v>
      </c>
      <c r="C175" s="607" t="s">
        <v>281</v>
      </c>
      <c r="D175" s="607" t="s">
        <v>282</v>
      </c>
      <c r="E175" s="610" t="s">
        <v>283</v>
      </c>
      <c r="F175" s="623" t="s">
        <v>284</v>
      </c>
      <c r="G175" s="588" t="s">
        <v>285</v>
      </c>
      <c r="H175" s="588"/>
      <c r="I175" s="607" t="s">
        <v>286</v>
      </c>
      <c r="J175" s="613" t="s">
        <v>271</v>
      </c>
      <c r="K175" s="616" t="s">
        <v>287</v>
      </c>
      <c r="L175" s="607" t="s">
        <v>270</v>
      </c>
      <c r="M175" s="619" t="s">
        <v>288</v>
      </c>
      <c r="N175" s="621" t="s">
        <v>252</v>
      </c>
      <c r="O175" s="588" t="s">
        <v>289</v>
      </c>
      <c r="P175" s="588"/>
      <c r="Q175" s="588"/>
      <c r="R175" s="588"/>
      <c r="S175" s="588"/>
      <c r="T175" s="588"/>
      <c r="U175" s="588"/>
      <c r="V175" s="588" t="s">
        <v>290</v>
      </c>
      <c r="W175" s="621" t="s">
        <v>291</v>
      </c>
      <c r="X175" s="588" t="s">
        <v>292</v>
      </c>
      <c r="Y175" s="588"/>
      <c r="Z175" s="588"/>
      <c r="AA175" s="588"/>
    </row>
    <row r="176" spans="1:27" ht="21.95" customHeight="1">
      <c r="A176" s="605"/>
      <c r="B176" s="608"/>
      <c r="C176" s="608"/>
      <c r="D176" s="608"/>
      <c r="E176" s="611"/>
      <c r="F176" s="624"/>
      <c r="G176" s="588"/>
      <c r="H176" s="588"/>
      <c r="I176" s="608"/>
      <c r="J176" s="614"/>
      <c r="K176" s="617"/>
      <c r="L176" s="608"/>
      <c r="M176" s="620"/>
      <c r="N176" s="621"/>
      <c r="O176" s="588" t="s">
        <v>259</v>
      </c>
      <c r="P176" s="588" t="s">
        <v>261</v>
      </c>
      <c r="Q176" s="588" t="s">
        <v>263</v>
      </c>
      <c r="R176" s="622" t="s">
        <v>265</v>
      </c>
      <c r="S176" s="591" t="s">
        <v>267</v>
      </c>
      <c r="T176" s="588" t="s">
        <v>272</v>
      </c>
      <c r="U176" s="588" t="s">
        <v>264</v>
      </c>
      <c r="V176" s="588"/>
      <c r="W176" s="621"/>
      <c r="X176" s="588" t="s">
        <v>293</v>
      </c>
      <c r="Y176" s="588" t="s">
        <v>294</v>
      </c>
      <c r="Z176" s="588" t="s">
        <v>295</v>
      </c>
      <c r="AA176" s="588" t="s">
        <v>264</v>
      </c>
    </row>
    <row r="177" spans="1:27" ht="21.95" customHeight="1">
      <c r="A177" s="606"/>
      <c r="B177" s="609"/>
      <c r="C177" s="609"/>
      <c r="D177" s="609"/>
      <c r="E177" s="612"/>
      <c r="F177" s="625"/>
      <c r="G177" s="348" t="s">
        <v>539</v>
      </c>
      <c r="H177" s="388" t="s">
        <v>297</v>
      </c>
      <c r="I177" s="609"/>
      <c r="J177" s="615"/>
      <c r="K177" s="618"/>
      <c r="L177" s="609"/>
      <c r="M177" s="620"/>
      <c r="N177" s="621"/>
      <c r="O177" s="588"/>
      <c r="P177" s="588"/>
      <c r="Q177" s="588"/>
      <c r="R177" s="622"/>
      <c r="S177" s="591"/>
      <c r="T177" s="588"/>
      <c r="U177" s="588"/>
      <c r="V177" s="588"/>
      <c r="W177" s="621"/>
      <c r="X177" s="588"/>
      <c r="Y177" s="588"/>
      <c r="Z177" s="588"/>
      <c r="AA177" s="588"/>
    </row>
    <row r="178" spans="1:27" ht="20.100000000000001" hidden="1" customHeight="1">
      <c r="A178" s="299">
        <v>30100030</v>
      </c>
      <c r="B178" s="390" t="s">
        <v>178</v>
      </c>
      <c r="C178" s="126" t="s">
        <v>179</v>
      </c>
      <c r="D178" s="108">
        <v>5.03</v>
      </c>
      <c r="E178" s="108"/>
      <c r="F178" s="127"/>
      <c r="G178" s="128"/>
      <c r="H178" s="398">
        <f t="shared" ref="H178:H187" si="77">D178*G178</f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16</v>
      </c>
      <c r="M178" s="109">
        <f t="shared" ref="M178:M187" si="78">IF(ISERROR(I178-K178),"",I178-K178)</f>
        <v>0</v>
      </c>
      <c r="N178" s="130">
        <f>SUM(O178:U178)</f>
        <v>0</v>
      </c>
      <c r="O178" s="389"/>
      <c r="P178" s="389"/>
      <c r="Q178" s="389"/>
      <c r="R178" s="389"/>
      <c r="S178" s="389"/>
      <c r="T178" s="389"/>
      <c r="U178" s="389"/>
      <c r="V178" s="132">
        <f t="shared" ref="V178:V183" si="79">SUM(X178:AA178)</f>
        <v>0</v>
      </c>
      <c r="W178" s="133" t="str">
        <f t="shared" ref="W178:W183" si="80">IF(ISERROR(V178/G178),"",V178/G178)</f>
        <v/>
      </c>
      <c r="X178" s="132"/>
      <c r="Y178" s="132"/>
      <c r="Z178" s="132"/>
      <c r="AA178" s="132"/>
    </row>
    <row r="179" spans="1:27" ht="20.100000000000001" hidden="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28"/>
      <c r="H179" s="398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ref="N179:N187" si="81">SUM(O179:U179)</f>
        <v>0</v>
      </c>
      <c r="O179" s="389"/>
      <c r="P179" s="389"/>
      <c r="Q179" s="389"/>
      <c r="R179" s="389"/>
      <c r="S179" s="389"/>
      <c r="T179" s="389"/>
      <c r="U179" s="389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28"/>
      <c r="H180" s="398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389"/>
      <c r="P180" s="389"/>
      <c r="Q180" s="389"/>
      <c r="R180" s="389"/>
      <c r="S180" s="389"/>
      <c r="T180" s="389"/>
      <c r="U180" s="389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>
        <v>42736</v>
      </c>
      <c r="G181" s="128">
        <v>1</v>
      </c>
      <c r="H181" s="398">
        <f t="shared" si="77"/>
        <v>5.03</v>
      </c>
      <c r="I181" s="129">
        <v>0.05</v>
      </c>
      <c r="J181" s="130">
        <f t="array" ref="J181">IF(ISERROR(G181/I181),"",G181/I181)</f>
        <v>20</v>
      </c>
      <c r="K181" s="131">
        <f t="array" ref="K181">IF(ISERROR(G181/L181),"",G181/L181)</f>
        <v>5.2631578947368418E-2</v>
      </c>
      <c r="L181" s="129">
        <v>19</v>
      </c>
      <c r="M181" s="109">
        <f t="shared" si="78"/>
        <v>-2.6315789473684154E-3</v>
      </c>
      <c r="N181" s="130">
        <f t="shared" si="81"/>
        <v>0</v>
      </c>
      <c r="O181" s="389"/>
      <c r="P181" s="389"/>
      <c r="Q181" s="389"/>
      <c r="R181" s="389"/>
      <c r="S181" s="389"/>
      <c r="T181" s="389"/>
      <c r="U181" s="389"/>
      <c r="V181" s="132">
        <f t="shared" si="79"/>
        <v>0</v>
      </c>
      <c r="W181" s="133">
        <f t="shared" si="80"/>
        <v>0</v>
      </c>
      <c r="X181" s="132"/>
      <c r="Y181" s="132"/>
      <c r="Z181" s="132"/>
      <c r="AA181" s="132"/>
    </row>
    <row r="182" spans="1:27" ht="20.10000000000000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>
        <v>42738</v>
      </c>
      <c r="G182" s="128">
        <f>108*3+8</f>
        <v>332</v>
      </c>
      <c r="H182" s="398">
        <f t="shared" si="77"/>
        <v>1669.96</v>
      </c>
      <c r="I182" s="129">
        <f>7*4</f>
        <v>28</v>
      </c>
      <c r="J182" s="130">
        <f t="array" ref="J182">IF(ISERROR(G182/I182),"",G182/I182)</f>
        <v>11.857142857142858</v>
      </c>
      <c r="K182" s="131">
        <f t="array" ref="K182">IF(ISERROR(G182/L182),"",G182/L182)</f>
        <v>16.600000000000001</v>
      </c>
      <c r="L182" s="129">
        <v>20</v>
      </c>
      <c r="M182" s="109">
        <f t="shared" si="78"/>
        <v>11.399999999999999</v>
      </c>
      <c r="N182" s="130">
        <f t="shared" si="81"/>
        <v>0</v>
      </c>
      <c r="O182" s="389"/>
      <c r="P182" s="389"/>
      <c r="Q182" s="389"/>
      <c r="R182" s="389"/>
      <c r="S182" s="389"/>
      <c r="T182" s="389"/>
      <c r="U182" s="389"/>
      <c r="V182" s="132">
        <f t="shared" si="79"/>
        <v>0</v>
      </c>
      <c r="W182" s="133">
        <f t="shared" si="80"/>
        <v>0</v>
      </c>
      <c r="X182" s="132"/>
      <c r="Y182" s="132"/>
      <c r="Z182" s="132"/>
      <c r="AA182" s="132"/>
    </row>
    <row r="183" spans="1:27" ht="20.100000000000001" hidden="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36"/>
      <c r="G183" s="137"/>
      <c r="H183" s="398">
        <f t="shared" si="77"/>
        <v>0</v>
      </c>
      <c r="I183" s="138"/>
      <c r="J183" s="130" t="str">
        <f t="array" ref="J183">IF(ISERROR(G183/I183),"",G183/I183)</f>
        <v/>
      </c>
      <c r="K183" s="131">
        <f t="array" ref="K183">IF(ISERROR(G183/L183),"",G183/L183)</f>
        <v>0</v>
      </c>
      <c r="L183" s="129">
        <v>19</v>
      </c>
      <c r="M183" s="109">
        <f t="shared" si="78"/>
        <v>0</v>
      </c>
      <c r="N183" s="130">
        <f t="shared" si="81"/>
        <v>0</v>
      </c>
      <c r="O183" s="389"/>
      <c r="P183" s="389"/>
      <c r="Q183" s="389"/>
      <c r="R183" s="389"/>
      <c r="S183" s="389"/>
      <c r="T183" s="389"/>
      <c r="U183" s="389"/>
      <c r="V183" s="132">
        <f t="shared" si="79"/>
        <v>0</v>
      </c>
      <c r="W183" s="133" t="str">
        <f t="shared" si="80"/>
        <v/>
      </c>
      <c r="X183" s="132"/>
      <c r="Y183" s="132"/>
      <c r="Z183" s="132"/>
      <c r="AA183" s="132"/>
    </row>
    <row r="184" spans="1:27" ht="20.100000000000001" hidden="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/>
      <c r="G184" s="128"/>
      <c r="H184" s="398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389"/>
      <c r="P184" s="389"/>
      <c r="Q184" s="389"/>
      <c r="R184" s="389"/>
      <c r="S184" s="389"/>
      <c r="T184" s="389"/>
      <c r="U184" s="389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28"/>
      <c r="H185" s="398">
        <f t="shared" si="77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78"/>
        <v>0</v>
      </c>
      <c r="N185" s="130">
        <f t="shared" si="81"/>
        <v>0</v>
      </c>
      <c r="O185" s="389"/>
      <c r="P185" s="389"/>
      <c r="Q185" s="389"/>
      <c r="R185" s="389"/>
      <c r="S185" s="389"/>
      <c r="T185" s="389"/>
      <c r="U185" s="389"/>
      <c r="V185" s="132"/>
      <c r="W185" s="133"/>
      <c r="X185" s="132"/>
      <c r="Y185" s="132"/>
      <c r="Z185" s="132"/>
      <c r="AA185" s="132"/>
    </row>
    <row r="186" spans="1:27" ht="20.100000000000001" hidden="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/>
      <c r="G186" s="128"/>
      <c r="H186" s="398">
        <f t="shared" si="77"/>
        <v>0</v>
      </c>
      <c r="I186" s="398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389"/>
      <c r="P186" s="389"/>
      <c r="Q186" s="389"/>
      <c r="R186" s="389"/>
      <c r="S186" s="389"/>
      <c r="T186" s="389"/>
      <c r="U186" s="389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>
        <v>42737</v>
      </c>
      <c r="G187" s="128">
        <f>100*5+63</f>
        <v>563</v>
      </c>
      <c r="H187" s="398">
        <f t="shared" si="77"/>
        <v>2837.52</v>
      </c>
      <c r="I187" s="398">
        <f>7.5*5</f>
        <v>37.5</v>
      </c>
      <c r="J187" s="130">
        <f t="array" ref="J187">IF(ISERROR(G187/I187),"",G187/I187)</f>
        <v>15.013333333333334</v>
      </c>
      <c r="K187" s="131">
        <f t="array" ref="K187">IF(ISERROR(G187/L187),"",G187/L187)</f>
        <v>33.117647058823529</v>
      </c>
      <c r="L187" s="129">
        <v>17</v>
      </c>
      <c r="M187" s="109">
        <f t="shared" si="78"/>
        <v>4.382352941176471</v>
      </c>
      <c r="N187" s="130">
        <f t="shared" si="81"/>
        <v>0</v>
      </c>
      <c r="O187" s="389"/>
      <c r="P187" s="389"/>
      <c r="Q187" s="389"/>
      <c r="R187" s="389"/>
      <c r="S187" s="389"/>
      <c r="T187" s="389"/>
      <c r="U187" s="389"/>
      <c r="V187" s="132">
        <f>SUM(X187:AA187)</f>
        <v>0</v>
      </c>
      <c r="W187" s="133">
        <f>IF(ISERROR(V187/G187),"",V187/G187)</f>
        <v>0</v>
      </c>
      <c r="X187" s="132"/>
      <c r="Y187" s="132"/>
      <c r="Z187" s="132"/>
      <c r="AA187" s="132"/>
    </row>
    <row r="188" spans="1:27" ht="20.100000000000001" hidden="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28"/>
      <c r="H188" s="398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389"/>
      <c r="P188" s="389"/>
      <c r="Q188" s="389"/>
      <c r="R188" s="389"/>
      <c r="S188" s="389"/>
      <c r="T188" s="389"/>
      <c r="U188" s="389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28"/>
      <c r="H189" s="398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389"/>
      <c r="P189" s="389"/>
      <c r="Q189" s="389"/>
      <c r="R189" s="389"/>
      <c r="S189" s="389"/>
      <c r="T189" s="389"/>
      <c r="U189" s="389"/>
      <c r="V189" s="132"/>
      <c r="W189" s="133"/>
      <c r="X189" s="132"/>
      <c r="Y189" s="132"/>
      <c r="Z189" s="132"/>
      <c r="AA189" s="132"/>
    </row>
    <row r="190" spans="1:27" ht="20.10000000000000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E190" s="108"/>
      <c r="F190" s="127">
        <v>42736</v>
      </c>
      <c r="G190" s="128">
        <f>64+9</f>
        <v>73</v>
      </c>
      <c r="H190" s="398">
        <f t="shared" ref="H190:H198" si="82">D190*G190</f>
        <v>369.38</v>
      </c>
      <c r="I190" s="129">
        <v>4</v>
      </c>
      <c r="J190" s="130">
        <f t="array" ref="J190">IF(ISERROR(G190/I190),"",G190/I190)</f>
        <v>18.25</v>
      </c>
      <c r="K190" s="131">
        <f t="array" ref="K190">IF(ISERROR(G190/L190),"",G190/L190)</f>
        <v>3.8421052631578947</v>
      </c>
      <c r="L190" s="129">
        <v>19</v>
      </c>
      <c r="M190" s="109">
        <f t="shared" ref="M190:M198" si="83">IF(ISERROR(I190-K190),"",I190-K190)</f>
        <v>0.15789473684210531</v>
      </c>
      <c r="N190" s="130">
        <f t="shared" ref="N190:N192" si="84">SUM(O190:U190)</f>
        <v>0</v>
      </c>
      <c r="O190" s="389"/>
      <c r="P190" s="389"/>
      <c r="Q190" s="389"/>
      <c r="R190" s="389"/>
      <c r="S190" s="389"/>
      <c r="T190" s="389"/>
      <c r="U190" s="389"/>
      <c r="V190" s="132">
        <f t="shared" ref="V190:V192" si="85">SUM(X190:AA190)</f>
        <v>0</v>
      </c>
      <c r="W190" s="133">
        <f t="shared" ref="W190:W192" si="86">IF(ISERROR(V190/G190),"",V190/G190)</f>
        <v>0</v>
      </c>
      <c r="X190" s="132"/>
      <c r="Y190" s="132"/>
      <c r="Z190" s="132"/>
      <c r="AA190" s="132"/>
    </row>
    <row r="191" spans="1:27" ht="20.10000000000000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27">
        <v>42736</v>
      </c>
      <c r="G191" s="128">
        <f>100*11+83</f>
        <v>1183</v>
      </c>
      <c r="H191" s="398">
        <f t="shared" si="82"/>
        <v>6021.47</v>
      </c>
      <c r="I191" s="129">
        <f>11.5*5</f>
        <v>57.5</v>
      </c>
      <c r="J191" s="130">
        <f t="array" ref="J191">IF(ISERROR(G191/I191),"",G191/I191)</f>
        <v>20.57391304347826</v>
      </c>
      <c r="K191" s="131">
        <f t="array" ref="K191">IF(ISERROR(G191/L191),"",G191/L191)</f>
        <v>51.434782608695649</v>
      </c>
      <c r="L191" s="129">
        <v>23</v>
      </c>
      <c r="M191" s="109">
        <f t="shared" si="83"/>
        <v>6.0652173913043512</v>
      </c>
      <c r="N191" s="130">
        <f t="shared" si="84"/>
        <v>0</v>
      </c>
      <c r="O191" s="389"/>
      <c r="P191" s="389"/>
      <c r="Q191" s="389"/>
      <c r="R191" s="389"/>
      <c r="S191" s="389"/>
      <c r="T191" s="389"/>
      <c r="U191" s="389"/>
      <c r="V191" s="132">
        <f t="shared" si="85"/>
        <v>0</v>
      </c>
      <c r="W191" s="133">
        <f t="shared" si="86"/>
        <v>0</v>
      </c>
      <c r="X191" s="132"/>
      <c r="Y191" s="132"/>
      <c r="Z191" s="132"/>
      <c r="AA191" s="132"/>
    </row>
    <row r="192" spans="1:27" ht="20.10000000000000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>
        <v>42736</v>
      </c>
      <c r="G192" s="128">
        <f>24+76</f>
        <v>100</v>
      </c>
      <c r="H192" s="398">
        <f t="shared" si="82"/>
        <v>509</v>
      </c>
      <c r="I192" s="129">
        <v>5</v>
      </c>
      <c r="J192" s="130">
        <f t="array" ref="J192">IF(ISERROR(G192/I192),"",G192/I192)</f>
        <v>20</v>
      </c>
      <c r="K192" s="131">
        <f t="array" ref="K192">IF(ISERROR(G192/L192),"",G192/L192)</f>
        <v>4.3478260869565215</v>
      </c>
      <c r="L192" s="129">
        <v>23</v>
      </c>
      <c r="M192" s="109">
        <f t="shared" si="83"/>
        <v>0.65217391304347849</v>
      </c>
      <c r="N192" s="130">
        <f t="shared" si="84"/>
        <v>0</v>
      </c>
      <c r="O192" s="389"/>
      <c r="P192" s="389"/>
      <c r="Q192" s="389"/>
      <c r="R192" s="389"/>
      <c r="S192" s="389"/>
      <c r="T192" s="389"/>
      <c r="U192" s="389"/>
      <c r="V192" s="132">
        <f t="shared" si="85"/>
        <v>0</v>
      </c>
      <c r="W192" s="133">
        <f t="shared" si="86"/>
        <v>0</v>
      </c>
      <c r="X192" s="132"/>
      <c r="Y192" s="132"/>
      <c r="Z192" s="132"/>
      <c r="AA192" s="132"/>
    </row>
    <row r="193" spans="1:27" ht="20.100000000000001" hidden="1" customHeight="1">
      <c r="A193" s="300">
        <v>30100003</v>
      </c>
      <c r="B193" s="141" t="s">
        <v>198</v>
      </c>
      <c r="C193" s="388" t="s">
        <v>190</v>
      </c>
      <c r="D193" s="108">
        <v>4.8</v>
      </c>
      <c r="E193" s="108"/>
      <c r="F193" s="127"/>
      <c r="G193" s="128"/>
      <c r="H193" s="398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389"/>
      <c r="P193" s="389"/>
      <c r="Q193" s="389"/>
      <c r="R193" s="389"/>
      <c r="S193" s="389"/>
      <c r="T193" s="389"/>
      <c r="U193" s="389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30100004</v>
      </c>
      <c r="B194" s="141" t="s">
        <v>198</v>
      </c>
      <c r="C194" s="388" t="s">
        <v>187</v>
      </c>
      <c r="D194" s="108">
        <v>4.8</v>
      </c>
      <c r="E194" s="108"/>
      <c r="F194" s="127"/>
      <c r="G194" s="128"/>
      <c r="H194" s="398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389"/>
      <c r="P194" s="389"/>
      <c r="Q194" s="389"/>
      <c r="R194" s="389"/>
      <c r="S194" s="389"/>
      <c r="T194" s="389"/>
      <c r="U194" s="389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30100006</v>
      </c>
      <c r="B195" s="141" t="s">
        <v>198</v>
      </c>
      <c r="C195" s="388" t="s">
        <v>179</v>
      </c>
      <c r="D195" s="108">
        <v>4.8</v>
      </c>
      <c r="E195" s="108"/>
      <c r="F195" s="127"/>
      <c r="G195" s="128"/>
      <c r="H195" s="398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389"/>
      <c r="P195" s="389"/>
      <c r="Q195" s="389"/>
      <c r="R195" s="389"/>
      <c r="S195" s="389"/>
      <c r="T195" s="389"/>
      <c r="U195" s="389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30100005</v>
      </c>
      <c r="B196" s="141" t="s">
        <v>198</v>
      </c>
      <c r="C196" s="388" t="s">
        <v>199</v>
      </c>
      <c r="D196" s="108">
        <v>4.8</v>
      </c>
      <c r="E196" s="108"/>
      <c r="F196" s="127"/>
      <c r="G196" s="128"/>
      <c r="H196" s="398">
        <f t="shared" si="82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3"/>
        <v>0</v>
      </c>
      <c r="N196" s="130"/>
      <c r="O196" s="389"/>
      <c r="P196" s="389"/>
      <c r="Q196" s="389"/>
      <c r="R196" s="389"/>
      <c r="S196" s="389"/>
      <c r="T196" s="389"/>
      <c r="U196" s="389"/>
      <c r="V196" s="132"/>
      <c r="W196" s="133"/>
      <c r="X196" s="132"/>
      <c r="Y196" s="132"/>
      <c r="Z196" s="132"/>
      <c r="AA196" s="132"/>
    </row>
    <row r="197" spans="1:27" ht="20.100000000000001" hidden="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/>
      <c r="G197" s="128"/>
      <c r="H197" s="398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ref="N197:N198" si="87">SUM(O197:U197)</f>
        <v>0</v>
      </c>
      <c r="O197" s="389"/>
      <c r="P197" s="389"/>
      <c r="Q197" s="389"/>
      <c r="R197" s="389"/>
      <c r="S197" s="389"/>
      <c r="T197" s="389"/>
      <c r="U197" s="389"/>
      <c r="V197" s="132">
        <f t="shared" ref="V197:V198" si="88">SUM(X197:AA197)</f>
        <v>0</v>
      </c>
      <c r="W197" s="133" t="str">
        <f t="shared" ref="W197:W198" si="89">IF(ISERROR(V197/G197),"",V197/G197)</f>
        <v/>
      </c>
      <c r="X197" s="132"/>
      <c r="Y197" s="132"/>
      <c r="Z197" s="132"/>
      <c r="AA197" s="132"/>
    </row>
    <row r="198" spans="1:27" ht="20.100000000000001" hidden="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42"/>
      <c r="G198" s="128"/>
      <c r="H198" s="398">
        <f t="shared" si="82"/>
        <v>0</v>
      </c>
      <c r="I198" s="129"/>
      <c r="J198" s="130" t="str">
        <f t="array" ref="J198">IF(ISERROR(G198/I198),"",G198/I198)</f>
        <v/>
      </c>
      <c r="K198" s="131">
        <f t="array" ref="K198">IF(ISERROR(G198/L198),"",G198/L198)</f>
        <v>0</v>
      </c>
      <c r="L198" s="129">
        <v>23.5</v>
      </c>
      <c r="M198" s="109">
        <f t="shared" si="83"/>
        <v>0</v>
      </c>
      <c r="N198" s="130">
        <f t="shared" si="87"/>
        <v>0</v>
      </c>
      <c r="O198" s="389"/>
      <c r="P198" s="389"/>
      <c r="Q198" s="389"/>
      <c r="R198" s="389"/>
      <c r="S198" s="389"/>
      <c r="T198" s="389"/>
      <c r="U198" s="389"/>
      <c r="V198" s="132">
        <f t="shared" si="88"/>
        <v>0</v>
      </c>
      <c r="W198" s="133" t="str">
        <f t="shared" si="89"/>
        <v/>
      </c>
      <c r="X198" s="132"/>
      <c r="Y198" s="132"/>
      <c r="Z198" s="132"/>
      <c r="AA198" s="132"/>
    </row>
    <row r="199" spans="1:27" ht="20.100000000000001" customHeight="1">
      <c r="A199" s="578" t="s">
        <v>201</v>
      </c>
      <c r="B199" s="579"/>
      <c r="C199" s="396" t="s">
        <v>202</v>
      </c>
      <c r="D199" s="143"/>
      <c r="E199" s="143"/>
      <c r="F199" s="144"/>
      <c r="G199" s="145">
        <f>SUM(G178:G198)</f>
        <v>2252</v>
      </c>
      <c r="H199" s="146">
        <f>SUM(H178:H198)</f>
        <v>11412.36</v>
      </c>
      <c r="I199" s="146">
        <f>SUM(I178:I198)</f>
        <v>132.05000000000001</v>
      </c>
      <c r="J199" s="130">
        <f t="array" ref="J199">IF(ISERROR(G199/I199),"",G199/I199)</f>
        <v>17.054146156758801</v>
      </c>
      <c r="K199" s="146">
        <f>SUM(K178:K198)</f>
        <v>109.39499259658096</v>
      </c>
      <c r="L199" s="147"/>
      <c r="M199" s="150">
        <f t="shared" ref="M199:AA199" si="90">SUM(M178:M198)</f>
        <v>22.655007403419035</v>
      </c>
      <c r="N199" s="146">
        <f t="shared" si="90"/>
        <v>0</v>
      </c>
      <c r="O199" s="148">
        <f t="shared" si="90"/>
        <v>0</v>
      </c>
      <c r="P199" s="148">
        <f t="shared" si="90"/>
        <v>0</v>
      </c>
      <c r="Q199" s="148">
        <f t="shared" si="90"/>
        <v>0</v>
      </c>
      <c r="R199" s="148">
        <f t="shared" si="90"/>
        <v>0</v>
      </c>
      <c r="S199" s="148">
        <f t="shared" si="90"/>
        <v>0</v>
      </c>
      <c r="T199" s="148">
        <f t="shared" si="90"/>
        <v>0</v>
      </c>
      <c r="U199" s="148">
        <f t="shared" si="90"/>
        <v>0</v>
      </c>
      <c r="V199" s="149">
        <f t="shared" si="90"/>
        <v>0</v>
      </c>
      <c r="W199" s="133">
        <f t="shared" si="90"/>
        <v>0</v>
      </c>
      <c r="X199" s="149">
        <f t="shared" si="90"/>
        <v>0</v>
      </c>
      <c r="Y199" s="149">
        <f t="shared" si="90"/>
        <v>0</v>
      </c>
      <c r="Z199" s="149">
        <f t="shared" si="90"/>
        <v>0</v>
      </c>
      <c r="AA199" s="149">
        <f t="shared" si="90"/>
        <v>0</v>
      </c>
    </row>
    <row r="200" spans="1:27" ht="20.100000000000001" hidden="1" customHeight="1">
      <c r="A200" s="300">
        <v>30100012</v>
      </c>
      <c r="B200" s="390" t="s">
        <v>206</v>
      </c>
      <c r="C200" s="126" t="s">
        <v>199</v>
      </c>
      <c r="D200" s="108">
        <v>5.03</v>
      </c>
      <c r="E200" s="108"/>
      <c r="F200" s="127"/>
      <c r="G200" s="128"/>
      <c r="H200" s="398">
        <f t="shared" ref="H200:H256" si="91">D200*G200</f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 t="shared" ref="M200" si="92">IF(ISERROR(I200-K200),"",I200-K200)</f>
        <v>0</v>
      </c>
      <c r="N200" s="130">
        <f t="shared" ref="N200" si="93">SUM(O200:U200)</f>
        <v>0</v>
      </c>
      <c r="O200" s="393"/>
      <c r="P200" s="393"/>
      <c r="Q200" s="393"/>
      <c r="R200" s="393"/>
      <c r="S200" s="393"/>
      <c r="T200" s="393"/>
      <c r="U200" s="393"/>
      <c r="V200" s="132">
        <f t="shared" ref="V200" si="94">SUM(X200:AA200)</f>
        <v>0</v>
      </c>
      <c r="W200" s="133" t="str">
        <f t="shared" ref="W200" si="95">IF(ISERROR(V200/G200),"",V200/G200)</f>
        <v/>
      </c>
      <c r="X200" s="132"/>
      <c r="Y200" s="132"/>
      <c r="Z200" s="132"/>
      <c r="AA200" s="132"/>
    </row>
    <row r="201" spans="1:27" ht="20.100000000000001" hidden="1" customHeight="1">
      <c r="A201" s="300">
        <v>30100011</v>
      </c>
      <c r="B201" s="390" t="s">
        <v>425</v>
      </c>
      <c r="C201" s="187" t="s">
        <v>427</v>
      </c>
      <c r="D201" s="108">
        <v>5.03</v>
      </c>
      <c r="E201" s="108"/>
      <c r="F201" s="127"/>
      <c r="G201" s="128"/>
      <c r="H201" s="398">
        <f t="shared" si="91"/>
        <v>0</v>
      </c>
      <c r="I201" s="129"/>
      <c r="J201" s="130"/>
      <c r="K201" s="131"/>
      <c r="L201" s="129">
        <v>52</v>
      </c>
      <c r="M201" s="109"/>
      <c r="N201" s="130"/>
      <c r="O201" s="393"/>
      <c r="P201" s="393"/>
      <c r="Q201" s="393"/>
      <c r="R201" s="393"/>
      <c r="S201" s="393"/>
      <c r="T201" s="393"/>
      <c r="U201" s="393"/>
      <c r="V201" s="132"/>
      <c r="W201" s="133"/>
      <c r="X201" s="132"/>
      <c r="Y201" s="132"/>
      <c r="Z201" s="132"/>
      <c r="AA201" s="132"/>
    </row>
    <row r="202" spans="1:27" ht="20.100000000000001" hidden="1" customHeight="1">
      <c r="A202" s="300">
        <v>30100010</v>
      </c>
      <c r="B202" s="390" t="s">
        <v>206</v>
      </c>
      <c r="C202" s="126" t="s">
        <v>186</v>
      </c>
      <c r="D202" s="108">
        <v>5.03</v>
      </c>
      <c r="E202" s="108"/>
      <c r="F202" s="127"/>
      <c r="G202" s="128"/>
      <c r="H202" s="398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 t="shared" ref="M202" si="96">IF(ISERROR(I202-K202),"",I202-K202)</f>
        <v>0</v>
      </c>
      <c r="N202" s="130">
        <f t="shared" ref="N202:N204" si="97">SUM(O202:U202)</f>
        <v>0</v>
      </c>
      <c r="O202" s="393"/>
      <c r="P202" s="393"/>
      <c r="Q202" s="393"/>
      <c r="R202" s="393"/>
      <c r="S202" s="393"/>
      <c r="T202" s="393"/>
      <c r="U202" s="393"/>
      <c r="V202" s="132">
        <f t="shared" ref="V202:V204" si="98">SUM(X202:AA202)</f>
        <v>0</v>
      </c>
      <c r="W202" s="133" t="str">
        <f t="shared" ref="W202:W204" si="99">IF(ISERROR(V202/G202),"",V202/G202)</f>
        <v/>
      </c>
      <c r="X202" s="132"/>
      <c r="Y202" s="132"/>
      <c r="Z202" s="132"/>
      <c r="AA202" s="132"/>
    </row>
    <row r="203" spans="1:27" ht="20.100000000000001" hidden="1" customHeight="1">
      <c r="A203" s="300">
        <v>30100014</v>
      </c>
      <c r="B203" s="390" t="s">
        <v>206</v>
      </c>
      <c r="C203" s="126" t="s">
        <v>203</v>
      </c>
      <c r="D203" s="108">
        <v>5.03</v>
      </c>
      <c r="E203" s="108"/>
      <c r="F203" s="127"/>
      <c r="G203" s="128"/>
      <c r="H203" s="398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>IF(ISERROR(I203-K203),"",I203-K203)</f>
        <v>0</v>
      </c>
      <c r="N203" s="130">
        <f t="shared" si="97"/>
        <v>0</v>
      </c>
      <c r="O203" s="393"/>
      <c r="P203" s="393"/>
      <c r="Q203" s="393"/>
      <c r="R203" s="393"/>
      <c r="S203" s="393"/>
      <c r="T203" s="393"/>
      <c r="U203" s="393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30100013</v>
      </c>
      <c r="B204" s="390" t="s">
        <v>206</v>
      </c>
      <c r="C204" s="126" t="s">
        <v>207</v>
      </c>
      <c r="D204" s="108">
        <v>5.03</v>
      </c>
      <c r="E204" s="108"/>
      <c r="F204" s="127"/>
      <c r="G204" s="128"/>
      <c r="H204" s="398">
        <f t="shared" si="91"/>
        <v>0</v>
      </c>
      <c r="I204" s="129"/>
      <c r="J204" s="130" t="str">
        <f t="array" ref="J204">IF(ISERROR(G204/I204),"",G204/I204)</f>
        <v/>
      </c>
      <c r="K204" s="131">
        <f t="array" ref="K204">IF(ISERROR(G204/L204),"",G204/L204)</f>
        <v>0</v>
      </c>
      <c r="L204" s="129">
        <v>52</v>
      </c>
      <c r="M204" s="109">
        <f t="shared" ref="M204" si="100">IF(ISERROR(I204-K204),"",I204-K204)</f>
        <v>0</v>
      </c>
      <c r="N204" s="130">
        <f t="shared" si="97"/>
        <v>0</v>
      </c>
      <c r="O204" s="393"/>
      <c r="P204" s="393"/>
      <c r="Q204" s="393"/>
      <c r="R204" s="393"/>
      <c r="S204" s="393"/>
      <c r="T204" s="393"/>
      <c r="U204" s="393"/>
      <c r="V204" s="132">
        <f t="shared" si="98"/>
        <v>0</v>
      </c>
      <c r="W204" s="133" t="str">
        <f t="shared" si="99"/>
        <v/>
      </c>
      <c r="X204" s="132"/>
      <c r="Y204" s="132"/>
      <c r="Z204" s="132"/>
      <c r="AA204" s="132"/>
    </row>
    <row r="205" spans="1:27" ht="20.100000000000001" hidden="1" customHeight="1">
      <c r="A205" s="300">
        <v>30100016</v>
      </c>
      <c r="B205" s="390" t="s">
        <v>414</v>
      </c>
      <c r="C205" s="187" t="s">
        <v>415</v>
      </c>
      <c r="D205" s="108">
        <v>5.03</v>
      </c>
      <c r="E205" s="108"/>
      <c r="F205" s="127"/>
      <c r="G205" s="128"/>
      <c r="H205" s="398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393"/>
      <c r="P205" s="393"/>
      <c r="Q205" s="393"/>
      <c r="R205" s="393"/>
      <c r="S205" s="393"/>
      <c r="T205" s="393"/>
      <c r="U205" s="393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30100017</v>
      </c>
      <c r="B206" s="390" t="s">
        <v>414</v>
      </c>
      <c r="C206" s="187" t="s">
        <v>416</v>
      </c>
      <c r="D206" s="108">
        <v>5.03</v>
      </c>
      <c r="E206" s="108"/>
      <c r="F206" s="127"/>
      <c r="G206" s="128"/>
      <c r="H206" s="398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393"/>
      <c r="P206" s="393"/>
      <c r="Q206" s="393"/>
      <c r="R206" s="393"/>
      <c r="S206" s="393"/>
      <c r="T206" s="393"/>
      <c r="U206" s="393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30100015</v>
      </c>
      <c r="B207" s="390" t="s">
        <v>414</v>
      </c>
      <c r="C207" s="187" t="s">
        <v>61</v>
      </c>
      <c r="D207" s="108">
        <v>5.03</v>
      </c>
      <c r="E207" s="108"/>
      <c r="F207" s="127"/>
      <c r="G207" s="128"/>
      <c r="H207" s="398">
        <f t="shared" si="91"/>
        <v>0</v>
      </c>
      <c r="I207" s="129"/>
      <c r="J207" s="130"/>
      <c r="K207" s="131"/>
      <c r="L207" s="129">
        <v>52</v>
      </c>
      <c r="M207" s="109"/>
      <c r="N207" s="130"/>
      <c r="O207" s="393"/>
      <c r="P207" s="393"/>
      <c r="Q207" s="393"/>
      <c r="R207" s="393"/>
      <c r="S207" s="393"/>
      <c r="T207" s="393"/>
      <c r="U207" s="393"/>
      <c r="V207" s="132"/>
      <c r="W207" s="133"/>
      <c r="X207" s="132"/>
      <c r="Y207" s="132"/>
      <c r="Z207" s="132"/>
      <c r="AA207" s="132"/>
    </row>
    <row r="208" spans="1:27" ht="20.100000000000001" hidden="1" customHeight="1">
      <c r="A208" s="300">
        <v>30100027</v>
      </c>
      <c r="B208" s="390" t="s">
        <v>208</v>
      </c>
      <c r="C208" s="126" t="s">
        <v>179</v>
      </c>
      <c r="D208" s="108">
        <v>5.08</v>
      </c>
      <c r="E208" s="108"/>
      <c r="F208" s="127"/>
      <c r="G208" s="128"/>
      <c r="H208" s="398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ref="M208:M237" si="101">IF(ISERROR(I208-K208),"",I208-K208)</f>
        <v>0</v>
      </c>
      <c r="N208" s="130">
        <f t="shared" ref="N208:N237" si="102">SUM(O208:U208)</f>
        <v>0</v>
      </c>
      <c r="O208" s="393"/>
      <c r="P208" s="393"/>
      <c r="Q208" s="393"/>
      <c r="R208" s="393"/>
      <c r="S208" s="393"/>
      <c r="T208" s="393"/>
      <c r="U208" s="393"/>
      <c r="V208" s="132">
        <f t="shared" ref="V208:V219" si="103">SUM(X208:AA208)</f>
        <v>0</v>
      </c>
      <c r="W208" s="133" t="str">
        <f t="shared" ref="W208:W219" si="104">IF(ISERROR(V208/G208),"",V208/G208)</f>
        <v/>
      </c>
      <c r="X208" s="132"/>
      <c r="Y208" s="132"/>
      <c r="Z208" s="132"/>
      <c r="AA208" s="132"/>
    </row>
    <row r="209" spans="1:27" ht="20.100000000000001" customHeight="1">
      <c r="A209" s="300">
        <v>30100023</v>
      </c>
      <c r="B209" s="390" t="s">
        <v>208</v>
      </c>
      <c r="C209" s="126" t="s">
        <v>204</v>
      </c>
      <c r="D209" s="108">
        <v>5.08</v>
      </c>
      <c r="E209" s="108"/>
      <c r="F209" s="127">
        <v>42736</v>
      </c>
      <c r="G209" s="128">
        <f>108*5+36</f>
        <v>576</v>
      </c>
      <c r="H209" s="398">
        <f t="shared" si="91"/>
        <v>2926.08</v>
      </c>
      <c r="I209" s="129">
        <f>11*4</f>
        <v>44</v>
      </c>
      <c r="J209" s="130">
        <f t="array" ref="J209">IF(ISERROR(G209/I209),"",G209/I209)</f>
        <v>13.090909090909092</v>
      </c>
      <c r="K209" s="131">
        <f t="array" ref="K209">IF(ISERROR(G209/L209),"",G209/L209)</f>
        <v>27.428571428571427</v>
      </c>
      <c r="L209" s="129">
        <v>21</v>
      </c>
      <c r="M209" s="109">
        <f t="shared" si="101"/>
        <v>16.571428571428573</v>
      </c>
      <c r="N209" s="130">
        <f t="shared" si="102"/>
        <v>0</v>
      </c>
      <c r="O209" s="393"/>
      <c r="P209" s="393"/>
      <c r="Q209" s="393"/>
      <c r="R209" s="393"/>
      <c r="S209" s="393"/>
      <c r="T209" s="393"/>
      <c r="U209" s="393"/>
      <c r="V209" s="132">
        <f t="shared" si="103"/>
        <v>0</v>
      </c>
      <c r="W209" s="133">
        <f t="shared" si="104"/>
        <v>0</v>
      </c>
      <c r="X209" s="132"/>
      <c r="Y209" s="132"/>
      <c r="Z209" s="132"/>
      <c r="AA209" s="132"/>
    </row>
    <row r="210" spans="1:27" ht="20.100000000000001" hidden="1" customHeight="1">
      <c r="A210" s="300">
        <v>30100024</v>
      </c>
      <c r="B210" s="390" t="s">
        <v>208</v>
      </c>
      <c r="C210" s="126" t="s">
        <v>205</v>
      </c>
      <c r="D210" s="108">
        <v>5.08</v>
      </c>
      <c r="E210" s="108"/>
      <c r="F210" s="127"/>
      <c r="G210" s="128"/>
      <c r="H210" s="398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393"/>
      <c r="P210" s="393"/>
      <c r="Q210" s="393"/>
      <c r="R210" s="393"/>
      <c r="S210" s="393"/>
      <c r="T210" s="393"/>
      <c r="U210" s="393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30100022</v>
      </c>
      <c r="B211" s="390" t="s">
        <v>208</v>
      </c>
      <c r="C211" s="126" t="s">
        <v>186</v>
      </c>
      <c r="D211" s="108">
        <v>5.08</v>
      </c>
      <c r="E211" s="108"/>
      <c r="F211" s="127"/>
      <c r="G211" s="128"/>
      <c r="H211" s="398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393"/>
      <c r="P211" s="393"/>
      <c r="Q211" s="393"/>
      <c r="R211" s="393"/>
      <c r="S211" s="393"/>
      <c r="T211" s="393"/>
      <c r="U211" s="393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30100029</v>
      </c>
      <c r="B212" s="390" t="s">
        <v>208</v>
      </c>
      <c r="C212" s="126" t="s">
        <v>203</v>
      </c>
      <c r="D212" s="108">
        <v>5.08</v>
      </c>
      <c r="E212" s="108"/>
      <c r="F212" s="127"/>
      <c r="G212" s="128"/>
      <c r="H212" s="398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393"/>
      <c r="P212" s="393"/>
      <c r="Q212" s="393"/>
      <c r="R212" s="393"/>
      <c r="S212" s="393"/>
      <c r="T212" s="393"/>
      <c r="U212" s="393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customHeight="1">
      <c r="A213" s="300">
        <v>30100026</v>
      </c>
      <c r="B213" s="390" t="s">
        <v>208</v>
      </c>
      <c r="C213" s="126" t="s">
        <v>199</v>
      </c>
      <c r="D213" s="108">
        <v>5.08</v>
      </c>
      <c r="E213" s="108"/>
      <c r="F213" s="127">
        <v>42738</v>
      </c>
      <c r="G213" s="128">
        <f>38+95</f>
        <v>133</v>
      </c>
      <c r="H213" s="398">
        <f t="shared" si="91"/>
        <v>675.64</v>
      </c>
      <c r="I213" s="129">
        <f>11*4</f>
        <v>44</v>
      </c>
      <c r="J213" s="130">
        <f t="array" ref="J213">IF(ISERROR(G213/I213),"",G213/I213)</f>
        <v>3.0227272727272729</v>
      </c>
      <c r="K213" s="131">
        <f t="array" ref="K213">IF(ISERROR(G213/L213),"",G213/L213)</f>
        <v>6.333333333333333</v>
      </c>
      <c r="L213" s="129">
        <v>21</v>
      </c>
      <c r="M213" s="109">
        <f t="shared" si="101"/>
        <v>37.666666666666664</v>
      </c>
      <c r="N213" s="130">
        <f t="shared" si="102"/>
        <v>0</v>
      </c>
      <c r="O213" s="389"/>
      <c r="P213" s="389"/>
      <c r="Q213" s="389"/>
      <c r="R213" s="389"/>
      <c r="S213" s="389"/>
      <c r="T213" s="389"/>
      <c r="U213" s="389"/>
      <c r="V213" s="132">
        <f t="shared" si="103"/>
        <v>0</v>
      </c>
      <c r="W213" s="133">
        <f t="shared" si="104"/>
        <v>0</v>
      </c>
      <c r="X213" s="132"/>
      <c r="Y213" s="132"/>
      <c r="Z213" s="132"/>
      <c r="AA213" s="132"/>
    </row>
    <row r="214" spans="1:27" ht="20.100000000000001" hidden="1" customHeight="1">
      <c r="A214" s="300">
        <v>30100025</v>
      </c>
      <c r="B214" s="390" t="s">
        <v>208</v>
      </c>
      <c r="C214" s="126" t="s">
        <v>187</v>
      </c>
      <c r="D214" s="108">
        <v>5.08</v>
      </c>
      <c r="E214" s="108"/>
      <c r="F214" s="127"/>
      <c r="G214" s="128"/>
      <c r="H214" s="398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393"/>
      <c r="P214" s="393"/>
      <c r="Q214" s="393"/>
      <c r="R214" s="393"/>
      <c r="S214" s="393"/>
      <c r="T214" s="393"/>
      <c r="U214" s="393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hidden="1" customHeight="1">
      <c r="A215" s="300">
        <v>30100028</v>
      </c>
      <c r="B215" s="390" t="s">
        <v>208</v>
      </c>
      <c r="C215" s="126" t="s">
        <v>207</v>
      </c>
      <c r="D215" s="108">
        <v>5.08</v>
      </c>
      <c r="E215" s="108"/>
      <c r="F215" s="127"/>
      <c r="G215" s="128"/>
      <c r="H215" s="398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21</v>
      </c>
      <c r="M215" s="109">
        <f t="shared" si="101"/>
        <v>0</v>
      </c>
      <c r="N215" s="130">
        <f t="shared" si="102"/>
        <v>0</v>
      </c>
      <c r="O215" s="389"/>
      <c r="P215" s="389"/>
      <c r="Q215" s="389"/>
      <c r="R215" s="389"/>
      <c r="S215" s="389"/>
      <c r="T215" s="389"/>
      <c r="U215" s="389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30100032</v>
      </c>
      <c r="B216" s="390" t="s">
        <v>209</v>
      </c>
      <c r="C216" s="126" t="s">
        <v>194</v>
      </c>
      <c r="D216" s="108">
        <v>5.03</v>
      </c>
      <c r="E216" s="108"/>
      <c r="F216" s="127"/>
      <c r="G216" s="128"/>
      <c r="H216" s="398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393"/>
      <c r="P216" s="393"/>
      <c r="Q216" s="393"/>
      <c r="R216" s="393"/>
      <c r="S216" s="393"/>
      <c r="T216" s="393"/>
      <c r="U216" s="393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customHeight="1">
      <c r="A217" s="300">
        <v>30100033</v>
      </c>
      <c r="B217" s="390" t="s">
        <v>209</v>
      </c>
      <c r="C217" s="126" t="s">
        <v>179</v>
      </c>
      <c r="D217" s="108">
        <v>5.03</v>
      </c>
      <c r="E217" s="108"/>
      <c r="F217" s="127">
        <v>42736</v>
      </c>
      <c r="G217" s="128">
        <f>21+108+24+108</f>
        <v>261</v>
      </c>
      <c r="H217" s="398">
        <f t="shared" si="91"/>
        <v>1312.8300000000002</v>
      </c>
      <c r="I217" s="129">
        <f>2.5*2</f>
        <v>5</v>
      </c>
      <c r="J217" s="130">
        <f t="array" ref="J217">IF(ISERROR(G217/I217),"",G217/I217)</f>
        <v>52.2</v>
      </c>
      <c r="K217" s="131">
        <f t="array" ref="K217">IF(ISERROR(G217/L217),"",G217/L217)</f>
        <v>4.6607142857142856</v>
      </c>
      <c r="L217" s="129">
        <v>56</v>
      </c>
      <c r="M217" s="109">
        <f t="shared" si="101"/>
        <v>0.33928571428571441</v>
      </c>
      <c r="N217" s="130">
        <f t="shared" si="102"/>
        <v>0</v>
      </c>
      <c r="O217" s="393"/>
      <c r="P217" s="393"/>
      <c r="Q217" s="393"/>
      <c r="R217" s="393"/>
      <c r="S217" s="393"/>
      <c r="T217" s="393"/>
      <c r="U217" s="393"/>
      <c r="V217" s="132">
        <f t="shared" si="103"/>
        <v>0</v>
      </c>
      <c r="W217" s="133">
        <f t="shared" si="104"/>
        <v>0</v>
      </c>
      <c r="X217" s="132"/>
      <c r="Y217" s="132"/>
      <c r="Z217" s="132"/>
      <c r="AA217" s="132"/>
    </row>
    <row r="218" spans="1:27" ht="20.100000000000001" customHeight="1">
      <c r="A218" s="300">
        <v>30100062</v>
      </c>
      <c r="B218" s="390" t="s">
        <v>209</v>
      </c>
      <c r="C218" s="126" t="s">
        <v>195</v>
      </c>
      <c r="D218" s="108">
        <v>5.03</v>
      </c>
      <c r="E218" s="108"/>
      <c r="F218" s="127">
        <v>42737</v>
      </c>
      <c r="G218" s="128">
        <f>108*8</f>
        <v>864</v>
      </c>
      <c r="H218" s="398">
        <f t="shared" si="91"/>
        <v>4345.92</v>
      </c>
      <c r="I218" s="129">
        <f>9*2</f>
        <v>18</v>
      </c>
      <c r="J218" s="130">
        <f t="array" ref="J218">IF(ISERROR(G218/I218),"",G218/I218)</f>
        <v>48</v>
      </c>
      <c r="K218" s="131">
        <f t="array" ref="K218">IF(ISERROR(G218/L218),"",G218/L218)</f>
        <v>15.428571428571429</v>
      </c>
      <c r="L218" s="129">
        <v>56</v>
      </c>
      <c r="M218" s="109">
        <f t="shared" si="101"/>
        <v>2.5714285714285712</v>
      </c>
      <c r="N218" s="130">
        <f t="shared" si="102"/>
        <v>0</v>
      </c>
      <c r="O218" s="393"/>
      <c r="P218" s="393"/>
      <c r="Q218" s="393"/>
      <c r="R218" s="393"/>
      <c r="S218" s="393"/>
      <c r="T218" s="393"/>
      <c r="U218" s="393"/>
      <c r="V218" s="132">
        <f t="shared" si="103"/>
        <v>0</v>
      </c>
      <c r="W218" s="133">
        <f t="shared" si="104"/>
        <v>0</v>
      </c>
      <c r="X218" s="132"/>
      <c r="Y218" s="132"/>
      <c r="Z218" s="132"/>
      <c r="AA218" s="132"/>
    </row>
    <row r="219" spans="1:27" ht="20.100000000000001" hidden="1" customHeight="1">
      <c r="A219" s="300">
        <v>30100031</v>
      </c>
      <c r="B219" s="390" t="s">
        <v>209</v>
      </c>
      <c r="C219" s="126" t="s">
        <v>204</v>
      </c>
      <c r="D219" s="108">
        <v>5.03</v>
      </c>
      <c r="E219" s="108"/>
      <c r="F219" s="127"/>
      <c r="G219" s="128"/>
      <c r="H219" s="398">
        <f t="shared" si="91"/>
        <v>0</v>
      </c>
      <c r="I219" s="129"/>
      <c r="J219" s="130" t="str">
        <f t="array" ref="J219">IF(ISERROR(G219/I219),"",G219/I219)</f>
        <v/>
      </c>
      <c r="K219" s="131">
        <f t="array" ref="K219">IF(ISERROR(G219/L219),"",G219/L219)</f>
        <v>0</v>
      </c>
      <c r="L219" s="129">
        <v>56</v>
      </c>
      <c r="M219" s="109">
        <f t="shared" si="101"/>
        <v>0</v>
      </c>
      <c r="N219" s="130">
        <f t="shared" si="102"/>
        <v>0</v>
      </c>
      <c r="O219" s="393"/>
      <c r="P219" s="393"/>
      <c r="Q219" s="393"/>
      <c r="R219" s="393"/>
      <c r="S219" s="393"/>
      <c r="T219" s="393"/>
      <c r="U219" s="393"/>
      <c r="V219" s="132">
        <f t="shared" si="103"/>
        <v>0</v>
      </c>
      <c r="W219" s="133" t="str">
        <f t="shared" si="104"/>
        <v/>
      </c>
      <c r="X219" s="132"/>
      <c r="Y219" s="132"/>
      <c r="Z219" s="132"/>
      <c r="AA219" s="132"/>
    </row>
    <row r="220" spans="1:27" ht="20.100000000000001" hidden="1" customHeight="1">
      <c r="A220" s="300">
        <v>30100019</v>
      </c>
      <c r="B220" s="390" t="s">
        <v>382</v>
      </c>
      <c r="C220" s="187" t="s">
        <v>383</v>
      </c>
      <c r="D220" s="108">
        <v>5.03</v>
      </c>
      <c r="E220" s="108"/>
      <c r="F220" s="127"/>
      <c r="G220" s="128"/>
      <c r="H220" s="398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393"/>
      <c r="P220" s="393"/>
      <c r="Q220" s="393"/>
      <c r="R220" s="393"/>
      <c r="S220" s="393"/>
      <c r="T220" s="393"/>
      <c r="U220" s="393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30100020</v>
      </c>
      <c r="B221" s="390" t="s">
        <v>382</v>
      </c>
      <c r="C221" s="187" t="s">
        <v>384</v>
      </c>
      <c r="D221" s="108">
        <v>5.03</v>
      </c>
      <c r="E221" s="108"/>
      <c r="F221" s="127"/>
      <c r="G221" s="128"/>
      <c r="H221" s="398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393"/>
      <c r="P221" s="393"/>
      <c r="Q221" s="393"/>
      <c r="R221" s="393"/>
      <c r="S221" s="393"/>
      <c r="T221" s="393"/>
      <c r="U221" s="393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30100021</v>
      </c>
      <c r="B222" s="390" t="s">
        <v>382</v>
      </c>
      <c r="C222" s="187" t="s">
        <v>389</v>
      </c>
      <c r="D222" s="108">
        <v>5.03</v>
      </c>
      <c r="E222" s="108"/>
      <c r="F222" s="127"/>
      <c r="G222" s="128"/>
      <c r="H222" s="398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393"/>
      <c r="P222" s="393"/>
      <c r="Q222" s="393"/>
      <c r="R222" s="393"/>
      <c r="S222" s="393"/>
      <c r="T222" s="393"/>
      <c r="U222" s="393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0">
        <v>30100018</v>
      </c>
      <c r="B223" s="390" t="s">
        <v>382</v>
      </c>
      <c r="C223" s="187" t="s">
        <v>391</v>
      </c>
      <c r="D223" s="108">
        <v>5.03</v>
      </c>
      <c r="E223" s="108"/>
      <c r="F223" s="127"/>
      <c r="G223" s="128"/>
      <c r="H223" s="398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54</v>
      </c>
      <c r="M223" s="109">
        <f t="shared" si="101"/>
        <v>0</v>
      </c>
      <c r="N223" s="130">
        <f t="shared" si="102"/>
        <v>0</v>
      </c>
      <c r="O223" s="393"/>
      <c r="P223" s="393"/>
      <c r="Q223" s="393"/>
      <c r="R223" s="393"/>
      <c r="S223" s="393"/>
      <c r="T223" s="393"/>
      <c r="U223" s="393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30700007</v>
      </c>
      <c r="B224" s="390" t="s">
        <v>418</v>
      </c>
      <c r="C224" s="187" t="s">
        <v>364</v>
      </c>
      <c r="D224" s="108">
        <v>5.03</v>
      </c>
      <c r="E224" s="108"/>
      <c r="F224" s="127"/>
      <c r="G224" s="128"/>
      <c r="H224" s="398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393"/>
      <c r="P224" s="393"/>
      <c r="Q224" s="393"/>
      <c r="R224" s="393"/>
      <c r="S224" s="393"/>
      <c r="T224" s="393"/>
      <c r="U224" s="393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30700006</v>
      </c>
      <c r="B225" s="390" t="s">
        <v>418</v>
      </c>
      <c r="C225" s="187" t="s">
        <v>365</v>
      </c>
      <c r="D225" s="108">
        <v>5.03</v>
      </c>
      <c r="E225" s="108"/>
      <c r="F225" s="127"/>
      <c r="G225" s="128"/>
      <c r="H225" s="398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393"/>
      <c r="P225" s="393"/>
      <c r="Q225" s="393"/>
      <c r="R225" s="393"/>
      <c r="S225" s="393"/>
      <c r="T225" s="393"/>
      <c r="U225" s="393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30700008</v>
      </c>
      <c r="B226" s="390" t="s">
        <v>418</v>
      </c>
      <c r="C226" s="187" t="s">
        <v>366</v>
      </c>
      <c r="D226" s="108">
        <v>5.03</v>
      </c>
      <c r="E226" s="108"/>
      <c r="F226" s="127"/>
      <c r="G226" s="128"/>
      <c r="H226" s="398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393"/>
      <c r="P226" s="393"/>
      <c r="Q226" s="393"/>
      <c r="R226" s="393"/>
      <c r="S226" s="393"/>
      <c r="T226" s="393"/>
      <c r="U226" s="393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3">
        <v>30700009</v>
      </c>
      <c r="B227" s="390" t="s">
        <v>418</v>
      </c>
      <c r="C227" s="187" t="s">
        <v>367</v>
      </c>
      <c r="D227" s="108">
        <v>5.03</v>
      </c>
      <c r="E227" s="108"/>
      <c r="F227" s="127"/>
      <c r="G227" s="128"/>
      <c r="H227" s="398">
        <f t="shared" si="91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101"/>
        <v>0</v>
      </c>
      <c r="N227" s="130">
        <f t="shared" si="102"/>
        <v>0</v>
      </c>
      <c r="O227" s="393"/>
      <c r="P227" s="393"/>
      <c r="Q227" s="393"/>
      <c r="R227" s="393"/>
      <c r="S227" s="393"/>
      <c r="T227" s="393"/>
      <c r="U227" s="393"/>
      <c r="V227" s="132"/>
      <c r="W227" s="133"/>
      <c r="X227" s="132"/>
      <c r="Y227" s="132"/>
      <c r="Z227" s="132"/>
      <c r="AA227" s="132"/>
    </row>
    <row r="228" spans="1:27" ht="20.100000000000001" hidden="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/>
      <c r="G228" s="128"/>
      <c r="H228" s="398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389"/>
      <c r="P228" s="389"/>
      <c r="Q228" s="389"/>
      <c r="R228" s="389"/>
      <c r="S228" s="389"/>
      <c r="T228" s="389"/>
      <c r="U228" s="389"/>
      <c r="V228" s="132">
        <f t="shared" ref="V228:V237" si="105">SUM(X228:AA228)</f>
        <v>0</v>
      </c>
      <c r="W228" s="133" t="str">
        <f t="shared" ref="W228:W237" si="106">IF(ISERROR(V228/G228),"",V228/G228)</f>
        <v/>
      </c>
      <c r="X228" s="132"/>
      <c r="Y228" s="132"/>
      <c r="Z228" s="132"/>
      <c r="AA228" s="132"/>
    </row>
    <row r="229" spans="1:27" ht="20.100000000000001" hidden="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/>
      <c r="G229" s="128"/>
      <c r="H229" s="398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389"/>
      <c r="P229" s="389"/>
      <c r="Q229" s="389"/>
      <c r="R229" s="389"/>
      <c r="S229" s="389"/>
      <c r="T229" s="389"/>
      <c r="U229" s="389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/>
      <c r="G230" s="128"/>
      <c r="H230" s="398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40</v>
      </c>
      <c r="M230" s="109">
        <f t="shared" si="101"/>
        <v>0</v>
      </c>
      <c r="N230" s="130">
        <f t="shared" si="102"/>
        <v>0</v>
      </c>
      <c r="O230" s="389"/>
      <c r="P230" s="389"/>
      <c r="Q230" s="389"/>
      <c r="R230" s="389"/>
      <c r="S230" s="389"/>
      <c r="T230" s="389"/>
      <c r="U230" s="389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28"/>
      <c r="H231" s="398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389"/>
      <c r="P231" s="389"/>
      <c r="Q231" s="389"/>
      <c r="R231" s="389"/>
      <c r="S231" s="389"/>
      <c r="T231" s="389"/>
      <c r="U231" s="389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28"/>
      <c r="H232" s="398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389"/>
      <c r="P232" s="389"/>
      <c r="Q232" s="389"/>
      <c r="R232" s="389"/>
      <c r="S232" s="389"/>
      <c r="T232" s="389"/>
      <c r="U232" s="389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28"/>
      <c r="H233" s="398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389"/>
      <c r="P233" s="389"/>
      <c r="Q233" s="389"/>
      <c r="R233" s="389"/>
      <c r="S233" s="389"/>
      <c r="T233" s="389"/>
      <c r="U233" s="389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28"/>
      <c r="H234" s="398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389"/>
      <c r="P234" s="389"/>
      <c r="Q234" s="389"/>
      <c r="R234" s="389"/>
      <c r="S234" s="389"/>
      <c r="T234" s="389"/>
      <c r="U234" s="389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/>
      <c r="G235" s="128"/>
      <c r="H235" s="398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389"/>
      <c r="P235" s="389"/>
      <c r="Q235" s="389"/>
      <c r="R235" s="389"/>
      <c r="S235" s="389"/>
      <c r="T235" s="389"/>
      <c r="U235" s="389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/>
      <c r="G236" s="128"/>
      <c r="H236" s="398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389"/>
      <c r="P236" s="389"/>
      <c r="Q236" s="389"/>
      <c r="R236" s="389"/>
      <c r="S236" s="389"/>
      <c r="T236" s="389"/>
      <c r="U236" s="389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/>
      <c r="G237" s="128"/>
      <c r="H237" s="398">
        <f t="shared" si="91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50</v>
      </c>
      <c r="M237" s="109">
        <f t="shared" si="101"/>
        <v>0</v>
      </c>
      <c r="N237" s="130">
        <f t="shared" si="102"/>
        <v>0</v>
      </c>
      <c r="O237" s="389"/>
      <c r="P237" s="389"/>
      <c r="Q237" s="389"/>
      <c r="R237" s="389"/>
      <c r="S237" s="389"/>
      <c r="T237" s="389"/>
      <c r="U237" s="389"/>
      <c r="V237" s="132">
        <f t="shared" si="105"/>
        <v>0</v>
      </c>
      <c r="W237" s="133" t="str">
        <f t="shared" si="106"/>
        <v/>
      </c>
      <c r="X237" s="132"/>
      <c r="Y237" s="132"/>
      <c r="Z237" s="132"/>
      <c r="AA237" s="132"/>
    </row>
    <row r="238" spans="1:27" ht="20.100000000000001" hidden="1" customHeight="1">
      <c r="A238" s="300">
        <v>30100043</v>
      </c>
      <c r="B238" s="134" t="s">
        <v>429</v>
      </c>
      <c r="C238" s="187" t="s">
        <v>427</v>
      </c>
      <c r="D238" s="108">
        <v>5.03</v>
      </c>
      <c r="E238" s="108"/>
      <c r="F238" s="127"/>
      <c r="G238" s="128"/>
      <c r="H238" s="398">
        <f t="shared" si="91"/>
        <v>0</v>
      </c>
      <c r="I238" s="129"/>
      <c r="J238" s="130"/>
      <c r="K238" s="131"/>
      <c r="L238" s="129">
        <v>50</v>
      </c>
      <c r="M238" s="109"/>
      <c r="N238" s="130"/>
      <c r="O238" s="389"/>
      <c r="P238" s="389"/>
      <c r="Q238" s="389"/>
      <c r="R238" s="389"/>
      <c r="S238" s="389"/>
      <c r="T238" s="389"/>
      <c r="U238" s="389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/>
      <c r="G239" s="128"/>
      <c r="H239" s="398">
        <f t="shared" si="91"/>
        <v>0</v>
      </c>
      <c r="I239" s="129"/>
      <c r="J239" s="130"/>
      <c r="K239" s="131">
        <f t="array" ref="K239">IF(ISERROR(G239/L239),"",G239/L239)</f>
        <v>0</v>
      </c>
      <c r="L239" s="129">
        <v>50</v>
      </c>
      <c r="M239" s="109">
        <f t="shared" ref="M239:M250" si="107">IF(ISERROR(I239-K239),"",I239-K239)</f>
        <v>0</v>
      </c>
      <c r="N239" s="130"/>
      <c r="O239" s="389"/>
      <c r="P239" s="389"/>
      <c r="Q239" s="389"/>
      <c r="R239" s="389"/>
      <c r="S239" s="389"/>
      <c r="T239" s="389"/>
      <c r="U239" s="389"/>
      <c r="V239" s="132"/>
      <c r="W239" s="133"/>
      <c r="X239" s="132"/>
      <c r="Y239" s="132"/>
      <c r="Z239" s="132"/>
      <c r="AA239" s="132"/>
    </row>
    <row r="240" spans="1:27" ht="20.10000000000000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>
        <v>42736</v>
      </c>
      <c r="G240" s="128">
        <f>100*2+38+102</f>
        <v>340</v>
      </c>
      <c r="H240" s="398">
        <f t="shared" si="91"/>
        <v>1710.2</v>
      </c>
      <c r="I240" s="129">
        <f>4.5*5</f>
        <v>22.5</v>
      </c>
      <c r="J240" s="130">
        <f t="array" ref="J240">IF(ISERROR(G240/I240),"",G240/I240)</f>
        <v>15.111111111111111</v>
      </c>
      <c r="K240" s="131">
        <f t="array" ref="K240">IF(ISERROR(G240/L240),"",G240/L240)</f>
        <v>15.813953488372093</v>
      </c>
      <c r="L240" s="129">
        <v>21.5</v>
      </c>
      <c r="M240" s="109">
        <f t="shared" si="107"/>
        <v>6.6860465116279073</v>
      </c>
      <c r="N240" s="130">
        <f t="shared" ref="N240:N241" si="108">SUM(O240:U240)</f>
        <v>0</v>
      </c>
      <c r="O240" s="389"/>
      <c r="P240" s="389"/>
      <c r="Q240" s="389"/>
      <c r="R240" s="389"/>
      <c r="S240" s="389"/>
      <c r="T240" s="389"/>
      <c r="U240" s="389"/>
      <c r="V240" s="132">
        <f t="shared" ref="V240:V241" si="109">SUM(X240:AA240)</f>
        <v>0</v>
      </c>
      <c r="W240" s="133">
        <f t="shared" ref="W240:W241" si="110">IF(ISERROR(V240/G240),"",V240/G240)</f>
        <v>0</v>
      </c>
      <c r="X240" s="132"/>
      <c r="Y240" s="132"/>
      <c r="Z240" s="132"/>
      <c r="AA240" s="132"/>
    </row>
    <row r="241" spans="1:27" ht="20.100000000000001" hidden="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/>
      <c r="G241" s="128"/>
      <c r="H241" s="398">
        <f t="shared" si="91"/>
        <v>0</v>
      </c>
      <c r="I241" s="129"/>
      <c r="J241" s="130" t="str">
        <f t="array" ref="J241">IF(ISERROR(G241/I241),"",G241/I241)</f>
        <v/>
      </c>
      <c r="K241" s="131">
        <f t="array" ref="K241">IF(ISERROR(G241/L241),"",G241/L241)</f>
        <v>0</v>
      </c>
      <c r="L241" s="129">
        <v>21.5</v>
      </c>
      <c r="M241" s="109">
        <f t="shared" si="107"/>
        <v>0</v>
      </c>
      <c r="N241" s="130">
        <f t="shared" si="108"/>
        <v>0</v>
      </c>
      <c r="O241" s="389"/>
      <c r="P241" s="389"/>
      <c r="Q241" s="389"/>
      <c r="R241" s="389"/>
      <c r="S241" s="389"/>
      <c r="T241" s="389"/>
      <c r="U241" s="389"/>
      <c r="V241" s="132">
        <f t="shared" si="109"/>
        <v>0</v>
      </c>
      <c r="W241" s="133" t="str">
        <f t="shared" si="110"/>
        <v/>
      </c>
      <c r="X241" s="132"/>
      <c r="Y241" s="132"/>
      <c r="Z241" s="132"/>
      <c r="AA241" s="132"/>
    </row>
    <row r="242" spans="1:27" ht="20.100000000000001" hidden="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28"/>
      <c r="H242" s="398">
        <f t="shared" si="91"/>
        <v>0</v>
      </c>
      <c r="I242" s="129"/>
      <c r="J242" s="130"/>
      <c r="K242" s="131"/>
      <c r="L242" s="129"/>
      <c r="M242" s="109">
        <f t="shared" si="107"/>
        <v>0</v>
      </c>
      <c r="N242" s="130"/>
      <c r="O242" s="389"/>
      <c r="P242" s="389"/>
      <c r="Q242" s="389"/>
      <c r="R242" s="389"/>
      <c r="S242" s="389"/>
      <c r="T242" s="389"/>
      <c r="U242" s="389"/>
      <c r="V242" s="132"/>
      <c r="W242" s="133"/>
      <c r="X242" s="132"/>
      <c r="Y242" s="132"/>
      <c r="Z242" s="132"/>
      <c r="AA242" s="132"/>
    </row>
    <row r="243" spans="1:27" ht="20.100000000000001" hidden="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28"/>
      <c r="H243" s="398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ref="N243:N246" si="111">SUM(O243:U243)</f>
        <v>0</v>
      </c>
      <c r="O243" s="389"/>
      <c r="P243" s="389"/>
      <c r="Q243" s="389"/>
      <c r="R243" s="389"/>
      <c r="S243" s="389"/>
      <c r="T243" s="389"/>
      <c r="U243" s="389"/>
      <c r="V243" s="132">
        <f t="shared" ref="V243:V246" si="112">SUM(X243:AA243)</f>
        <v>0</v>
      </c>
      <c r="W243" s="133" t="str">
        <f t="shared" ref="W243:W246" si="113">IF(ISERROR(V243/G243),"",V243/G243)</f>
        <v/>
      </c>
      <c r="X243" s="132"/>
      <c r="Y243" s="132"/>
      <c r="Z243" s="132"/>
      <c r="AA243" s="132"/>
    </row>
    <row r="244" spans="1:27" ht="20.100000000000001" hidden="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28"/>
      <c r="H244" s="398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389"/>
      <c r="P244" s="389"/>
      <c r="Q244" s="389"/>
      <c r="R244" s="389"/>
      <c r="S244" s="389"/>
      <c r="T244" s="389"/>
      <c r="U244" s="389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28"/>
      <c r="H245" s="398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389"/>
      <c r="P245" s="389"/>
      <c r="Q245" s="389"/>
      <c r="R245" s="389"/>
      <c r="S245" s="389"/>
      <c r="T245" s="389"/>
      <c r="U245" s="389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28"/>
      <c r="H246" s="398">
        <f t="shared" si="91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7"/>
        <v/>
      </c>
      <c r="N246" s="130">
        <f t="shared" si="111"/>
        <v>0</v>
      </c>
      <c r="O246" s="389"/>
      <c r="P246" s="389"/>
      <c r="Q246" s="389"/>
      <c r="R246" s="389"/>
      <c r="S246" s="389"/>
      <c r="T246" s="389"/>
      <c r="U246" s="389"/>
      <c r="V246" s="132">
        <f t="shared" si="112"/>
        <v>0</v>
      </c>
      <c r="W246" s="133" t="str">
        <f t="shared" si="113"/>
        <v/>
      </c>
      <c r="X246" s="132"/>
      <c r="Y246" s="132"/>
      <c r="Z246" s="132"/>
      <c r="AA246" s="132"/>
    </row>
    <row r="247" spans="1:27" ht="20.100000000000001" hidden="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28"/>
      <c r="H247" s="398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389"/>
      <c r="P247" s="389"/>
      <c r="Q247" s="389"/>
      <c r="R247" s="389"/>
      <c r="S247" s="389"/>
      <c r="T247" s="389"/>
      <c r="U247" s="389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28"/>
      <c r="H248" s="398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389"/>
      <c r="P248" s="389"/>
      <c r="Q248" s="389"/>
      <c r="R248" s="389"/>
      <c r="S248" s="389"/>
      <c r="T248" s="389"/>
      <c r="U248" s="389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28"/>
      <c r="H249" s="398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389"/>
      <c r="P249" s="389"/>
      <c r="Q249" s="389"/>
      <c r="R249" s="389"/>
      <c r="S249" s="389"/>
      <c r="T249" s="389"/>
      <c r="U249" s="389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28"/>
      <c r="H250" s="398">
        <f t="shared" si="91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7"/>
        <v>0</v>
      </c>
      <c r="N250" s="130"/>
      <c r="O250" s="389"/>
      <c r="P250" s="389"/>
      <c r="Q250" s="389"/>
      <c r="R250" s="389"/>
      <c r="S250" s="389"/>
      <c r="T250" s="389"/>
      <c r="U250" s="389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28"/>
      <c r="H251" s="398">
        <f t="shared" si="91"/>
        <v>0</v>
      </c>
      <c r="I251" s="129"/>
      <c r="J251" s="130"/>
      <c r="K251" s="131"/>
      <c r="L251" s="129">
        <v>4</v>
      </c>
      <c r="M251" s="109"/>
      <c r="N251" s="130"/>
      <c r="O251" s="389"/>
      <c r="P251" s="389"/>
      <c r="Q251" s="389"/>
      <c r="R251" s="389"/>
      <c r="S251" s="389"/>
      <c r="T251" s="389"/>
      <c r="U251" s="389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28"/>
      <c r="H252" s="398">
        <f t="shared" si="91"/>
        <v>0</v>
      </c>
      <c r="I252" s="129"/>
      <c r="J252" s="130"/>
      <c r="K252" s="131"/>
      <c r="L252" s="129">
        <v>4</v>
      </c>
      <c r="M252" s="109"/>
      <c r="N252" s="130"/>
      <c r="O252" s="389"/>
      <c r="P252" s="389"/>
      <c r="Q252" s="389"/>
      <c r="R252" s="389"/>
      <c r="S252" s="389"/>
      <c r="T252" s="389"/>
      <c r="U252" s="389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28"/>
      <c r="H253" s="398">
        <f t="shared" si="91"/>
        <v>0</v>
      </c>
      <c r="I253" s="129"/>
      <c r="J253" s="130"/>
      <c r="K253" s="131"/>
      <c r="L253" s="129">
        <v>4</v>
      </c>
      <c r="M253" s="109"/>
      <c r="N253" s="130"/>
      <c r="O253" s="389"/>
      <c r="P253" s="389"/>
      <c r="Q253" s="389"/>
      <c r="R253" s="389"/>
      <c r="S253" s="389"/>
      <c r="T253" s="389"/>
      <c r="U253" s="389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28"/>
      <c r="H254" s="398">
        <f t="shared" si="91"/>
        <v>0</v>
      </c>
      <c r="I254" s="129"/>
      <c r="J254" s="130"/>
      <c r="K254" s="131"/>
      <c r="L254" s="129">
        <v>4</v>
      </c>
      <c r="M254" s="109"/>
      <c r="N254" s="130"/>
      <c r="O254" s="389"/>
      <c r="P254" s="389"/>
      <c r="Q254" s="389"/>
      <c r="R254" s="389"/>
      <c r="S254" s="389"/>
      <c r="T254" s="389"/>
      <c r="U254" s="389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28"/>
      <c r="H255" s="398">
        <f t="shared" si="91"/>
        <v>0</v>
      </c>
      <c r="I255" s="129"/>
      <c r="J255" s="130"/>
      <c r="K255" s="131"/>
      <c r="L255" s="129">
        <v>4</v>
      </c>
      <c r="M255" s="109"/>
      <c r="N255" s="130"/>
      <c r="O255" s="389"/>
      <c r="P255" s="389"/>
      <c r="Q255" s="389"/>
      <c r="R255" s="389"/>
      <c r="S255" s="389"/>
      <c r="T255" s="389"/>
      <c r="U255" s="389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28"/>
      <c r="H256" s="398">
        <f t="shared" si="91"/>
        <v>0</v>
      </c>
      <c r="I256" s="129"/>
      <c r="J256" s="130"/>
      <c r="K256" s="131"/>
      <c r="L256" s="129">
        <v>4</v>
      </c>
      <c r="M256" s="109"/>
      <c r="N256" s="130"/>
      <c r="O256" s="389"/>
      <c r="P256" s="389"/>
      <c r="Q256" s="389"/>
      <c r="R256" s="389"/>
      <c r="S256" s="389"/>
      <c r="T256" s="389"/>
      <c r="U256" s="389"/>
      <c r="V256" s="132"/>
      <c r="W256" s="133"/>
      <c r="X256" s="132"/>
      <c r="Y256" s="132"/>
      <c r="Z256" s="132"/>
      <c r="AA256" s="132"/>
    </row>
    <row r="257" spans="1:27" ht="20.100000000000001" customHeight="1">
      <c r="A257" s="589" t="s">
        <v>216</v>
      </c>
      <c r="B257" s="589"/>
      <c r="C257" s="396" t="s">
        <v>202</v>
      </c>
      <c r="D257" s="143"/>
      <c r="E257" s="143"/>
      <c r="F257" s="144"/>
      <c r="G257" s="145">
        <f>SUM(G200:G256)</f>
        <v>2174</v>
      </c>
      <c r="H257" s="146">
        <f>SUM(H200:H256)</f>
        <v>10970.670000000002</v>
      </c>
      <c r="I257" s="146">
        <f>SUM(I200:I256)</f>
        <v>133.5</v>
      </c>
      <c r="J257" s="130">
        <f t="array" ref="J257">IF(ISERROR(G257/I257),"",G257/I257)</f>
        <v>16.284644194756556</v>
      </c>
      <c r="K257" s="146">
        <f>SUM(K200:K256)</f>
        <v>69.66514396456256</v>
      </c>
      <c r="L257" s="147"/>
      <c r="M257" s="150">
        <f t="shared" ref="M257:V257" si="114">SUM(M200:M256)</f>
        <v>63.834856035437433</v>
      </c>
      <c r="N257" s="146">
        <f t="shared" si="114"/>
        <v>0</v>
      </c>
      <c r="O257" s="148">
        <f t="shared" si="114"/>
        <v>0</v>
      </c>
      <c r="P257" s="148">
        <f t="shared" si="114"/>
        <v>0</v>
      </c>
      <c r="Q257" s="148">
        <f t="shared" si="114"/>
        <v>0</v>
      </c>
      <c r="R257" s="148">
        <f t="shared" si="114"/>
        <v>0</v>
      </c>
      <c r="S257" s="148">
        <f t="shared" si="114"/>
        <v>0</v>
      </c>
      <c r="T257" s="148">
        <f t="shared" si="114"/>
        <v>0</v>
      </c>
      <c r="U257" s="148">
        <f t="shared" si="114"/>
        <v>0</v>
      </c>
      <c r="V257" s="149">
        <f t="shared" si="114"/>
        <v>0</v>
      </c>
      <c r="W257" s="133">
        <f t="shared" ref="W257:W264" si="115">IF(ISERROR(V257/G257),"",V257/G257)</f>
        <v>0</v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hidden="1" customHeight="1">
      <c r="A258" s="299">
        <v>30400012</v>
      </c>
      <c r="B258" s="390" t="s">
        <v>217</v>
      </c>
      <c r="C258" s="126" t="s">
        <v>179</v>
      </c>
      <c r="D258" s="108">
        <v>5.03</v>
      </c>
      <c r="E258" s="108"/>
      <c r="F258" s="127"/>
      <c r="G258" s="128"/>
      <c r="H258" s="398">
        <f t="shared" ref="H258:H291" si="116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7">IF(ISERROR(I258-K258),"",I258-K258)</f>
        <v>0</v>
      </c>
      <c r="N258" s="130">
        <f t="shared" ref="N258:N265" si="118">SUM(O258:U258)</f>
        <v>0</v>
      </c>
      <c r="O258" s="389"/>
      <c r="P258" s="389"/>
      <c r="Q258" s="389"/>
      <c r="R258" s="389"/>
      <c r="S258" s="389"/>
      <c r="T258" s="389"/>
      <c r="U258" s="389"/>
      <c r="V258" s="132">
        <f t="shared" ref="V258:V264" si="119">SUM(X258:AA258)</f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30400010</v>
      </c>
      <c r="B259" s="390" t="s">
        <v>217</v>
      </c>
      <c r="C259" s="126" t="s">
        <v>186</v>
      </c>
      <c r="D259" s="108">
        <v>5.03</v>
      </c>
      <c r="E259" s="108"/>
      <c r="F259" s="127"/>
      <c r="G259" s="128"/>
      <c r="H259" s="398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389"/>
      <c r="P259" s="389"/>
      <c r="Q259" s="389"/>
      <c r="R259" s="389"/>
      <c r="S259" s="389"/>
      <c r="T259" s="389"/>
      <c r="U259" s="389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30400011</v>
      </c>
      <c r="B260" s="390" t="s">
        <v>217</v>
      </c>
      <c r="C260" s="126" t="s">
        <v>204</v>
      </c>
      <c r="D260" s="108">
        <v>5.03</v>
      </c>
      <c r="E260" s="108"/>
      <c r="F260" s="127"/>
      <c r="G260" s="128"/>
      <c r="H260" s="398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8.8000000000000007</v>
      </c>
      <c r="M260" s="109">
        <f t="shared" si="117"/>
        <v>0</v>
      </c>
      <c r="N260" s="130">
        <f t="shared" si="118"/>
        <v>0</v>
      </c>
      <c r="O260" s="389"/>
      <c r="P260" s="389"/>
      <c r="Q260" s="389"/>
      <c r="R260" s="389"/>
      <c r="S260" s="389"/>
      <c r="T260" s="389"/>
      <c r="U260" s="389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28"/>
      <c r="H261" s="398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389"/>
      <c r="P261" s="389"/>
      <c r="Q261" s="389"/>
      <c r="R261" s="389"/>
      <c r="S261" s="389"/>
      <c r="T261" s="389"/>
      <c r="U261" s="389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/>
      <c r="G262" s="128"/>
      <c r="H262" s="398">
        <f t="shared" si="116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389"/>
      <c r="P262" s="389"/>
      <c r="Q262" s="389"/>
      <c r="R262" s="389"/>
      <c r="S262" s="389"/>
      <c r="T262" s="389"/>
      <c r="U262" s="389"/>
      <c r="V262" s="132">
        <f t="shared" si="119"/>
        <v>0</v>
      </c>
      <c r="W262" s="133" t="str">
        <f t="shared" si="115"/>
        <v/>
      </c>
      <c r="X262" s="132"/>
      <c r="Y262" s="132"/>
      <c r="Z262" s="132"/>
      <c r="AA262" s="132"/>
    </row>
    <row r="263" spans="1:27" ht="20.10000000000000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>
        <v>42736</v>
      </c>
      <c r="G263" s="128">
        <v>38</v>
      </c>
      <c r="H263" s="398">
        <f t="shared" si="116"/>
        <v>191.14000000000001</v>
      </c>
      <c r="I263" s="129">
        <v>5</v>
      </c>
      <c r="J263" s="130">
        <f t="array" ref="J263">IF(ISERROR(G263/I263),"",G263/I263)</f>
        <v>7.6</v>
      </c>
      <c r="K263" s="131">
        <f t="array" ref="K263">IF(ISERROR(G263/L263),"",G263/L263)</f>
        <v>4.086021505376344</v>
      </c>
      <c r="L263" s="129">
        <v>9.3000000000000007</v>
      </c>
      <c r="M263" s="109">
        <f t="shared" si="117"/>
        <v>0.91397849462365599</v>
      </c>
      <c r="N263" s="130">
        <f t="shared" si="118"/>
        <v>0</v>
      </c>
      <c r="O263" s="389"/>
      <c r="P263" s="389"/>
      <c r="Q263" s="389"/>
      <c r="R263" s="389"/>
      <c r="S263" s="389"/>
      <c r="T263" s="389"/>
      <c r="U263" s="389"/>
      <c r="V263" s="132">
        <f t="shared" si="119"/>
        <v>0</v>
      </c>
      <c r="W263" s="133">
        <f t="shared" si="115"/>
        <v>0</v>
      </c>
      <c r="X263" s="132"/>
      <c r="Y263" s="132"/>
      <c r="Z263" s="132"/>
      <c r="AA263" s="132"/>
    </row>
    <row r="264" spans="1:27" ht="20.100000000000001" hidden="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/>
      <c r="G264" s="128"/>
      <c r="H264" s="398">
        <f t="shared" si="116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389"/>
      <c r="P264" s="389"/>
      <c r="Q264" s="389"/>
      <c r="R264" s="389"/>
      <c r="S264" s="389"/>
      <c r="T264" s="389"/>
      <c r="U264" s="389"/>
      <c r="V264" s="132">
        <f t="shared" si="119"/>
        <v>0</v>
      </c>
      <c r="W264" s="133" t="str">
        <f t="shared" si="115"/>
        <v/>
      </c>
      <c r="X264" s="132"/>
      <c r="Y264" s="132"/>
      <c r="Z264" s="132"/>
      <c r="AA264" s="132"/>
    </row>
    <row r="265" spans="1:27" ht="20.10000000000000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>
        <v>42737</v>
      </c>
      <c r="G265" s="128">
        <v>96</v>
      </c>
      <c r="H265" s="398">
        <f t="shared" si="116"/>
        <v>482.88</v>
      </c>
      <c r="I265" s="129">
        <v>11</v>
      </c>
      <c r="J265" s="130">
        <f t="array" ref="J265">IF(ISERROR(G265/I265),"",G265/I265)</f>
        <v>8.7272727272727266</v>
      </c>
      <c r="K265" s="131">
        <f t="array" ref="K265">IF(ISERROR(G265/L265),"",G265/L265)</f>
        <v>10.32258064516129</v>
      </c>
      <c r="L265" s="129">
        <v>9.3000000000000007</v>
      </c>
      <c r="M265" s="109">
        <f t="shared" si="117"/>
        <v>0.67741935483870996</v>
      </c>
      <c r="N265" s="130">
        <f t="shared" si="118"/>
        <v>0</v>
      </c>
      <c r="O265" s="389"/>
      <c r="P265" s="389"/>
      <c r="Q265" s="389"/>
      <c r="R265" s="389"/>
      <c r="S265" s="389"/>
      <c r="T265" s="389"/>
      <c r="U265" s="389"/>
      <c r="V265" s="132"/>
      <c r="W265" s="133"/>
      <c r="X265" s="132"/>
      <c r="Y265" s="132"/>
      <c r="Z265" s="132"/>
      <c r="AA265" s="132"/>
    </row>
    <row r="266" spans="1:27" ht="20.100000000000001" hidden="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28"/>
      <c r="H266" s="398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389"/>
      <c r="P266" s="389"/>
      <c r="Q266" s="389"/>
      <c r="R266" s="389"/>
      <c r="S266" s="389"/>
      <c r="T266" s="389"/>
      <c r="U266" s="389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28"/>
      <c r="H267" s="398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389"/>
      <c r="P267" s="389"/>
      <c r="Q267" s="389"/>
      <c r="R267" s="389"/>
      <c r="S267" s="389"/>
      <c r="T267" s="389"/>
      <c r="U267" s="389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28"/>
      <c r="H268" s="398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389"/>
      <c r="P268" s="389"/>
      <c r="Q268" s="389"/>
      <c r="R268" s="389"/>
      <c r="S268" s="389"/>
      <c r="T268" s="389"/>
      <c r="U268" s="389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28"/>
      <c r="H269" s="398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389"/>
      <c r="P269" s="389"/>
      <c r="Q269" s="389"/>
      <c r="R269" s="389"/>
      <c r="S269" s="389"/>
      <c r="T269" s="389"/>
      <c r="U269" s="389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28"/>
      <c r="H270" s="398">
        <f t="shared" si="116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5" si="120">IF(ISERROR(I270-K270),"",I270-K270)</f>
        <v>0</v>
      </c>
      <c r="N270" s="130">
        <f t="shared" ref="N270:N285" si="121">SUM(O270:U270)</f>
        <v>0</v>
      </c>
      <c r="O270" s="389"/>
      <c r="P270" s="389"/>
      <c r="Q270" s="389"/>
      <c r="R270" s="389"/>
      <c r="S270" s="389"/>
      <c r="T270" s="389"/>
      <c r="U270" s="389"/>
      <c r="V270" s="132">
        <f t="shared" ref="V270:V273" si="122">SUM(X270:AA270)</f>
        <v>0</v>
      </c>
      <c r="W270" s="133" t="str">
        <f t="shared" ref="W270:W277" si="123">IF(ISERROR(V270/G270),"",V270/G270)</f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28"/>
      <c r="H271" s="398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389"/>
      <c r="P271" s="389"/>
      <c r="Q271" s="389"/>
      <c r="R271" s="389"/>
      <c r="S271" s="389"/>
      <c r="T271" s="389"/>
      <c r="U271" s="389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28"/>
      <c r="H272" s="398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389"/>
      <c r="P272" s="389"/>
      <c r="Q272" s="389"/>
      <c r="R272" s="389"/>
      <c r="S272" s="389"/>
      <c r="T272" s="389"/>
      <c r="U272" s="389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28"/>
      <c r="H273" s="398">
        <f t="shared" si="116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20"/>
        <v/>
      </c>
      <c r="N273" s="130">
        <f t="shared" si="121"/>
        <v>0</v>
      </c>
      <c r="O273" s="389"/>
      <c r="P273" s="389"/>
      <c r="Q273" s="389"/>
      <c r="R273" s="389"/>
      <c r="S273" s="389"/>
      <c r="T273" s="389"/>
      <c r="U273" s="389"/>
      <c r="V273" s="132">
        <f t="shared" si="122"/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30600005</v>
      </c>
      <c r="B274" s="390" t="s">
        <v>222</v>
      </c>
      <c r="C274" s="126" t="s">
        <v>181</v>
      </c>
      <c r="D274" s="108">
        <v>9.36</v>
      </c>
      <c r="E274" s="108"/>
      <c r="F274" s="127"/>
      <c r="G274" s="128"/>
      <c r="H274" s="398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389"/>
      <c r="P274" s="389"/>
      <c r="Q274" s="389"/>
      <c r="R274" s="389"/>
      <c r="S274" s="389"/>
      <c r="T274" s="389"/>
      <c r="U274" s="389"/>
      <c r="V274" s="132">
        <f t="shared" ref="V274:V277" si="124">SUM(X274:AA274)</f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30600008</v>
      </c>
      <c r="B275" s="390" t="s">
        <v>222</v>
      </c>
      <c r="C275" s="126" t="s">
        <v>179</v>
      </c>
      <c r="D275" s="108">
        <v>9.36</v>
      </c>
      <c r="E275" s="108"/>
      <c r="F275" s="127"/>
      <c r="G275" s="128"/>
      <c r="H275" s="398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389"/>
      <c r="P275" s="389"/>
      <c r="Q275" s="389"/>
      <c r="R275" s="389"/>
      <c r="S275" s="389"/>
      <c r="T275" s="389"/>
      <c r="U275" s="389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30600007</v>
      </c>
      <c r="B276" s="390" t="s">
        <v>222</v>
      </c>
      <c r="C276" s="126" t="s">
        <v>221</v>
      </c>
      <c r="D276" s="108">
        <v>9.36</v>
      </c>
      <c r="E276" s="108"/>
      <c r="F276" s="127"/>
      <c r="G276" s="128"/>
      <c r="H276" s="398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389"/>
      <c r="P276" s="389"/>
      <c r="Q276" s="389"/>
      <c r="R276" s="389"/>
      <c r="S276" s="389"/>
      <c r="T276" s="389"/>
      <c r="U276" s="389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304">
        <v>30600006</v>
      </c>
      <c r="B277" s="390" t="s">
        <v>222</v>
      </c>
      <c r="C277" s="126" t="s">
        <v>186</v>
      </c>
      <c r="D277" s="108">
        <v>9.36</v>
      </c>
      <c r="E277" s="108"/>
      <c r="F277" s="127"/>
      <c r="G277" s="128"/>
      <c r="H277" s="398">
        <f t="shared" si="116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20"/>
        <v>0</v>
      </c>
      <c r="N277" s="130">
        <f t="shared" si="121"/>
        <v>0</v>
      </c>
      <c r="O277" s="389"/>
      <c r="P277" s="389"/>
      <c r="Q277" s="389"/>
      <c r="R277" s="389"/>
      <c r="S277" s="389"/>
      <c r="T277" s="389"/>
      <c r="U277" s="389"/>
      <c r="V277" s="132">
        <f t="shared" si="124"/>
        <v>0</v>
      </c>
      <c r="W277" s="133" t="str">
        <f t="shared" si="123"/>
        <v/>
      </c>
      <c r="X277" s="132"/>
      <c r="Y277" s="132"/>
      <c r="Z277" s="132"/>
      <c r="AA277" s="132"/>
    </row>
    <row r="278" spans="1:27" ht="20.100000000000001" hidden="1" customHeight="1">
      <c r="A278" s="299">
        <v>30400026</v>
      </c>
      <c r="B278" s="390" t="s">
        <v>393</v>
      </c>
      <c r="C278" s="187" t="s">
        <v>395</v>
      </c>
      <c r="D278" s="108">
        <v>5</v>
      </c>
      <c r="E278" s="108"/>
      <c r="F278" s="127"/>
      <c r="G278" s="128"/>
      <c r="H278" s="398">
        <f t="shared" si="116"/>
        <v>0</v>
      </c>
      <c r="I278" s="129"/>
      <c r="J278" s="130" t="str">
        <f t="array" ref="J278">IF(ISERROR(G278/I278),"",G278/I278)</f>
        <v/>
      </c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389"/>
      <c r="P278" s="389"/>
      <c r="Q278" s="389"/>
      <c r="R278" s="389"/>
      <c r="S278" s="389"/>
      <c r="T278" s="389"/>
      <c r="U278" s="389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30400028</v>
      </c>
      <c r="B279" s="390" t="s">
        <v>393</v>
      </c>
      <c r="C279" s="187" t="s">
        <v>402</v>
      </c>
      <c r="D279" s="108">
        <v>5</v>
      </c>
      <c r="E279" s="108"/>
      <c r="F279" s="127"/>
      <c r="G279" s="128"/>
      <c r="H279" s="398">
        <f t="shared" si="116"/>
        <v>0</v>
      </c>
      <c r="I279" s="129"/>
      <c r="J279" s="130" t="str">
        <f t="array" ref="J279">IF(ISERROR(G279/I279),"",G279/I279)</f>
        <v/>
      </c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389"/>
      <c r="P279" s="389"/>
      <c r="Q279" s="389"/>
      <c r="R279" s="389"/>
      <c r="S279" s="389"/>
      <c r="T279" s="389"/>
      <c r="U279" s="389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>
        <v>30400027</v>
      </c>
      <c r="B280" s="390" t="s">
        <v>404</v>
      </c>
      <c r="C280" s="187" t="s">
        <v>405</v>
      </c>
      <c r="D280" s="108">
        <v>5</v>
      </c>
      <c r="E280" s="108"/>
      <c r="F280" s="127"/>
      <c r="G280" s="128"/>
      <c r="H280" s="398">
        <f t="shared" si="116"/>
        <v>0</v>
      </c>
      <c r="I280" s="129"/>
      <c r="J280" s="130" t="str">
        <f t="array" ref="J280">IF(ISERROR(G280/I280),"",G280/I280)</f>
        <v/>
      </c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389"/>
      <c r="P280" s="389"/>
      <c r="Q280" s="389"/>
      <c r="R280" s="389"/>
      <c r="S280" s="389"/>
      <c r="T280" s="389"/>
      <c r="U280" s="389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/>
      <c r="B281" s="390" t="s">
        <v>342</v>
      </c>
      <c r="C281" s="187" t="s">
        <v>372</v>
      </c>
      <c r="D281" s="108">
        <v>5</v>
      </c>
      <c r="E281" s="108"/>
      <c r="F281" s="127"/>
      <c r="G281" s="128"/>
      <c r="H281" s="398">
        <f t="shared" si="116"/>
        <v>0</v>
      </c>
      <c r="I281" s="129"/>
      <c r="J281" s="130" t="str">
        <f t="array" ref="J281">IF(ISERROR(G281/I281),"",G281/I281)</f>
        <v/>
      </c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389"/>
      <c r="P281" s="389"/>
      <c r="Q281" s="389"/>
      <c r="R281" s="389"/>
      <c r="S281" s="389"/>
      <c r="T281" s="389"/>
      <c r="U281" s="389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30600009</v>
      </c>
      <c r="B282" s="390" t="s">
        <v>343</v>
      </c>
      <c r="C282" s="126" t="s">
        <v>345</v>
      </c>
      <c r="D282" s="108">
        <v>5</v>
      </c>
      <c r="E282" s="108"/>
      <c r="F282" s="127"/>
      <c r="G282" s="128"/>
      <c r="H282" s="398">
        <f t="shared" si="116"/>
        <v>0</v>
      </c>
      <c r="I282" s="129"/>
      <c r="J282" s="130" t="str">
        <f t="array" ref="J282">IF(ISERROR(G282/I282),"",G282/I282)</f>
        <v/>
      </c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389"/>
      <c r="P282" s="389"/>
      <c r="Q282" s="389"/>
      <c r="R282" s="389"/>
      <c r="S282" s="389"/>
      <c r="T282" s="389"/>
      <c r="U282" s="389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30600010</v>
      </c>
      <c r="B283" s="390" t="s">
        <v>343</v>
      </c>
      <c r="C283" s="126" t="s">
        <v>347</v>
      </c>
      <c r="D283" s="108">
        <v>5</v>
      </c>
      <c r="E283" s="108"/>
      <c r="F283" s="127"/>
      <c r="G283" s="128"/>
      <c r="H283" s="398">
        <f t="shared" si="116"/>
        <v>0</v>
      </c>
      <c r="I283" s="129"/>
      <c r="J283" s="130" t="str">
        <f t="array" ref="J283">IF(ISERROR(G283/I283),"",G283/I283)</f>
        <v/>
      </c>
      <c r="K283" s="131">
        <f t="array" ref="K283">IF(ISERROR(G283/L283),"",G283/L283)</f>
        <v>0</v>
      </c>
      <c r="L283" s="129">
        <v>5</v>
      </c>
      <c r="M283" s="109">
        <f t="shared" si="120"/>
        <v>0</v>
      </c>
      <c r="N283" s="130">
        <f t="shared" si="121"/>
        <v>0</v>
      </c>
      <c r="O283" s="389"/>
      <c r="P283" s="389"/>
      <c r="Q283" s="389"/>
      <c r="R283" s="389"/>
      <c r="S283" s="389"/>
      <c r="T283" s="389"/>
      <c r="U283" s="389"/>
      <c r="V283" s="132"/>
      <c r="W283" s="133"/>
      <c r="X283" s="132"/>
      <c r="Y283" s="132"/>
      <c r="Z283" s="132"/>
      <c r="AA283" s="132"/>
    </row>
    <row r="284" spans="1:27" ht="20.100000000000001" hidden="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/>
      <c r="G284" s="128"/>
      <c r="H284" s="398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389"/>
      <c r="P284" s="389"/>
      <c r="Q284" s="389"/>
      <c r="R284" s="389"/>
      <c r="S284" s="389"/>
      <c r="T284" s="389"/>
      <c r="U284" s="389"/>
      <c r="V284" s="132">
        <f t="shared" ref="V284:V285" si="125">SUM(X284:AA284)</f>
        <v>0</v>
      </c>
      <c r="W284" s="133" t="str">
        <f t="shared" ref="W284:W285" si="126">IF(ISERROR(V284/G284),"",V284/G284)</f>
        <v/>
      </c>
      <c r="X284" s="132"/>
      <c r="Y284" s="132"/>
      <c r="Z284" s="132"/>
      <c r="AA284" s="132"/>
    </row>
    <row r="285" spans="1:27" ht="20.100000000000001" hidden="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28"/>
      <c r="H285" s="398">
        <f t="shared" si="116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20"/>
        <v>0</v>
      </c>
      <c r="N285" s="130">
        <f t="shared" si="121"/>
        <v>0</v>
      </c>
      <c r="O285" s="389"/>
      <c r="P285" s="389"/>
      <c r="Q285" s="389"/>
      <c r="R285" s="389"/>
      <c r="S285" s="389"/>
      <c r="T285" s="389"/>
      <c r="U285" s="389"/>
      <c r="V285" s="132">
        <f t="shared" si="125"/>
        <v>0</v>
      </c>
      <c r="W285" s="133" t="str">
        <f t="shared" si="126"/>
        <v/>
      </c>
      <c r="X285" s="132"/>
      <c r="Y285" s="132"/>
      <c r="Z285" s="132"/>
      <c r="AA285" s="132"/>
    </row>
    <row r="286" spans="1:27" ht="20.100000000000001" hidden="1" customHeight="1">
      <c r="A286" s="299">
        <v>30400004</v>
      </c>
      <c r="B286" s="151" t="s">
        <v>419</v>
      </c>
      <c r="C286" s="187" t="s">
        <v>73</v>
      </c>
      <c r="D286" s="108">
        <v>5.03</v>
      </c>
      <c r="E286" s="108"/>
      <c r="F286" s="127"/>
      <c r="G286" s="128"/>
      <c r="H286" s="398">
        <f t="shared" si="116"/>
        <v>0</v>
      </c>
      <c r="I286" s="129"/>
      <c r="J286" s="130" t="str">
        <f t="array" ref="J286">IF(ISERROR(G286/I286),"",G286/I286)</f>
        <v/>
      </c>
      <c r="K286" s="131"/>
      <c r="L286" s="129">
        <v>24</v>
      </c>
      <c r="M286" s="109"/>
      <c r="N286" s="130"/>
      <c r="O286" s="389"/>
      <c r="P286" s="389"/>
      <c r="Q286" s="389"/>
      <c r="R286" s="389"/>
      <c r="S286" s="389"/>
      <c r="T286" s="389"/>
      <c r="U286" s="389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/>
      <c r="G287" s="128"/>
      <c r="H287" s="398">
        <f t="shared" si="116"/>
        <v>0</v>
      </c>
      <c r="I287" s="129"/>
      <c r="J287" s="130" t="str">
        <f t="array" ref="J287">IF(ISERROR(G287/I287),"",G287/I287)</f>
        <v/>
      </c>
      <c r="K287" s="131"/>
      <c r="L287" s="129">
        <v>24</v>
      </c>
      <c r="M287" s="109"/>
      <c r="N287" s="130"/>
      <c r="O287" s="389"/>
      <c r="P287" s="389"/>
      <c r="Q287" s="389"/>
      <c r="R287" s="389"/>
      <c r="S287" s="389"/>
      <c r="T287" s="389"/>
      <c r="U287" s="389"/>
      <c r="V287" s="132"/>
      <c r="W287" s="133"/>
      <c r="X287" s="132"/>
      <c r="Y287" s="132"/>
      <c r="Z287" s="132"/>
      <c r="AA287" s="132"/>
    </row>
    <row r="288" spans="1:27" ht="20.10000000000000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>
        <v>42736</v>
      </c>
      <c r="G288" s="128">
        <f>90+90+80</f>
        <v>260</v>
      </c>
      <c r="H288" s="398">
        <f t="shared" si="116"/>
        <v>1307.8</v>
      </c>
      <c r="I288" s="129">
        <f>8*6</f>
        <v>48</v>
      </c>
      <c r="J288" s="130">
        <f t="array" ref="J288">IF(ISERROR(G288/I288),"",G288/I288)</f>
        <v>5.416666666666667</v>
      </c>
      <c r="K288" s="131">
        <f t="array" ref="K288">IF(ISERROR(G288/L288),"",G288/L288)</f>
        <v>10.833333333333334</v>
      </c>
      <c r="L288" s="129">
        <v>24</v>
      </c>
      <c r="M288" s="109">
        <f t="shared" ref="M288" si="127">IF(ISERROR(I288-K288),"",I288-K288)</f>
        <v>37.166666666666664</v>
      </c>
      <c r="N288" s="130"/>
      <c r="O288" s="389"/>
      <c r="P288" s="389"/>
      <c r="Q288" s="389"/>
      <c r="R288" s="389"/>
      <c r="S288" s="389"/>
      <c r="T288" s="389"/>
      <c r="U288" s="389"/>
      <c r="V288" s="132"/>
      <c r="W288" s="133"/>
      <c r="X288" s="132"/>
      <c r="Y288" s="132"/>
      <c r="Z288" s="132"/>
      <c r="AA288" s="132"/>
    </row>
    <row r="289" spans="1:27" ht="20.100000000000001" hidden="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/>
      <c r="G289" s="128"/>
      <c r="H289" s="398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ref="M289:M291" si="128">IF(ISERROR(I289-K289),"",I289-K289)</f>
        <v>0</v>
      </c>
      <c r="N289" s="130">
        <f t="shared" ref="N289:N291" si="129">SUM(O289:U289)</f>
        <v>0</v>
      </c>
      <c r="O289" s="389"/>
      <c r="P289" s="389"/>
      <c r="Q289" s="389"/>
      <c r="R289" s="389"/>
      <c r="S289" s="389"/>
      <c r="T289" s="389"/>
      <c r="U289" s="389"/>
      <c r="V289" s="132">
        <f t="shared" ref="V289:V291" si="130">SUM(X289:AA289)</f>
        <v>0</v>
      </c>
      <c r="W289" s="133" t="str">
        <f t="shared" ref="W289:W313" si="131">IF(ISERROR(V289/G289),"",V289/G289)</f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28"/>
      <c r="H290" s="398">
        <f t="shared" si="116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8"/>
        <v>0</v>
      </c>
      <c r="N290" s="130">
        <f t="shared" si="129"/>
        <v>0</v>
      </c>
      <c r="O290" s="389"/>
      <c r="P290" s="389"/>
      <c r="Q290" s="389"/>
      <c r="R290" s="389"/>
      <c r="S290" s="389"/>
      <c r="T290" s="389"/>
      <c r="U290" s="389"/>
      <c r="V290" s="132">
        <f t="shared" si="130"/>
        <v>0</v>
      </c>
      <c r="W290" s="133" t="str">
        <f t="shared" si="131"/>
        <v/>
      </c>
      <c r="X290" s="132"/>
      <c r="Y290" s="132"/>
      <c r="Z290" s="132"/>
      <c r="AA290" s="132"/>
    </row>
    <row r="291" spans="1:27" ht="20.100000000000001" hidden="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/>
      <c r="G291" s="128"/>
      <c r="H291" s="398">
        <f t="shared" si="116"/>
        <v>0</v>
      </c>
      <c r="I291" s="129"/>
      <c r="J291" s="130" t="str">
        <f t="array" ref="J291">IF(ISERROR(G291/I291),"",G291/I291)</f>
        <v/>
      </c>
      <c r="K291" s="398">
        <f t="array" ref="K291">IF(ISERROR(G291/L291),"",G291/L291)</f>
        <v>0</v>
      </c>
      <c r="L291" s="129">
        <v>9</v>
      </c>
      <c r="M291" s="109">
        <f t="shared" si="128"/>
        <v>0</v>
      </c>
      <c r="N291" s="130">
        <f t="shared" si="129"/>
        <v>0</v>
      </c>
      <c r="O291" s="389"/>
      <c r="P291" s="389"/>
      <c r="Q291" s="389"/>
      <c r="R291" s="389"/>
      <c r="S291" s="389"/>
      <c r="T291" s="389"/>
      <c r="U291" s="389"/>
      <c r="V291" s="132">
        <f t="shared" si="130"/>
        <v>0</v>
      </c>
      <c r="W291" s="133" t="str">
        <f t="shared" si="131"/>
        <v/>
      </c>
      <c r="X291" s="132"/>
      <c r="Y291" s="132"/>
      <c r="Z291" s="132"/>
      <c r="AA291" s="132"/>
    </row>
    <row r="292" spans="1:27" ht="20.100000000000001" customHeight="1">
      <c r="A292" s="578" t="s">
        <v>224</v>
      </c>
      <c r="B292" s="579"/>
      <c r="C292" s="396" t="s">
        <v>202</v>
      </c>
      <c r="D292" s="143"/>
      <c r="E292" s="143"/>
      <c r="F292" s="144"/>
      <c r="G292" s="145">
        <f>SUM(G258:G291)</f>
        <v>394</v>
      </c>
      <c r="H292" s="146">
        <f>SUM(H258:H291)</f>
        <v>1981.82</v>
      </c>
      <c r="I292" s="146">
        <f>SUM(I258:I291)</f>
        <v>64</v>
      </c>
      <c r="J292" s="130">
        <f t="array" ref="J292">IF(ISERROR(G292/I292),"",G292/I292)</f>
        <v>6.15625</v>
      </c>
      <c r="K292" s="146">
        <f>SUM(K258:K291)</f>
        <v>25.241935483870968</v>
      </c>
      <c r="L292" s="147"/>
      <c r="M292" s="150">
        <f t="shared" ref="M292:V292" si="132">SUM(M258:M291)</f>
        <v>38.758064516129032</v>
      </c>
      <c r="N292" s="146">
        <f t="shared" si="132"/>
        <v>0</v>
      </c>
      <c r="O292" s="148">
        <f t="shared" si="132"/>
        <v>0</v>
      </c>
      <c r="P292" s="148">
        <f t="shared" si="132"/>
        <v>0</v>
      </c>
      <c r="Q292" s="148">
        <f t="shared" si="132"/>
        <v>0</v>
      </c>
      <c r="R292" s="148">
        <f t="shared" si="132"/>
        <v>0</v>
      </c>
      <c r="S292" s="148">
        <f t="shared" si="132"/>
        <v>0</v>
      </c>
      <c r="T292" s="148">
        <f t="shared" si="132"/>
        <v>0</v>
      </c>
      <c r="U292" s="148">
        <f t="shared" si="132"/>
        <v>0</v>
      </c>
      <c r="V292" s="149">
        <f t="shared" si="132"/>
        <v>0</v>
      </c>
      <c r="W292" s="133">
        <f t="shared" si="131"/>
        <v>0</v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hidden="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/>
      <c r="G293" s="128"/>
      <c r="H293" s="398">
        <f t="shared" ref="H293:H307" si="133">D293*G293</f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ref="M293:M307" si="134">IF(ISERROR(I293-K293),"",I293-K293)</f>
        <v>0</v>
      </c>
      <c r="N293" s="130">
        <f t="shared" ref="N293:N307" si="135">SUM(O293:U293)</f>
        <v>0</v>
      </c>
      <c r="O293" s="389"/>
      <c r="P293" s="389"/>
      <c r="Q293" s="389"/>
      <c r="R293" s="389"/>
      <c r="S293" s="389"/>
      <c r="T293" s="389"/>
      <c r="U293" s="389"/>
      <c r="V293" s="132">
        <f t="shared" ref="V293:V307" si="136">SUM(X293:AA293)</f>
        <v>0</v>
      </c>
      <c r="W293" s="133" t="str">
        <f t="shared" si="131"/>
        <v/>
      </c>
      <c r="X293" s="132"/>
      <c r="Y293" s="132"/>
      <c r="Z293" s="132"/>
      <c r="AA293" s="132"/>
    </row>
    <row r="294" spans="1:27" ht="20.100000000000001" hidden="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/>
      <c r="G294" s="128"/>
      <c r="H294" s="398">
        <f t="shared" si="133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25</v>
      </c>
      <c r="M294" s="109">
        <f t="shared" si="134"/>
        <v>0</v>
      </c>
      <c r="N294" s="130">
        <f t="shared" si="135"/>
        <v>0</v>
      </c>
      <c r="O294" s="389"/>
      <c r="P294" s="389"/>
      <c r="Q294" s="389"/>
      <c r="R294" s="389"/>
      <c r="S294" s="389"/>
      <c r="T294" s="389"/>
      <c r="U294" s="389"/>
      <c r="V294" s="132">
        <f t="shared" si="136"/>
        <v>0</v>
      </c>
      <c r="W294" s="133" t="str">
        <f t="shared" si="131"/>
        <v/>
      </c>
      <c r="X294" s="132"/>
      <c r="Y294" s="132"/>
      <c r="Z294" s="132"/>
      <c r="AA294" s="132"/>
    </row>
    <row r="295" spans="1:27" ht="20.10000000000000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>
        <v>42737</v>
      </c>
      <c r="G295" s="128">
        <v>88</v>
      </c>
      <c r="H295" s="398">
        <f t="shared" si="133"/>
        <v>443.52</v>
      </c>
      <c r="I295" s="129">
        <f>3*4</f>
        <v>12</v>
      </c>
      <c r="J295" s="130">
        <f t="array" ref="J295">IF(ISERROR(G295/I295),"",G295/I295)</f>
        <v>7.333333333333333</v>
      </c>
      <c r="K295" s="131">
        <f t="array" ref="K295">IF(ISERROR(G295/L295),"",G295/L295)</f>
        <v>4.4000000000000004</v>
      </c>
      <c r="L295" s="129">
        <v>20</v>
      </c>
      <c r="M295" s="109">
        <f t="shared" si="134"/>
        <v>7.6</v>
      </c>
      <c r="N295" s="130">
        <f t="shared" si="135"/>
        <v>0</v>
      </c>
      <c r="O295" s="389"/>
      <c r="P295" s="389"/>
      <c r="Q295" s="389"/>
      <c r="R295" s="389"/>
      <c r="S295" s="389"/>
      <c r="T295" s="389"/>
      <c r="U295" s="389"/>
      <c r="V295" s="132">
        <f t="shared" si="136"/>
        <v>0</v>
      </c>
      <c r="W295" s="133">
        <f t="shared" si="131"/>
        <v>0</v>
      </c>
      <c r="X295" s="132"/>
      <c r="Y295" s="132"/>
      <c r="Z295" s="132"/>
      <c r="AA295" s="132"/>
    </row>
    <row r="296" spans="1:27" ht="20.100000000000001" hidden="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28"/>
      <c r="H296" s="398">
        <f t="shared" si="133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4"/>
        <v>0</v>
      </c>
      <c r="N296" s="130">
        <f t="shared" si="135"/>
        <v>0</v>
      </c>
      <c r="O296" s="389"/>
      <c r="P296" s="389"/>
      <c r="Q296" s="389"/>
      <c r="R296" s="389"/>
      <c r="S296" s="389"/>
      <c r="T296" s="389"/>
      <c r="U296" s="389"/>
      <c r="V296" s="132">
        <f t="shared" si="136"/>
        <v>0</v>
      </c>
      <c r="W296" s="133" t="str">
        <f t="shared" si="131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30100054</v>
      </c>
      <c r="B297" s="140" t="s">
        <v>227</v>
      </c>
      <c r="C297" s="394" t="s">
        <v>203</v>
      </c>
      <c r="D297" s="108">
        <v>5.03</v>
      </c>
      <c r="E297" s="108"/>
      <c r="F297" s="127"/>
      <c r="G297" s="128"/>
      <c r="H297" s="398">
        <f t="shared" si="133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4"/>
        <v>0</v>
      </c>
      <c r="N297" s="130">
        <f t="shared" si="135"/>
        <v>0</v>
      </c>
      <c r="O297" s="389"/>
      <c r="P297" s="389"/>
      <c r="Q297" s="389"/>
      <c r="R297" s="389"/>
      <c r="S297" s="389"/>
      <c r="T297" s="389"/>
      <c r="U297" s="389"/>
      <c r="V297" s="132">
        <f t="shared" si="136"/>
        <v>0</v>
      </c>
      <c r="W297" s="133" t="str">
        <f t="shared" si="131"/>
        <v/>
      </c>
      <c r="X297" s="132"/>
      <c r="Y297" s="132"/>
      <c r="Z297" s="132"/>
      <c r="AA297" s="132"/>
    </row>
    <row r="298" spans="1:27" ht="20.100000000000001" hidden="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/>
      <c r="G298" s="128"/>
      <c r="H298" s="398">
        <f t="shared" si="133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4"/>
        <v>0</v>
      </c>
      <c r="N298" s="130">
        <f t="shared" si="135"/>
        <v>0</v>
      </c>
      <c r="O298" s="389"/>
      <c r="P298" s="389"/>
      <c r="Q298" s="389"/>
      <c r="R298" s="389"/>
      <c r="S298" s="389"/>
      <c r="T298" s="389"/>
      <c r="U298" s="389"/>
      <c r="V298" s="132">
        <f t="shared" si="136"/>
        <v>0</v>
      </c>
      <c r="W298" s="133" t="str">
        <f t="shared" si="131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28"/>
      <c r="H299" s="398">
        <f t="shared" si="133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4"/>
        <v>0</v>
      </c>
      <c r="N299" s="130">
        <f t="shared" si="135"/>
        <v>0</v>
      </c>
      <c r="O299" s="389"/>
      <c r="P299" s="389"/>
      <c r="Q299" s="389"/>
      <c r="R299" s="389"/>
      <c r="S299" s="389"/>
      <c r="T299" s="389"/>
      <c r="U299" s="389"/>
      <c r="V299" s="132">
        <f t="shared" si="136"/>
        <v>0</v>
      </c>
      <c r="W299" s="133" t="str">
        <f t="shared" si="131"/>
        <v/>
      </c>
      <c r="X299" s="132"/>
      <c r="Y299" s="132"/>
      <c r="Z299" s="132"/>
      <c r="AA299" s="132"/>
    </row>
    <row r="300" spans="1:27" ht="20.100000000000001" hidden="1" customHeight="1">
      <c r="A300" s="299"/>
      <c r="B300" s="140" t="s">
        <v>227</v>
      </c>
      <c r="C300" s="394" t="s">
        <v>228</v>
      </c>
      <c r="D300" s="108">
        <v>5.03</v>
      </c>
      <c r="E300" s="108"/>
      <c r="F300" s="127"/>
      <c r="G300" s="128"/>
      <c r="H300" s="398">
        <f t="shared" si="133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4"/>
        <v>0</v>
      </c>
      <c r="N300" s="130">
        <f t="shared" si="135"/>
        <v>0</v>
      </c>
      <c r="O300" s="389"/>
      <c r="P300" s="389"/>
      <c r="Q300" s="389"/>
      <c r="R300" s="389"/>
      <c r="S300" s="389"/>
      <c r="T300" s="389"/>
      <c r="U300" s="389"/>
      <c r="V300" s="132">
        <f t="shared" si="136"/>
        <v>0</v>
      </c>
      <c r="W300" s="133" t="str">
        <f t="shared" si="131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30101067</v>
      </c>
      <c r="B301" s="140" t="s">
        <v>229</v>
      </c>
      <c r="C301" s="394" t="s">
        <v>212</v>
      </c>
      <c r="D301" s="108">
        <v>5.03</v>
      </c>
      <c r="E301" s="108"/>
      <c r="F301" s="127"/>
      <c r="G301" s="128"/>
      <c r="H301" s="398">
        <f t="shared" si="133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4"/>
        <v/>
      </c>
      <c r="N301" s="130">
        <f t="shared" si="135"/>
        <v>0</v>
      </c>
      <c r="O301" s="389"/>
      <c r="P301" s="389"/>
      <c r="Q301" s="389"/>
      <c r="R301" s="389"/>
      <c r="S301" s="389"/>
      <c r="T301" s="389"/>
      <c r="U301" s="389"/>
      <c r="V301" s="132">
        <f t="shared" si="136"/>
        <v>0</v>
      </c>
      <c r="W301" s="133" t="str">
        <f t="shared" si="131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30101068</v>
      </c>
      <c r="B302" s="140" t="s">
        <v>229</v>
      </c>
      <c r="C302" s="394" t="s">
        <v>203</v>
      </c>
      <c r="D302" s="108">
        <v>5.03</v>
      </c>
      <c r="E302" s="108"/>
      <c r="F302" s="127"/>
      <c r="G302" s="128"/>
      <c r="H302" s="398">
        <f t="shared" si="133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4"/>
        <v/>
      </c>
      <c r="N302" s="130">
        <f t="shared" si="135"/>
        <v>0</v>
      </c>
      <c r="O302" s="389"/>
      <c r="P302" s="389"/>
      <c r="Q302" s="389"/>
      <c r="R302" s="389"/>
      <c r="S302" s="389"/>
      <c r="T302" s="389"/>
      <c r="U302" s="389"/>
      <c r="V302" s="132">
        <f t="shared" si="136"/>
        <v>0</v>
      </c>
      <c r="W302" s="133" t="str">
        <f t="shared" si="131"/>
        <v/>
      </c>
      <c r="X302" s="132"/>
      <c r="Y302" s="132"/>
      <c r="Z302" s="132"/>
      <c r="AA302" s="132"/>
    </row>
    <row r="303" spans="1:27" ht="20.100000000000001" hidden="1" customHeight="1">
      <c r="A303" s="299">
        <v>30101069</v>
      </c>
      <c r="B303" s="140" t="s">
        <v>229</v>
      </c>
      <c r="C303" s="394" t="s">
        <v>186</v>
      </c>
      <c r="D303" s="108">
        <v>5.03</v>
      </c>
      <c r="E303" s="108"/>
      <c r="F303" s="127"/>
      <c r="G303" s="128"/>
      <c r="H303" s="398">
        <f t="shared" si="133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4"/>
        <v/>
      </c>
      <c r="N303" s="130">
        <f t="shared" si="135"/>
        <v>0</v>
      </c>
      <c r="O303" s="389"/>
      <c r="P303" s="389"/>
      <c r="Q303" s="389"/>
      <c r="R303" s="389"/>
      <c r="S303" s="389"/>
      <c r="T303" s="389"/>
      <c r="U303" s="389"/>
      <c r="V303" s="132">
        <f t="shared" si="136"/>
        <v>0</v>
      </c>
      <c r="W303" s="133" t="str">
        <f t="shared" si="131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30101070</v>
      </c>
      <c r="B304" s="140" t="s">
        <v>229</v>
      </c>
      <c r="C304" s="394" t="s">
        <v>228</v>
      </c>
      <c r="D304" s="108">
        <v>5.03</v>
      </c>
      <c r="E304" s="108"/>
      <c r="F304" s="127"/>
      <c r="G304" s="128"/>
      <c r="H304" s="398">
        <f t="shared" si="133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4"/>
        <v/>
      </c>
      <c r="N304" s="130">
        <f t="shared" si="135"/>
        <v>0</v>
      </c>
      <c r="O304" s="389"/>
      <c r="P304" s="389"/>
      <c r="Q304" s="389"/>
      <c r="R304" s="389"/>
      <c r="S304" s="389"/>
      <c r="T304" s="389"/>
      <c r="U304" s="389"/>
      <c r="V304" s="132">
        <f t="shared" si="136"/>
        <v>0</v>
      </c>
      <c r="W304" s="133" t="str">
        <f t="shared" si="131"/>
        <v/>
      </c>
      <c r="X304" s="132"/>
      <c r="Y304" s="132"/>
      <c r="Z304" s="132"/>
      <c r="AA304" s="132"/>
    </row>
    <row r="305" spans="1:27" ht="20.100000000000001" hidden="1" customHeight="1">
      <c r="A305" s="299">
        <v>30101071</v>
      </c>
      <c r="B305" s="140" t="s">
        <v>229</v>
      </c>
      <c r="C305" s="394" t="s">
        <v>199</v>
      </c>
      <c r="D305" s="108">
        <v>5.03</v>
      </c>
      <c r="E305" s="108"/>
      <c r="F305" s="127"/>
      <c r="G305" s="128"/>
      <c r="H305" s="398">
        <f t="shared" si="133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4"/>
        <v/>
      </c>
      <c r="N305" s="130">
        <f t="shared" si="135"/>
        <v>0</v>
      </c>
      <c r="O305" s="389"/>
      <c r="P305" s="389"/>
      <c r="Q305" s="389"/>
      <c r="R305" s="389"/>
      <c r="S305" s="389"/>
      <c r="T305" s="389"/>
      <c r="U305" s="389"/>
      <c r="V305" s="132">
        <f t="shared" si="136"/>
        <v>0</v>
      </c>
      <c r="W305" s="133" t="str">
        <f t="shared" si="131"/>
        <v/>
      </c>
      <c r="X305" s="132"/>
      <c r="Y305" s="132"/>
      <c r="Z305" s="132"/>
      <c r="AA305" s="132"/>
    </row>
    <row r="306" spans="1:27" ht="20.10000000000000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>
        <v>42736</v>
      </c>
      <c r="G306" s="128">
        <v>47</v>
      </c>
      <c r="H306" s="398">
        <f t="shared" si="133"/>
        <v>237.82</v>
      </c>
      <c r="I306" s="129">
        <v>2</v>
      </c>
      <c r="J306" s="130">
        <f t="array" ref="J306">IF(ISERROR(G306/I306),"",G306/I306)</f>
        <v>23.5</v>
      </c>
      <c r="K306" s="131">
        <f t="array" ref="K306">IF(ISERROR(G306/L306),"",G306/L306)</f>
        <v>1.88</v>
      </c>
      <c r="L306" s="129">
        <v>25</v>
      </c>
      <c r="M306" s="109">
        <f t="shared" si="134"/>
        <v>0.12000000000000011</v>
      </c>
      <c r="N306" s="130">
        <f t="shared" si="135"/>
        <v>0</v>
      </c>
      <c r="O306" s="389"/>
      <c r="P306" s="389"/>
      <c r="Q306" s="389"/>
      <c r="R306" s="389"/>
      <c r="S306" s="389"/>
      <c r="T306" s="389"/>
      <c r="U306" s="389"/>
      <c r="V306" s="132">
        <f t="shared" si="136"/>
        <v>0</v>
      </c>
      <c r="W306" s="133">
        <f t="shared" si="131"/>
        <v>0</v>
      </c>
      <c r="X306" s="132"/>
      <c r="Y306" s="132"/>
      <c r="Z306" s="132"/>
      <c r="AA306" s="132"/>
    </row>
    <row r="307" spans="1:27" ht="20.10000000000000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>
        <v>42737</v>
      </c>
      <c r="G307" s="128">
        <f>90*7+91</f>
        <v>721</v>
      </c>
      <c r="H307" s="398">
        <f t="shared" si="133"/>
        <v>3648.2599999999998</v>
      </c>
      <c r="I307" s="129">
        <f>8.5*4</f>
        <v>34</v>
      </c>
      <c r="J307" s="130">
        <f t="array" ref="J307">IF(ISERROR(G307/I307),"",G307/I307)</f>
        <v>21.205882352941178</v>
      </c>
      <c r="K307" s="131">
        <f t="array" ref="K307">IF(ISERROR(G307/L307),"",G307/L307)</f>
        <v>28.84</v>
      </c>
      <c r="L307" s="129">
        <v>25</v>
      </c>
      <c r="M307" s="109">
        <f t="shared" si="134"/>
        <v>5.16</v>
      </c>
      <c r="N307" s="130">
        <f t="shared" si="135"/>
        <v>0</v>
      </c>
      <c r="O307" s="389"/>
      <c r="P307" s="389"/>
      <c r="Q307" s="389"/>
      <c r="R307" s="389"/>
      <c r="S307" s="389"/>
      <c r="T307" s="389"/>
      <c r="U307" s="389"/>
      <c r="V307" s="132">
        <f t="shared" si="136"/>
        <v>0</v>
      </c>
      <c r="W307" s="133">
        <f t="shared" si="131"/>
        <v>0</v>
      </c>
      <c r="X307" s="132"/>
      <c r="Y307" s="132"/>
      <c r="Z307" s="132"/>
      <c r="AA307" s="132"/>
    </row>
    <row r="308" spans="1:27" ht="20.100000000000001" customHeight="1">
      <c r="A308" s="578" t="s">
        <v>231</v>
      </c>
      <c r="B308" s="579"/>
      <c r="C308" s="396" t="s">
        <v>202</v>
      </c>
      <c r="D308" s="143"/>
      <c r="E308" s="143"/>
      <c r="F308" s="144"/>
      <c r="G308" s="145">
        <f>SUM(G293:G307)</f>
        <v>856</v>
      </c>
      <c r="H308" s="146">
        <f>SUM(H293:H307)</f>
        <v>4329.5999999999995</v>
      </c>
      <c r="I308" s="146">
        <f>SUM(I293:I307)</f>
        <v>48</v>
      </c>
      <c r="J308" s="130">
        <f t="array" ref="J308">IF(ISERROR(G308/I308),"",G308/I308)</f>
        <v>17.833333333333332</v>
      </c>
      <c r="K308" s="146">
        <f>SUM(K293:K307)</f>
        <v>35.119999999999997</v>
      </c>
      <c r="L308" s="146"/>
      <c r="M308" s="150">
        <f>SUM(M293:M307)</f>
        <v>12.879999999999999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>
        <f t="shared" si="131"/>
        <v>0</v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hidden="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28"/>
      <c r="H309" s="398">
        <f t="shared" ref="H309:H318" si="137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3" si="138">IF(ISERROR(I309-K309),"",I309-K309)</f>
        <v>0</v>
      </c>
      <c r="N309" s="130">
        <f t="shared" ref="N309:N313" si="139">SUM(O309:U309)</f>
        <v>0</v>
      </c>
      <c r="O309" s="389"/>
      <c r="P309" s="389"/>
      <c r="Q309" s="389"/>
      <c r="R309" s="389"/>
      <c r="S309" s="389"/>
      <c r="T309" s="389"/>
      <c r="U309" s="389"/>
      <c r="V309" s="132">
        <f t="shared" ref="V309:V313" si="140">SUM(X309:AA309)</f>
        <v>0</v>
      </c>
      <c r="W309" s="133" t="str">
        <f t="shared" si="131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28"/>
      <c r="H310" s="398">
        <f t="shared" si="137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8"/>
        <v>0</v>
      </c>
      <c r="N310" s="130">
        <f t="shared" si="139"/>
        <v>0</v>
      </c>
      <c r="O310" s="389"/>
      <c r="P310" s="389"/>
      <c r="Q310" s="389"/>
      <c r="R310" s="389"/>
      <c r="S310" s="389"/>
      <c r="T310" s="389"/>
      <c r="U310" s="389"/>
      <c r="V310" s="132">
        <f t="shared" si="140"/>
        <v>0</v>
      </c>
      <c r="W310" s="133" t="str">
        <f t="shared" si="131"/>
        <v/>
      </c>
      <c r="X310" s="132"/>
      <c r="Y310" s="132"/>
      <c r="Z310" s="132"/>
      <c r="AA310" s="132"/>
    </row>
    <row r="311" spans="1:27" ht="20.100000000000001" hidden="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28"/>
      <c r="H311" s="398">
        <f t="shared" si="137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8"/>
        <v>0</v>
      </c>
      <c r="N311" s="130">
        <f t="shared" si="139"/>
        <v>0</v>
      </c>
      <c r="O311" s="389"/>
      <c r="P311" s="389"/>
      <c r="Q311" s="389"/>
      <c r="R311" s="389"/>
      <c r="S311" s="389"/>
      <c r="T311" s="389"/>
      <c r="U311" s="389"/>
      <c r="V311" s="132">
        <f t="shared" si="140"/>
        <v>0</v>
      </c>
      <c r="W311" s="133" t="str">
        <f t="shared" si="131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28"/>
      <c r="H312" s="398">
        <f t="shared" si="137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8"/>
        <v>0</v>
      </c>
      <c r="N312" s="130">
        <f t="shared" si="139"/>
        <v>0</v>
      </c>
      <c r="O312" s="389"/>
      <c r="P312" s="389"/>
      <c r="Q312" s="389"/>
      <c r="R312" s="389"/>
      <c r="S312" s="389"/>
      <c r="T312" s="389"/>
      <c r="U312" s="389"/>
      <c r="V312" s="132">
        <f t="shared" si="140"/>
        <v>0</v>
      </c>
      <c r="W312" s="133" t="str">
        <f t="shared" si="131"/>
        <v/>
      </c>
      <c r="X312" s="132"/>
      <c r="Y312" s="132"/>
      <c r="Z312" s="132"/>
      <c r="AA312" s="132"/>
    </row>
    <row r="313" spans="1:27" ht="20.100000000000001" hidden="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28"/>
      <c r="H313" s="398">
        <f t="shared" si="137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38"/>
        <v>0</v>
      </c>
      <c r="N313" s="130">
        <f t="shared" si="139"/>
        <v>0</v>
      </c>
      <c r="O313" s="389"/>
      <c r="P313" s="389"/>
      <c r="Q313" s="389"/>
      <c r="R313" s="389"/>
      <c r="S313" s="389"/>
      <c r="T313" s="389"/>
      <c r="U313" s="389"/>
      <c r="V313" s="132">
        <f t="shared" si="140"/>
        <v>0</v>
      </c>
      <c r="W313" s="133" t="str">
        <f t="shared" si="131"/>
        <v/>
      </c>
      <c r="X313" s="132"/>
      <c r="Y313" s="132"/>
      <c r="Z313" s="132"/>
      <c r="AA313" s="132"/>
    </row>
    <row r="314" spans="1:27" ht="20.100000000000001" hidden="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/>
      <c r="G314" s="128"/>
      <c r="H314" s="398">
        <f t="shared" si="137"/>
        <v>0</v>
      </c>
      <c r="I314" s="129"/>
      <c r="J314" s="130"/>
      <c r="K314" s="131"/>
      <c r="L314" s="129">
        <v>13.5</v>
      </c>
      <c r="M314" s="109"/>
      <c r="N314" s="130"/>
      <c r="O314" s="389"/>
      <c r="P314" s="389"/>
      <c r="Q314" s="389"/>
      <c r="R314" s="389"/>
      <c r="S314" s="389"/>
      <c r="T314" s="389"/>
      <c r="U314" s="389"/>
      <c r="V314" s="132"/>
      <c r="W314" s="133"/>
      <c r="X314" s="132"/>
      <c r="Y314" s="132"/>
      <c r="Z314" s="132"/>
      <c r="AA314" s="132"/>
    </row>
    <row r="315" spans="1:27" ht="20.100000000000001" customHeight="1">
      <c r="A315" s="300">
        <v>30400020</v>
      </c>
      <c r="B315" s="134" t="s">
        <v>439</v>
      </c>
      <c r="C315" s="187" t="s">
        <v>74</v>
      </c>
      <c r="D315" s="108">
        <v>5.03</v>
      </c>
      <c r="E315" s="108"/>
      <c r="F315" s="127">
        <v>42727</v>
      </c>
      <c r="G315" s="128">
        <v>6</v>
      </c>
      <c r="H315" s="398">
        <f t="shared" si="137"/>
        <v>30.18</v>
      </c>
      <c r="I315" s="129">
        <v>1</v>
      </c>
      <c r="J315" s="130">
        <f t="array" ref="J315">IF(ISERROR(G315/I315),"",G315/I315)</f>
        <v>6</v>
      </c>
      <c r="K315" s="131">
        <f t="array" ref="K315">IF(ISERROR(G315/L315),"",G315/L315)</f>
        <v>0.44444444444444442</v>
      </c>
      <c r="L315" s="129">
        <v>13.5</v>
      </c>
      <c r="M315" s="109">
        <f t="shared" ref="M315:M316" si="141">IF(ISERROR(I315-K315),"",I315-K315)</f>
        <v>0.55555555555555558</v>
      </c>
      <c r="N315" s="130"/>
      <c r="O315" s="389"/>
      <c r="P315" s="389"/>
      <c r="Q315" s="389"/>
      <c r="R315" s="389"/>
      <c r="S315" s="389"/>
      <c r="T315" s="389"/>
      <c r="U315" s="389"/>
      <c r="V315" s="132"/>
      <c r="W315" s="133"/>
      <c r="X315" s="132"/>
      <c r="Y315" s="132"/>
      <c r="Z315" s="132"/>
      <c r="AA315" s="132"/>
    </row>
    <row r="316" spans="1:27" ht="20.100000000000001" customHeight="1">
      <c r="A316" s="300">
        <v>30400021</v>
      </c>
      <c r="B316" s="134" t="s">
        <v>439</v>
      </c>
      <c r="C316" s="187" t="s">
        <v>53</v>
      </c>
      <c r="D316" s="108">
        <v>5.03</v>
      </c>
      <c r="E316" s="108"/>
      <c r="F316" s="127">
        <v>42737</v>
      </c>
      <c r="G316" s="128">
        <v>90</v>
      </c>
      <c r="H316" s="398">
        <f t="shared" si="137"/>
        <v>452.70000000000005</v>
      </c>
      <c r="I316" s="129">
        <f>3.5*4</f>
        <v>14</v>
      </c>
      <c r="J316" s="130">
        <f t="array" ref="J316">IF(ISERROR(G316/I316),"",G316/I316)</f>
        <v>6.4285714285714288</v>
      </c>
      <c r="K316" s="131">
        <f t="array" ref="K316">IF(ISERROR(G316/L316),"",G316/L316)</f>
        <v>6.666666666666667</v>
      </c>
      <c r="L316" s="129">
        <v>13.5</v>
      </c>
      <c r="M316" s="109">
        <f t="shared" si="141"/>
        <v>7.333333333333333</v>
      </c>
      <c r="N316" s="130"/>
      <c r="O316" s="389"/>
      <c r="P316" s="389"/>
      <c r="Q316" s="389"/>
      <c r="R316" s="389"/>
      <c r="S316" s="389"/>
      <c r="T316" s="389"/>
      <c r="U316" s="389"/>
      <c r="V316" s="132"/>
      <c r="W316" s="133"/>
      <c r="X316" s="132"/>
      <c r="Y316" s="132"/>
      <c r="Z316" s="132"/>
      <c r="AA316" s="132"/>
    </row>
    <row r="317" spans="1:27" ht="20.10000000000000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/>
      <c r="G317" s="128"/>
      <c r="H317" s="438">
        <f t="shared" si="137"/>
        <v>0</v>
      </c>
      <c r="I317" s="129"/>
      <c r="J317" s="130"/>
      <c r="K317" s="131"/>
      <c r="L317" s="129"/>
      <c r="M317" s="109"/>
      <c r="N317" s="130"/>
      <c r="O317" s="446"/>
      <c r="P317" s="446"/>
      <c r="Q317" s="446"/>
      <c r="R317" s="446"/>
      <c r="S317" s="446"/>
      <c r="T317" s="446"/>
      <c r="U317" s="446"/>
      <c r="V317" s="132"/>
      <c r="W317" s="133"/>
      <c r="X317" s="132"/>
      <c r="Y317" s="132"/>
      <c r="Z317" s="132"/>
      <c r="AA317" s="132"/>
    </row>
    <row r="318" spans="1:27" ht="20.100000000000001" hidden="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28"/>
      <c r="H318" s="398">
        <f t="shared" si="137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ref="M318" si="142">IF(ISERROR(I318-K318),"",I318-K318)</f>
        <v>0</v>
      </c>
      <c r="N318" s="130">
        <f t="shared" ref="N318" si="143">SUM(O318:U318)</f>
        <v>0</v>
      </c>
      <c r="O318" s="389"/>
      <c r="P318" s="389"/>
      <c r="Q318" s="389"/>
      <c r="R318" s="389"/>
      <c r="S318" s="389"/>
      <c r="T318" s="389"/>
      <c r="U318" s="389"/>
      <c r="V318" s="132">
        <f t="shared" ref="V318" si="144">SUM(X318:AA318)</f>
        <v>0</v>
      </c>
      <c r="W318" s="133" t="str">
        <f t="shared" ref="W318:W323" si="145">IF(ISERROR(V318/G318),"",V318/G318)</f>
        <v/>
      </c>
      <c r="X318" s="132"/>
      <c r="Y318" s="132"/>
      <c r="Z318" s="132"/>
      <c r="AA318" s="132"/>
    </row>
    <row r="319" spans="1:27" ht="20.100000000000001" customHeight="1">
      <c r="A319" s="578" t="s">
        <v>234</v>
      </c>
      <c r="B319" s="579"/>
      <c r="C319" s="396" t="s">
        <v>202</v>
      </c>
      <c r="D319" s="143"/>
      <c r="E319" s="143"/>
      <c r="F319" s="144"/>
      <c r="G319" s="145">
        <f>SUM(G309:G318)</f>
        <v>96</v>
      </c>
      <c r="H319" s="146">
        <f>SUM(H309:H318)</f>
        <v>482.88000000000005</v>
      </c>
      <c r="I319" s="146">
        <f>SUM(I309:I318)</f>
        <v>15</v>
      </c>
      <c r="J319" s="130">
        <f t="array" ref="J319">IF(ISERROR(G319/I319),"",G319/I319)</f>
        <v>6.4</v>
      </c>
      <c r="K319" s="146">
        <f>SUM(K309:K318)</f>
        <v>7.1111111111111116</v>
      </c>
      <c r="L319" s="147"/>
      <c r="M319" s="150">
        <f>SUM(M309:M318)</f>
        <v>7.8888888888888884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>
        <f t="shared" si="145"/>
        <v>0</v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hidden="1" customHeight="1">
      <c r="A320" s="299">
        <v>30700013</v>
      </c>
      <c r="B320" s="141" t="s">
        <v>235</v>
      </c>
      <c r="C320" s="388"/>
      <c r="D320" s="108">
        <v>3.65</v>
      </c>
      <c r="E320" s="108"/>
      <c r="F320" s="153"/>
      <c r="G320" s="128"/>
      <c r="H320" s="398">
        <f t="shared" ref="H320:H333" si="146">D320*G320</f>
        <v>0</v>
      </c>
      <c r="I320" s="129"/>
      <c r="J320" s="130" t="str">
        <f t="array" ref="J320">IF(ISERROR(G320/I320),"",G320/I320)</f>
        <v/>
      </c>
      <c r="K320" s="398">
        <f t="array" ref="K320">IF(ISERROR(G320/L320),"",G320/L320)</f>
        <v>0</v>
      </c>
      <c r="L320" s="129">
        <v>5</v>
      </c>
      <c r="M320" s="109">
        <f t="shared" ref="M320:M323" si="147">IF(ISERROR(I320-K320),"",I320-K320)</f>
        <v>0</v>
      </c>
      <c r="N320" s="130">
        <f t="shared" ref="N320:N323" si="148">SUM(O320:U320)</f>
        <v>0</v>
      </c>
      <c r="O320" s="389"/>
      <c r="P320" s="389"/>
      <c r="Q320" s="389"/>
      <c r="R320" s="389"/>
      <c r="S320" s="389"/>
      <c r="T320" s="389"/>
      <c r="U320" s="389"/>
      <c r="V320" s="132">
        <f t="shared" ref="V320:V323" si="149">SUM(X320:AA320)</f>
        <v>0</v>
      </c>
      <c r="W320" s="133" t="str">
        <f t="shared" si="145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30700014</v>
      </c>
      <c r="B321" s="141" t="s">
        <v>236</v>
      </c>
      <c r="C321" s="388"/>
      <c r="D321" s="108">
        <v>6.58</v>
      </c>
      <c r="E321" s="108"/>
      <c r="F321" s="127"/>
      <c r="G321" s="128"/>
      <c r="H321" s="398">
        <f t="shared" si="146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</v>
      </c>
      <c r="M321" s="109">
        <f t="shared" si="147"/>
        <v>0</v>
      </c>
      <c r="N321" s="130">
        <f t="shared" si="148"/>
        <v>0</v>
      </c>
      <c r="O321" s="389"/>
      <c r="P321" s="389"/>
      <c r="Q321" s="389"/>
      <c r="R321" s="389"/>
      <c r="S321" s="389"/>
      <c r="T321" s="389"/>
      <c r="U321" s="389"/>
      <c r="V321" s="132">
        <f t="shared" si="149"/>
        <v>0</v>
      </c>
      <c r="W321" s="133" t="str">
        <f t="shared" si="145"/>
        <v/>
      </c>
      <c r="X321" s="132"/>
      <c r="Y321" s="132"/>
      <c r="Z321" s="132"/>
      <c r="AA321" s="132"/>
    </row>
    <row r="322" spans="1:27" ht="20.100000000000001" hidden="1" customHeight="1">
      <c r="A322" s="299">
        <v>30700016</v>
      </c>
      <c r="B322" s="141" t="s">
        <v>237</v>
      </c>
      <c r="C322" s="388"/>
      <c r="D322" s="108">
        <v>7.8</v>
      </c>
      <c r="E322" s="108"/>
      <c r="F322" s="127"/>
      <c r="G322" s="128"/>
      <c r="H322" s="398">
        <f t="shared" si="146"/>
        <v>0</v>
      </c>
      <c r="I322" s="129"/>
      <c r="J322" s="130" t="str">
        <f t="array" ref="J322">IF(ISERROR(G322/I322),"",G322/I322)</f>
        <v/>
      </c>
      <c r="K322" s="131">
        <f t="array" ref="K322">IF(ISERROR(G322/L322),"",G322/L322)</f>
        <v>0</v>
      </c>
      <c r="L322" s="129">
        <v>4.5999999999999996</v>
      </c>
      <c r="M322" s="109">
        <f t="shared" si="147"/>
        <v>0</v>
      </c>
      <c r="N322" s="130">
        <f t="shared" si="148"/>
        <v>0</v>
      </c>
      <c r="O322" s="389"/>
      <c r="P322" s="389"/>
      <c r="Q322" s="389"/>
      <c r="R322" s="389"/>
      <c r="S322" s="389"/>
      <c r="T322" s="389"/>
      <c r="U322" s="389"/>
      <c r="V322" s="132">
        <f t="shared" si="149"/>
        <v>0</v>
      </c>
      <c r="W322" s="133" t="str">
        <f t="shared" si="145"/>
        <v/>
      </c>
      <c r="X322" s="132"/>
      <c r="Y322" s="132"/>
      <c r="Z322" s="132"/>
      <c r="AA322" s="132"/>
    </row>
    <row r="323" spans="1:27" ht="20.100000000000001" hidden="1" customHeight="1">
      <c r="A323" s="299">
        <v>30700017</v>
      </c>
      <c r="B323" s="141" t="s">
        <v>238</v>
      </c>
      <c r="C323" s="388"/>
      <c r="D323" s="108">
        <v>4.4000000000000004</v>
      </c>
      <c r="E323" s="108"/>
      <c r="F323" s="127"/>
      <c r="G323" s="128"/>
      <c r="H323" s="398">
        <f t="shared" si="146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5.8</v>
      </c>
      <c r="M323" s="109">
        <f t="shared" si="147"/>
        <v>0</v>
      </c>
      <c r="N323" s="130">
        <f t="shared" si="148"/>
        <v>0</v>
      </c>
      <c r="O323" s="389"/>
      <c r="P323" s="389"/>
      <c r="Q323" s="389"/>
      <c r="R323" s="389"/>
      <c r="S323" s="389"/>
      <c r="T323" s="389"/>
      <c r="U323" s="389"/>
      <c r="V323" s="132">
        <f t="shared" si="149"/>
        <v>0</v>
      </c>
      <c r="W323" s="133" t="str">
        <f t="shared" si="145"/>
        <v/>
      </c>
      <c r="X323" s="132"/>
      <c r="Y323" s="132"/>
      <c r="Z323" s="132"/>
      <c r="AA323" s="132"/>
    </row>
    <row r="324" spans="1:27" ht="20.100000000000001" hidden="1" customHeight="1">
      <c r="A324" s="299">
        <v>30700001</v>
      </c>
      <c r="B324" s="127" t="s">
        <v>359</v>
      </c>
      <c r="C324" s="388"/>
      <c r="D324" s="108"/>
      <c r="E324" s="108"/>
      <c r="F324" s="127"/>
      <c r="G324" s="128"/>
      <c r="H324" s="398">
        <f t="shared" si="146"/>
        <v>0</v>
      </c>
      <c r="I324" s="129"/>
      <c r="J324" s="130"/>
      <c r="K324" s="131"/>
      <c r="L324" s="129">
        <v>6</v>
      </c>
      <c r="M324" s="109"/>
      <c r="N324" s="130"/>
      <c r="O324" s="389"/>
      <c r="P324" s="389"/>
      <c r="Q324" s="389"/>
      <c r="R324" s="389"/>
      <c r="S324" s="389"/>
      <c r="T324" s="389"/>
      <c r="U324" s="389"/>
      <c r="V324" s="132"/>
      <c r="W324" s="133"/>
      <c r="X324" s="132"/>
      <c r="Y324" s="132"/>
      <c r="Z324" s="132"/>
      <c r="AA324" s="132"/>
    </row>
    <row r="325" spans="1:27" ht="20.100000000000001" hidden="1" customHeight="1">
      <c r="A325" s="305"/>
      <c r="B325" s="388" t="s">
        <v>239</v>
      </c>
      <c r="C325" s="388" t="s">
        <v>179</v>
      </c>
      <c r="D325" s="108">
        <v>6.04</v>
      </c>
      <c r="E325" s="108"/>
      <c r="F325" s="127"/>
      <c r="G325" s="128"/>
      <c r="H325" s="398">
        <f t="shared" si="146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6" si="150">IF(ISERROR(I325-K325),"",I325-K325)</f>
        <v>0</v>
      </c>
      <c r="N325" s="130">
        <f t="shared" ref="N325:N326" si="151">SUM(O325:U325)</f>
        <v>0</v>
      </c>
      <c r="O325" s="389"/>
      <c r="P325" s="389"/>
      <c r="Q325" s="389"/>
      <c r="R325" s="389"/>
      <c r="S325" s="389"/>
      <c r="T325" s="389"/>
      <c r="U325" s="389"/>
      <c r="V325" s="132">
        <f t="shared" ref="V325:V326" si="152">SUM(X325:AA325)</f>
        <v>0</v>
      </c>
      <c r="W325" s="133" t="str">
        <f t="shared" ref="W325:W326" si="153">IF(ISERROR(V325/G325),"",V325/G325)</f>
        <v/>
      </c>
      <c r="X325" s="132"/>
      <c r="Y325" s="132"/>
      <c r="Z325" s="132"/>
      <c r="AA325" s="132"/>
    </row>
    <row r="326" spans="1:27" ht="20.100000000000001" hidden="1" customHeight="1">
      <c r="A326" s="305">
        <v>30700019</v>
      </c>
      <c r="B326" s="388" t="s">
        <v>239</v>
      </c>
      <c r="C326" s="388" t="s">
        <v>186</v>
      </c>
      <c r="D326" s="108">
        <v>6.04</v>
      </c>
      <c r="E326" s="108"/>
      <c r="F326" s="127"/>
      <c r="G326" s="128"/>
      <c r="H326" s="398">
        <f t="shared" si="146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50"/>
        <v>0</v>
      </c>
      <c r="N326" s="130">
        <f t="shared" si="151"/>
        <v>0</v>
      </c>
      <c r="O326" s="389"/>
      <c r="P326" s="389"/>
      <c r="Q326" s="389"/>
      <c r="R326" s="389"/>
      <c r="S326" s="389"/>
      <c r="T326" s="389"/>
      <c r="U326" s="389"/>
      <c r="V326" s="132">
        <f t="shared" si="152"/>
        <v>0</v>
      </c>
      <c r="W326" s="133" t="str">
        <f t="shared" si="153"/>
        <v/>
      </c>
      <c r="X326" s="132"/>
      <c r="Y326" s="132"/>
      <c r="Z326" s="132"/>
      <c r="AA326" s="132"/>
    </row>
    <row r="327" spans="1:27" ht="20.100000000000001" hidden="1" customHeight="1">
      <c r="A327" s="305">
        <v>30601015</v>
      </c>
      <c r="B327" s="388" t="s">
        <v>443</v>
      </c>
      <c r="C327" s="388" t="s">
        <v>179</v>
      </c>
      <c r="D327" s="108">
        <v>6</v>
      </c>
      <c r="E327" s="108"/>
      <c r="F327" s="127"/>
      <c r="G327" s="128"/>
      <c r="H327" s="398">
        <f t="shared" si="146"/>
        <v>0</v>
      </c>
      <c r="I327" s="129"/>
      <c r="J327" s="130"/>
      <c r="K327" s="131"/>
      <c r="L327" s="129"/>
      <c r="M327" s="109"/>
      <c r="N327" s="130"/>
      <c r="O327" s="389"/>
      <c r="P327" s="389"/>
      <c r="Q327" s="389"/>
      <c r="R327" s="389"/>
      <c r="S327" s="389"/>
      <c r="T327" s="389"/>
      <c r="U327" s="389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305">
        <v>30101016</v>
      </c>
      <c r="B328" s="388" t="s">
        <v>443</v>
      </c>
      <c r="C328" s="388" t="s">
        <v>60</v>
      </c>
      <c r="D328" s="108">
        <v>6</v>
      </c>
      <c r="E328" s="108"/>
      <c r="F328" s="127"/>
      <c r="G328" s="128"/>
      <c r="H328" s="398">
        <f t="shared" si="146"/>
        <v>0</v>
      </c>
      <c r="I328" s="129"/>
      <c r="J328" s="130"/>
      <c r="K328" s="131">
        <f t="array" ref="K328">IF(ISERROR(G328/L328),"",G328/L328)</f>
        <v>0</v>
      </c>
      <c r="L328" s="129">
        <v>6</v>
      </c>
      <c r="M328" s="109"/>
      <c r="N328" s="130"/>
      <c r="O328" s="389"/>
      <c r="P328" s="389"/>
      <c r="Q328" s="389"/>
      <c r="R328" s="389"/>
      <c r="S328" s="389"/>
      <c r="T328" s="389"/>
      <c r="U328" s="389"/>
      <c r="V328" s="132"/>
      <c r="W328" s="133"/>
      <c r="X328" s="132"/>
      <c r="Y328" s="132"/>
      <c r="Z328" s="132"/>
      <c r="AA328" s="132"/>
    </row>
    <row r="329" spans="1:27" ht="20.100000000000001" hidden="1" customHeight="1">
      <c r="A329" s="299">
        <v>30700018</v>
      </c>
      <c r="B329" s="390" t="s">
        <v>240</v>
      </c>
      <c r="C329" s="126"/>
      <c r="D329" s="108">
        <v>7.3</v>
      </c>
      <c r="E329" s="108"/>
      <c r="F329" s="127"/>
      <c r="G329" s="128"/>
      <c r="H329" s="398">
        <f t="shared" si="146"/>
        <v>0</v>
      </c>
      <c r="I329" s="129"/>
      <c r="J329" s="130"/>
      <c r="K329" s="131"/>
      <c r="L329" s="129"/>
      <c r="M329" s="109"/>
      <c r="N329" s="130"/>
      <c r="O329" s="389"/>
      <c r="P329" s="389"/>
      <c r="Q329" s="389"/>
      <c r="R329" s="389"/>
      <c r="S329" s="389"/>
      <c r="T329" s="389"/>
      <c r="U329" s="389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30700010</v>
      </c>
      <c r="B330" s="390" t="s">
        <v>241</v>
      </c>
      <c r="C330" s="126"/>
      <c r="D330" s="108">
        <f>78*120/1000</f>
        <v>9.36</v>
      </c>
      <c r="E330" s="108"/>
      <c r="F330" s="127"/>
      <c r="G330" s="128"/>
      <c r="H330" s="398">
        <f t="shared" si="146"/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4">SUM(O330:U330)</f>
        <v>0</v>
      </c>
      <c r="O330" s="389"/>
      <c r="P330" s="389"/>
      <c r="Q330" s="389"/>
      <c r="R330" s="389"/>
      <c r="S330" s="389"/>
      <c r="T330" s="389"/>
      <c r="U330" s="389"/>
      <c r="V330" s="132">
        <f t="shared" ref="V330" si="155">SUM(X330:AA330)</f>
        <v>0</v>
      </c>
      <c r="W330" s="133" t="str">
        <f t="shared" ref="W330" si="156">IF(ISERROR(V330/G330),"",V330/G330)</f>
        <v/>
      </c>
      <c r="X330" s="132"/>
      <c r="Y330" s="132"/>
      <c r="Z330" s="132"/>
      <c r="AA330" s="132"/>
    </row>
    <row r="331" spans="1:27" ht="20.100000000000001" hidden="1" customHeight="1">
      <c r="A331" s="299">
        <v>30700015</v>
      </c>
      <c r="B331" s="390" t="s">
        <v>242</v>
      </c>
      <c r="C331" s="126"/>
      <c r="D331" s="108">
        <v>4.5</v>
      </c>
      <c r="E331" s="108"/>
      <c r="F331" s="127"/>
      <c r="G331" s="128"/>
      <c r="H331" s="398">
        <f t="shared" si="146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389"/>
      <c r="P331" s="389"/>
      <c r="Q331" s="389"/>
      <c r="R331" s="389"/>
      <c r="S331" s="389"/>
      <c r="T331" s="389"/>
      <c r="U331" s="389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299">
        <v>30700012</v>
      </c>
      <c r="B332" s="390" t="s">
        <v>243</v>
      </c>
      <c r="C332" s="126"/>
      <c r="D332" s="108">
        <v>4.5</v>
      </c>
      <c r="E332" s="108"/>
      <c r="F332" s="127"/>
      <c r="G332" s="128"/>
      <c r="H332" s="398">
        <f t="shared" si="146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389"/>
      <c r="P332" s="389"/>
      <c r="Q332" s="389"/>
      <c r="R332" s="389"/>
      <c r="S332" s="389"/>
      <c r="T332" s="389"/>
      <c r="U332" s="389"/>
      <c r="V332" s="132"/>
      <c r="W332" s="133"/>
      <c r="X332" s="132"/>
      <c r="Y332" s="132"/>
      <c r="Z332" s="132"/>
      <c r="AA332" s="132"/>
    </row>
    <row r="333" spans="1:27" ht="20.100000000000001" hidden="1" customHeight="1">
      <c r="A333" s="299"/>
      <c r="B333" s="199" t="s">
        <v>438</v>
      </c>
      <c r="C333" s="126"/>
      <c r="D333" s="108">
        <v>4.5</v>
      </c>
      <c r="E333" s="108"/>
      <c r="F333" s="127"/>
      <c r="G333" s="128"/>
      <c r="H333" s="398">
        <f t="shared" si="146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389"/>
      <c r="P333" s="389"/>
      <c r="Q333" s="389"/>
      <c r="R333" s="389"/>
      <c r="S333" s="389"/>
      <c r="T333" s="389"/>
      <c r="U333" s="389"/>
      <c r="V333" s="132"/>
      <c r="W333" s="133"/>
      <c r="X333" s="132"/>
      <c r="Y333" s="132"/>
      <c r="Z333" s="132"/>
      <c r="AA333" s="132"/>
    </row>
    <row r="334" spans="1:27" ht="20.100000000000001" hidden="1" customHeight="1">
      <c r="A334" s="578" t="s">
        <v>244</v>
      </c>
      <c r="B334" s="579"/>
      <c r="C334" s="396" t="s">
        <v>202</v>
      </c>
      <c r="D334" s="143"/>
      <c r="E334" s="143"/>
      <c r="F334" s="144"/>
      <c r="G334" s="145">
        <f>SUM(G320:G333)</f>
        <v>0</v>
      </c>
      <c r="H334" s="146">
        <f>SUM(H320:H330)</f>
        <v>0</v>
      </c>
      <c r="I334" s="146">
        <f>SUM(I320:I333)</f>
        <v>0</v>
      </c>
      <c r="J334" s="130"/>
      <c r="K334" s="146">
        <f>SUM(K320:K330)</f>
        <v>0</v>
      </c>
      <c r="L334" s="147"/>
      <c r="M334" s="150">
        <f t="shared" ref="M334:AA334" si="157">SUM(M320:M330)</f>
        <v>0</v>
      </c>
      <c r="N334" s="146">
        <f t="shared" si="157"/>
        <v>0</v>
      </c>
      <c r="O334" s="148">
        <f t="shared" si="157"/>
        <v>0</v>
      </c>
      <c r="P334" s="148">
        <f t="shared" si="157"/>
        <v>0</v>
      </c>
      <c r="Q334" s="148">
        <f t="shared" si="157"/>
        <v>0</v>
      </c>
      <c r="R334" s="148">
        <f t="shared" si="157"/>
        <v>0</v>
      </c>
      <c r="S334" s="148">
        <f t="shared" si="157"/>
        <v>0</v>
      </c>
      <c r="T334" s="148">
        <f t="shared" si="157"/>
        <v>0</v>
      </c>
      <c r="U334" s="148">
        <f t="shared" si="157"/>
        <v>0</v>
      </c>
      <c r="V334" s="149">
        <f t="shared" si="157"/>
        <v>0</v>
      </c>
      <c r="W334" s="133">
        <f t="shared" si="157"/>
        <v>0</v>
      </c>
      <c r="X334" s="149">
        <f t="shared" si="157"/>
        <v>0</v>
      </c>
      <c r="Y334" s="149">
        <f t="shared" si="157"/>
        <v>0</v>
      </c>
      <c r="Z334" s="149">
        <f t="shared" si="157"/>
        <v>0</v>
      </c>
      <c r="AA334" s="149">
        <f t="shared" si="157"/>
        <v>0</v>
      </c>
    </row>
    <row r="335" spans="1:27" ht="20.100000000000001" customHeight="1">
      <c r="A335" s="580" t="s">
        <v>246</v>
      </c>
      <c r="B335" s="581"/>
      <c r="C335" s="581"/>
      <c r="D335" s="581"/>
      <c r="E335" s="581"/>
      <c r="F335" s="582"/>
      <c r="G335" s="154">
        <f>SUM(G199,G257,G292,G308,G319,G334)</f>
        <v>5772</v>
      </c>
      <c r="H335" s="154">
        <f>SUM(H199,H257,H292,H308,H319,H334)</f>
        <v>29177.33</v>
      </c>
      <c r="I335" s="154">
        <f>SUM(I199,I257,I292,I308,I319,I334)</f>
        <v>392.55</v>
      </c>
      <c r="J335" s="155">
        <f t="array" ref="J335">IF(ISERROR(G335/I335),"",G335/I335)</f>
        <v>14.703859380970577</v>
      </c>
      <c r="K335" s="154">
        <f>SUM(K199,K257,K292,K308,K319,K334)</f>
        <v>246.5331831561256</v>
      </c>
      <c r="L335" s="155">
        <f>IF(ISERROR(G335/K335),"",G335/K335)</f>
        <v>23.412669751417127</v>
      </c>
      <c r="M335" s="154">
        <f t="shared" ref="M335:AA335" si="158">SUM(M199,M257,M292,M308,M319,M334)</f>
        <v>146.01681684387438</v>
      </c>
      <c r="N335" s="154">
        <f t="shared" si="158"/>
        <v>0</v>
      </c>
      <c r="O335" s="154">
        <f t="shared" si="158"/>
        <v>0</v>
      </c>
      <c r="P335" s="154">
        <f t="shared" si="158"/>
        <v>0</v>
      </c>
      <c r="Q335" s="154">
        <f t="shared" si="158"/>
        <v>0</v>
      </c>
      <c r="R335" s="154">
        <f t="shared" si="158"/>
        <v>0</v>
      </c>
      <c r="S335" s="154">
        <f t="shared" si="158"/>
        <v>0</v>
      </c>
      <c r="T335" s="154">
        <f t="shared" si="158"/>
        <v>0</v>
      </c>
      <c r="U335" s="154">
        <f t="shared" si="158"/>
        <v>0</v>
      </c>
      <c r="V335" s="154">
        <f t="shared" si="158"/>
        <v>0</v>
      </c>
      <c r="W335" s="154">
        <f t="shared" si="158"/>
        <v>0</v>
      </c>
      <c r="X335" s="154">
        <f t="shared" si="158"/>
        <v>0</v>
      </c>
      <c r="Y335" s="154">
        <f t="shared" si="158"/>
        <v>0</v>
      </c>
      <c r="Z335" s="154">
        <f t="shared" si="158"/>
        <v>0</v>
      </c>
      <c r="AA335" s="154">
        <f t="shared" si="158"/>
        <v>0</v>
      </c>
    </row>
    <row r="336" spans="1:27" ht="20.100000000000001" customHeight="1">
      <c r="A336" s="583" t="s">
        <v>476</v>
      </c>
      <c r="B336" s="395" t="s">
        <v>247</v>
      </c>
      <c r="C336" s="586" t="s">
        <v>248</v>
      </c>
      <c r="D336" s="587"/>
      <c r="E336" s="588" t="s">
        <v>249</v>
      </c>
      <c r="F336" s="588"/>
      <c r="G336" s="591" t="s">
        <v>250</v>
      </c>
      <c r="H336" s="591"/>
      <c r="I336" s="588" t="s">
        <v>251</v>
      </c>
      <c r="J336" s="588"/>
      <c r="K336" s="588" t="s">
        <v>252</v>
      </c>
      <c r="L336" s="588"/>
      <c r="M336" s="588" t="s">
        <v>253</v>
      </c>
      <c r="N336" s="588"/>
      <c r="O336" s="588" t="s">
        <v>254</v>
      </c>
      <c r="P336" s="591" t="s">
        <v>255</v>
      </c>
      <c r="Q336" s="591"/>
      <c r="R336" s="591" t="s">
        <v>252</v>
      </c>
      <c r="S336" s="591"/>
      <c r="T336" s="591" t="s">
        <v>256</v>
      </c>
      <c r="U336" s="591"/>
      <c r="V336" s="591" t="s">
        <v>257</v>
      </c>
      <c r="W336" s="591"/>
      <c r="X336" s="591" t="s">
        <v>252</v>
      </c>
      <c r="Y336" s="591"/>
      <c r="Z336" s="591" t="s">
        <v>256</v>
      </c>
      <c r="AA336" s="591"/>
    </row>
    <row r="337" spans="1:27" ht="20.100000000000001" customHeight="1">
      <c r="A337" s="584"/>
      <c r="B337" s="395" t="s">
        <v>258</v>
      </c>
      <c r="C337" s="626">
        <v>1</v>
      </c>
      <c r="D337" s="627"/>
      <c r="E337" s="590">
        <f>C337*11</f>
        <v>11</v>
      </c>
      <c r="F337" s="590"/>
      <c r="G337" s="591">
        <v>1</v>
      </c>
      <c r="H337" s="591"/>
      <c r="I337" s="590">
        <f>G337*11</f>
        <v>11</v>
      </c>
      <c r="J337" s="590"/>
      <c r="K337" s="590">
        <f>E337-I337</f>
        <v>0</v>
      </c>
      <c r="L337" s="590"/>
      <c r="M337" s="592">
        <f>IF(ISERROR(K337/E337),"",K337/E337)</f>
        <v>0</v>
      </c>
      <c r="N337" s="592"/>
      <c r="O337" s="588"/>
      <c r="P337" s="591" t="s">
        <v>201</v>
      </c>
      <c r="Q337" s="591"/>
      <c r="R337" s="593">
        <f>SUM(O199:U199)</f>
        <v>0</v>
      </c>
      <c r="S337" s="593"/>
      <c r="T337" s="594" t="str">
        <f t="array" ref="T337">IF(ISERROR(R337/R344),"",R337/R344)</f>
        <v/>
      </c>
      <c r="U337" s="594"/>
      <c r="V337" s="591" t="s">
        <v>259</v>
      </c>
      <c r="W337" s="591"/>
      <c r="X337" s="628">
        <f>SUM(P198,P256,P291,P307,P318,P333)</f>
        <v>0</v>
      </c>
      <c r="Y337" s="629"/>
      <c r="Z337" s="594" t="str">
        <f t="array" ref="Z337">IF(ISERROR(X337/X344),"",X337/X344)</f>
        <v/>
      </c>
      <c r="AA337" s="594"/>
    </row>
    <row r="338" spans="1:27" ht="20.100000000000001" customHeight="1">
      <c r="A338" s="584"/>
      <c r="B338" s="395" t="s">
        <v>260</v>
      </c>
      <c r="C338" s="586">
        <v>0</v>
      </c>
      <c r="D338" s="587"/>
      <c r="E338" s="590">
        <f>C338*11</f>
        <v>0</v>
      </c>
      <c r="F338" s="590"/>
      <c r="G338" s="591">
        <v>0</v>
      </c>
      <c r="H338" s="591"/>
      <c r="I338" s="590">
        <f>G338*11</f>
        <v>0</v>
      </c>
      <c r="J338" s="590"/>
      <c r="K338" s="590">
        <f>E338-I338</f>
        <v>0</v>
      </c>
      <c r="L338" s="590"/>
      <c r="M338" s="592" t="str">
        <f>IF(ISERROR(K338/E338),"",K338/E338)</f>
        <v/>
      </c>
      <c r="N338" s="592"/>
      <c r="O338" s="588"/>
      <c r="P338" s="591" t="s">
        <v>216</v>
      </c>
      <c r="Q338" s="591"/>
      <c r="R338" s="593">
        <f>SUM(O257:U257)</f>
        <v>0</v>
      </c>
      <c r="S338" s="593"/>
      <c r="T338" s="594" t="str">
        <f>IF(ISERROR(R338/R344),"",R338/R344)</f>
        <v/>
      </c>
      <c r="U338" s="594"/>
      <c r="V338" s="591" t="s">
        <v>261</v>
      </c>
      <c r="W338" s="591"/>
      <c r="X338" s="628">
        <f>SUM(P199,P257,P292,P308,P319,P334)</f>
        <v>0</v>
      </c>
      <c r="Y338" s="629"/>
      <c r="Z338" s="594" t="str">
        <f>IF(ISERROR(X338/X344),"",X338/X344)</f>
        <v/>
      </c>
      <c r="AA338" s="594"/>
    </row>
    <row r="339" spans="1:27" ht="20.100000000000001" customHeight="1">
      <c r="A339" s="584"/>
      <c r="B339" s="395" t="s">
        <v>262</v>
      </c>
      <c r="C339" s="586">
        <v>0</v>
      </c>
      <c r="D339" s="587"/>
      <c r="E339" s="590">
        <f>C339*8</f>
        <v>0</v>
      </c>
      <c r="F339" s="590"/>
      <c r="G339" s="591">
        <v>1</v>
      </c>
      <c r="H339" s="591"/>
      <c r="I339" s="590">
        <f>G339*8</f>
        <v>8</v>
      </c>
      <c r="J339" s="590"/>
      <c r="K339" s="590">
        <f>E339-I339</f>
        <v>-8</v>
      </c>
      <c r="L339" s="590"/>
      <c r="M339" s="592" t="str">
        <f>IF(ISERROR(K339/E339),"",K339/E339)</f>
        <v/>
      </c>
      <c r="N339" s="592"/>
      <c r="O339" s="588"/>
      <c r="P339" s="591" t="s">
        <v>224</v>
      </c>
      <c r="Q339" s="591"/>
      <c r="R339" s="593">
        <f>SUM(O292:U292)</f>
        <v>0</v>
      </c>
      <c r="S339" s="593"/>
      <c r="T339" s="594" t="str">
        <f>IF(ISERROR(R339/R344),"",R339/R344)</f>
        <v/>
      </c>
      <c r="U339" s="594"/>
      <c r="V339" s="591" t="s">
        <v>263</v>
      </c>
      <c r="W339" s="591"/>
      <c r="X339" s="628">
        <f>SUM(P200,P258,P293,P309,P320,P335)</f>
        <v>0</v>
      </c>
      <c r="Y339" s="629"/>
      <c r="Z339" s="594" t="str">
        <f>IF(ISERROR(X339/X344),"",X339/X344)</f>
        <v/>
      </c>
      <c r="AA339" s="594"/>
    </row>
    <row r="340" spans="1:27" ht="20.100000000000001" customHeight="1">
      <c r="A340" s="584"/>
      <c r="B340" s="395" t="s">
        <v>264</v>
      </c>
      <c r="C340" s="586">
        <v>1</v>
      </c>
      <c r="D340" s="587"/>
      <c r="E340" s="590">
        <f>C340*11</f>
        <v>11</v>
      </c>
      <c r="F340" s="590"/>
      <c r="G340" s="591">
        <v>1</v>
      </c>
      <c r="H340" s="591"/>
      <c r="I340" s="590">
        <f>G340*11</f>
        <v>11</v>
      </c>
      <c r="J340" s="590"/>
      <c r="K340" s="590">
        <f>E340-I340</f>
        <v>0</v>
      </c>
      <c r="L340" s="590"/>
      <c r="M340" s="592">
        <f>IF(ISERROR(K340/E340),"",K340/E340)</f>
        <v>0</v>
      </c>
      <c r="N340" s="592"/>
      <c r="O340" s="588"/>
      <c r="P340" s="591" t="s">
        <v>231</v>
      </c>
      <c r="Q340" s="591"/>
      <c r="R340" s="593">
        <f>SUM(O308:U308)</f>
        <v>0</v>
      </c>
      <c r="S340" s="593"/>
      <c r="T340" s="594" t="str">
        <f>IF(ISERROR(R340/R344),"",R340/R344)</f>
        <v/>
      </c>
      <c r="U340" s="594"/>
      <c r="V340" s="591" t="s">
        <v>265</v>
      </c>
      <c r="W340" s="591"/>
      <c r="X340" s="628">
        <f>SUM(P202,P259,P294,P310,P321,P336)</f>
        <v>0</v>
      </c>
      <c r="Y340" s="629"/>
      <c r="Z340" s="594" t="str">
        <f>IF(ISERROR(X340/X344),"",X340/X344)</f>
        <v/>
      </c>
      <c r="AA340" s="594"/>
    </row>
    <row r="341" spans="1:27" ht="20.100000000000001" customHeight="1">
      <c r="A341" s="585"/>
      <c r="B341" s="395" t="s">
        <v>266</v>
      </c>
      <c r="C341" s="596">
        <f>SUM(C337:D340)</f>
        <v>2</v>
      </c>
      <c r="D341" s="597"/>
      <c r="E341" s="590">
        <f>SUM(E337:F340)</f>
        <v>22</v>
      </c>
      <c r="F341" s="590"/>
      <c r="G341" s="591">
        <f>SUM(G337:H340)</f>
        <v>3</v>
      </c>
      <c r="H341" s="591"/>
      <c r="I341" s="590">
        <f>SUM(I337:J340)</f>
        <v>30</v>
      </c>
      <c r="J341" s="590"/>
      <c r="K341" s="590">
        <f>SUM(K337:L340)</f>
        <v>-8</v>
      </c>
      <c r="L341" s="590"/>
      <c r="M341" s="592">
        <f>IF(ISERROR(K341/E341),"",K341/E341)</f>
        <v>-0.36363636363636365</v>
      </c>
      <c r="N341" s="592"/>
      <c r="O341" s="588"/>
      <c r="P341" s="591" t="s">
        <v>234</v>
      </c>
      <c r="Q341" s="591"/>
      <c r="R341" s="593">
        <f>SUM(O319:U319)</f>
        <v>0</v>
      </c>
      <c r="S341" s="593"/>
      <c r="T341" s="594" t="str">
        <f>IF(ISERROR(R341/R344),"",R341/R344)</f>
        <v/>
      </c>
      <c r="U341" s="594"/>
      <c r="V341" s="591" t="s">
        <v>267</v>
      </c>
      <c r="W341" s="591"/>
      <c r="X341" s="628">
        <f>SUM(P203,P260,P295,P311,P322,P337)</f>
        <v>0</v>
      </c>
      <c r="Y341" s="629"/>
      <c r="Z341" s="594" t="str">
        <f>IF(ISERROR(X341/X344),"",X341/X344)</f>
        <v/>
      </c>
      <c r="AA341" s="594"/>
    </row>
    <row r="342" spans="1:27" ht="20.100000000000001" customHeight="1">
      <c r="A342" s="309" t="s">
        <v>477</v>
      </c>
      <c r="B342" s="395">
        <f>G335</f>
        <v>5772</v>
      </c>
      <c r="C342" s="598" t="s">
        <v>269</v>
      </c>
      <c r="D342" s="599"/>
      <c r="E342" s="591">
        <f>H335</f>
        <v>29177.33</v>
      </c>
      <c r="F342" s="591"/>
      <c r="G342" s="591" t="s">
        <v>270</v>
      </c>
      <c r="H342" s="591"/>
      <c r="I342" s="600">
        <f>L335</f>
        <v>23.412669751417127</v>
      </c>
      <c r="J342" s="600"/>
      <c r="K342" s="588" t="s">
        <v>271</v>
      </c>
      <c r="L342" s="588"/>
      <c r="M342" s="600">
        <f>J335</f>
        <v>14.703859380970577</v>
      </c>
      <c r="N342" s="600"/>
      <c r="O342" s="588"/>
      <c r="P342" s="591" t="s">
        <v>244</v>
      </c>
      <c r="Q342" s="591"/>
      <c r="R342" s="593">
        <f>SUM(O334:U334)</f>
        <v>0</v>
      </c>
      <c r="S342" s="593"/>
      <c r="T342" s="594" t="str">
        <f>IF(ISERROR(R342/R344),"",R342/R344)</f>
        <v/>
      </c>
      <c r="U342" s="594"/>
      <c r="V342" s="591" t="s">
        <v>272</v>
      </c>
      <c r="W342" s="591"/>
      <c r="X342" s="628">
        <f>SUM(P204,P261,P296,P312,P323,P338)</f>
        <v>0</v>
      </c>
      <c r="Y342" s="629"/>
      <c r="Z342" s="594" t="str">
        <f>IF(ISERROR(X342/X344),"",X342/X344)</f>
        <v/>
      </c>
      <c r="AA342" s="594"/>
    </row>
    <row r="343" spans="1:27" ht="20.100000000000001" customHeight="1">
      <c r="A343" s="310" t="s">
        <v>478</v>
      </c>
      <c r="B343" s="395">
        <f>I335+C341</f>
        <v>394.55</v>
      </c>
      <c r="C343" s="601" t="s">
        <v>251</v>
      </c>
      <c r="D343" s="602"/>
      <c r="E343" s="603">
        <f>K335+I341</f>
        <v>276.53318315612557</v>
      </c>
      <c r="F343" s="603"/>
      <c r="G343" s="591" t="s">
        <v>274</v>
      </c>
      <c r="H343" s="591"/>
      <c r="I343" s="600">
        <f>B343-E343</f>
        <v>118.01681684387444</v>
      </c>
      <c r="J343" s="600"/>
      <c r="K343" s="588" t="s">
        <v>275</v>
      </c>
      <c r="L343" s="588"/>
      <c r="M343" s="592">
        <f>IF(ISERROR(I343/E343),"",I343/E343)</f>
        <v>0.42677271312225956</v>
      </c>
      <c r="N343" s="592"/>
      <c r="O343" s="588"/>
      <c r="P343" s="591" t="s">
        <v>245</v>
      </c>
      <c r="Q343" s="591"/>
      <c r="R343" s="593"/>
      <c r="S343" s="593"/>
      <c r="T343" s="594" t="str">
        <f>IF(ISERROR(R343/R344),"",R343/R344)</f>
        <v/>
      </c>
      <c r="U343" s="594"/>
      <c r="V343" s="591" t="s">
        <v>264</v>
      </c>
      <c r="W343" s="591"/>
      <c r="X343" s="628">
        <f>SUM(P205,P262,P297,P313,P324,P339)</f>
        <v>0</v>
      </c>
      <c r="Y343" s="629"/>
      <c r="Z343" s="594" t="str">
        <f>IF(ISERROR(X343/X344),"",X343/X344)</f>
        <v/>
      </c>
      <c r="AA343" s="594"/>
    </row>
    <row r="344" spans="1:27" ht="20.100000000000001" customHeight="1">
      <c r="A344" s="310" t="s">
        <v>479</v>
      </c>
      <c r="B344" s="395">
        <f>N335</f>
        <v>0</v>
      </c>
      <c r="C344" s="601" t="s">
        <v>277</v>
      </c>
      <c r="D344" s="602"/>
      <c r="E344" s="594">
        <f>IF(ISERROR(B344/B343),"",B344/B343)</f>
        <v>0</v>
      </c>
      <c r="F344" s="594"/>
      <c r="G344" s="591" t="s">
        <v>278</v>
      </c>
      <c r="H344" s="591"/>
      <c r="I344" s="588">
        <f>V335</f>
        <v>0</v>
      </c>
      <c r="J344" s="588"/>
      <c r="K344" s="588" t="s">
        <v>279</v>
      </c>
      <c r="L344" s="588"/>
      <c r="M344" s="592">
        <f t="array" ref="M344">IF(ISERROR(I344/B342),"",I344/B342)</f>
        <v>0</v>
      </c>
      <c r="N344" s="592"/>
      <c r="O344" s="588"/>
      <c r="P344" s="591" t="s">
        <v>266</v>
      </c>
      <c r="Q344" s="591"/>
      <c r="R344" s="593">
        <f>SUM(R337:S343)</f>
        <v>0</v>
      </c>
      <c r="S344" s="593"/>
      <c r="T344" s="594"/>
      <c r="U344" s="594"/>
      <c r="V344" s="591" t="s">
        <v>266</v>
      </c>
      <c r="W344" s="591"/>
      <c r="X344" s="595">
        <f>SUM(X337:Y343)</f>
        <v>0</v>
      </c>
      <c r="Y344" s="595"/>
      <c r="Z344" s="594"/>
      <c r="AA344" s="594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4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604" t="s">
        <v>480</v>
      </c>
      <c r="B346" s="607" t="s">
        <v>280</v>
      </c>
      <c r="C346" s="607" t="s">
        <v>281</v>
      </c>
      <c r="D346" s="607" t="s">
        <v>282</v>
      </c>
      <c r="E346" s="610" t="s">
        <v>283</v>
      </c>
      <c r="F346" s="623" t="s">
        <v>284</v>
      </c>
      <c r="G346" s="588" t="s">
        <v>285</v>
      </c>
      <c r="H346" s="588"/>
      <c r="I346" s="607" t="s">
        <v>286</v>
      </c>
      <c r="J346" s="613" t="s">
        <v>271</v>
      </c>
      <c r="K346" s="616" t="s">
        <v>287</v>
      </c>
      <c r="L346" s="607" t="s">
        <v>270</v>
      </c>
      <c r="M346" s="619" t="s">
        <v>288</v>
      </c>
      <c r="N346" s="621" t="s">
        <v>252</v>
      </c>
      <c r="O346" s="588" t="s">
        <v>289</v>
      </c>
      <c r="P346" s="588"/>
      <c r="Q346" s="588"/>
      <c r="R346" s="588"/>
      <c r="S346" s="588"/>
      <c r="T346" s="588"/>
      <c r="U346" s="588"/>
      <c r="V346" s="588" t="s">
        <v>290</v>
      </c>
      <c r="W346" s="621" t="s">
        <v>291</v>
      </c>
      <c r="X346" s="588" t="s">
        <v>292</v>
      </c>
      <c r="Y346" s="588"/>
      <c r="Z346" s="588"/>
      <c r="AA346" s="588"/>
    </row>
    <row r="347" spans="1:27" ht="21.95" customHeight="1">
      <c r="A347" s="605"/>
      <c r="B347" s="608"/>
      <c r="C347" s="608"/>
      <c r="D347" s="608"/>
      <c r="E347" s="611"/>
      <c r="F347" s="624"/>
      <c r="G347" s="588"/>
      <c r="H347" s="588"/>
      <c r="I347" s="608"/>
      <c r="J347" s="614"/>
      <c r="K347" s="617"/>
      <c r="L347" s="608"/>
      <c r="M347" s="620"/>
      <c r="N347" s="621"/>
      <c r="O347" s="588" t="s">
        <v>259</v>
      </c>
      <c r="P347" s="588" t="s">
        <v>261</v>
      </c>
      <c r="Q347" s="588" t="s">
        <v>263</v>
      </c>
      <c r="R347" s="622" t="s">
        <v>265</v>
      </c>
      <c r="S347" s="591" t="s">
        <v>267</v>
      </c>
      <c r="T347" s="588" t="s">
        <v>272</v>
      </c>
      <c r="U347" s="588" t="s">
        <v>264</v>
      </c>
      <c r="V347" s="588"/>
      <c r="W347" s="621"/>
      <c r="X347" s="588" t="s">
        <v>293</v>
      </c>
      <c r="Y347" s="588" t="s">
        <v>294</v>
      </c>
      <c r="Z347" s="588" t="s">
        <v>295</v>
      </c>
      <c r="AA347" s="588" t="s">
        <v>264</v>
      </c>
    </row>
    <row r="348" spans="1:27" ht="21.95" customHeight="1">
      <c r="A348" s="606"/>
      <c r="B348" s="609"/>
      <c r="C348" s="609"/>
      <c r="D348" s="609"/>
      <c r="E348" s="612"/>
      <c r="F348" s="625"/>
      <c r="G348" s="348" t="s">
        <v>296</v>
      </c>
      <c r="H348" s="388" t="s">
        <v>297</v>
      </c>
      <c r="I348" s="609"/>
      <c r="J348" s="615"/>
      <c r="K348" s="618"/>
      <c r="L348" s="609"/>
      <c r="M348" s="620"/>
      <c r="N348" s="621"/>
      <c r="O348" s="588"/>
      <c r="P348" s="588"/>
      <c r="Q348" s="588"/>
      <c r="R348" s="622"/>
      <c r="S348" s="591"/>
      <c r="T348" s="588"/>
      <c r="U348" s="588"/>
      <c r="V348" s="588"/>
      <c r="W348" s="621"/>
      <c r="X348" s="588"/>
      <c r="Y348" s="588"/>
      <c r="Z348" s="588"/>
      <c r="AA348" s="588"/>
    </row>
    <row r="349" spans="1:27" ht="20.100000000000001" hidden="1" customHeight="1">
      <c r="A349" s="299">
        <v>30100030</v>
      </c>
      <c r="B349" s="390" t="s">
        <v>178</v>
      </c>
      <c r="C349" s="126" t="s">
        <v>179</v>
      </c>
      <c r="D349" s="108">
        <v>5.03</v>
      </c>
      <c r="E349" s="108"/>
      <c r="F349" s="127"/>
      <c r="G349" s="128"/>
      <c r="H349" s="398">
        <f t="shared" ref="H349:H369" si="159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58" si="160">IF(ISERROR(I349-K349),"",I349-K349)</f>
        <v>0</v>
      </c>
      <c r="N349" s="130">
        <f t="shared" ref="N349:N354" si="161">SUM(O349:U349)</f>
        <v>0</v>
      </c>
      <c r="O349" s="389"/>
      <c r="P349" s="389"/>
      <c r="Q349" s="389"/>
      <c r="R349" s="389"/>
      <c r="S349" s="389"/>
      <c r="T349" s="389"/>
      <c r="U349" s="389"/>
      <c r="V349" s="132">
        <f t="shared" ref="V349:V354" si="162">SUM(X349:AA349)</f>
        <v>0</v>
      </c>
      <c r="W349" s="133" t="str">
        <f t="shared" ref="W349:W354" si="163">IF(ISERROR(V349/G349),"",V349/G349)</f>
        <v/>
      </c>
      <c r="X349" s="132"/>
      <c r="Y349" s="132"/>
      <c r="Z349" s="132"/>
      <c r="AA349" s="132"/>
    </row>
    <row r="350" spans="1:27" ht="20.100000000000001" hidden="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28"/>
      <c r="H350" s="398">
        <f t="shared" si="159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60"/>
        <v>0</v>
      </c>
      <c r="N350" s="130">
        <f t="shared" si="161"/>
        <v>0</v>
      </c>
      <c r="O350" s="389"/>
      <c r="P350" s="389"/>
      <c r="Q350" s="389"/>
      <c r="R350" s="389"/>
      <c r="S350" s="389"/>
      <c r="T350" s="389"/>
      <c r="U350" s="389"/>
      <c r="V350" s="132">
        <f t="shared" si="162"/>
        <v>0</v>
      </c>
      <c r="W350" s="133" t="str">
        <f t="shared" si="163"/>
        <v/>
      </c>
      <c r="X350" s="132"/>
      <c r="Y350" s="132"/>
      <c r="Z350" s="132"/>
      <c r="AA350" s="132"/>
    </row>
    <row r="351" spans="1:27" ht="20.100000000000001" hidden="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28"/>
      <c r="H351" s="398">
        <f t="shared" si="159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60"/>
        <v>0</v>
      </c>
      <c r="N351" s="130">
        <f t="shared" si="161"/>
        <v>0</v>
      </c>
      <c r="O351" s="389"/>
      <c r="P351" s="389"/>
      <c r="Q351" s="389"/>
      <c r="R351" s="389"/>
      <c r="S351" s="389"/>
      <c r="T351" s="389"/>
      <c r="U351" s="389"/>
      <c r="V351" s="132">
        <f t="shared" si="162"/>
        <v>0</v>
      </c>
      <c r="W351" s="133" t="str">
        <f t="shared" si="163"/>
        <v/>
      </c>
      <c r="X351" s="132"/>
      <c r="Y351" s="132"/>
      <c r="Z351" s="132"/>
      <c r="AA351" s="132"/>
    </row>
    <row r="352" spans="1:27" ht="20.100000000000001" hidden="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28"/>
      <c r="H352" s="398">
        <f t="shared" si="159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60"/>
        <v>0</v>
      </c>
      <c r="N352" s="130">
        <f t="shared" si="161"/>
        <v>0</v>
      </c>
      <c r="O352" s="389"/>
      <c r="P352" s="389"/>
      <c r="Q352" s="389"/>
      <c r="R352" s="389"/>
      <c r="S352" s="389"/>
      <c r="T352" s="389"/>
      <c r="U352" s="389"/>
      <c r="V352" s="132">
        <f t="shared" si="162"/>
        <v>0</v>
      </c>
      <c r="W352" s="133" t="str">
        <f t="shared" si="163"/>
        <v/>
      </c>
      <c r="X352" s="132"/>
      <c r="Y352" s="132"/>
      <c r="Z352" s="132"/>
      <c r="AA352" s="132"/>
    </row>
    <row r="353" spans="1:27" ht="20.100000000000001" hidden="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28"/>
      <c r="H353" s="398">
        <f t="shared" si="159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60"/>
        <v>0</v>
      </c>
      <c r="N353" s="130">
        <f t="shared" si="161"/>
        <v>0</v>
      </c>
      <c r="O353" s="389"/>
      <c r="P353" s="389"/>
      <c r="Q353" s="389"/>
      <c r="R353" s="389"/>
      <c r="S353" s="389"/>
      <c r="T353" s="389"/>
      <c r="U353" s="389"/>
      <c r="V353" s="132">
        <f t="shared" si="162"/>
        <v>0</v>
      </c>
      <c r="W353" s="133" t="str">
        <f t="shared" si="163"/>
        <v/>
      </c>
      <c r="X353" s="132"/>
      <c r="Y353" s="132"/>
      <c r="Z353" s="132"/>
      <c r="AA353" s="132"/>
    </row>
    <row r="354" spans="1:27" ht="20.100000000000001" hidden="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137"/>
      <c r="H354" s="398">
        <f t="shared" si="159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60"/>
        <v>0</v>
      </c>
      <c r="N354" s="130">
        <f t="shared" si="161"/>
        <v>0</v>
      </c>
      <c r="O354" s="389"/>
      <c r="P354" s="389"/>
      <c r="Q354" s="389"/>
      <c r="R354" s="389"/>
      <c r="S354" s="389"/>
      <c r="T354" s="389"/>
      <c r="U354" s="389"/>
      <c r="V354" s="132">
        <f t="shared" si="162"/>
        <v>0</v>
      </c>
      <c r="W354" s="133" t="str">
        <f t="shared" si="163"/>
        <v/>
      </c>
      <c r="X354" s="132"/>
      <c r="Y354" s="132"/>
      <c r="Z354" s="132"/>
      <c r="AA354" s="132"/>
    </row>
    <row r="355" spans="1:27" ht="20.100000000000001" hidden="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28"/>
      <c r="H355" s="398">
        <f t="shared" si="159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60"/>
        <v>0</v>
      </c>
      <c r="N355" s="130"/>
      <c r="O355" s="389"/>
      <c r="P355" s="389"/>
      <c r="Q355" s="389"/>
      <c r="R355" s="389"/>
      <c r="S355" s="389"/>
      <c r="T355" s="389"/>
      <c r="U355" s="389"/>
      <c r="V355" s="132"/>
      <c r="W355" s="133"/>
      <c r="X355" s="132"/>
      <c r="Y355" s="132"/>
      <c r="Z355" s="132"/>
      <c r="AA355" s="132"/>
    </row>
    <row r="356" spans="1:27" ht="20.100000000000001" hidden="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28"/>
      <c r="H356" s="398">
        <f t="shared" si="159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60"/>
        <v>0</v>
      </c>
      <c r="N356" s="130"/>
      <c r="O356" s="389"/>
      <c r="P356" s="389"/>
      <c r="Q356" s="389"/>
      <c r="R356" s="389"/>
      <c r="S356" s="389"/>
      <c r="T356" s="389"/>
      <c r="U356" s="389"/>
      <c r="V356" s="132"/>
      <c r="W356" s="133"/>
      <c r="X356" s="132"/>
      <c r="Y356" s="132"/>
      <c r="Z356" s="132"/>
      <c r="AA356" s="132"/>
    </row>
    <row r="357" spans="1:27" ht="20.100000000000001" hidden="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28"/>
      <c r="H357" s="398">
        <f t="shared" si="159"/>
        <v>0</v>
      </c>
      <c r="I357" s="398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60"/>
        <v>0</v>
      </c>
      <c r="N357" s="130">
        <f>SUM(O357:U357)</f>
        <v>0</v>
      </c>
      <c r="O357" s="389"/>
      <c r="P357" s="389"/>
      <c r="Q357" s="389"/>
      <c r="R357" s="389"/>
      <c r="S357" s="389"/>
      <c r="T357" s="389"/>
      <c r="U357" s="389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hidden="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28"/>
      <c r="H358" s="398">
        <f t="shared" si="159"/>
        <v>0</v>
      </c>
      <c r="I358" s="398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60"/>
        <v>0</v>
      </c>
      <c r="N358" s="130">
        <f>SUM(O358:U358)</f>
        <v>0</v>
      </c>
      <c r="O358" s="389"/>
      <c r="P358" s="389"/>
      <c r="Q358" s="389"/>
      <c r="R358" s="389"/>
      <c r="S358" s="389"/>
      <c r="T358" s="389"/>
      <c r="U358" s="389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hidden="1" customHeight="1">
      <c r="A359" s="302">
        <v>30100063</v>
      </c>
      <c r="B359" s="134" t="s">
        <v>191</v>
      </c>
      <c r="C359" s="126" t="s">
        <v>192</v>
      </c>
      <c r="D359" s="108">
        <v>5.03</v>
      </c>
      <c r="E359" s="108"/>
      <c r="F359" s="126"/>
      <c r="G359" s="128"/>
      <c r="H359" s="398">
        <f t="shared" si="159"/>
        <v>0</v>
      </c>
      <c r="I359" s="398"/>
      <c r="J359" s="130"/>
      <c r="K359" s="131"/>
      <c r="L359" s="129"/>
      <c r="M359" s="109"/>
      <c r="N359" s="130"/>
      <c r="O359" s="389"/>
      <c r="P359" s="389"/>
      <c r="Q359" s="389"/>
      <c r="R359" s="389"/>
      <c r="S359" s="389"/>
      <c r="T359" s="389"/>
      <c r="U359" s="389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30100061</v>
      </c>
      <c r="B360" s="134" t="s">
        <v>191</v>
      </c>
      <c r="C360" s="126" t="s">
        <v>193</v>
      </c>
      <c r="D360" s="108">
        <v>5.03</v>
      </c>
      <c r="E360" s="108"/>
      <c r="F360" s="126"/>
      <c r="G360" s="128"/>
      <c r="H360" s="398">
        <f t="shared" si="159"/>
        <v>0</v>
      </c>
      <c r="I360" s="398"/>
      <c r="J360" s="130"/>
      <c r="K360" s="131"/>
      <c r="L360" s="129"/>
      <c r="M360" s="109"/>
      <c r="N360" s="130"/>
      <c r="O360" s="389"/>
      <c r="P360" s="389"/>
      <c r="Q360" s="389"/>
      <c r="R360" s="389"/>
      <c r="S360" s="389"/>
      <c r="T360" s="389"/>
      <c r="U360" s="389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28"/>
      <c r="H361" s="398">
        <f t="shared" si="159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ref="M361:M369" si="164">IF(ISERROR(I361-K361),"",I361-K361)</f>
        <v>0</v>
      </c>
      <c r="N361" s="130">
        <f t="shared" ref="N361:N363" si="165">SUM(O361:U361)</f>
        <v>0</v>
      </c>
      <c r="O361" s="389"/>
      <c r="P361" s="389"/>
      <c r="Q361" s="389"/>
      <c r="R361" s="389"/>
      <c r="S361" s="389"/>
      <c r="T361" s="389"/>
      <c r="U361" s="389"/>
      <c r="V361" s="132">
        <f t="shared" ref="V361:V363" si="166">SUM(X361:AA361)</f>
        <v>0</v>
      </c>
      <c r="W361" s="133" t="str">
        <f t="shared" ref="W361:W363" si="167">IF(ISERROR(V361/G361),"",V361/G361)</f>
        <v/>
      </c>
      <c r="X361" s="132"/>
      <c r="Y361" s="132"/>
      <c r="Z361" s="132"/>
      <c r="AA361" s="132"/>
    </row>
    <row r="362" spans="1:27" ht="20.100000000000001" hidden="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28"/>
      <c r="H362" s="398">
        <f t="shared" si="159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4"/>
        <v>0</v>
      </c>
      <c r="N362" s="130">
        <f t="shared" si="165"/>
        <v>0</v>
      </c>
      <c r="O362" s="389"/>
      <c r="P362" s="389"/>
      <c r="Q362" s="389"/>
      <c r="R362" s="389"/>
      <c r="S362" s="389"/>
      <c r="T362" s="389"/>
      <c r="U362" s="389"/>
      <c r="V362" s="132">
        <f t="shared" si="166"/>
        <v>0</v>
      </c>
      <c r="W362" s="133" t="str">
        <f t="shared" si="167"/>
        <v/>
      </c>
      <c r="X362" s="132"/>
      <c r="Y362" s="132"/>
      <c r="Z362" s="132"/>
      <c r="AA362" s="132"/>
    </row>
    <row r="363" spans="1:27" ht="20.100000000000001" hidden="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28"/>
      <c r="H363" s="398">
        <f t="shared" si="159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4"/>
        <v>0</v>
      </c>
      <c r="N363" s="130">
        <f t="shared" si="165"/>
        <v>0</v>
      </c>
      <c r="O363" s="389"/>
      <c r="P363" s="389"/>
      <c r="Q363" s="389"/>
      <c r="R363" s="389"/>
      <c r="S363" s="389"/>
      <c r="T363" s="389"/>
      <c r="U363" s="389"/>
      <c r="V363" s="132">
        <f t="shared" si="166"/>
        <v>0</v>
      </c>
      <c r="W363" s="133" t="str">
        <f t="shared" si="167"/>
        <v/>
      </c>
      <c r="X363" s="132"/>
      <c r="Y363" s="132"/>
      <c r="Z363" s="132"/>
      <c r="AA363" s="132"/>
    </row>
    <row r="364" spans="1:27" ht="20.100000000000001" hidden="1" customHeight="1">
      <c r="A364" s="300">
        <v>30100003</v>
      </c>
      <c r="B364" s="141" t="s">
        <v>198</v>
      </c>
      <c r="C364" s="388" t="s">
        <v>190</v>
      </c>
      <c r="D364" s="108">
        <v>4.8</v>
      </c>
      <c r="E364" s="108"/>
      <c r="F364" s="127"/>
      <c r="G364" s="128"/>
      <c r="H364" s="398">
        <f t="shared" si="159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4"/>
        <v>0</v>
      </c>
      <c r="N364" s="130"/>
      <c r="O364" s="389"/>
      <c r="P364" s="389"/>
      <c r="Q364" s="389"/>
      <c r="R364" s="389"/>
      <c r="S364" s="389"/>
      <c r="T364" s="389"/>
      <c r="U364" s="389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30100004</v>
      </c>
      <c r="B365" s="141" t="s">
        <v>198</v>
      </c>
      <c r="C365" s="388" t="s">
        <v>187</v>
      </c>
      <c r="D365" s="108">
        <v>4.8</v>
      </c>
      <c r="E365" s="108"/>
      <c r="F365" s="127"/>
      <c r="G365" s="128"/>
      <c r="H365" s="398">
        <f t="shared" si="159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4"/>
        <v>0</v>
      </c>
      <c r="N365" s="130"/>
      <c r="O365" s="389"/>
      <c r="P365" s="389"/>
      <c r="Q365" s="389"/>
      <c r="R365" s="389"/>
      <c r="S365" s="389"/>
      <c r="T365" s="389"/>
      <c r="U365" s="389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30100006</v>
      </c>
      <c r="B366" s="141" t="s">
        <v>198</v>
      </c>
      <c r="C366" s="388" t="s">
        <v>179</v>
      </c>
      <c r="D366" s="108">
        <v>4.8</v>
      </c>
      <c r="E366" s="108"/>
      <c r="F366" s="127"/>
      <c r="G366" s="128"/>
      <c r="H366" s="398">
        <f t="shared" si="159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4"/>
        <v>0</v>
      </c>
      <c r="N366" s="130"/>
      <c r="O366" s="389"/>
      <c r="P366" s="389"/>
      <c r="Q366" s="389"/>
      <c r="R366" s="389"/>
      <c r="S366" s="389"/>
      <c r="T366" s="389"/>
      <c r="U366" s="389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0">
        <v>30100005</v>
      </c>
      <c r="B367" s="141" t="s">
        <v>198</v>
      </c>
      <c r="C367" s="388" t="s">
        <v>199</v>
      </c>
      <c r="D367" s="108">
        <v>4.8</v>
      </c>
      <c r="E367" s="108"/>
      <c r="F367" s="127"/>
      <c r="G367" s="128"/>
      <c r="H367" s="398">
        <f t="shared" si="159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4"/>
        <v>0</v>
      </c>
      <c r="N367" s="130"/>
      <c r="O367" s="389"/>
      <c r="P367" s="389"/>
      <c r="Q367" s="389"/>
      <c r="R367" s="389"/>
      <c r="S367" s="389"/>
      <c r="T367" s="389"/>
      <c r="U367" s="389"/>
      <c r="V367" s="132"/>
      <c r="W367" s="133"/>
      <c r="X367" s="132"/>
      <c r="Y367" s="132"/>
      <c r="Z367" s="132"/>
      <c r="AA367" s="132"/>
    </row>
    <row r="368" spans="1:27" ht="20.100000000000001" hidden="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28"/>
      <c r="H368" s="398">
        <f t="shared" si="159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4"/>
        <v>0</v>
      </c>
      <c r="N368" s="130">
        <f t="shared" ref="N368:N369" si="168">SUM(O368:U368)</f>
        <v>0</v>
      </c>
      <c r="O368" s="389"/>
      <c r="P368" s="389"/>
      <c r="Q368" s="389"/>
      <c r="R368" s="389"/>
      <c r="S368" s="389"/>
      <c r="T368" s="389"/>
      <c r="U368" s="389"/>
      <c r="V368" s="132">
        <f t="shared" ref="V368:V369" si="169">SUM(X368:AA368)</f>
        <v>0</v>
      </c>
      <c r="W368" s="133" t="str">
        <f t="shared" ref="W368:W369" si="170">IF(ISERROR(V368/G368),"",V368/G368)</f>
        <v/>
      </c>
      <c r="X368" s="132"/>
      <c r="Y368" s="132"/>
      <c r="Z368" s="132"/>
      <c r="AA368" s="132"/>
    </row>
    <row r="369" spans="1:27" ht="20.100000000000001" hidden="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28"/>
      <c r="H369" s="398">
        <f t="shared" si="159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4"/>
        <v>0</v>
      </c>
      <c r="N369" s="130">
        <f t="shared" si="168"/>
        <v>0</v>
      </c>
      <c r="O369" s="389"/>
      <c r="P369" s="389"/>
      <c r="Q369" s="389"/>
      <c r="R369" s="389"/>
      <c r="S369" s="389"/>
      <c r="T369" s="389"/>
      <c r="U369" s="389"/>
      <c r="V369" s="132">
        <f t="shared" si="169"/>
        <v>0</v>
      </c>
      <c r="W369" s="133" t="str">
        <f t="shared" si="170"/>
        <v/>
      </c>
      <c r="X369" s="132"/>
      <c r="Y369" s="132"/>
      <c r="Z369" s="132"/>
      <c r="AA369" s="132"/>
    </row>
    <row r="370" spans="1:27" ht="20.100000000000001" hidden="1" customHeight="1">
      <c r="A370" s="578" t="s">
        <v>201</v>
      </c>
      <c r="B370" s="579"/>
      <c r="C370" s="396" t="s">
        <v>202</v>
      </c>
      <c r="D370" s="143"/>
      <c r="E370" s="143"/>
      <c r="F370" s="144"/>
      <c r="G370" s="145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71">SUM(M349:M369)</f>
        <v>0</v>
      </c>
      <c r="N370" s="146">
        <f t="shared" si="171"/>
        <v>0</v>
      </c>
      <c r="O370" s="148">
        <f t="shared" si="171"/>
        <v>0</v>
      </c>
      <c r="P370" s="148">
        <f t="shared" si="171"/>
        <v>0</v>
      </c>
      <c r="Q370" s="148">
        <f t="shared" si="171"/>
        <v>0</v>
      </c>
      <c r="R370" s="148">
        <f t="shared" si="171"/>
        <v>0</v>
      </c>
      <c r="S370" s="148">
        <f t="shared" si="171"/>
        <v>0</v>
      </c>
      <c r="T370" s="148">
        <f t="shared" si="171"/>
        <v>0</v>
      </c>
      <c r="U370" s="148">
        <f t="shared" si="171"/>
        <v>0</v>
      </c>
      <c r="V370" s="149">
        <f t="shared" si="171"/>
        <v>0</v>
      </c>
      <c r="W370" s="133">
        <f t="shared" si="171"/>
        <v>0</v>
      </c>
      <c r="X370" s="149">
        <f t="shared" si="171"/>
        <v>0</v>
      </c>
      <c r="Y370" s="149">
        <f t="shared" si="171"/>
        <v>0</v>
      </c>
      <c r="Z370" s="149">
        <f t="shared" si="171"/>
        <v>0</v>
      </c>
      <c r="AA370" s="149">
        <f t="shared" si="171"/>
        <v>0</v>
      </c>
    </row>
    <row r="371" spans="1:27" ht="20.100000000000001" hidden="1" customHeight="1">
      <c r="A371" s="300">
        <v>30100012</v>
      </c>
      <c r="B371" s="390" t="s">
        <v>206</v>
      </c>
      <c r="C371" s="126" t="s">
        <v>199</v>
      </c>
      <c r="D371" s="108">
        <v>5.03</v>
      </c>
      <c r="E371" s="108"/>
      <c r="F371" s="127"/>
      <c r="G371" s="128"/>
      <c r="H371" s="398">
        <f t="shared" ref="H371:H427" si="172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" si="173">IF(ISERROR(I371-K371),"",I371-K371)</f>
        <v>0</v>
      </c>
      <c r="N371" s="130">
        <f t="shared" ref="N371" si="174">SUM(O371:U371)</f>
        <v>0</v>
      </c>
      <c r="O371" s="393"/>
      <c r="P371" s="393"/>
      <c r="Q371" s="393"/>
      <c r="R371" s="393"/>
      <c r="S371" s="393"/>
      <c r="T371" s="393"/>
      <c r="U371" s="393"/>
      <c r="V371" s="132">
        <f t="shared" ref="V371" si="175">SUM(X371:AA371)</f>
        <v>0</v>
      </c>
      <c r="W371" s="133" t="str">
        <f t="shared" ref="W371" si="176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30100011</v>
      </c>
      <c r="B372" s="390" t="s">
        <v>425</v>
      </c>
      <c r="C372" s="187" t="s">
        <v>427</v>
      </c>
      <c r="D372" s="108">
        <v>5.03</v>
      </c>
      <c r="E372" s="108"/>
      <c r="F372" s="127"/>
      <c r="G372" s="128"/>
      <c r="H372" s="398">
        <f t="shared" si="172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393"/>
      <c r="P372" s="393"/>
      <c r="Q372" s="393"/>
      <c r="R372" s="393"/>
      <c r="S372" s="393"/>
      <c r="T372" s="393"/>
      <c r="U372" s="393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0">
        <v>30100010</v>
      </c>
      <c r="B373" s="390" t="s">
        <v>206</v>
      </c>
      <c r="C373" s="126" t="s">
        <v>186</v>
      </c>
      <c r="D373" s="108">
        <v>5.03</v>
      </c>
      <c r="E373" s="108"/>
      <c r="F373" s="127"/>
      <c r="G373" s="128"/>
      <c r="H373" s="398">
        <f t="shared" si="172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ref="M373:M408" si="177">IF(ISERROR(I373-K373),"",I373-K373)</f>
        <v>0</v>
      </c>
      <c r="N373" s="130">
        <f t="shared" ref="N373:N375" si="178">SUM(O373:U373)</f>
        <v>0</v>
      </c>
      <c r="O373" s="393"/>
      <c r="P373" s="393"/>
      <c r="Q373" s="393"/>
      <c r="R373" s="393"/>
      <c r="S373" s="393"/>
      <c r="T373" s="393"/>
      <c r="U373" s="393"/>
      <c r="V373" s="132">
        <f t="shared" ref="V373:V375" si="179">SUM(X373:AA373)</f>
        <v>0</v>
      </c>
      <c r="W373" s="133" t="str">
        <f t="shared" ref="W373:W375" si="180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0">
        <v>30100014</v>
      </c>
      <c r="B374" s="390" t="s">
        <v>206</v>
      </c>
      <c r="C374" s="126" t="s">
        <v>203</v>
      </c>
      <c r="D374" s="108">
        <v>5.03</v>
      </c>
      <c r="E374" s="108"/>
      <c r="F374" s="127"/>
      <c r="G374" s="128"/>
      <c r="H374" s="398">
        <f t="shared" si="172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7"/>
        <v>0</v>
      </c>
      <c r="N374" s="130">
        <f t="shared" si="178"/>
        <v>0</v>
      </c>
      <c r="O374" s="393"/>
      <c r="P374" s="393"/>
      <c r="Q374" s="393"/>
      <c r="R374" s="393"/>
      <c r="S374" s="393"/>
      <c r="T374" s="393"/>
      <c r="U374" s="393"/>
      <c r="V374" s="132">
        <f t="shared" si="179"/>
        <v>0</v>
      </c>
      <c r="W374" s="133" t="str">
        <f t="shared" si="180"/>
        <v/>
      </c>
      <c r="X374" s="132"/>
      <c r="Y374" s="132"/>
      <c r="Z374" s="132"/>
      <c r="AA374" s="132"/>
    </row>
    <row r="375" spans="1:27" ht="20.100000000000001" hidden="1" customHeight="1">
      <c r="A375" s="300">
        <v>30100013</v>
      </c>
      <c r="B375" s="390" t="s">
        <v>206</v>
      </c>
      <c r="C375" s="126" t="s">
        <v>207</v>
      </c>
      <c r="D375" s="108">
        <v>5.03</v>
      </c>
      <c r="E375" s="108"/>
      <c r="F375" s="127"/>
      <c r="G375" s="128"/>
      <c r="H375" s="398">
        <f t="shared" si="172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7"/>
        <v>0</v>
      </c>
      <c r="N375" s="130">
        <f t="shared" si="178"/>
        <v>0</v>
      </c>
      <c r="O375" s="393"/>
      <c r="P375" s="393"/>
      <c r="Q375" s="393"/>
      <c r="R375" s="393"/>
      <c r="S375" s="393"/>
      <c r="T375" s="393"/>
      <c r="U375" s="393"/>
      <c r="V375" s="132">
        <f t="shared" si="179"/>
        <v>0</v>
      </c>
      <c r="W375" s="133" t="str">
        <f t="shared" si="180"/>
        <v/>
      </c>
      <c r="X375" s="132"/>
      <c r="Y375" s="132"/>
      <c r="Z375" s="132"/>
      <c r="AA375" s="132"/>
    </row>
    <row r="376" spans="1:27" ht="20.100000000000001" hidden="1" customHeight="1">
      <c r="A376" s="300">
        <v>30100016</v>
      </c>
      <c r="B376" s="390" t="s">
        <v>414</v>
      </c>
      <c r="C376" s="187" t="s">
        <v>415</v>
      </c>
      <c r="D376" s="108"/>
      <c r="E376" s="108"/>
      <c r="F376" s="127"/>
      <c r="G376" s="128"/>
      <c r="H376" s="398">
        <f t="shared" si="172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7"/>
        <v>0</v>
      </c>
      <c r="N376" s="130"/>
      <c r="O376" s="393"/>
      <c r="P376" s="393"/>
      <c r="Q376" s="393"/>
      <c r="R376" s="393"/>
      <c r="S376" s="393"/>
      <c r="T376" s="393"/>
      <c r="U376" s="393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30100017</v>
      </c>
      <c r="B377" s="390" t="s">
        <v>414</v>
      </c>
      <c r="C377" s="187" t="s">
        <v>416</v>
      </c>
      <c r="D377" s="108"/>
      <c r="E377" s="108"/>
      <c r="F377" s="127"/>
      <c r="G377" s="128"/>
      <c r="H377" s="398">
        <f t="shared" si="172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7"/>
        <v>0</v>
      </c>
      <c r="N377" s="130"/>
      <c r="O377" s="393"/>
      <c r="P377" s="393"/>
      <c r="Q377" s="393"/>
      <c r="R377" s="393"/>
      <c r="S377" s="393"/>
      <c r="T377" s="393"/>
      <c r="U377" s="393"/>
      <c r="V377" s="132"/>
      <c r="W377" s="133"/>
      <c r="X377" s="132"/>
      <c r="Y377" s="132"/>
      <c r="Z377" s="132"/>
      <c r="AA377" s="132"/>
    </row>
    <row r="378" spans="1:27" ht="20.100000000000001" hidden="1" customHeight="1">
      <c r="A378" s="300">
        <v>30100015</v>
      </c>
      <c r="B378" s="390" t="s">
        <v>414</v>
      </c>
      <c r="C378" s="187" t="s">
        <v>61</v>
      </c>
      <c r="D378" s="108"/>
      <c r="E378" s="108"/>
      <c r="F378" s="127"/>
      <c r="G378" s="128"/>
      <c r="H378" s="398">
        <f t="shared" si="172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7"/>
        <v>0</v>
      </c>
      <c r="N378" s="130"/>
      <c r="O378" s="393"/>
      <c r="P378" s="393"/>
      <c r="Q378" s="393"/>
      <c r="R378" s="393"/>
      <c r="S378" s="393"/>
      <c r="T378" s="393"/>
      <c r="U378" s="393"/>
      <c r="V378" s="132"/>
      <c r="W378" s="133"/>
      <c r="X378" s="132"/>
      <c r="Y378" s="132"/>
      <c r="Z378" s="132"/>
      <c r="AA378" s="132"/>
    </row>
    <row r="379" spans="1:27" ht="20.100000000000001" hidden="1" customHeight="1">
      <c r="A379" s="300">
        <v>30100027</v>
      </c>
      <c r="B379" s="390" t="s">
        <v>208</v>
      </c>
      <c r="C379" s="126" t="s">
        <v>179</v>
      </c>
      <c r="D379" s="108">
        <v>5.08</v>
      </c>
      <c r="E379" s="108"/>
      <c r="F379" s="127"/>
      <c r="G379" s="128"/>
      <c r="H379" s="398">
        <f t="shared" si="172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7"/>
        <v>0</v>
      </c>
      <c r="N379" s="130">
        <f t="shared" ref="N379:N394" si="181">SUM(O379:U379)</f>
        <v>0</v>
      </c>
      <c r="O379" s="393"/>
      <c r="P379" s="393"/>
      <c r="Q379" s="393"/>
      <c r="R379" s="393"/>
      <c r="S379" s="393"/>
      <c r="T379" s="393"/>
      <c r="U379" s="393"/>
      <c r="V379" s="132">
        <f t="shared" ref="V379:V390" si="182">SUM(X379:AA379)</f>
        <v>0</v>
      </c>
      <c r="W379" s="133" t="str">
        <f t="shared" ref="W379:W390" si="183">IF(ISERROR(V379/G379),"",V379/G379)</f>
        <v/>
      </c>
      <c r="X379" s="132"/>
      <c r="Y379" s="132"/>
      <c r="Z379" s="132"/>
      <c r="AA379" s="132"/>
    </row>
    <row r="380" spans="1:27" ht="20.100000000000001" hidden="1" customHeight="1">
      <c r="A380" s="300">
        <v>30100023</v>
      </c>
      <c r="B380" s="390" t="s">
        <v>208</v>
      </c>
      <c r="C380" s="126" t="s">
        <v>204</v>
      </c>
      <c r="D380" s="108">
        <v>5.08</v>
      </c>
      <c r="E380" s="108"/>
      <c r="F380" s="127"/>
      <c r="G380" s="128"/>
      <c r="H380" s="398">
        <f t="shared" si="172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7"/>
        <v>0</v>
      </c>
      <c r="N380" s="130">
        <f t="shared" si="181"/>
        <v>0</v>
      </c>
      <c r="O380" s="393"/>
      <c r="P380" s="393"/>
      <c r="Q380" s="393"/>
      <c r="R380" s="393"/>
      <c r="S380" s="393"/>
      <c r="T380" s="393"/>
      <c r="U380" s="393"/>
      <c r="V380" s="132">
        <f t="shared" si="182"/>
        <v>0</v>
      </c>
      <c r="W380" s="133" t="str">
        <f t="shared" si="183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30100024</v>
      </c>
      <c r="B381" s="390" t="s">
        <v>208</v>
      </c>
      <c r="C381" s="126" t="s">
        <v>205</v>
      </c>
      <c r="D381" s="108">
        <v>5.08</v>
      </c>
      <c r="E381" s="108"/>
      <c r="F381" s="127"/>
      <c r="G381" s="128"/>
      <c r="H381" s="398">
        <f t="shared" si="172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7"/>
        <v>0</v>
      </c>
      <c r="N381" s="130">
        <f t="shared" si="181"/>
        <v>0</v>
      </c>
      <c r="O381" s="393"/>
      <c r="P381" s="393"/>
      <c r="Q381" s="393"/>
      <c r="R381" s="393"/>
      <c r="S381" s="393"/>
      <c r="T381" s="393"/>
      <c r="U381" s="393"/>
      <c r="V381" s="132">
        <f t="shared" si="182"/>
        <v>0</v>
      </c>
      <c r="W381" s="133" t="str">
        <f t="shared" si="183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30100022</v>
      </c>
      <c r="B382" s="390" t="s">
        <v>208</v>
      </c>
      <c r="C382" s="126" t="s">
        <v>186</v>
      </c>
      <c r="D382" s="108">
        <v>5.08</v>
      </c>
      <c r="E382" s="108"/>
      <c r="F382" s="127"/>
      <c r="G382" s="128"/>
      <c r="H382" s="398">
        <f t="shared" si="172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7"/>
        <v>0</v>
      </c>
      <c r="N382" s="130">
        <f t="shared" si="181"/>
        <v>0</v>
      </c>
      <c r="O382" s="393"/>
      <c r="P382" s="393"/>
      <c r="Q382" s="393"/>
      <c r="R382" s="393"/>
      <c r="S382" s="393"/>
      <c r="T382" s="393"/>
      <c r="U382" s="393"/>
      <c r="V382" s="132">
        <f t="shared" si="182"/>
        <v>0</v>
      </c>
      <c r="W382" s="133" t="str">
        <f t="shared" si="183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30100029</v>
      </c>
      <c r="B383" s="390" t="s">
        <v>208</v>
      </c>
      <c r="C383" s="126" t="s">
        <v>203</v>
      </c>
      <c r="D383" s="108">
        <v>5.08</v>
      </c>
      <c r="E383" s="108"/>
      <c r="F383" s="127"/>
      <c r="G383" s="128"/>
      <c r="H383" s="398">
        <f t="shared" si="172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7"/>
        <v>0</v>
      </c>
      <c r="N383" s="130">
        <f t="shared" si="181"/>
        <v>0</v>
      </c>
      <c r="O383" s="393"/>
      <c r="P383" s="393"/>
      <c r="Q383" s="393"/>
      <c r="R383" s="393"/>
      <c r="S383" s="393"/>
      <c r="T383" s="393"/>
      <c r="U383" s="393"/>
      <c r="V383" s="132">
        <f t="shared" si="182"/>
        <v>0</v>
      </c>
      <c r="W383" s="133" t="str">
        <f t="shared" si="183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30100026</v>
      </c>
      <c r="B384" s="390" t="s">
        <v>208</v>
      </c>
      <c r="C384" s="126" t="s">
        <v>199</v>
      </c>
      <c r="D384" s="108">
        <v>5.08</v>
      </c>
      <c r="E384" s="108"/>
      <c r="F384" s="127"/>
      <c r="G384" s="128"/>
      <c r="H384" s="398">
        <f t="shared" si="172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7"/>
        <v>0</v>
      </c>
      <c r="N384" s="130">
        <f t="shared" si="181"/>
        <v>0</v>
      </c>
      <c r="O384" s="389"/>
      <c r="P384" s="389"/>
      <c r="Q384" s="389"/>
      <c r="R384" s="389"/>
      <c r="S384" s="389"/>
      <c r="T384" s="389"/>
      <c r="U384" s="389"/>
      <c r="V384" s="132">
        <f t="shared" si="182"/>
        <v>0</v>
      </c>
      <c r="W384" s="133" t="str">
        <f t="shared" si="183"/>
        <v/>
      </c>
      <c r="X384" s="132"/>
      <c r="Y384" s="132"/>
      <c r="Z384" s="132"/>
      <c r="AA384" s="132"/>
    </row>
    <row r="385" spans="1:27" ht="20.100000000000001" hidden="1" customHeight="1">
      <c r="A385" s="300">
        <v>30100025</v>
      </c>
      <c r="B385" s="390" t="s">
        <v>208</v>
      </c>
      <c r="C385" s="126" t="s">
        <v>187</v>
      </c>
      <c r="D385" s="108">
        <v>5.08</v>
      </c>
      <c r="E385" s="108"/>
      <c r="F385" s="127"/>
      <c r="G385" s="128"/>
      <c r="H385" s="398">
        <f t="shared" si="172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7"/>
        <v>0</v>
      </c>
      <c r="N385" s="130">
        <f t="shared" si="181"/>
        <v>0</v>
      </c>
      <c r="O385" s="393"/>
      <c r="P385" s="393"/>
      <c r="Q385" s="393"/>
      <c r="R385" s="393"/>
      <c r="S385" s="393"/>
      <c r="T385" s="393"/>
      <c r="U385" s="393"/>
      <c r="V385" s="132">
        <f t="shared" si="182"/>
        <v>0</v>
      </c>
      <c r="W385" s="133" t="str">
        <f t="shared" si="183"/>
        <v/>
      </c>
      <c r="X385" s="132"/>
      <c r="Y385" s="132"/>
      <c r="Z385" s="132"/>
      <c r="AA385" s="132"/>
    </row>
    <row r="386" spans="1:27" ht="20.100000000000001" hidden="1" customHeight="1">
      <c r="A386" s="300">
        <v>30100028</v>
      </c>
      <c r="B386" s="390" t="s">
        <v>208</v>
      </c>
      <c r="C386" s="126" t="s">
        <v>207</v>
      </c>
      <c r="D386" s="108">
        <v>5.08</v>
      </c>
      <c r="E386" s="108"/>
      <c r="F386" s="127"/>
      <c r="G386" s="128"/>
      <c r="H386" s="398">
        <f t="shared" si="172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7"/>
        <v>0</v>
      </c>
      <c r="N386" s="130">
        <f t="shared" si="181"/>
        <v>0</v>
      </c>
      <c r="O386" s="389"/>
      <c r="P386" s="389"/>
      <c r="Q386" s="389"/>
      <c r="R386" s="389"/>
      <c r="S386" s="389"/>
      <c r="T386" s="389"/>
      <c r="U386" s="389"/>
      <c r="V386" s="132">
        <f t="shared" si="182"/>
        <v>0</v>
      </c>
      <c r="W386" s="133" t="str">
        <f t="shared" si="183"/>
        <v/>
      </c>
      <c r="X386" s="132"/>
      <c r="Y386" s="132"/>
      <c r="Z386" s="132"/>
      <c r="AA386" s="132"/>
    </row>
    <row r="387" spans="1:27" ht="20.100000000000001" hidden="1" customHeight="1">
      <c r="A387" s="300">
        <v>30100032</v>
      </c>
      <c r="B387" s="390" t="s">
        <v>209</v>
      </c>
      <c r="C387" s="126" t="s">
        <v>194</v>
      </c>
      <c r="D387" s="108">
        <v>5.03</v>
      </c>
      <c r="E387" s="108"/>
      <c r="F387" s="127"/>
      <c r="G387" s="128"/>
      <c r="H387" s="398">
        <f t="shared" si="172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7"/>
        <v>0</v>
      </c>
      <c r="N387" s="130">
        <f t="shared" si="181"/>
        <v>0</v>
      </c>
      <c r="O387" s="393"/>
      <c r="P387" s="393"/>
      <c r="Q387" s="393"/>
      <c r="R387" s="393"/>
      <c r="S387" s="393"/>
      <c r="T387" s="393"/>
      <c r="U387" s="393"/>
      <c r="V387" s="132">
        <f t="shared" si="182"/>
        <v>0</v>
      </c>
      <c r="W387" s="133" t="str">
        <f t="shared" si="183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30100033</v>
      </c>
      <c r="B388" s="390" t="s">
        <v>209</v>
      </c>
      <c r="C388" s="126" t="s">
        <v>179</v>
      </c>
      <c r="D388" s="108">
        <v>5.03</v>
      </c>
      <c r="E388" s="108"/>
      <c r="F388" s="127"/>
      <c r="G388" s="128"/>
      <c r="H388" s="398">
        <f t="shared" si="172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7"/>
        <v>0</v>
      </c>
      <c r="N388" s="130">
        <f t="shared" si="181"/>
        <v>0</v>
      </c>
      <c r="O388" s="393"/>
      <c r="P388" s="393"/>
      <c r="Q388" s="393"/>
      <c r="R388" s="393"/>
      <c r="S388" s="393"/>
      <c r="T388" s="393"/>
      <c r="U388" s="393"/>
      <c r="V388" s="132">
        <f t="shared" si="182"/>
        <v>0</v>
      </c>
      <c r="W388" s="133" t="str">
        <f t="shared" si="183"/>
        <v/>
      </c>
      <c r="X388" s="132"/>
      <c r="Y388" s="132"/>
      <c r="Z388" s="132"/>
      <c r="AA388" s="132"/>
    </row>
    <row r="389" spans="1:27" ht="20.100000000000001" hidden="1" customHeight="1">
      <c r="A389" s="300">
        <v>30100062</v>
      </c>
      <c r="B389" s="390" t="s">
        <v>209</v>
      </c>
      <c r="C389" s="126" t="s">
        <v>195</v>
      </c>
      <c r="D389" s="108">
        <v>5.03</v>
      </c>
      <c r="E389" s="108"/>
      <c r="F389" s="127"/>
      <c r="G389" s="128"/>
      <c r="H389" s="398">
        <f t="shared" si="172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7"/>
        <v>0</v>
      </c>
      <c r="N389" s="130">
        <f t="shared" si="181"/>
        <v>0</v>
      </c>
      <c r="O389" s="393"/>
      <c r="P389" s="393"/>
      <c r="Q389" s="393"/>
      <c r="R389" s="393"/>
      <c r="S389" s="393"/>
      <c r="T389" s="393"/>
      <c r="U389" s="393"/>
      <c r="V389" s="132">
        <f t="shared" si="182"/>
        <v>0</v>
      </c>
      <c r="W389" s="133" t="str">
        <f t="shared" si="183"/>
        <v/>
      </c>
      <c r="X389" s="132"/>
      <c r="Y389" s="132"/>
      <c r="Z389" s="132"/>
      <c r="AA389" s="132"/>
    </row>
    <row r="390" spans="1:27" ht="20.100000000000001" hidden="1" customHeight="1">
      <c r="A390" s="300">
        <v>30100031</v>
      </c>
      <c r="B390" s="390" t="s">
        <v>209</v>
      </c>
      <c r="C390" s="126" t="s">
        <v>204</v>
      </c>
      <c r="D390" s="108">
        <v>5.03</v>
      </c>
      <c r="E390" s="108"/>
      <c r="F390" s="127"/>
      <c r="G390" s="128"/>
      <c r="H390" s="398">
        <f t="shared" si="172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7"/>
        <v>0</v>
      </c>
      <c r="N390" s="130">
        <f t="shared" si="181"/>
        <v>0</v>
      </c>
      <c r="O390" s="393"/>
      <c r="P390" s="393"/>
      <c r="Q390" s="393"/>
      <c r="R390" s="393"/>
      <c r="S390" s="393"/>
      <c r="T390" s="393"/>
      <c r="U390" s="393"/>
      <c r="V390" s="132">
        <f t="shared" si="182"/>
        <v>0</v>
      </c>
      <c r="W390" s="133" t="str">
        <f t="shared" si="183"/>
        <v/>
      </c>
      <c r="X390" s="132"/>
      <c r="Y390" s="132"/>
      <c r="Z390" s="132"/>
      <c r="AA390" s="132"/>
    </row>
    <row r="391" spans="1:27" ht="20.100000000000001" hidden="1" customHeight="1">
      <c r="A391" s="300">
        <v>30100019</v>
      </c>
      <c r="B391" s="390" t="s">
        <v>382</v>
      </c>
      <c r="C391" s="187" t="s">
        <v>383</v>
      </c>
      <c r="D391" s="108">
        <v>5.03</v>
      </c>
      <c r="E391" s="108"/>
      <c r="F391" s="127"/>
      <c r="G391" s="128"/>
      <c r="H391" s="398">
        <f t="shared" si="172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7"/>
        <v>0</v>
      </c>
      <c r="N391" s="130">
        <f t="shared" si="181"/>
        <v>0</v>
      </c>
      <c r="O391" s="393"/>
      <c r="P391" s="393"/>
      <c r="Q391" s="393"/>
      <c r="R391" s="393"/>
      <c r="S391" s="393"/>
      <c r="T391" s="393"/>
      <c r="U391" s="393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30100020</v>
      </c>
      <c r="B392" s="390" t="s">
        <v>382</v>
      </c>
      <c r="C392" s="187" t="s">
        <v>384</v>
      </c>
      <c r="D392" s="108">
        <v>5.03</v>
      </c>
      <c r="E392" s="108"/>
      <c r="F392" s="127"/>
      <c r="G392" s="128"/>
      <c r="H392" s="398">
        <f t="shared" si="172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7"/>
        <v>0</v>
      </c>
      <c r="N392" s="130">
        <f t="shared" si="181"/>
        <v>0</v>
      </c>
      <c r="O392" s="393"/>
      <c r="P392" s="393"/>
      <c r="Q392" s="393"/>
      <c r="R392" s="393"/>
      <c r="S392" s="393"/>
      <c r="T392" s="393"/>
      <c r="U392" s="393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0">
        <v>30100021</v>
      </c>
      <c r="B393" s="390" t="s">
        <v>382</v>
      </c>
      <c r="C393" s="187" t="s">
        <v>389</v>
      </c>
      <c r="D393" s="108">
        <v>5.03</v>
      </c>
      <c r="E393" s="108"/>
      <c r="F393" s="127"/>
      <c r="G393" s="128"/>
      <c r="H393" s="398">
        <f t="shared" si="172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7"/>
        <v>0</v>
      </c>
      <c r="N393" s="130">
        <f t="shared" si="181"/>
        <v>0</v>
      </c>
      <c r="O393" s="393"/>
      <c r="P393" s="393"/>
      <c r="Q393" s="393"/>
      <c r="R393" s="393"/>
      <c r="S393" s="393"/>
      <c r="T393" s="393"/>
      <c r="U393" s="393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0">
        <v>30100018</v>
      </c>
      <c r="B394" s="390" t="s">
        <v>382</v>
      </c>
      <c r="C394" s="187" t="s">
        <v>391</v>
      </c>
      <c r="D394" s="108">
        <v>5.03</v>
      </c>
      <c r="E394" s="108"/>
      <c r="F394" s="127"/>
      <c r="G394" s="128"/>
      <c r="H394" s="398">
        <f t="shared" si="172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7"/>
        <v>0</v>
      </c>
      <c r="N394" s="130">
        <f t="shared" si="181"/>
        <v>0</v>
      </c>
      <c r="O394" s="393"/>
      <c r="P394" s="393"/>
      <c r="Q394" s="393"/>
      <c r="R394" s="393"/>
      <c r="S394" s="393"/>
      <c r="T394" s="393"/>
      <c r="U394" s="393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30700007</v>
      </c>
      <c r="B395" s="390" t="s">
        <v>418</v>
      </c>
      <c r="C395" s="187" t="s">
        <v>364</v>
      </c>
      <c r="D395" s="108">
        <v>5.03</v>
      </c>
      <c r="E395" s="108"/>
      <c r="F395" s="127"/>
      <c r="G395" s="128"/>
      <c r="H395" s="398">
        <f t="shared" si="172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7"/>
        <v>0</v>
      </c>
      <c r="N395" s="130"/>
      <c r="O395" s="393"/>
      <c r="P395" s="393"/>
      <c r="Q395" s="393"/>
      <c r="R395" s="393"/>
      <c r="S395" s="393"/>
      <c r="T395" s="393"/>
      <c r="U395" s="393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30700006</v>
      </c>
      <c r="B396" s="390" t="s">
        <v>418</v>
      </c>
      <c r="C396" s="187" t="s">
        <v>365</v>
      </c>
      <c r="D396" s="108">
        <v>5.03</v>
      </c>
      <c r="E396" s="108"/>
      <c r="F396" s="127"/>
      <c r="G396" s="128"/>
      <c r="H396" s="398">
        <f t="shared" si="172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7"/>
        <v>0</v>
      </c>
      <c r="N396" s="130"/>
      <c r="O396" s="393"/>
      <c r="P396" s="393"/>
      <c r="Q396" s="393"/>
      <c r="R396" s="393"/>
      <c r="S396" s="393"/>
      <c r="T396" s="393"/>
      <c r="U396" s="393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3">
        <v>30700008</v>
      </c>
      <c r="B397" s="390" t="s">
        <v>418</v>
      </c>
      <c r="C397" s="187" t="s">
        <v>366</v>
      </c>
      <c r="D397" s="108">
        <v>5.03</v>
      </c>
      <c r="E397" s="108"/>
      <c r="F397" s="127"/>
      <c r="G397" s="128"/>
      <c r="H397" s="398">
        <f t="shared" si="172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7"/>
        <v>0</v>
      </c>
      <c r="N397" s="130"/>
      <c r="O397" s="393"/>
      <c r="P397" s="393"/>
      <c r="Q397" s="393"/>
      <c r="R397" s="393"/>
      <c r="S397" s="393"/>
      <c r="T397" s="393"/>
      <c r="U397" s="393"/>
      <c r="V397" s="132"/>
      <c r="W397" s="133"/>
      <c r="X397" s="132"/>
      <c r="Y397" s="132"/>
      <c r="Z397" s="132"/>
      <c r="AA397" s="132"/>
    </row>
    <row r="398" spans="1:27" ht="20.100000000000001" hidden="1" customHeight="1">
      <c r="A398" s="303">
        <v>30700009</v>
      </c>
      <c r="B398" s="390" t="s">
        <v>418</v>
      </c>
      <c r="C398" s="187" t="s">
        <v>367</v>
      </c>
      <c r="D398" s="108">
        <v>5.03</v>
      </c>
      <c r="E398" s="108"/>
      <c r="F398" s="127"/>
      <c r="G398" s="128"/>
      <c r="H398" s="398">
        <f t="shared" si="172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7"/>
        <v>0</v>
      </c>
      <c r="N398" s="130"/>
      <c r="O398" s="393"/>
      <c r="P398" s="393"/>
      <c r="Q398" s="393"/>
      <c r="R398" s="393"/>
      <c r="S398" s="393"/>
      <c r="T398" s="393"/>
      <c r="U398" s="393"/>
      <c r="V398" s="132"/>
      <c r="W398" s="133"/>
      <c r="X398" s="132"/>
      <c r="Y398" s="132"/>
      <c r="Z398" s="132"/>
      <c r="AA398" s="132"/>
    </row>
    <row r="399" spans="1:27" ht="20.100000000000001" hidden="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28"/>
      <c r="H399" s="398">
        <f t="shared" si="172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7"/>
        <v>0</v>
      </c>
      <c r="N399" s="130">
        <f t="shared" ref="N399:N408" si="184">SUM(O399:U399)</f>
        <v>0</v>
      </c>
      <c r="O399" s="389"/>
      <c r="P399" s="389"/>
      <c r="Q399" s="389"/>
      <c r="R399" s="389"/>
      <c r="S399" s="389"/>
      <c r="T399" s="389"/>
      <c r="U399" s="389"/>
      <c r="V399" s="132">
        <f t="shared" ref="V399:V408" si="185">SUM(X399:AA399)</f>
        <v>0</v>
      </c>
      <c r="W399" s="133" t="str">
        <f t="shared" ref="W399:W408" si="186">IF(ISERROR(V399/G399),"",V399/G399)</f>
        <v/>
      </c>
      <c r="X399" s="132"/>
      <c r="Y399" s="132"/>
      <c r="Z399" s="132"/>
      <c r="AA399" s="132"/>
    </row>
    <row r="400" spans="1:27" ht="20.100000000000001" hidden="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28"/>
      <c r="H400" s="398">
        <f t="shared" si="172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77"/>
        <v>0</v>
      </c>
      <c r="N400" s="130">
        <f t="shared" si="184"/>
        <v>0</v>
      </c>
      <c r="O400" s="389"/>
      <c r="P400" s="389"/>
      <c r="Q400" s="389"/>
      <c r="R400" s="389"/>
      <c r="S400" s="389"/>
      <c r="T400" s="389"/>
      <c r="U400" s="389"/>
      <c r="V400" s="132">
        <f t="shared" si="185"/>
        <v>0</v>
      </c>
      <c r="W400" s="133" t="str">
        <f t="shared" si="186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28"/>
      <c r="H401" s="398">
        <f t="shared" si="172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77"/>
        <v>0</v>
      </c>
      <c r="N401" s="130">
        <f t="shared" si="184"/>
        <v>0</v>
      </c>
      <c r="O401" s="389"/>
      <c r="P401" s="389"/>
      <c r="Q401" s="389"/>
      <c r="R401" s="389"/>
      <c r="S401" s="389"/>
      <c r="T401" s="389"/>
      <c r="U401" s="389"/>
      <c r="V401" s="132">
        <f t="shared" si="185"/>
        <v>0</v>
      </c>
      <c r="W401" s="133" t="str">
        <f t="shared" si="186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28"/>
      <c r="H402" s="398">
        <f t="shared" si="172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7"/>
        <v>0</v>
      </c>
      <c r="N402" s="130">
        <f t="shared" si="184"/>
        <v>0</v>
      </c>
      <c r="O402" s="389"/>
      <c r="P402" s="389"/>
      <c r="Q402" s="389"/>
      <c r="R402" s="389"/>
      <c r="S402" s="389"/>
      <c r="T402" s="389"/>
      <c r="U402" s="389"/>
      <c r="V402" s="132">
        <f t="shared" si="185"/>
        <v>0</v>
      </c>
      <c r="W402" s="133" t="str">
        <f t="shared" si="186"/>
        <v/>
      </c>
      <c r="X402" s="132"/>
      <c r="Y402" s="132"/>
      <c r="Z402" s="132"/>
      <c r="AA402" s="132"/>
    </row>
    <row r="403" spans="1:27" ht="20.100000000000001" hidden="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28"/>
      <c r="H403" s="398">
        <f t="shared" si="172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7"/>
        <v>0</v>
      </c>
      <c r="N403" s="130">
        <f t="shared" si="184"/>
        <v>0</v>
      </c>
      <c r="O403" s="389"/>
      <c r="P403" s="389"/>
      <c r="Q403" s="389"/>
      <c r="R403" s="389"/>
      <c r="S403" s="389"/>
      <c r="T403" s="389"/>
      <c r="U403" s="389"/>
      <c r="V403" s="132">
        <f t="shared" si="185"/>
        <v>0</v>
      </c>
      <c r="W403" s="133" t="str">
        <f t="shared" si="186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28"/>
      <c r="H404" s="398">
        <f t="shared" si="172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7"/>
        <v>0</v>
      </c>
      <c r="N404" s="130">
        <f t="shared" si="184"/>
        <v>0</v>
      </c>
      <c r="O404" s="389"/>
      <c r="P404" s="389"/>
      <c r="Q404" s="389"/>
      <c r="R404" s="389"/>
      <c r="S404" s="389"/>
      <c r="T404" s="389"/>
      <c r="U404" s="389"/>
      <c r="V404" s="132">
        <f t="shared" si="185"/>
        <v>0</v>
      </c>
      <c r="W404" s="133" t="str">
        <f t="shared" si="186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28"/>
      <c r="H405" s="398">
        <f t="shared" si="172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7"/>
        <v>0</v>
      </c>
      <c r="N405" s="130">
        <f t="shared" si="184"/>
        <v>0</v>
      </c>
      <c r="O405" s="389"/>
      <c r="P405" s="389"/>
      <c r="Q405" s="389"/>
      <c r="R405" s="389"/>
      <c r="S405" s="389"/>
      <c r="T405" s="389"/>
      <c r="U405" s="389"/>
      <c r="V405" s="132">
        <f t="shared" si="185"/>
        <v>0</v>
      </c>
      <c r="W405" s="133" t="str">
        <f t="shared" si="186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28"/>
      <c r="H406" s="398">
        <f t="shared" si="172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7"/>
        <v>0</v>
      </c>
      <c r="N406" s="130">
        <f t="shared" si="184"/>
        <v>0</v>
      </c>
      <c r="O406" s="389"/>
      <c r="P406" s="389"/>
      <c r="Q406" s="389"/>
      <c r="R406" s="389"/>
      <c r="S406" s="389"/>
      <c r="T406" s="389"/>
      <c r="U406" s="389"/>
      <c r="V406" s="132">
        <f t="shared" si="185"/>
        <v>0</v>
      </c>
      <c r="W406" s="133" t="str">
        <f t="shared" si="186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28"/>
      <c r="H407" s="398">
        <f t="shared" si="172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77"/>
        <v>0</v>
      </c>
      <c r="N407" s="130">
        <f t="shared" si="184"/>
        <v>0</v>
      </c>
      <c r="O407" s="389"/>
      <c r="P407" s="389"/>
      <c r="Q407" s="389"/>
      <c r="R407" s="389"/>
      <c r="S407" s="389"/>
      <c r="T407" s="389"/>
      <c r="U407" s="389"/>
      <c r="V407" s="132">
        <f t="shared" si="185"/>
        <v>0</v>
      </c>
      <c r="W407" s="133" t="str">
        <f t="shared" si="186"/>
        <v/>
      </c>
      <c r="X407" s="132"/>
      <c r="Y407" s="132"/>
      <c r="Z407" s="132"/>
      <c r="AA407" s="132"/>
    </row>
    <row r="408" spans="1:27" ht="20.100000000000001" hidden="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28"/>
      <c r="H408" s="398">
        <f t="shared" si="172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77"/>
        <v>0</v>
      </c>
      <c r="N408" s="130">
        <f t="shared" si="184"/>
        <v>0</v>
      </c>
      <c r="O408" s="389"/>
      <c r="P408" s="389"/>
      <c r="Q408" s="389"/>
      <c r="R408" s="389"/>
      <c r="S408" s="389"/>
      <c r="T408" s="389"/>
      <c r="U408" s="389"/>
      <c r="V408" s="132">
        <f t="shared" si="185"/>
        <v>0</v>
      </c>
      <c r="W408" s="133" t="str">
        <f t="shared" si="186"/>
        <v/>
      </c>
      <c r="X408" s="132"/>
      <c r="Y408" s="132"/>
      <c r="Z408" s="132"/>
      <c r="AA408" s="132"/>
    </row>
    <row r="409" spans="1:27" ht="20.100000000000001" hidden="1" customHeight="1">
      <c r="A409" s="300">
        <v>30100043</v>
      </c>
      <c r="B409" s="134" t="s">
        <v>429</v>
      </c>
      <c r="C409" s="187" t="s">
        <v>427</v>
      </c>
      <c r="D409" s="108">
        <v>50.3</v>
      </c>
      <c r="E409" s="108"/>
      <c r="F409" s="127"/>
      <c r="G409" s="128"/>
      <c r="H409" s="398">
        <f t="shared" si="172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389"/>
      <c r="P409" s="389"/>
      <c r="Q409" s="389"/>
      <c r="R409" s="389"/>
      <c r="S409" s="389"/>
      <c r="T409" s="389"/>
      <c r="U409" s="389"/>
      <c r="V409" s="132"/>
      <c r="W409" s="133"/>
      <c r="X409" s="132"/>
      <c r="Y409" s="132"/>
      <c r="Z409" s="132"/>
      <c r="AA409" s="132"/>
    </row>
    <row r="410" spans="1:27" ht="20.100000000000001" hidden="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28"/>
      <c r="H410" s="398">
        <f t="shared" si="172"/>
        <v>0</v>
      </c>
      <c r="I410" s="129"/>
      <c r="J410" s="130"/>
      <c r="K410" s="131"/>
      <c r="L410" s="129">
        <v>50</v>
      </c>
      <c r="M410" s="109"/>
      <c r="N410" s="130"/>
      <c r="O410" s="389"/>
      <c r="P410" s="389"/>
      <c r="Q410" s="389"/>
      <c r="R410" s="389"/>
      <c r="S410" s="389"/>
      <c r="T410" s="389"/>
      <c r="U410" s="389"/>
      <c r="V410" s="132"/>
      <c r="W410" s="133"/>
      <c r="X410" s="132"/>
      <c r="Y410" s="132"/>
      <c r="Z410" s="132"/>
      <c r="AA410" s="132"/>
    </row>
    <row r="411" spans="1:27" ht="20.100000000000001" hidden="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28"/>
      <c r="H411" s="398">
        <f t="shared" si="172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7">IF(ISERROR(I411-K411),"",I411-K411)</f>
        <v>0</v>
      </c>
      <c r="N411" s="130">
        <f t="shared" ref="N411:N412" si="188">SUM(O411:U411)</f>
        <v>0</v>
      </c>
      <c r="O411" s="389"/>
      <c r="P411" s="389"/>
      <c r="Q411" s="389"/>
      <c r="R411" s="389"/>
      <c r="S411" s="389"/>
      <c r="T411" s="389"/>
      <c r="U411" s="389"/>
      <c r="V411" s="132">
        <f t="shared" ref="V411:V412" si="189">SUM(X411:AA411)</f>
        <v>0</v>
      </c>
      <c r="W411" s="133" t="str">
        <f t="shared" ref="W411:W412" si="190">IF(ISERROR(V411/G411),"",V411/G411)</f>
        <v/>
      </c>
      <c r="X411" s="132"/>
      <c r="Y411" s="132"/>
      <c r="Z411" s="132"/>
      <c r="AA411" s="132"/>
    </row>
    <row r="412" spans="1:27" ht="20.100000000000001" hidden="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28"/>
      <c r="H412" s="398">
        <f t="shared" si="172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7"/>
        <v>0</v>
      </c>
      <c r="N412" s="130">
        <f t="shared" si="188"/>
        <v>0</v>
      </c>
      <c r="O412" s="389"/>
      <c r="P412" s="389"/>
      <c r="Q412" s="389"/>
      <c r="R412" s="389"/>
      <c r="S412" s="389"/>
      <c r="T412" s="389"/>
      <c r="U412" s="389"/>
      <c r="V412" s="132">
        <f t="shared" si="189"/>
        <v>0</v>
      </c>
      <c r="W412" s="133" t="str">
        <f t="shared" si="190"/>
        <v/>
      </c>
      <c r="X412" s="132"/>
      <c r="Y412" s="132"/>
      <c r="Z412" s="132"/>
      <c r="AA412" s="132"/>
    </row>
    <row r="413" spans="1:27" ht="20.100000000000001" hidden="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28"/>
      <c r="H413" s="398">
        <f t="shared" si="172"/>
        <v>0</v>
      </c>
      <c r="I413" s="129"/>
      <c r="J413" s="130"/>
      <c r="K413" s="131"/>
      <c r="L413" s="129"/>
      <c r="M413" s="109"/>
      <c r="N413" s="130"/>
      <c r="O413" s="389"/>
      <c r="P413" s="389"/>
      <c r="Q413" s="389"/>
      <c r="R413" s="389"/>
      <c r="S413" s="389"/>
      <c r="T413" s="389"/>
      <c r="U413" s="389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28"/>
      <c r="H414" s="398">
        <f t="shared" si="172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91">IF(ISERROR(I414-K414),"",I414-K414)</f>
        <v/>
      </c>
      <c r="N414" s="130">
        <f t="shared" ref="N414:N417" si="192">SUM(O414:U414)</f>
        <v>0</v>
      </c>
      <c r="O414" s="389"/>
      <c r="P414" s="389"/>
      <c r="Q414" s="389"/>
      <c r="R414" s="389"/>
      <c r="S414" s="389"/>
      <c r="T414" s="389"/>
      <c r="U414" s="389"/>
      <c r="V414" s="132">
        <f t="shared" ref="V414:V417" si="193">SUM(X414:AA414)</f>
        <v>0</v>
      </c>
      <c r="W414" s="133" t="str">
        <f t="shared" ref="W414:W417" si="194">IF(ISERROR(V414/G414),"",V414/G414)</f>
        <v/>
      </c>
      <c r="X414" s="132"/>
      <c r="Y414" s="132"/>
      <c r="Z414" s="132"/>
      <c r="AA414" s="132"/>
    </row>
    <row r="415" spans="1:27" ht="20.100000000000001" hidden="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28"/>
      <c r="H415" s="398">
        <f t="shared" si="172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1"/>
        <v/>
      </c>
      <c r="N415" s="130">
        <f t="shared" si="192"/>
        <v>0</v>
      </c>
      <c r="O415" s="389"/>
      <c r="P415" s="389"/>
      <c r="Q415" s="389"/>
      <c r="R415" s="389"/>
      <c r="S415" s="389"/>
      <c r="T415" s="389"/>
      <c r="U415" s="389"/>
      <c r="V415" s="132">
        <f t="shared" si="193"/>
        <v>0</v>
      </c>
      <c r="W415" s="133" t="str">
        <f t="shared" si="194"/>
        <v/>
      </c>
      <c r="X415" s="132"/>
      <c r="Y415" s="132"/>
      <c r="Z415" s="132"/>
      <c r="AA415" s="132"/>
    </row>
    <row r="416" spans="1:27" ht="20.100000000000001" hidden="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28"/>
      <c r="H416" s="398">
        <f t="shared" si="172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91"/>
        <v/>
      </c>
      <c r="N416" s="130">
        <f t="shared" si="192"/>
        <v>0</v>
      </c>
      <c r="O416" s="389"/>
      <c r="P416" s="389"/>
      <c r="Q416" s="389"/>
      <c r="R416" s="389"/>
      <c r="S416" s="389"/>
      <c r="T416" s="389"/>
      <c r="U416" s="389"/>
      <c r="V416" s="132">
        <f t="shared" si="193"/>
        <v>0</v>
      </c>
      <c r="W416" s="133" t="str">
        <f t="shared" si="194"/>
        <v/>
      </c>
      <c r="X416" s="132"/>
      <c r="Y416" s="132"/>
      <c r="Z416" s="132"/>
      <c r="AA416" s="132"/>
    </row>
    <row r="417" spans="1:27" ht="20.100000000000001" hidden="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28"/>
      <c r="H417" s="398">
        <f t="shared" si="172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91"/>
        <v/>
      </c>
      <c r="N417" s="130">
        <f t="shared" si="192"/>
        <v>0</v>
      </c>
      <c r="O417" s="389"/>
      <c r="P417" s="389"/>
      <c r="Q417" s="389"/>
      <c r="R417" s="389"/>
      <c r="S417" s="389"/>
      <c r="T417" s="389"/>
      <c r="U417" s="389"/>
      <c r="V417" s="132">
        <f t="shared" si="193"/>
        <v>0</v>
      </c>
      <c r="W417" s="133" t="str">
        <f t="shared" si="194"/>
        <v/>
      </c>
      <c r="X417" s="132"/>
      <c r="Y417" s="132"/>
      <c r="Z417" s="132"/>
      <c r="AA417" s="132"/>
    </row>
    <row r="418" spans="1:27" ht="20.100000000000001" hidden="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28"/>
      <c r="H418" s="398">
        <f t="shared" si="172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1"/>
        <v>0</v>
      </c>
      <c r="N418" s="130"/>
      <c r="O418" s="389"/>
      <c r="P418" s="389"/>
      <c r="Q418" s="389"/>
      <c r="R418" s="389"/>
      <c r="S418" s="389"/>
      <c r="T418" s="389"/>
      <c r="U418" s="389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28"/>
      <c r="H419" s="398">
        <f t="shared" si="172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1"/>
        <v>0</v>
      </c>
      <c r="N419" s="130"/>
      <c r="O419" s="389"/>
      <c r="P419" s="389"/>
      <c r="Q419" s="389"/>
      <c r="R419" s="389"/>
      <c r="S419" s="389"/>
      <c r="T419" s="389"/>
      <c r="U419" s="389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28"/>
      <c r="H420" s="398">
        <f t="shared" si="172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91"/>
        <v>0</v>
      </c>
      <c r="N420" s="130"/>
      <c r="O420" s="389"/>
      <c r="P420" s="389"/>
      <c r="Q420" s="389"/>
      <c r="R420" s="389"/>
      <c r="S420" s="389"/>
      <c r="T420" s="389"/>
      <c r="U420" s="389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28"/>
      <c r="H421" s="398">
        <f t="shared" si="172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91"/>
        <v>0</v>
      </c>
      <c r="N421" s="130"/>
      <c r="O421" s="389"/>
      <c r="P421" s="389"/>
      <c r="Q421" s="389"/>
      <c r="R421" s="389"/>
      <c r="S421" s="389"/>
      <c r="T421" s="389"/>
      <c r="U421" s="389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28"/>
      <c r="H422" s="398">
        <f t="shared" si="172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1"/>
        <v>0</v>
      </c>
      <c r="N422" s="130"/>
      <c r="O422" s="389"/>
      <c r="P422" s="389"/>
      <c r="Q422" s="389"/>
      <c r="R422" s="389"/>
      <c r="S422" s="389"/>
      <c r="T422" s="389"/>
      <c r="U422" s="389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28"/>
      <c r="H423" s="398">
        <f t="shared" si="172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1"/>
        <v>0</v>
      </c>
      <c r="N423" s="130"/>
      <c r="O423" s="389"/>
      <c r="P423" s="389"/>
      <c r="Q423" s="389"/>
      <c r="R423" s="389"/>
      <c r="S423" s="389"/>
      <c r="T423" s="389"/>
      <c r="U423" s="389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28"/>
      <c r="H424" s="398">
        <f t="shared" si="172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1"/>
        <v>0</v>
      </c>
      <c r="N424" s="130"/>
      <c r="O424" s="389"/>
      <c r="P424" s="389"/>
      <c r="Q424" s="389"/>
      <c r="R424" s="389"/>
      <c r="S424" s="389"/>
      <c r="T424" s="389"/>
      <c r="U424" s="389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28"/>
      <c r="H425" s="398">
        <f t="shared" si="172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1"/>
        <v>0</v>
      </c>
      <c r="N425" s="130"/>
      <c r="O425" s="389"/>
      <c r="P425" s="389"/>
      <c r="Q425" s="389"/>
      <c r="R425" s="389"/>
      <c r="S425" s="389"/>
      <c r="T425" s="389"/>
      <c r="U425" s="389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28"/>
      <c r="H426" s="398">
        <f t="shared" si="172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91"/>
        <v>0</v>
      </c>
      <c r="N426" s="130"/>
      <c r="O426" s="389"/>
      <c r="P426" s="389"/>
      <c r="Q426" s="389"/>
      <c r="R426" s="389"/>
      <c r="S426" s="389"/>
      <c r="T426" s="389"/>
      <c r="U426" s="389"/>
      <c r="V426" s="132"/>
      <c r="W426" s="133"/>
      <c r="X426" s="132"/>
      <c r="Y426" s="132"/>
      <c r="Z426" s="132"/>
      <c r="AA426" s="132"/>
    </row>
    <row r="427" spans="1:27" ht="20.100000000000001" hidden="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28"/>
      <c r="H427" s="398">
        <f t="shared" si="172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91"/>
        <v>0</v>
      </c>
      <c r="N427" s="130"/>
      <c r="O427" s="389"/>
      <c r="P427" s="389"/>
      <c r="Q427" s="389"/>
      <c r="R427" s="389"/>
      <c r="S427" s="389"/>
      <c r="T427" s="389"/>
      <c r="U427" s="389"/>
      <c r="V427" s="132"/>
      <c r="W427" s="133"/>
      <c r="X427" s="132"/>
      <c r="Y427" s="132"/>
      <c r="Z427" s="132"/>
      <c r="AA427" s="132"/>
    </row>
    <row r="428" spans="1:27" ht="20.100000000000001" hidden="1" customHeight="1">
      <c r="A428" s="589" t="s">
        <v>216</v>
      </c>
      <c r="B428" s="589"/>
      <c r="C428" s="396" t="s">
        <v>202</v>
      </c>
      <c r="D428" s="143"/>
      <c r="E428" s="143"/>
      <c r="F428" s="144"/>
      <c r="G428" s="145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5">SUM(M371:M427)</f>
        <v>0</v>
      </c>
      <c r="N428" s="146">
        <f t="shared" si="195"/>
        <v>0</v>
      </c>
      <c r="O428" s="148">
        <f t="shared" si="195"/>
        <v>0</v>
      </c>
      <c r="P428" s="148">
        <f t="shared" si="195"/>
        <v>0</v>
      </c>
      <c r="Q428" s="148">
        <f t="shared" si="195"/>
        <v>0</v>
      </c>
      <c r="R428" s="148">
        <f t="shared" si="195"/>
        <v>0</v>
      </c>
      <c r="S428" s="148">
        <f t="shared" si="195"/>
        <v>0</v>
      </c>
      <c r="T428" s="148">
        <f t="shared" si="195"/>
        <v>0</v>
      </c>
      <c r="U428" s="148">
        <f t="shared" si="195"/>
        <v>0</v>
      </c>
      <c r="V428" s="149">
        <f t="shared" si="195"/>
        <v>0</v>
      </c>
      <c r="W428" s="133" t="str">
        <f t="shared" ref="W428:W435" si="196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hidden="1" customHeight="1">
      <c r="A429" s="299">
        <v>30400012</v>
      </c>
      <c r="B429" s="390" t="s">
        <v>217</v>
      </c>
      <c r="C429" s="126" t="s">
        <v>179</v>
      </c>
      <c r="D429" s="108">
        <v>5.03</v>
      </c>
      <c r="E429" s="108"/>
      <c r="F429" s="127"/>
      <c r="G429" s="128"/>
      <c r="H429" s="398">
        <f t="shared" ref="H429:H462" si="197">D429*G429</f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ref="M429:M436" si="198">IF(ISERROR(I429-K429),"",I429-K429)</f>
        <v>0</v>
      </c>
      <c r="N429" s="130">
        <f t="shared" ref="N429:N436" si="199">SUM(O429:U429)</f>
        <v>0</v>
      </c>
      <c r="O429" s="389"/>
      <c r="P429" s="389"/>
      <c r="Q429" s="389"/>
      <c r="R429" s="389"/>
      <c r="S429" s="389"/>
      <c r="T429" s="389"/>
      <c r="U429" s="389"/>
      <c r="V429" s="132">
        <f t="shared" ref="V429:V435" si="200">SUM(X429:AA429)</f>
        <v>0</v>
      </c>
      <c r="W429" s="133" t="str">
        <f t="shared" si="196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30400010</v>
      </c>
      <c r="B430" s="390" t="s">
        <v>217</v>
      </c>
      <c r="C430" s="126" t="s">
        <v>186</v>
      </c>
      <c r="D430" s="108">
        <v>5.03</v>
      </c>
      <c r="E430" s="108"/>
      <c r="F430" s="127"/>
      <c r="G430" s="128"/>
      <c r="H430" s="398">
        <f t="shared" si="197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8.8000000000000007</v>
      </c>
      <c r="M430" s="109">
        <f t="shared" si="198"/>
        <v>0</v>
      </c>
      <c r="N430" s="130">
        <f t="shared" si="199"/>
        <v>0</v>
      </c>
      <c r="O430" s="389"/>
      <c r="P430" s="389"/>
      <c r="Q430" s="389"/>
      <c r="R430" s="389"/>
      <c r="S430" s="389"/>
      <c r="T430" s="389"/>
      <c r="U430" s="389"/>
      <c r="V430" s="132">
        <f t="shared" si="200"/>
        <v>0</v>
      </c>
      <c r="W430" s="133" t="str">
        <f t="shared" si="196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30400011</v>
      </c>
      <c r="B431" s="390" t="s">
        <v>217</v>
      </c>
      <c r="C431" s="126" t="s">
        <v>204</v>
      </c>
      <c r="D431" s="108">
        <v>5.03</v>
      </c>
      <c r="E431" s="108"/>
      <c r="F431" s="127"/>
      <c r="G431" s="128"/>
      <c r="H431" s="398">
        <f t="shared" si="197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8.8000000000000007</v>
      </c>
      <c r="M431" s="109">
        <f t="shared" si="198"/>
        <v>0</v>
      </c>
      <c r="N431" s="130">
        <f t="shared" si="199"/>
        <v>0</v>
      </c>
      <c r="O431" s="389"/>
      <c r="P431" s="389"/>
      <c r="Q431" s="389"/>
      <c r="R431" s="389"/>
      <c r="S431" s="389"/>
      <c r="T431" s="389"/>
      <c r="U431" s="389"/>
      <c r="V431" s="132">
        <f t="shared" si="200"/>
        <v>0</v>
      </c>
      <c r="W431" s="133" t="str">
        <f t="shared" si="196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28"/>
      <c r="H432" s="398">
        <f t="shared" si="197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8"/>
        <v>0</v>
      </c>
      <c r="N432" s="130">
        <f t="shared" si="199"/>
        <v>0</v>
      </c>
      <c r="O432" s="389"/>
      <c r="P432" s="389"/>
      <c r="Q432" s="389"/>
      <c r="R432" s="389"/>
      <c r="S432" s="389"/>
      <c r="T432" s="389"/>
      <c r="U432" s="389"/>
      <c r="V432" s="132">
        <f t="shared" si="200"/>
        <v>0</v>
      </c>
      <c r="W432" s="133" t="str">
        <f t="shared" si="196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/>
      <c r="G433" s="128"/>
      <c r="H433" s="398">
        <f t="shared" si="197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8"/>
        <v>0</v>
      </c>
      <c r="N433" s="130">
        <f t="shared" si="199"/>
        <v>0</v>
      </c>
      <c r="O433" s="389"/>
      <c r="P433" s="389"/>
      <c r="Q433" s="389"/>
      <c r="R433" s="389"/>
      <c r="S433" s="389"/>
      <c r="T433" s="389"/>
      <c r="U433" s="389"/>
      <c r="V433" s="132">
        <f t="shared" si="200"/>
        <v>0</v>
      </c>
      <c r="W433" s="133" t="str">
        <f t="shared" si="196"/>
        <v/>
      </c>
      <c r="X433" s="132"/>
      <c r="Y433" s="132"/>
      <c r="Z433" s="132"/>
      <c r="AA433" s="132"/>
    </row>
    <row r="434" spans="1:27" ht="20.10000000000000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>
        <v>42736</v>
      </c>
      <c r="G434" s="128">
        <f>5+5</f>
        <v>10</v>
      </c>
      <c r="H434" s="398">
        <f t="shared" si="197"/>
        <v>50.300000000000004</v>
      </c>
      <c r="I434" s="129">
        <f>0.5*2</f>
        <v>1</v>
      </c>
      <c r="J434" s="130">
        <f t="array" ref="J434">IF(ISERROR(G434/I434),"",G434/I434)</f>
        <v>10</v>
      </c>
      <c r="K434" s="131">
        <f t="array" ref="K434">IF(ISERROR(G434/L434),"",G434/L434)</f>
        <v>1.075268817204301</v>
      </c>
      <c r="L434" s="129">
        <v>9.3000000000000007</v>
      </c>
      <c r="M434" s="109">
        <f t="shared" si="198"/>
        <v>-7.5268817204301008E-2</v>
      </c>
      <c r="N434" s="130">
        <f t="shared" si="199"/>
        <v>0</v>
      </c>
      <c r="O434" s="389"/>
      <c r="P434" s="389"/>
      <c r="Q434" s="389"/>
      <c r="R434" s="389"/>
      <c r="S434" s="389"/>
      <c r="T434" s="389"/>
      <c r="U434" s="389"/>
      <c r="V434" s="132">
        <f t="shared" si="200"/>
        <v>0</v>
      </c>
      <c r="W434" s="133">
        <f t="shared" si="196"/>
        <v>0</v>
      </c>
      <c r="X434" s="132"/>
      <c r="Y434" s="132"/>
      <c r="Z434" s="132"/>
      <c r="AA434" s="132"/>
    </row>
    <row r="435" spans="1:27" ht="20.100000000000001" hidden="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/>
      <c r="G435" s="128"/>
      <c r="H435" s="398">
        <f t="shared" si="197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9.3000000000000007</v>
      </c>
      <c r="M435" s="109">
        <f t="shared" si="198"/>
        <v>0</v>
      </c>
      <c r="N435" s="130">
        <f t="shared" si="199"/>
        <v>0</v>
      </c>
      <c r="O435" s="389"/>
      <c r="P435" s="389"/>
      <c r="Q435" s="389"/>
      <c r="R435" s="389"/>
      <c r="S435" s="389"/>
      <c r="T435" s="389"/>
      <c r="U435" s="389"/>
      <c r="V435" s="132">
        <f t="shared" si="200"/>
        <v>0</v>
      </c>
      <c r="W435" s="133" t="str">
        <f t="shared" si="196"/>
        <v/>
      </c>
      <c r="X435" s="132"/>
      <c r="Y435" s="132"/>
      <c r="Z435" s="132"/>
      <c r="AA435" s="132"/>
    </row>
    <row r="436" spans="1:27" ht="20.10000000000000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>
        <v>42737</v>
      </c>
      <c r="G436" s="128">
        <f>121+111+164+84+96+68+70+120</f>
        <v>834</v>
      </c>
      <c r="H436" s="398">
        <f t="shared" si="197"/>
        <v>4195.0200000000004</v>
      </c>
      <c r="I436" s="129">
        <f>6.5*2+10.5+10.5+8+9+8+8+10</f>
        <v>77</v>
      </c>
      <c r="J436" s="130">
        <f t="array" ref="J436">IF(ISERROR(G436/I436),"",G436/I436)</f>
        <v>10.831168831168831</v>
      </c>
      <c r="K436" s="131">
        <f t="array" ref="K436">IF(ISERROR(G436/L436),"",G436/L436)</f>
        <v>89.677419354838705</v>
      </c>
      <c r="L436" s="129">
        <v>9.3000000000000007</v>
      </c>
      <c r="M436" s="109">
        <f t="shared" si="198"/>
        <v>-12.677419354838705</v>
      </c>
      <c r="N436" s="130">
        <f t="shared" si="199"/>
        <v>0</v>
      </c>
      <c r="O436" s="389"/>
      <c r="P436" s="389"/>
      <c r="Q436" s="389"/>
      <c r="R436" s="389"/>
      <c r="S436" s="389"/>
      <c r="T436" s="389"/>
      <c r="U436" s="389"/>
      <c r="V436" s="132"/>
      <c r="W436" s="133"/>
      <c r="X436" s="132"/>
      <c r="Y436" s="132"/>
      <c r="Z436" s="132"/>
      <c r="AA436" s="132"/>
    </row>
    <row r="437" spans="1:27" ht="20.100000000000001" hidden="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28"/>
      <c r="H437" s="398">
        <f t="shared" si="197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389"/>
      <c r="P437" s="389"/>
      <c r="Q437" s="389"/>
      <c r="R437" s="389"/>
      <c r="S437" s="389"/>
      <c r="T437" s="389"/>
      <c r="U437" s="389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28"/>
      <c r="H438" s="398">
        <f t="shared" si="197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389"/>
      <c r="P438" s="389"/>
      <c r="Q438" s="389"/>
      <c r="R438" s="389"/>
      <c r="S438" s="389"/>
      <c r="T438" s="389"/>
      <c r="U438" s="389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28"/>
      <c r="H439" s="398">
        <f t="shared" si="197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389"/>
      <c r="P439" s="389"/>
      <c r="Q439" s="389"/>
      <c r="R439" s="389"/>
      <c r="S439" s="389"/>
      <c r="T439" s="389"/>
      <c r="U439" s="389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28"/>
      <c r="H440" s="398">
        <f t="shared" si="197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389"/>
      <c r="P440" s="389"/>
      <c r="Q440" s="389"/>
      <c r="R440" s="389"/>
      <c r="S440" s="389"/>
      <c r="T440" s="389"/>
      <c r="U440" s="389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hidden="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28"/>
      <c r="H441" s="398">
        <f t="shared" si="197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2" si="201">IF(ISERROR(I441-K441),"",I441-K441)</f>
        <v>0</v>
      </c>
      <c r="N441" s="130">
        <f t="shared" ref="N441:N456" si="202">SUM(O441:U441)</f>
        <v>0</v>
      </c>
      <c r="O441" s="389"/>
      <c r="P441" s="389"/>
      <c r="Q441" s="389"/>
      <c r="R441" s="389"/>
      <c r="S441" s="389"/>
      <c r="T441" s="389"/>
      <c r="U441" s="389"/>
      <c r="V441" s="132">
        <f t="shared" ref="V441:V444" si="203">SUM(X441:AA441)</f>
        <v>0</v>
      </c>
      <c r="W441" s="133" t="str">
        <f t="shared" ref="W441:W448" si="204">IF(ISERROR(V441/G441),"",V441/G441)</f>
        <v/>
      </c>
      <c r="X441" s="132"/>
      <c r="Y441" s="132"/>
      <c r="Z441" s="132"/>
      <c r="AA441" s="132"/>
    </row>
    <row r="442" spans="1:27" ht="20.100000000000001" hidden="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28"/>
      <c r="H442" s="398">
        <f t="shared" si="197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1"/>
        <v/>
      </c>
      <c r="N442" s="130">
        <f t="shared" si="202"/>
        <v>0</v>
      </c>
      <c r="O442" s="389"/>
      <c r="P442" s="389"/>
      <c r="Q442" s="389"/>
      <c r="R442" s="389"/>
      <c r="S442" s="389"/>
      <c r="T442" s="389"/>
      <c r="U442" s="389"/>
      <c r="V442" s="132">
        <f t="shared" si="203"/>
        <v>0</v>
      </c>
      <c r="W442" s="133" t="str">
        <f t="shared" si="204"/>
        <v/>
      </c>
      <c r="X442" s="132"/>
      <c r="Y442" s="132"/>
      <c r="Z442" s="132"/>
      <c r="AA442" s="132"/>
    </row>
    <row r="443" spans="1:27" ht="20.100000000000001" hidden="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28"/>
      <c r="H443" s="398">
        <f t="shared" si="197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201"/>
        <v/>
      </c>
      <c r="N443" s="130">
        <f t="shared" si="202"/>
        <v>0</v>
      </c>
      <c r="O443" s="389"/>
      <c r="P443" s="389"/>
      <c r="Q443" s="389"/>
      <c r="R443" s="389"/>
      <c r="S443" s="389"/>
      <c r="T443" s="389"/>
      <c r="U443" s="389"/>
      <c r="V443" s="132">
        <f t="shared" si="203"/>
        <v>0</v>
      </c>
      <c r="W443" s="133" t="str">
        <f t="shared" si="204"/>
        <v/>
      </c>
      <c r="X443" s="132"/>
      <c r="Y443" s="132"/>
      <c r="Z443" s="132"/>
      <c r="AA443" s="132"/>
    </row>
    <row r="444" spans="1:27" ht="20.100000000000001" hidden="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28"/>
      <c r="H444" s="398">
        <f t="shared" si="197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201"/>
        <v/>
      </c>
      <c r="N444" s="130">
        <f t="shared" si="202"/>
        <v>0</v>
      </c>
      <c r="O444" s="389"/>
      <c r="P444" s="389"/>
      <c r="Q444" s="389"/>
      <c r="R444" s="389"/>
      <c r="S444" s="389"/>
      <c r="T444" s="389"/>
      <c r="U444" s="389"/>
      <c r="V444" s="132">
        <f t="shared" si="203"/>
        <v>0</v>
      </c>
      <c r="W444" s="133" t="str">
        <f t="shared" si="204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30600005</v>
      </c>
      <c r="B445" s="390" t="s">
        <v>222</v>
      </c>
      <c r="C445" s="126" t="s">
        <v>181</v>
      </c>
      <c r="D445" s="108">
        <v>9.36</v>
      </c>
      <c r="E445" s="108"/>
      <c r="F445" s="127"/>
      <c r="G445" s="128"/>
      <c r="H445" s="398">
        <f t="shared" si="197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1"/>
        <v>0</v>
      </c>
      <c r="N445" s="130">
        <f t="shared" si="202"/>
        <v>0</v>
      </c>
      <c r="O445" s="389"/>
      <c r="P445" s="389"/>
      <c r="Q445" s="389"/>
      <c r="R445" s="389"/>
      <c r="S445" s="389"/>
      <c r="T445" s="389"/>
      <c r="U445" s="389"/>
      <c r="V445" s="132">
        <f t="shared" ref="V445:V448" si="205">SUM(X445:AA445)</f>
        <v>0</v>
      </c>
      <c r="W445" s="133" t="str">
        <f t="shared" si="204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30600008</v>
      </c>
      <c r="B446" s="390" t="s">
        <v>222</v>
      </c>
      <c r="C446" s="126" t="s">
        <v>179</v>
      </c>
      <c r="D446" s="108">
        <v>9.36</v>
      </c>
      <c r="E446" s="108"/>
      <c r="F446" s="127"/>
      <c r="G446" s="128"/>
      <c r="H446" s="398">
        <f t="shared" si="197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1"/>
        <v>0</v>
      </c>
      <c r="N446" s="130">
        <f t="shared" si="202"/>
        <v>0</v>
      </c>
      <c r="O446" s="389"/>
      <c r="P446" s="389"/>
      <c r="Q446" s="389"/>
      <c r="R446" s="389"/>
      <c r="S446" s="389"/>
      <c r="T446" s="389"/>
      <c r="U446" s="389"/>
      <c r="V446" s="132">
        <f t="shared" si="205"/>
        <v>0</v>
      </c>
      <c r="W446" s="133" t="str">
        <f t="shared" si="204"/>
        <v/>
      </c>
      <c r="X446" s="132"/>
      <c r="Y446" s="132"/>
      <c r="Z446" s="132"/>
      <c r="AA446" s="132"/>
    </row>
    <row r="447" spans="1:27" ht="20.100000000000001" hidden="1" customHeight="1">
      <c r="A447" s="304">
        <v>30600007</v>
      </c>
      <c r="B447" s="390" t="s">
        <v>222</v>
      </c>
      <c r="C447" s="126" t="s">
        <v>221</v>
      </c>
      <c r="D447" s="108">
        <v>9.36</v>
      </c>
      <c r="E447" s="108"/>
      <c r="F447" s="127"/>
      <c r="G447" s="128"/>
      <c r="H447" s="398">
        <f t="shared" si="197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201"/>
        <v>0</v>
      </c>
      <c r="N447" s="130">
        <f t="shared" si="202"/>
        <v>0</v>
      </c>
      <c r="O447" s="389"/>
      <c r="P447" s="389"/>
      <c r="Q447" s="389"/>
      <c r="R447" s="389"/>
      <c r="S447" s="389"/>
      <c r="T447" s="389"/>
      <c r="U447" s="389"/>
      <c r="V447" s="132">
        <f t="shared" si="205"/>
        <v>0</v>
      </c>
      <c r="W447" s="133" t="str">
        <f t="shared" si="204"/>
        <v/>
      </c>
      <c r="X447" s="132"/>
      <c r="Y447" s="132"/>
      <c r="Z447" s="132"/>
      <c r="AA447" s="132"/>
    </row>
    <row r="448" spans="1:27" ht="20.100000000000001" hidden="1" customHeight="1">
      <c r="A448" s="304">
        <v>30600006</v>
      </c>
      <c r="B448" s="390" t="s">
        <v>222</v>
      </c>
      <c r="C448" s="126" t="s">
        <v>186</v>
      </c>
      <c r="D448" s="108">
        <v>9.36</v>
      </c>
      <c r="E448" s="108"/>
      <c r="F448" s="127"/>
      <c r="G448" s="128"/>
      <c r="H448" s="398">
        <f t="shared" si="197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201"/>
        <v>0</v>
      </c>
      <c r="N448" s="130">
        <f t="shared" si="202"/>
        <v>0</v>
      </c>
      <c r="O448" s="389"/>
      <c r="P448" s="389"/>
      <c r="Q448" s="389"/>
      <c r="R448" s="389"/>
      <c r="S448" s="389"/>
      <c r="T448" s="389"/>
      <c r="U448" s="389"/>
      <c r="V448" s="132">
        <f t="shared" si="205"/>
        <v>0</v>
      </c>
      <c r="W448" s="133" t="str">
        <f t="shared" si="204"/>
        <v/>
      </c>
      <c r="X448" s="132"/>
      <c r="Y448" s="132"/>
      <c r="Z448" s="132"/>
      <c r="AA448" s="132"/>
    </row>
    <row r="449" spans="1:27" ht="20.100000000000001" hidden="1" customHeight="1">
      <c r="A449" s="299">
        <v>30400026</v>
      </c>
      <c r="B449" s="390" t="s">
        <v>393</v>
      </c>
      <c r="C449" s="187" t="s">
        <v>395</v>
      </c>
      <c r="D449" s="108">
        <v>5</v>
      </c>
      <c r="E449" s="108"/>
      <c r="F449" s="127"/>
      <c r="G449" s="128"/>
      <c r="H449" s="398">
        <f t="shared" si="197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1"/>
        <v>0</v>
      </c>
      <c r="N449" s="130">
        <f t="shared" si="202"/>
        <v>0</v>
      </c>
      <c r="O449" s="389"/>
      <c r="P449" s="389"/>
      <c r="Q449" s="389"/>
      <c r="R449" s="389"/>
      <c r="S449" s="389"/>
      <c r="T449" s="389"/>
      <c r="U449" s="389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>
        <v>30400028</v>
      </c>
      <c r="B450" s="390" t="s">
        <v>393</v>
      </c>
      <c r="C450" s="187" t="s">
        <v>402</v>
      </c>
      <c r="D450" s="108">
        <v>5</v>
      </c>
      <c r="E450" s="108"/>
      <c r="F450" s="127"/>
      <c r="G450" s="128"/>
      <c r="H450" s="398">
        <f t="shared" si="197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1"/>
        <v>0</v>
      </c>
      <c r="N450" s="130">
        <f t="shared" si="202"/>
        <v>0</v>
      </c>
      <c r="O450" s="389"/>
      <c r="P450" s="389"/>
      <c r="Q450" s="389"/>
      <c r="R450" s="389"/>
      <c r="S450" s="389"/>
      <c r="T450" s="389"/>
      <c r="U450" s="389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30400027</v>
      </c>
      <c r="B451" s="390" t="s">
        <v>404</v>
      </c>
      <c r="C451" s="187" t="s">
        <v>405</v>
      </c>
      <c r="D451" s="108">
        <v>5</v>
      </c>
      <c r="E451" s="108"/>
      <c r="F451" s="127"/>
      <c r="G451" s="128"/>
      <c r="H451" s="398">
        <f t="shared" si="197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1"/>
        <v>0</v>
      </c>
      <c r="N451" s="130">
        <f t="shared" si="202"/>
        <v>0</v>
      </c>
      <c r="O451" s="389"/>
      <c r="P451" s="389"/>
      <c r="Q451" s="389"/>
      <c r="R451" s="389"/>
      <c r="S451" s="389"/>
      <c r="T451" s="389"/>
      <c r="U451" s="389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/>
      <c r="B452" s="390" t="s">
        <v>342</v>
      </c>
      <c r="C452" s="187" t="s">
        <v>372</v>
      </c>
      <c r="D452" s="108">
        <v>5</v>
      </c>
      <c r="E452" s="108"/>
      <c r="F452" s="127"/>
      <c r="G452" s="128"/>
      <c r="H452" s="398">
        <f t="shared" si="197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1"/>
        <v>0</v>
      </c>
      <c r="N452" s="130">
        <f t="shared" si="202"/>
        <v>0</v>
      </c>
      <c r="O452" s="389"/>
      <c r="P452" s="389"/>
      <c r="Q452" s="389"/>
      <c r="R452" s="389"/>
      <c r="S452" s="389"/>
      <c r="T452" s="389"/>
      <c r="U452" s="389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30600009</v>
      </c>
      <c r="B453" s="390" t="s">
        <v>343</v>
      </c>
      <c r="C453" s="126" t="s">
        <v>345</v>
      </c>
      <c r="D453" s="108">
        <v>5</v>
      </c>
      <c r="E453" s="108"/>
      <c r="F453" s="127"/>
      <c r="G453" s="128"/>
      <c r="H453" s="398">
        <f t="shared" si="197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201"/>
        <v>0</v>
      </c>
      <c r="N453" s="130">
        <f t="shared" si="202"/>
        <v>0</v>
      </c>
      <c r="O453" s="389"/>
      <c r="P453" s="389"/>
      <c r="Q453" s="389"/>
      <c r="R453" s="389"/>
      <c r="S453" s="389"/>
      <c r="T453" s="389"/>
      <c r="U453" s="389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299">
        <v>30600010</v>
      </c>
      <c r="B454" s="390" t="s">
        <v>343</v>
      </c>
      <c r="C454" s="126" t="s">
        <v>347</v>
      </c>
      <c r="D454" s="108">
        <v>5</v>
      </c>
      <c r="E454" s="108"/>
      <c r="F454" s="127"/>
      <c r="G454" s="128"/>
      <c r="H454" s="398">
        <f t="shared" si="197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201"/>
        <v>0</v>
      </c>
      <c r="N454" s="130">
        <f t="shared" si="202"/>
        <v>0</v>
      </c>
      <c r="O454" s="389"/>
      <c r="P454" s="389"/>
      <c r="Q454" s="389"/>
      <c r="R454" s="389"/>
      <c r="S454" s="389"/>
      <c r="T454" s="389"/>
      <c r="U454" s="389"/>
      <c r="V454" s="132"/>
      <c r="W454" s="133"/>
      <c r="X454" s="132"/>
      <c r="Y454" s="132"/>
      <c r="Z454" s="132"/>
      <c r="AA454" s="132"/>
    </row>
    <row r="455" spans="1:27" ht="20.100000000000001" hidden="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/>
      <c r="G455" s="128"/>
      <c r="H455" s="398">
        <f t="shared" si="197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15.5</v>
      </c>
      <c r="M455" s="109">
        <f t="shared" si="201"/>
        <v>0</v>
      </c>
      <c r="N455" s="130">
        <f t="shared" si="202"/>
        <v>0</v>
      </c>
      <c r="O455" s="389"/>
      <c r="P455" s="389"/>
      <c r="Q455" s="389"/>
      <c r="R455" s="389"/>
      <c r="S455" s="389"/>
      <c r="T455" s="389"/>
      <c r="U455" s="389"/>
      <c r="V455" s="132">
        <f t="shared" ref="V455:V456" si="206">SUM(X455:AA455)</f>
        <v>0</v>
      </c>
      <c r="W455" s="133" t="str">
        <f t="shared" ref="W455:W456" si="207">IF(ISERROR(V455/G455),"",V455/G455)</f>
        <v/>
      </c>
      <c r="X455" s="132"/>
      <c r="Y455" s="132"/>
      <c r="Z455" s="132"/>
      <c r="AA455" s="132"/>
    </row>
    <row r="456" spans="1:27" ht="20.100000000000001" hidden="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/>
      <c r="G456" s="128"/>
      <c r="H456" s="398">
        <f t="shared" si="197"/>
        <v>0</v>
      </c>
      <c r="I456" s="129"/>
      <c r="J456" s="130" t="str">
        <f t="array" ref="J456">IF(ISERROR(G456/I456),"",G456/I456)</f>
        <v/>
      </c>
      <c r="K456" s="131">
        <f t="array" ref="K456">IF(ISERROR(G456/L456),"",G456/L456)</f>
        <v>0</v>
      </c>
      <c r="L456" s="129">
        <v>15.5</v>
      </c>
      <c r="M456" s="109">
        <f t="shared" si="201"/>
        <v>0</v>
      </c>
      <c r="N456" s="130">
        <f t="shared" si="202"/>
        <v>0</v>
      </c>
      <c r="O456" s="389"/>
      <c r="P456" s="389"/>
      <c r="Q456" s="389"/>
      <c r="R456" s="389"/>
      <c r="S456" s="389"/>
      <c r="T456" s="389"/>
      <c r="U456" s="389"/>
      <c r="V456" s="132">
        <f t="shared" si="206"/>
        <v>0</v>
      </c>
      <c r="W456" s="133" t="str">
        <f t="shared" si="207"/>
        <v/>
      </c>
      <c r="X456" s="132"/>
      <c r="Y456" s="132"/>
      <c r="Z456" s="132"/>
      <c r="AA456" s="132"/>
    </row>
    <row r="457" spans="1:27" ht="20.100000000000001" hidden="1" customHeight="1">
      <c r="A457" s="299">
        <v>30400004</v>
      </c>
      <c r="B457" s="151" t="s">
        <v>419</v>
      </c>
      <c r="C457" s="187" t="s">
        <v>73</v>
      </c>
      <c r="D457" s="108"/>
      <c r="E457" s="108"/>
      <c r="F457" s="127"/>
      <c r="G457" s="128"/>
      <c r="H457" s="398">
        <f t="shared" si="197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1"/>
        <v>0</v>
      </c>
      <c r="N457" s="130"/>
      <c r="O457" s="389"/>
      <c r="P457" s="389"/>
      <c r="Q457" s="389"/>
      <c r="R457" s="389"/>
      <c r="S457" s="389"/>
      <c r="T457" s="389"/>
      <c r="U457" s="389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28"/>
      <c r="H458" s="398">
        <f t="shared" si="197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201"/>
        <v>0</v>
      </c>
      <c r="N458" s="130"/>
      <c r="O458" s="389"/>
      <c r="P458" s="389"/>
      <c r="Q458" s="389"/>
      <c r="R458" s="389"/>
      <c r="S458" s="389"/>
      <c r="T458" s="389"/>
      <c r="U458" s="389"/>
      <c r="V458" s="132"/>
      <c r="W458" s="133"/>
      <c r="X458" s="132"/>
      <c r="Y458" s="132"/>
      <c r="Z458" s="132"/>
      <c r="AA458" s="132"/>
    </row>
    <row r="459" spans="1:27" ht="20.100000000000001" hidden="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28"/>
      <c r="H459" s="398">
        <f t="shared" si="197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201"/>
        <v>0</v>
      </c>
      <c r="N459" s="130"/>
      <c r="O459" s="389"/>
      <c r="P459" s="389"/>
      <c r="Q459" s="389"/>
      <c r="R459" s="389"/>
      <c r="S459" s="389"/>
      <c r="T459" s="389"/>
      <c r="U459" s="389"/>
      <c r="V459" s="132"/>
      <c r="W459" s="133"/>
      <c r="X459" s="132"/>
      <c r="Y459" s="132"/>
      <c r="Z459" s="132"/>
      <c r="AA459" s="132"/>
    </row>
    <row r="460" spans="1:27" ht="20.100000000000001" hidden="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28"/>
      <c r="H460" s="398">
        <f t="shared" si="197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201"/>
        <v>0</v>
      </c>
      <c r="N460" s="130">
        <f t="shared" ref="N460:N462" si="208">SUM(O460:U460)</f>
        <v>0</v>
      </c>
      <c r="O460" s="389"/>
      <c r="P460" s="389"/>
      <c r="Q460" s="389"/>
      <c r="R460" s="389"/>
      <c r="S460" s="389"/>
      <c r="T460" s="389"/>
      <c r="U460" s="389"/>
      <c r="V460" s="132">
        <f t="shared" ref="V460:V462" si="209">SUM(X460:AA460)</f>
        <v>0</v>
      </c>
      <c r="W460" s="133" t="str">
        <f t="shared" ref="W460:W484" si="210">IF(ISERROR(V460/G460),"",V460/G460)</f>
        <v/>
      </c>
      <c r="X460" s="132"/>
      <c r="Y460" s="132"/>
      <c r="Z460" s="132"/>
      <c r="AA460" s="132"/>
    </row>
    <row r="461" spans="1:27" ht="20.100000000000001" hidden="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28"/>
      <c r="H461" s="398">
        <f t="shared" si="197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si="201"/>
        <v>0</v>
      </c>
      <c r="N461" s="130">
        <f t="shared" si="208"/>
        <v>0</v>
      </c>
      <c r="O461" s="389"/>
      <c r="P461" s="389"/>
      <c r="Q461" s="389"/>
      <c r="R461" s="389"/>
      <c r="S461" s="389"/>
      <c r="T461" s="389"/>
      <c r="U461" s="389"/>
      <c r="V461" s="132">
        <f t="shared" si="209"/>
        <v>0</v>
      </c>
      <c r="W461" s="133" t="str">
        <f t="shared" si="210"/>
        <v/>
      </c>
      <c r="X461" s="132"/>
      <c r="Y461" s="132"/>
      <c r="Z461" s="132"/>
      <c r="AA461" s="132"/>
    </row>
    <row r="462" spans="1:27" ht="20.100000000000001" hidden="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28"/>
      <c r="H462" s="398">
        <f t="shared" si="197"/>
        <v>0</v>
      </c>
      <c r="I462" s="129"/>
      <c r="J462" s="130" t="str">
        <f t="array" ref="J462">IF(ISERROR(G462/I462),"",G462/I462)</f>
        <v/>
      </c>
      <c r="K462" s="398">
        <f t="array" ref="K462">IF(ISERROR(G462/L462),"",G462/L462)</f>
        <v>0</v>
      </c>
      <c r="L462" s="129">
        <v>9</v>
      </c>
      <c r="M462" s="109">
        <f t="shared" si="201"/>
        <v>0</v>
      </c>
      <c r="N462" s="130">
        <f t="shared" si="208"/>
        <v>0</v>
      </c>
      <c r="O462" s="389"/>
      <c r="P462" s="389"/>
      <c r="Q462" s="389"/>
      <c r="R462" s="389"/>
      <c r="S462" s="389"/>
      <c r="T462" s="389"/>
      <c r="U462" s="389"/>
      <c r="V462" s="132">
        <f t="shared" si="209"/>
        <v>0</v>
      </c>
      <c r="W462" s="133" t="str">
        <f t="shared" si="210"/>
        <v/>
      </c>
      <c r="X462" s="132"/>
      <c r="Y462" s="132"/>
      <c r="Z462" s="132"/>
      <c r="AA462" s="132"/>
    </row>
    <row r="463" spans="1:27" ht="20.100000000000001" customHeight="1">
      <c r="A463" s="578" t="s">
        <v>224</v>
      </c>
      <c r="B463" s="579"/>
      <c r="C463" s="396" t="s">
        <v>202</v>
      </c>
      <c r="D463" s="143"/>
      <c r="E463" s="143"/>
      <c r="F463" s="144"/>
      <c r="G463" s="145">
        <f>SUM(G429:G462)</f>
        <v>844</v>
      </c>
      <c r="H463" s="146">
        <f>SUM(H429:H462)</f>
        <v>4245.3200000000006</v>
      </c>
      <c r="I463" s="146">
        <f>SUM(I429:I462)</f>
        <v>78</v>
      </c>
      <c r="J463" s="130">
        <f t="array" ref="J463">IF(ISERROR(G463/I463),"",G463/I463)</f>
        <v>10.820512820512821</v>
      </c>
      <c r="K463" s="146">
        <f>SUM(K429:K462)</f>
        <v>90.752688172043008</v>
      </c>
      <c r="L463" s="147"/>
      <c r="M463" s="150">
        <f t="shared" ref="M463:V463" si="211">SUM(M429:M462)</f>
        <v>-12.752688172043005</v>
      </c>
      <c r="N463" s="146">
        <f t="shared" si="211"/>
        <v>0</v>
      </c>
      <c r="O463" s="148">
        <f t="shared" si="211"/>
        <v>0</v>
      </c>
      <c r="P463" s="148">
        <f t="shared" si="211"/>
        <v>0</v>
      </c>
      <c r="Q463" s="148">
        <f t="shared" si="211"/>
        <v>0</v>
      </c>
      <c r="R463" s="148">
        <f t="shared" si="211"/>
        <v>0</v>
      </c>
      <c r="S463" s="148">
        <f t="shared" si="211"/>
        <v>0</v>
      </c>
      <c r="T463" s="148">
        <f t="shared" si="211"/>
        <v>0</v>
      </c>
      <c r="U463" s="148">
        <f t="shared" si="211"/>
        <v>0</v>
      </c>
      <c r="V463" s="149">
        <f t="shared" si="211"/>
        <v>0</v>
      </c>
      <c r="W463" s="133">
        <f t="shared" si="210"/>
        <v>0</v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hidden="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28"/>
      <c r="H464" s="398">
        <f t="shared" ref="H464:H478" si="212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8" si="213">IF(ISERROR(I464-K464),"",I464-K464)</f>
        <v>0</v>
      </c>
      <c r="N464" s="130">
        <f t="shared" ref="N464:N478" si="214">SUM(O464:U464)</f>
        <v>0</v>
      </c>
      <c r="O464" s="389"/>
      <c r="P464" s="389"/>
      <c r="Q464" s="389"/>
      <c r="R464" s="389"/>
      <c r="S464" s="389"/>
      <c r="T464" s="389"/>
      <c r="U464" s="389"/>
      <c r="V464" s="132">
        <f t="shared" ref="V464:V478" si="215">SUM(X464:AA464)</f>
        <v>0</v>
      </c>
      <c r="W464" s="133" t="str">
        <f t="shared" si="210"/>
        <v/>
      </c>
      <c r="X464" s="132"/>
      <c r="Y464" s="132"/>
      <c r="Z464" s="132"/>
      <c r="AA464" s="132"/>
    </row>
    <row r="465" spans="1:27" ht="20.100000000000001" hidden="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28"/>
      <c r="H465" s="398">
        <f t="shared" si="212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3"/>
        <v>0</v>
      </c>
      <c r="N465" s="130">
        <f t="shared" si="214"/>
        <v>0</v>
      </c>
      <c r="O465" s="389"/>
      <c r="P465" s="389"/>
      <c r="Q465" s="389"/>
      <c r="R465" s="389"/>
      <c r="S465" s="389"/>
      <c r="T465" s="389"/>
      <c r="U465" s="389"/>
      <c r="V465" s="132">
        <f t="shared" si="215"/>
        <v>0</v>
      </c>
      <c r="W465" s="133" t="str">
        <f t="shared" si="210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28"/>
      <c r="H466" s="398">
        <f t="shared" si="212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3"/>
        <v>0</v>
      </c>
      <c r="N466" s="130">
        <f t="shared" si="214"/>
        <v>0</v>
      </c>
      <c r="O466" s="389"/>
      <c r="P466" s="389"/>
      <c r="Q466" s="389"/>
      <c r="R466" s="389"/>
      <c r="S466" s="389"/>
      <c r="T466" s="389"/>
      <c r="U466" s="389"/>
      <c r="V466" s="132">
        <f t="shared" si="215"/>
        <v>0</v>
      </c>
      <c r="W466" s="133" t="str">
        <f t="shared" si="210"/>
        <v/>
      </c>
      <c r="X466" s="132"/>
      <c r="Y466" s="132"/>
      <c r="Z466" s="132"/>
      <c r="AA466" s="132"/>
    </row>
    <row r="467" spans="1:27" ht="20.100000000000001" hidden="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28"/>
      <c r="H467" s="398">
        <f t="shared" si="212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3"/>
        <v>0</v>
      </c>
      <c r="N467" s="130">
        <f t="shared" si="214"/>
        <v>0</v>
      </c>
      <c r="O467" s="389"/>
      <c r="P467" s="389"/>
      <c r="Q467" s="389"/>
      <c r="R467" s="389"/>
      <c r="S467" s="389"/>
      <c r="T467" s="389"/>
      <c r="U467" s="389"/>
      <c r="V467" s="132">
        <f t="shared" si="215"/>
        <v>0</v>
      </c>
      <c r="W467" s="133" t="str">
        <f t="shared" si="210"/>
        <v/>
      </c>
      <c r="X467" s="132"/>
      <c r="Y467" s="132"/>
      <c r="Z467" s="132"/>
      <c r="AA467" s="132"/>
    </row>
    <row r="468" spans="1:27" ht="20.100000000000001" hidden="1" customHeight="1">
      <c r="A468" s="299">
        <v>30100054</v>
      </c>
      <c r="B468" s="140" t="s">
        <v>227</v>
      </c>
      <c r="C468" s="394" t="s">
        <v>203</v>
      </c>
      <c r="D468" s="108">
        <v>5.03</v>
      </c>
      <c r="E468" s="108"/>
      <c r="F468" s="127"/>
      <c r="G468" s="128"/>
      <c r="H468" s="398">
        <f t="shared" si="212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3"/>
        <v>0</v>
      </c>
      <c r="N468" s="130">
        <f t="shared" si="214"/>
        <v>0</v>
      </c>
      <c r="O468" s="389"/>
      <c r="P468" s="389"/>
      <c r="Q468" s="389"/>
      <c r="R468" s="389"/>
      <c r="S468" s="389"/>
      <c r="T468" s="389"/>
      <c r="U468" s="389"/>
      <c r="V468" s="132">
        <f t="shared" si="215"/>
        <v>0</v>
      </c>
      <c r="W468" s="133" t="str">
        <f t="shared" si="210"/>
        <v/>
      </c>
      <c r="X468" s="132"/>
      <c r="Y468" s="132"/>
      <c r="Z468" s="132"/>
      <c r="AA468" s="132"/>
    </row>
    <row r="469" spans="1:27" ht="20.100000000000001" hidden="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28"/>
      <c r="H469" s="398">
        <f t="shared" si="212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3"/>
        <v>0</v>
      </c>
      <c r="N469" s="130">
        <f t="shared" si="214"/>
        <v>0</v>
      </c>
      <c r="O469" s="389"/>
      <c r="P469" s="389"/>
      <c r="Q469" s="389"/>
      <c r="R469" s="389"/>
      <c r="S469" s="389"/>
      <c r="T469" s="389"/>
      <c r="U469" s="389"/>
      <c r="V469" s="132">
        <f t="shared" si="215"/>
        <v>0</v>
      </c>
      <c r="W469" s="133" t="str">
        <f t="shared" si="210"/>
        <v/>
      </c>
      <c r="X469" s="132"/>
      <c r="Y469" s="132"/>
      <c r="Z469" s="132"/>
      <c r="AA469" s="132"/>
    </row>
    <row r="470" spans="1:27" ht="20.100000000000001" hidden="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28"/>
      <c r="H470" s="398">
        <f t="shared" si="212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3"/>
        <v>0</v>
      </c>
      <c r="N470" s="130">
        <f t="shared" si="214"/>
        <v>0</v>
      </c>
      <c r="O470" s="389"/>
      <c r="P470" s="389"/>
      <c r="Q470" s="389"/>
      <c r="R470" s="389"/>
      <c r="S470" s="389"/>
      <c r="T470" s="389"/>
      <c r="U470" s="389"/>
      <c r="V470" s="132">
        <f t="shared" si="215"/>
        <v>0</v>
      </c>
      <c r="W470" s="133" t="str">
        <f t="shared" si="210"/>
        <v/>
      </c>
      <c r="X470" s="132"/>
      <c r="Y470" s="132"/>
      <c r="Z470" s="132"/>
      <c r="AA470" s="132"/>
    </row>
    <row r="471" spans="1:27" ht="20.100000000000001" hidden="1" customHeight="1">
      <c r="A471" s="299"/>
      <c r="B471" s="140" t="s">
        <v>227</v>
      </c>
      <c r="C471" s="394" t="s">
        <v>228</v>
      </c>
      <c r="D471" s="108">
        <v>5.03</v>
      </c>
      <c r="E471" s="108"/>
      <c r="F471" s="127"/>
      <c r="G471" s="128"/>
      <c r="H471" s="398">
        <f t="shared" si="212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3"/>
        <v>0</v>
      </c>
      <c r="N471" s="130">
        <f t="shared" si="214"/>
        <v>0</v>
      </c>
      <c r="O471" s="389"/>
      <c r="P471" s="389"/>
      <c r="Q471" s="389"/>
      <c r="R471" s="389"/>
      <c r="S471" s="389"/>
      <c r="T471" s="389"/>
      <c r="U471" s="389"/>
      <c r="V471" s="132">
        <f t="shared" si="215"/>
        <v>0</v>
      </c>
      <c r="W471" s="133" t="str">
        <f t="shared" si="210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30101067</v>
      </c>
      <c r="B472" s="140" t="s">
        <v>229</v>
      </c>
      <c r="C472" s="394" t="s">
        <v>212</v>
      </c>
      <c r="D472" s="108">
        <v>5.03</v>
      </c>
      <c r="E472" s="108"/>
      <c r="F472" s="127"/>
      <c r="G472" s="128"/>
      <c r="H472" s="398">
        <f t="shared" si="212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3"/>
        <v/>
      </c>
      <c r="N472" s="130">
        <f t="shared" si="214"/>
        <v>0</v>
      </c>
      <c r="O472" s="389"/>
      <c r="P472" s="389"/>
      <c r="Q472" s="389"/>
      <c r="R472" s="389"/>
      <c r="S472" s="389"/>
      <c r="T472" s="389"/>
      <c r="U472" s="389"/>
      <c r="V472" s="132">
        <f t="shared" si="215"/>
        <v>0</v>
      </c>
      <c r="W472" s="133" t="str">
        <f t="shared" si="210"/>
        <v/>
      </c>
      <c r="X472" s="132"/>
      <c r="Y472" s="132"/>
      <c r="Z472" s="132"/>
      <c r="AA472" s="132"/>
    </row>
    <row r="473" spans="1:27" ht="20.100000000000001" hidden="1" customHeight="1">
      <c r="A473" s="299">
        <v>30101068</v>
      </c>
      <c r="B473" s="140" t="s">
        <v>229</v>
      </c>
      <c r="C473" s="394" t="s">
        <v>203</v>
      </c>
      <c r="D473" s="108">
        <v>5.03</v>
      </c>
      <c r="E473" s="108"/>
      <c r="F473" s="127"/>
      <c r="G473" s="128"/>
      <c r="H473" s="398">
        <f t="shared" si="212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3"/>
        <v/>
      </c>
      <c r="N473" s="130">
        <f t="shared" si="214"/>
        <v>0</v>
      </c>
      <c r="O473" s="389"/>
      <c r="P473" s="389"/>
      <c r="Q473" s="389"/>
      <c r="R473" s="389"/>
      <c r="S473" s="389"/>
      <c r="T473" s="389"/>
      <c r="U473" s="389"/>
      <c r="V473" s="132">
        <f t="shared" si="215"/>
        <v>0</v>
      </c>
      <c r="W473" s="133" t="str">
        <f t="shared" si="210"/>
        <v/>
      </c>
      <c r="X473" s="132"/>
      <c r="Y473" s="132"/>
      <c r="Z473" s="132"/>
      <c r="AA473" s="132"/>
    </row>
    <row r="474" spans="1:27" ht="20.100000000000001" hidden="1" customHeight="1">
      <c r="A474" s="299">
        <v>30101069</v>
      </c>
      <c r="B474" s="140" t="s">
        <v>229</v>
      </c>
      <c r="C474" s="394" t="s">
        <v>186</v>
      </c>
      <c r="D474" s="108">
        <v>5.03</v>
      </c>
      <c r="E474" s="108"/>
      <c r="F474" s="127"/>
      <c r="G474" s="128"/>
      <c r="H474" s="398">
        <f t="shared" si="212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3"/>
        <v/>
      </c>
      <c r="N474" s="130">
        <f t="shared" si="214"/>
        <v>0</v>
      </c>
      <c r="O474" s="389"/>
      <c r="P474" s="389"/>
      <c r="Q474" s="389"/>
      <c r="R474" s="389"/>
      <c r="S474" s="389"/>
      <c r="T474" s="389"/>
      <c r="U474" s="389"/>
      <c r="V474" s="132">
        <f t="shared" si="215"/>
        <v>0</v>
      </c>
      <c r="W474" s="133" t="str">
        <f t="shared" si="210"/>
        <v/>
      </c>
      <c r="X474" s="132"/>
      <c r="Y474" s="132"/>
      <c r="Z474" s="132"/>
      <c r="AA474" s="132"/>
    </row>
    <row r="475" spans="1:27" ht="20.100000000000001" hidden="1" customHeight="1">
      <c r="A475" s="299">
        <v>30101070</v>
      </c>
      <c r="B475" s="140" t="s">
        <v>229</v>
      </c>
      <c r="C475" s="394" t="s">
        <v>228</v>
      </c>
      <c r="D475" s="108">
        <v>5.03</v>
      </c>
      <c r="E475" s="108"/>
      <c r="F475" s="127"/>
      <c r="G475" s="128"/>
      <c r="H475" s="398">
        <f t="shared" si="212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3"/>
        <v/>
      </c>
      <c r="N475" s="130">
        <f t="shared" si="214"/>
        <v>0</v>
      </c>
      <c r="O475" s="389"/>
      <c r="P475" s="389"/>
      <c r="Q475" s="389"/>
      <c r="R475" s="389"/>
      <c r="S475" s="389"/>
      <c r="T475" s="389"/>
      <c r="U475" s="389"/>
      <c r="V475" s="132">
        <f t="shared" si="215"/>
        <v>0</v>
      </c>
      <c r="W475" s="133" t="str">
        <f t="shared" si="210"/>
        <v/>
      </c>
      <c r="X475" s="132"/>
      <c r="Y475" s="132"/>
      <c r="Z475" s="132"/>
      <c r="AA475" s="132"/>
    </row>
    <row r="476" spans="1:27" ht="20.100000000000001" hidden="1" customHeight="1">
      <c r="A476" s="299">
        <v>30101071</v>
      </c>
      <c r="B476" s="140" t="s">
        <v>229</v>
      </c>
      <c r="C476" s="394" t="s">
        <v>199</v>
      </c>
      <c r="D476" s="108">
        <v>5.03</v>
      </c>
      <c r="E476" s="108"/>
      <c r="F476" s="127"/>
      <c r="G476" s="128"/>
      <c r="H476" s="398">
        <f t="shared" si="212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3"/>
        <v/>
      </c>
      <c r="N476" s="130">
        <f t="shared" si="214"/>
        <v>0</v>
      </c>
      <c r="O476" s="389"/>
      <c r="P476" s="389"/>
      <c r="Q476" s="389"/>
      <c r="R476" s="389"/>
      <c r="S476" s="389"/>
      <c r="T476" s="389"/>
      <c r="U476" s="389"/>
      <c r="V476" s="132">
        <f t="shared" si="215"/>
        <v>0</v>
      </c>
      <c r="W476" s="133" t="str">
        <f t="shared" si="210"/>
        <v/>
      </c>
      <c r="X476" s="132"/>
      <c r="Y476" s="132"/>
      <c r="Z476" s="132"/>
      <c r="AA476" s="132"/>
    </row>
    <row r="477" spans="1:27" ht="20.100000000000001" hidden="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28"/>
      <c r="H477" s="398">
        <f t="shared" si="212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si="213"/>
        <v>0</v>
      </c>
      <c r="N477" s="130">
        <f t="shared" si="214"/>
        <v>0</v>
      </c>
      <c r="O477" s="389"/>
      <c r="P477" s="389"/>
      <c r="Q477" s="389"/>
      <c r="R477" s="389"/>
      <c r="S477" s="389"/>
      <c r="T477" s="389"/>
      <c r="U477" s="389"/>
      <c r="V477" s="132">
        <f t="shared" si="215"/>
        <v>0</v>
      </c>
      <c r="W477" s="133" t="str">
        <f t="shared" si="210"/>
        <v/>
      </c>
      <c r="X477" s="132"/>
      <c r="Y477" s="132"/>
      <c r="Z477" s="132"/>
      <c r="AA477" s="132"/>
    </row>
    <row r="478" spans="1:27" ht="20.100000000000001" hidden="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28"/>
      <c r="H478" s="398">
        <f t="shared" si="212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3"/>
        <v>0</v>
      </c>
      <c r="N478" s="130">
        <f t="shared" si="214"/>
        <v>0</v>
      </c>
      <c r="O478" s="389"/>
      <c r="P478" s="389"/>
      <c r="Q478" s="389"/>
      <c r="R478" s="389"/>
      <c r="S478" s="389"/>
      <c r="T478" s="389"/>
      <c r="U478" s="389"/>
      <c r="V478" s="132">
        <f t="shared" si="215"/>
        <v>0</v>
      </c>
      <c r="W478" s="133" t="str">
        <f t="shared" si="210"/>
        <v/>
      </c>
      <c r="X478" s="132"/>
      <c r="Y478" s="132"/>
      <c r="Z478" s="132"/>
      <c r="AA478" s="132"/>
    </row>
    <row r="479" spans="1:27" ht="20.100000000000001" hidden="1" customHeight="1">
      <c r="A479" s="578" t="s">
        <v>231</v>
      </c>
      <c r="B479" s="579"/>
      <c r="C479" s="396" t="s">
        <v>202</v>
      </c>
      <c r="D479" s="143"/>
      <c r="E479" s="143"/>
      <c r="F479" s="144"/>
      <c r="G479" s="145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10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hidden="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28"/>
      <c r="H480" s="398">
        <f t="shared" ref="H480:H489" si="216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4" si="217">IF(ISERROR(I480-K480),"",I480-K480)</f>
        <v>0</v>
      </c>
      <c r="N480" s="130">
        <f t="shared" ref="N480:N484" si="218">SUM(O480:U480)</f>
        <v>0</v>
      </c>
      <c r="O480" s="389"/>
      <c r="P480" s="389"/>
      <c r="Q480" s="389"/>
      <c r="R480" s="389"/>
      <c r="S480" s="389"/>
      <c r="T480" s="389"/>
      <c r="U480" s="389"/>
      <c r="V480" s="132">
        <f t="shared" ref="V480:V484" si="219">SUM(X480:AA480)</f>
        <v>0</v>
      </c>
      <c r="W480" s="133" t="str">
        <f t="shared" si="210"/>
        <v/>
      </c>
      <c r="X480" s="132"/>
      <c r="Y480" s="132"/>
      <c r="Z480" s="132"/>
      <c r="AA480" s="132"/>
    </row>
    <row r="481" spans="1:27" ht="20.100000000000001" hidden="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28"/>
      <c r="H481" s="398">
        <f t="shared" si="216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7"/>
        <v>0</v>
      </c>
      <c r="N481" s="130">
        <f t="shared" si="218"/>
        <v>0</v>
      </c>
      <c r="O481" s="389"/>
      <c r="P481" s="389"/>
      <c r="Q481" s="389"/>
      <c r="R481" s="389"/>
      <c r="S481" s="389"/>
      <c r="T481" s="389"/>
      <c r="U481" s="389"/>
      <c r="V481" s="132">
        <f t="shared" si="219"/>
        <v>0</v>
      </c>
      <c r="W481" s="133" t="str">
        <f t="shared" si="210"/>
        <v/>
      </c>
      <c r="X481" s="132"/>
      <c r="Y481" s="132"/>
      <c r="Z481" s="132"/>
      <c r="AA481" s="132"/>
    </row>
    <row r="482" spans="1:27" ht="20.100000000000001" hidden="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28"/>
      <c r="H482" s="398">
        <f t="shared" si="216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7"/>
        <v>0</v>
      </c>
      <c r="N482" s="130">
        <f t="shared" si="218"/>
        <v>0</v>
      </c>
      <c r="O482" s="389"/>
      <c r="P482" s="389"/>
      <c r="Q482" s="389"/>
      <c r="R482" s="389"/>
      <c r="S482" s="389"/>
      <c r="T482" s="389"/>
      <c r="U482" s="389"/>
      <c r="V482" s="132">
        <f t="shared" si="219"/>
        <v>0</v>
      </c>
      <c r="W482" s="133" t="str">
        <f t="shared" si="210"/>
        <v/>
      </c>
      <c r="X482" s="132"/>
      <c r="Y482" s="132"/>
      <c r="Z482" s="132"/>
      <c r="AA482" s="132"/>
    </row>
    <row r="483" spans="1:27" ht="20.100000000000001" hidden="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28"/>
      <c r="H483" s="398">
        <f t="shared" si="216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17"/>
        <v>0</v>
      </c>
      <c r="N483" s="130">
        <f t="shared" si="218"/>
        <v>0</v>
      </c>
      <c r="O483" s="389"/>
      <c r="P483" s="389"/>
      <c r="Q483" s="389"/>
      <c r="R483" s="389"/>
      <c r="S483" s="389"/>
      <c r="T483" s="389"/>
      <c r="U483" s="389"/>
      <c r="V483" s="132">
        <f t="shared" si="219"/>
        <v>0</v>
      </c>
      <c r="W483" s="133" t="str">
        <f t="shared" si="210"/>
        <v/>
      </c>
      <c r="X483" s="132"/>
      <c r="Y483" s="132"/>
      <c r="Z483" s="132"/>
      <c r="AA483" s="132"/>
    </row>
    <row r="484" spans="1:27" ht="20.100000000000001" hidden="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28"/>
      <c r="H484" s="398">
        <f t="shared" si="216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17"/>
        <v>0</v>
      </c>
      <c r="N484" s="130">
        <f t="shared" si="218"/>
        <v>0</v>
      </c>
      <c r="O484" s="389"/>
      <c r="P484" s="389"/>
      <c r="Q484" s="389"/>
      <c r="R484" s="389"/>
      <c r="S484" s="389"/>
      <c r="T484" s="389"/>
      <c r="U484" s="389"/>
      <c r="V484" s="132">
        <f t="shared" si="219"/>
        <v>0</v>
      </c>
      <c r="W484" s="133" t="str">
        <f t="shared" si="210"/>
        <v/>
      </c>
      <c r="X484" s="132"/>
      <c r="Y484" s="132"/>
      <c r="Z484" s="132"/>
      <c r="AA484" s="132"/>
    </row>
    <row r="485" spans="1:27" ht="20.100000000000001" hidden="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28"/>
      <c r="H485" s="398">
        <f t="shared" si="216"/>
        <v>0</v>
      </c>
      <c r="I485" s="129"/>
      <c r="J485" s="130"/>
      <c r="K485" s="131"/>
      <c r="L485" s="129">
        <v>13.5</v>
      </c>
      <c r="M485" s="109"/>
      <c r="N485" s="130"/>
      <c r="O485" s="389"/>
      <c r="P485" s="389"/>
      <c r="Q485" s="389"/>
      <c r="R485" s="389"/>
      <c r="S485" s="389"/>
      <c r="T485" s="389"/>
      <c r="U485" s="389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30400020</v>
      </c>
      <c r="B486" s="134" t="s">
        <v>439</v>
      </c>
      <c r="C486" s="187" t="s">
        <v>74</v>
      </c>
      <c r="D486" s="108">
        <v>5.04</v>
      </c>
      <c r="E486" s="108"/>
      <c r="F486" s="127"/>
      <c r="G486" s="128"/>
      <c r="H486" s="398">
        <f t="shared" si="216"/>
        <v>0</v>
      </c>
      <c r="I486" s="129"/>
      <c r="J486" s="130"/>
      <c r="K486" s="131"/>
      <c r="L486" s="129">
        <v>13.5</v>
      </c>
      <c r="M486" s="109"/>
      <c r="N486" s="130"/>
      <c r="O486" s="389"/>
      <c r="P486" s="389"/>
      <c r="Q486" s="389"/>
      <c r="R486" s="389"/>
      <c r="S486" s="389"/>
      <c r="T486" s="389"/>
      <c r="U486" s="389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0">
        <v>30400021</v>
      </c>
      <c r="B487" s="134" t="s">
        <v>439</v>
      </c>
      <c r="C487" s="187" t="s">
        <v>53</v>
      </c>
      <c r="D487" s="108">
        <v>5.04</v>
      </c>
      <c r="E487" s="108"/>
      <c r="F487" s="127"/>
      <c r="G487" s="128"/>
      <c r="H487" s="398">
        <f t="shared" si="216"/>
        <v>0</v>
      </c>
      <c r="I487" s="129"/>
      <c r="J487" s="130"/>
      <c r="K487" s="131"/>
      <c r="L487" s="129">
        <v>13.5</v>
      </c>
      <c r="M487" s="109"/>
      <c r="N487" s="130"/>
      <c r="O487" s="389"/>
      <c r="P487" s="389"/>
      <c r="Q487" s="389"/>
      <c r="R487" s="389"/>
      <c r="S487" s="389"/>
      <c r="T487" s="389"/>
      <c r="U487" s="389"/>
      <c r="V487" s="132"/>
      <c r="W487" s="133"/>
      <c r="X487" s="132"/>
      <c r="Y487" s="132"/>
      <c r="Z487" s="132"/>
      <c r="AA487" s="132"/>
    </row>
    <row r="488" spans="1:27" ht="20.10000000000000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28"/>
      <c r="H488" s="438">
        <f t="shared" si="216"/>
        <v>0</v>
      </c>
      <c r="I488" s="129"/>
      <c r="J488" s="130"/>
      <c r="K488" s="131"/>
      <c r="L488" s="129">
        <v>13.5</v>
      </c>
      <c r="M488" s="109"/>
      <c r="N488" s="130"/>
      <c r="O488" s="446"/>
      <c r="P488" s="446"/>
      <c r="Q488" s="446"/>
      <c r="R488" s="446"/>
      <c r="S488" s="446"/>
      <c r="T488" s="446"/>
      <c r="U488" s="446"/>
      <c r="V488" s="132"/>
      <c r="W488" s="133"/>
      <c r="X488" s="132"/>
      <c r="Y488" s="132"/>
      <c r="Z488" s="132"/>
      <c r="AA488" s="132"/>
    </row>
    <row r="489" spans="1:27" ht="20.100000000000001" hidden="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28"/>
      <c r="H489" s="398">
        <f t="shared" si="216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ref="M489" si="220">IF(ISERROR(I489-K489),"",I489-K489)</f>
        <v>0</v>
      </c>
      <c r="N489" s="130">
        <f t="shared" ref="N489" si="221">SUM(O489:U489)</f>
        <v>0</v>
      </c>
      <c r="O489" s="389"/>
      <c r="P489" s="389"/>
      <c r="Q489" s="389"/>
      <c r="R489" s="389"/>
      <c r="S489" s="389"/>
      <c r="T489" s="389"/>
      <c r="U489" s="389"/>
      <c r="V489" s="132">
        <f t="shared" ref="V489" si="222">SUM(X489:AA489)</f>
        <v>0</v>
      </c>
      <c r="W489" s="133" t="str">
        <f t="shared" ref="W489:W494" si="223">IF(ISERROR(V489/G489),"",V489/G489)</f>
        <v/>
      </c>
      <c r="X489" s="132"/>
      <c r="Y489" s="132"/>
      <c r="Z489" s="132"/>
      <c r="AA489" s="132"/>
    </row>
    <row r="490" spans="1:27" ht="20.100000000000001" hidden="1" customHeight="1">
      <c r="A490" s="578" t="s">
        <v>234</v>
      </c>
      <c r="B490" s="579"/>
      <c r="C490" s="396" t="s">
        <v>202</v>
      </c>
      <c r="D490" s="143"/>
      <c r="E490" s="143"/>
      <c r="F490" s="144"/>
      <c r="G490" s="145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3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hidden="1" customHeight="1">
      <c r="A491" s="299">
        <v>30700013</v>
      </c>
      <c r="B491" s="141" t="s">
        <v>235</v>
      </c>
      <c r="C491" s="388"/>
      <c r="D491" s="108">
        <v>3.65</v>
      </c>
      <c r="E491" s="108"/>
      <c r="F491" s="153"/>
      <c r="G491" s="128"/>
      <c r="H491" s="398">
        <f t="shared" ref="H491:H505" si="224">D491*G491</f>
        <v>0</v>
      </c>
      <c r="I491" s="129"/>
      <c r="J491" s="130" t="str">
        <f t="array" ref="J491">IF(ISERROR(G491/I491),"",G491/I491)</f>
        <v/>
      </c>
      <c r="K491" s="398">
        <f t="array" ref="K491">IF(ISERROR(G491/L491),"",G491/L491)</f>
        <v>0</v>
      </c>
      <c r="L491" s="129">
        <v>5</v>
      </c>
      <c r="M491" s="109">
        <f t="shared" ref="M491:M494" si="225">IF(ISERROR(I491-K491),"",I491-K491)</f>
        <v>0</v>
      </c>
      <c r="N491" s="130">
        <f t="shared" ref="N491:N494" si="226">SUM(O491:U491)</f>
        <v>0</v>
      </c>
      <c r="O491" s="389"/>
      <c r="P491" s="389"/>
      <c r="Q491" s="389"/>
      <c r="R491" s="389"/>
      <c r="S491" s="389"/>
      <c r="T491" s="389"/>
      <c r="U491" s="389"/>
      <c r="V491" s="132">
        <f t="shared" ref="V491:V494" si="227">SUM(X491:AA491)</f>
        <v>0</v>
      </c>
      <c r="W491" s="133" t="str">
        <f t="shared" si="223"/>
        <v/>
      </c>
      <c r="X491" s="132"/>
      <c r="Y491" s="132"/>
      <c r="Z491" s="132"/>
      <c r="AA491" s="132"/>
    </row>
    <row r="492" spans="1:27" ht="20.100000000000001" hidden="1" customHeight="1">
      <c r="A492" s="299">
        <v>30700014</v>
      </c>
      <c r="B492" s="141" t="s">
        <v>236</v>
      </c>
      <c r="C492" s="388"/>
      <c r="D492" s="108">
        <v>6.58</v>
      </c>
      <c r="E492" s="108"/>
      <c r="F492" s="127"/>
      <c r="G492" s="128"/>
      <c r="H492" s="398">
        <f t="shared" si="224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5"/>
        <v>0</v>
      </c>
      <c r="N492" s="130">
        <f t="shared" si="226"/>
        <v>0</v>
      </c>
      <c r="O492" s="389"/>
      <c r="P492" s="389"/>
      <c r="Q492" s="389"/>
      <c r="R492" s="389"/>
      <c r="S492" s="389"/>
      <c r="T492" s="389"/>
      <c r="U492" s="389"/>
      <c r="V492" s="132">
        <f t="shared" si="227"/>
        <v>0</v>
      </c>
      <c r="W492" s="133" t="str">
        <f t="shared" si="223"/>
        <v/>
      </c>
      <c r="X492" s="132"/>
      <c r="Y492" s="132"/>
      <c r="Z492" s="132"/>
      <c r="AA492" s="132"/>
    </row>
    <row r="493" spans="1:27" ht="20.100000000000001" hidden="1" customHeight="1">
      <c r="A493" s="299">
        <v>30700016</v>
      </c>
      <c r="B493" s="141" t="s">
        <v>237</v>
      </c>
      <c r="C493" s="388"/>
      <c r="D493" s="108">
        <v>7.8</v>
      </c>
      <c r="E493" s="108"/>
      <c r="F493" s="127"/>
      <c r="G493" s="128"/>
      <c r="H493" s="398">
        <f t="shared" si="224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5"/>
        <v>0</v>
      </c>
      <c r="N493" s="130">
        <f t="shared" si="226"/>
        <v>0</v>
      </c>
      <c r="O493" s="389"/>
      <c r="P493" s="389"/>
      <c r="Q493" s="389"/>
      <c r="R493" s="389"/>
      <c r="S493" s="389"/>
      <c r="T493" s="389"/>
      <c r="U493" s="389"/>
      <c r="V493" s="132">
        <f t="shared" si="227"/>
        <v>0</v>
      </c>
      <c r="W493" s="133" t="str">
        <f t="shared" si="223"/>
        <v/>
      </c>
      <c r="X493" s="132"/>
      <c r="Y493" s="132"/>
      <c r="Z493" s="132"/>
      <c r="AA493" s="132"/>
    </row>
    <row r="494" spans="1:27" ht="20.100000000000001" hidden="1" customHeight="1">
      <c r="A494" s="299">
        <v>30700017</v>
      </c>
      <c r="B494" s="141" t="s">
        <v>238</v>
      </c>
      <c r="C494" s="388"/>
      <c r="D494" s="108">
        <v>4.4000000000000004</v>
      </c>
      <c r="E494" s="108"/>
      <c r="F494" s="127"/>
      <c r="G494" s="128"/>
      <c r="H494" s="398">
        <f t="shared" si="224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5"/>
        <v>0</v>
      </c>
      <c r="N494" s="130">
        <f t="shared" si="226"/>
        <v>0</v>
      </c>
      <c r="O494" s="389"/>
      <c r="P494" s="389"/>
      <c r="Q494" s="389"/>
      <c r="R494" s="389"/>
      <c r="S494" s="389"/>
      <c r="T494" s="389"/>
      <c r="U494" s="389"/>
      <c r="V494" s="132">
        <f t="shared" si="227"/>
        <v>0</v>
      </c>
      <c r="W494" s="133" t="str">
        <f t="shared" si="223"/>
        <v/>
      </c>
      <c r="X494" s="132"/>
      <c r="Y494" s="132"/>
      <c r="Z494" s="132"/>
      <c r="AA494" s="132"/>
    </row>
    <row r="495" spans="1:27" ht="20.100000000000001" hidden="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28"/>
      <c r="H495" s="398">
        <f t="shared" si="224"/>
        <v>0</v>
      </c>
      <c r="I495" s="129"/>
      <c r="J495" s="130"/>
      <c r="K495" s="131"/>
      <c r="L495" s="129"/>
      <c r="M495" s="109"/>
      <c r="N495" s="130"/>
      <c r="O495" s="389"/>
      <c r="P495" s="389"/>
      <c r="Q495" s="389"/>
      <c r="R495" s="389"/>
      <c r="S495" s="389"/>
      <c r="T495" s="389"/>
      <c r="U495" s="389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299">
        <v>30700001</v>
      </c>
      <c r="B496" s="127" t="s">
        <v>359</v>
      </c>
      <c r="C496" s="388"/>
      <c r="D496" s="108"/>
      <c r="E496" s="108"/>
      <c r="F496" s="127"/>
      <c r="G496" s="128"/>
      <c r="H496" s="398">
        <f t="shared" si="224"/>
        <v>0</v>
      </c>
      <c r="I496" s="129"/>
      <c r="J496" s="130"/>
      <c r="K496" s="131"/>
      <c r="L496" s="129">
        <v>6</v>
      </c>
      <c r="M496" s="109"/>
      <c r="N496" s="130"/>
      <c r="O496" s="389"/>
      <c r="P496" s="389"/>
      <c r="Q496" s="389"/>
      <c r="R496" s="389"/>
      <c r="S496" s="389"/>
      <c r="T496" s="389"/>
      <c r="U496" s="389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/>
      <c r="B497" s="388" t="s">
        <v>239</v>
      </c>
      <c r="C497" s="388" t="s">
        <v>179</v>
      </c>
      <c r="D497" s="108">
        <v>6.04</v>
      </c>
      <c r="E497" s="108"/>
      <c r="F497" s="127"/>
      <c r="G497" s="128"/>
      <c r="H497" s="398">
        <f t="shared" si="224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498" si="228">IF(ISERROR(I497-K497),"",I497-K497)</f>
        <v>0</v>
      </c>
      <c r="N497" s="130">
        <f t="shared" ref="N497:N498" si="229">SUM(O497:U497)</f>
        <v>0</v>
      </c>
      <c r="O497" s="389"/>
      <c r="P497" s="389"/>
      <c r="Q497" s="389"/>
      <c r="R497" s="389"/>
      <c r="S497" s="389"/>
      <c r="T497" s="389"/>
      <c r="U497" s="389"/>
      <c r="V497" s="132">
        <f t="shared" ref="V497:V498" si="230">SUM(X497:AA497)</f>
        <v>0</v>
      </c>
      <c r="W497" s="133" t="str">
        <f t="shared" ref="W497:W498" si="231">IF(ISERROR(V497/G497),"",V497/G497)</f>
        <v/>
      </c>
      <c r="X497" s="132"/>
      <c r="Y497" s="132"/>
      <c r="Z497" s="132"/>
      <c r="AA497" s="132"/>
    </row>
    <row r="498" spans="1:27" ht="20.100000000000001" hidden="1" customHeight="1">
      <c r="A498" s="305">
        <v>30700019</v>
      </c>
      <c r="B498" s="388" t="s">
        <v>239</v>
      </c>
      <c r="C498" s="388" t="s">
        <v>186</v>
      </c>
      <c r="D498" s="108">
        <v>6.04</v>
      </c>
      <c r="E498" s="108"/>
      <c r="F498" s="127"/>
      <c r="G498" s="128"/>
      <c r="H498" s="398">
        <f t="shared" si="224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8"/>
        <v>0</v>
      </c>
      <c r="N498" s="130">
        <f t="shared" si="229"/>
        <v>0</v>
      </c>
      <c r="O498" s="389"/>
      <c r="P498" s="389"/>
      <c r="Q498" s="389"/>
      <c r="R498" s="389"/>
      <c r="S498" s="389"/>
      <c r="T498" s="389"/>
      <c r="U498" s="389"/>
      <c r="V498" s="132">
        <f t="shared" si="230"/>
        <v>0</v>
      </c>
      <c r="W498" s="133" t="str">
        <f t="shared" si="231"/>
        <v/>
      </c>
      <c r="X498" s="132"/>
      <c r="Y498" s="132"/>
      <c r="Z498" s="132"/>
      <c r="AA498" s="132"/>
    </row>
    <row r="499" spans="1:27" ht="20.100000000000001" hidden="1" customHeight="1">
      <c r="A499" s="305">
        <v>30601015</v>
      </c>
      <c r="B499" s="388" t="s">
        <v>443</v>
      </c>
      <c r="C499" s="388" t="s">
        <v>179</v>
      </c>
      <c r="D499" s="108"/>
      <c r="E499" s="108"/>
      <c r="F499" s="127"/>
      <c r="G499" s="128"/>
      <c r="H499" s="398">
        <f t="shared" si="224"/>
        <v>0</v>
      </c>
      <c r="I499" s="129"/>
      <c r="J499" s="130"/>
      <c r="K499" s="131"/>
      <c r="L499" s="129"/>
      <c r="M499" s="109"/>
      <c r="N499" s="130"/>
      <c r="O499" s="389"/>
      <c r="P499" s="389"/>
      <c r="Q499" s="389"/>
      <c r="R499" s="389"/>
      <c r="S499" s="389"/>
      <c r="T499" s="389"/>
      <c r="U499" s="389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305">
        <v>30101016</v>
      </c>
      <c r="B500" s="388" t="s">
        <v>443</v>
      </c>
      <c r="C500" s="388" t="s">
        <v>186</v>
      </c>
      <c r="D500" s="108"/>
      <c r="E500" s="108"/>
      <c r="F500" s="127"/>
      <c r="G500" s="128"/>
      <c r="H500" s="398">
        <f t="shared" si="224"/>
        <v>0</v>
      </c>
      <c r="I500" s="129"/>
      <c r="J500" s="130"/>
      <c r="K500" s="131"/>
      <c r="L500" s="129"/>
      <c r="M500" s="109"/>
      <c r="N500" s="130"/>
      <c r="O500" s="389"/>
      <c r="P500" s="389"/>
      <c r="Q500" s="389"/>
      <c r="R500" s="389"/>
      <c r="S500" s="389"/>
      <c r="T500" s="389"/>
      <c r="U500" s="389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30700018</v>
      </c>
      <c r="B501" s="390" t="s">
        <v>240</v>
      </c>
      <c r="C501" s="126"/>
      <c r="D501" s="108">
        <v>7.3</v>
      </c>
      <c r="E501" s="108"/>
      <c r="F501" s="127"/>
      <c r="G501" s="128"/>
      <c r="H501" s="398">
        <f t="shared" si="224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ref="M501" si="232">IF(ISERROR(I501-K501),"",I501-K501)</f>
        <v>0</v>
      </c>
      <c r="N501" s="130">
        <f t="shared" ref="N501" si="233">SUM(O501:U501)</f>
        <v>0</v>
      </c>
      <c r="O501" s="389"/>
      <c r="P501" s="389"/>
      <c r="Q501" s="389"/>
      <c r="R501" s="389"/>
      <c r="S501" s="389"/>
      <c r="T501" s="389"/>
      <c r="U501" s="389"/>
      <c r="V501" s="132">
        <f t="shared" ref="V501" si="234">SUM(X501:AA501)</f>
        <v>0</v>
      </c>
      <c r="W501" s="133" t="str">
        <f t="shared" ref="W501" si="235">IF(ISERROR(V501/G501),"",V501/G501)</f>
        <v/>
      </c>
      <c r="X501" s="132"/>
      <c r="Y501" s="132"/>
      <c r="Z501" s="132"/>
      <c r="AA501" s="132"/>
    </row>
    <row r="502" spans="1:27" ht="20.100000000000001" hidden="1" customHeight="1">
      <c r="A502" s="299">
        <v>30700010</v>
      </c>
      <c r="B502" s="390" t="s">
        <v>241</v>
      </c>
      <c r="C502" s="126"/>
      <c r="D502" s="108">
        <f>78*120/1000</f>
        <v>9.36</v>
      </c>
      <c r="E502" s="108"/>
      <c r="F502" s="127"/>
      <c r="G502" s="128"/>
      <c r="H502" s="398">
        <f t="shared" si="224"/>
        <v>0</v>
      </c>
      <c r="I502" s="129"/>
      <c r="J502" s="130"/>
      <c r="K502" s="131"/>
      <c r="L502" s="129"/>
      <c r="M502" s="109"/>
      <c r="N502" s="130"/>
      <c r="O502" s="389"/>
      <c r="P502" s="389"/>
      <c r="Q502" s="389"/>
      <c r="R502" s="389"/>
      <c r="S502" s="389"/>
      <c r="T502" s="389"/>
      <c r="U502" s="389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299">
        <v>30700015</v>
      </c>
      <c r="B503" s="390" t="s">
        <v>242</v>
      </c>
      <c r="C503" s="126"/>
      <c r="D503" s="108">
        <v>4.5</v>
      </c>
      <c r="E503" s="108"/>
      <c r="F503" s="127"/>
      <c r="G503" s="128"/>
      <c r="H503" s="398">
        <f t="shared" si="224"/>
        <v>0</v>
      </c>
      <c r="I503" s="129"/>
      <c r="J503" s="130"/>
      <c r="K503" s="131"/>
      <c r="L503" s="129"/>
      <c r="M503" s="109"/>
      <c r="N503" s="130"/>
      <c r="O503" s="389"/>
      <c r="P503" s="389"/>
      <c r="Q503" s="389"/>
      <c r="R503" s="389"/>
      <c r="S503" s="389"/>
      <c r="T503" s="389"/>
      <c r="U503" s="389"/>
      <c r="V503" s="132"/>
      <c r="W503" s="133"/>
      <c r="X503" s="132"/>
      <c r="Y503" s="132"/>
      <c r="Z503" s="132"/>
      <c r="AA503" s="132"/>
    </row>
    <row r="504" spans="1:27" ht="20.100000000000001" hidden="1" customHeight="1">
      <c r="A504" s="299">
        <v>30700012</v>
      </c>
      <c r="B504" s="390" t="s">
        <v>243</v>
      </c>
      <c r="C504" s="126"/>
      <c r="D504" s="108">
        <v>4.5</v>
      </c>
      <c r="E504" s="108"/>
      <c r="F504" s="127"/>
      <c r="G504" s="128"/>
      <c r="H504" s="398">
        <f t="shared" si="224"/>
        <v>0</v>
      </c>
      <c r="I504" s="129"/>
      <c r="J504" s="130"/>
      <c r="K504" s="131"/>
      <c r="L504" s="129"/>
      <c r="M504" s="109"/>
      <c r="N504" s="130"/>
      <c r="O504" s="389"/>
      <c r="P504" s="389"/>
      <c r="Q504" s="389"/>
      <c r="R504" s="389"/>
      <c r="S504" s="389"/>
      <c r="T504" s="389"/>
      <c r="U504" s="389"/>
      <c r="V504" s="132"/>
      <c r="W504" s="133"/>
      <c r="X504" s="132"/>
      <c r="Y504" s="132"/>
      <c r="Z504" s="132"/>
      <c r="AA504" s="132"/>
    </row>
    <row r="505" spans="1:27" ht="20.100000000000001" hidden="1" customHeight="1">
      <c r="A505" s="299"/>
      <c r="B505" s="390"/>
      <c r="C505" s="126"/>
      <c r="D505" s="108"/>
      <c r="E505" s="108"/>
      <c r="F505" s="127"/>
      <c r="G505" s="128"/>
      <c r="H505" s="398">
        <f t="shared" si="224"/>
        <v>0</v>
      </c>
      <c r="I505" s="129"/>
      <c r="J505" s="130"/>
      <c r="K505" s="131"/>
      <c r="L505" s="129"/>
      <c r="M505" s="109"/>
      <c r="N505" s="130"/>
      <c r="O505" s="389"/>
      <c r="P505" s="389"/>
      <c r="Q505" s="389"/>
      <c r="R505" s="389"/>
      <c r="S505" s="389"/>
      <c r="T505" s="389"/>
      <c r="U505" s="389"/>
      <c r="V505" s="132"/>
      <c r="W505" s="133"/>
      <c r="X505" s="132"/>
      <c r="Y505" s="132"/>
      <c r="Z505" s="132"/>
      <c r="AA505" s="132"/>
    </row>
    <row r="506" spans="1:27" ht="20.100000000000001" hidden="1" customHeight="1">
      <c r="A506" s="578" t="s">
        <v>244</v>
      </c>
      <c r="B506" s="579"/>
      <c r="C506" s="396" t="s">
        <v>202</v>
      </c>
      <c r="D506" s="143"/>
      <c r="E506" s="143"/>
      <c r="F506" s="144"/>
      <c r="G506" s="145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6">SUM(M491:M501)</f>
        <v>0</v>
      </c>
      <c r="N506" s="146">
        <f t="shared" si="236"/>
        <v>0</v>
      </c>
      <c r="O506" s="148">
        <f t="shared" si="236"/>
        <v>0</v>
      </c>
      <c r="P506" s="148">
        <f t="shared" si="236"/>
        <v>0</v>
      </c>
      <c r="Q506" s="148">
        <f t="shared" si="236"/>
        <v>0</v>
      </c>
      <c r="R506" s="148">
        <f t="shared" si="236"/>
        <v>0</v>
      </c>
      <c r="S506" s="148">
        <f t="shared" si="236"/>
        <v>0</v>
      </c>
      <c r="T506" s="148">
        <f t="shared" si="236"/>
        <v>0</v>
      </c>
      <c r="U506" s="148">
        <f t="shared" si="236"/>
        <v>0</v>
      </c>
      <c r="V506" s="149">
        <f t="shared" si="236"/>
        <v>0</v>
      </c>
      <c r="W506" s="133">
        <f t="shared" si="236"/>
        <v>0</v>
      </c>
      <c r="X506" s="149">
        <f t="shared" si="236"/>
        <v>0</v>
      </c>
      <c r="Y506" s="149">
        <f t="shared" si="236"/>
        <v>0</v>
      </c>
      <c r="Z506" s="149">
        <f t="shared" si="236"/>
        <v>0</v>
      </c>
      <c r="AA506" s="149">
        <f t="shared" si="236"/>
        <v>0</v>
      </c>
    </row>
    <row r="507" spans="1:27" ht="20.100000000000001" customHeight="1">
      <c r="A507" s="580" t="s">
        <v>246</v>
      </c>
      <c r="B507" s="581"/>
      <c r="C507" s="581"/>
      <c r="D507" s="581"/>
      <c r="E507" s="581"/>
      <c r="F507" s="582"/>
      <c r="G507" s="154">
        <f>SUM(G370,G428,G463,G479,G490,G506)</f>
        <v>844</v>
      </c>
      <c r="H507" s="154">
        <f>SUM(H370,H428,H463,H479,H490,H506)</f>
        <v>4245.3200000000006</v>
      </c>
      <c r="I507" s="154">
        <f>SUM(I370,I428,I463,I479,I490,I506)</f>
        <v>78</v>
      </c>
      <c r="J507" s="155">
        <f t="array" ref="J507">IF(ISERROR(G507/I507),"",G507/I507)</f>
        <v>10.820512820512821</v>
      </c>
      <c r="K507" s="154">
        <f>SUM(K370,K428,K463,K479,K490,K506)</f>
        <v>90.752688172043008</v>
      </c>
      <c r="L507" s="155">
        <f>IF(ISERROR(G507/K507),"",G507/K507)</f>
        <v>9.3000000000000007</v>
      </c>
      <c r="M507" s="154">
        <f t="shared" ref="M507:V507" si="237">SUM(M370,M428,M463,M479,M490,M506)</f>
        <v>-12.752688172043005</v>
      </c>
      <c r="N507" s="154">
        <f t="shared" si="237"/>
        <v>0</v>
      </c>
      <c r="O507" s="154">
        <f t="shared" si="237"/>
        <v>0</v>
      </c>
      <c r="P507" s="154">
        <f t="shared" si="237"/>
        <v>0</v>
      </c>
      <c r="Q507" s="154">
        <f t="shared" si="237"/>
        <v>0</v>
      </c>
      <c r="R507" s="154">
        <f t="shared" si="237"/>
        <v>0</v>
      </c>
      <c r="S507" s="154">
        <f t="shared" si="237"/>
        <v>0</v>
      </c>
      <c r="T507" s="154">
        <f t="shared" si="237"/>
        <v>0</v>
      </c>
      <c r="U507" s="154">
        <f t="shared" si="237"/>
        <v>0</v>
      </c>
      <c r="V507" s="154">
        <f t="shared" si="237"/>
        <v>0</v>
      </c>
      <c r="W507" s="156">
        <f t="shared" ref="W507" si="238">IF(ISERROR(V507/G507),"",V507/G507)</f>
        <v>0</v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583" t="s">
        <v>476</v>
      </c>
      <c r="B508" s="395" t="s">
        <v>247</v>
      </c>
      <c r="C508" s="586" t="s">
        <v>248</v>
      </c>
      <c r="D508" s="587"/>
      <c r="E508" s="588" t="s">
        <v>249</v>
      </c>
      <c r="F508" s="588"/>
      <c r="G508" s="591" t="s">
        <v>250</v>
      </c>
      <c r="H508" s="591"/>
      <c r="I508" s="588" t="s">
        <v>251</v>
      </c>
      <c r="J508" s="588"/>
      <c r="K508" s="588" t="s">
        <v>252</v>
      </c>
      <c r="L508" s="588"/>
      <c r="M508" s="588" t="s">
        <v>253</v>
      </c>
      <c r="N508" s="588"/>
      <c r="O508" s="588" t="s">
        <v>254</v>
      </c>
      <c r="P508" s="591" t="s">
        <v>255</v>
      </c>
      <c r="Q508" s="591"/>
      <c r="R508" s="591" t="s">
        <v>252</v>
      </c>
      <c r="S508" s="591"/>
      <c r="T508" s="591" t="s">
        <v>256</v>
      </c>
      <c r="U508" s="591"/>
      <c r="V508" s="591" t="s">
        <v>257</v>
      </c>
      <c r="W508" s="591"/>
      <c r="X508" s="591" t="s">
        <v>252</v>
      </c>
      <c r="Y508" s="591"/>
      <c r="Z508" s="591" t="s">
        <v>256</v>
      </c>
      <c r="AA508" s="591"/>
    </row>
    <row r="509" spans="1:27" ht="20.100000000000001" customHeight="1">
      <c r="A509" s="584"/>
      <c r="B509" s="395" t="s">
        <v>258</v>
      </c>
      <c r="C509" s="586">
        <v>0</v>
      </c>
      <c r="D509" s="587"/>
      <c r="E509" s="590">
        <f>C509*11</f>
        <v>0</v>
      </c>
      <c r="F509" s="590"/>
      <c r="G509" s="591">
        <v>0</v>
      </c>
      <c r="H509" s="591"/>
      <c r="I509" s="590">
        <f>G509*11</f>
        <v>0</v>
      </c>
      <c r="J509" s="590"/>
      <c r="K509" s="590">
        <f>E509-I509</f>
        <v>0</v>
      </c>
      <c r="L509" s="590"/>
      <c r="M509" s="592" t="str">
        <f>IF(ISERROR(K509/E509),"",K509/E509)</f>
        <v/>
      </c>
      <c r="N509" s="592"/>
      <c r="O509" s="588"/>
      <c r="P509" s="591" t="s">
        <v>201</v>
      </c>
      <c r="Q509" s="591"/>
      <c r="R509" s="593">
        <f>SUM(O370:U370)</f>
        <v>0</v>
      </c>
      <c r="S509" s="593"/>
      <c r="T509" s="594" t="str">
        <f t="array" ref="T509">IF(ISERROR(R509/R516),"",R509/R516)</f>
        <v/>
      </c>
      <c r="U509" s="594"/>
      <c r="V509" s="591" t="s">
        <v>259</v>
      </c>
      <c r="W509" s="591"/>
      <c r="X509" s="595">
        <f>SUM(O370,O428,O463,O479,O490,O506)</f>
        <v>0</v>
      </c>
      <c r="Y509" s="595"/>
      <c r="Z509" s="594" t="str">
        <f t="array" ref="Z509">IF(ISERROR(X509/X516),"",X509/X516)</f>
        <v/>
      </c>
      <c r="AA509" s="594"/>
    </row>
    <row r="510" spans="1:27" ht="20.100000000000001" customHeight="1">
      <c r="A510" s="584"/>
      <c r="B510" s="395" t="s">
        <v>260</v>
      </c>
      <c r="C510" s="586">
        <v>0</v>
      </c>
      <c r="D510" s="587"/>
      <c r="E510" s="590">
        <f>C510*11</f>
        <v>0</v>
      </c>
      <c r="F510" s="590"/>
      <c r="G510" s="591">
        <v>0</v>
      </c>
      <c r="H510" s="591"/>
      <c r="I510" s="590">
        <f>G510*11</f>
        <v>0</v>
      </c>
      <c r="J510" s="590"/>
      <c r="K510" s="590">
        <f>E510-I510</f>
        <v>0</v>
      </c>
      <c r="L510" s="590"/>
      <c r="M510" s="592" t="str">
        <f>IF(ISERROR(K510/E510),"",K510/E510)</f>
        <v/>
      </c>
      <c r="N510" s="592"/>
      <c r="O510" s="588"/>
      <c r="P510" s="591" t="s">
        <v>216</v>
      </c>
      <c r="Q510" s="591"/>
      <c r="R510" s="593">
        <f>SUM(O428:U428)</f>
        <v>0</v>
      </c>
      <c r="S510" s="593"/>
      <c r="T510" s="594" t="str">
        <f>IF(ISERROR(R510/R516),"",R510/R516)</f>
        <v/>
      </c>
      <c r="U510" s="594"/>
      <c r="V510" s="591" t="s">
        <v>261</v>
      </c>
      <c r="W510" s="591"/>
      <c r="X510" s="595">
        <f>SUM(O371,O429,O464,O480,O491,O507)</f>
        <v>0</v>
      </c>
      <c r="Y510" s="595"/>
      <c r="Z510" s="594" t="str">
        <f>IF(ISERROR(X510/X516),"",X510/X516)</f>
        <v/>
      </c>
      <c r="AA510" s="594"/>
    </row>
    <row r="511" spans="1:27" ht="20.100000000000001" customHeight="1">
      <c r="A511" s="584"/>
      <c r="B511" s="395" t="s">
        <v>262</v>
      </c>
      <c r="C511" s="586">
        <v>0</v>
      </c>
      <c r="D511" s="587"/>
      <c r="E511" s="590">
        <f>C511*11</f>
        <v>0</v>
      </c>
      <c r="F511" s="590"/>
      <c r="G511" s="591">
        <v>0</v>
      </c>
      <c r="H511" s="591"/>
      <c r="I511" s="590">
        <f>G511*11</f>
        <v>0</v>
      </c>
      <c r="J511" s="590"/>
      <c r="K511" s="590">
        <f>E511-I511</f>
        <v>0</v>
      </c>
      <c r="L511" s="590"/>
      <c r="M511" s="592" t="str">
        <f>IF(ISERROR(K511/E511),"",K511/E511)</f>
        <v/>
      </c>
      <c r="N511" s="592"/>
      <c r="O511" s="588"/>
      <c r="P511" s="591" t="s">
        <v>224</v>
      </c>
      <c r="Q511" s="591"/>
      <c r="R511" s="593">
        <f>SUM(O463:U463)</f>
        <v>0</v>
      </c>
      <c r="S511" s="593"/>
      <c r="T511" s="594" t="str">
        <f>IF(ISERROR(R511/R516),"",R511/R516)</f>
        <v/>
      </c>
      <c r="U511" s="594"/>
      <c r="V511" s="591" t="s">
        <v>263</v>
      </c>
      <c r="W511" s="591"/>
      <c r="X511" s="595">
        <f>SUM(O373,O430,O465,O481,O492,O508)</f>
        <v>0</v>
      </c>
      <c r="Y511" s="595"/>
      <c r="Z511" s="594" t="str">
        <f>IF(ISERROR(X511/X516),"",X511/X516)</f>
        <v/>
      </c>
      <c r="AA511" s="594"/>
    </row>
    <row r="512" spans="1:27" ht="20.100000000000001" customHeight="1">
      <c r="A512" s="584"/>
      <c r="B512" s="395" t="s">
        <v>264</v>
      </c>
      <c r="C512" s="586">
        <v>1</v>
      </c>
      <c r="D512" s="587"/>
      <c r="E512" s="590">
        <f>C512*11</f>
        <v>11</v>
      </c>
      <c r="F512" s="590"/>
      <c r="G512" s="591">
        <v>1</v>
      </c>
      <c r="H512" s="591"/>
      <c r="I512" s="590">
        <f>G512*11</f>
        <v>11</v>
      </c>
      <c r="J512" s="590"/>
      <c r="K512" s="590">
        <f>E512-I512</f>
        <v>0</v>
      </c>
      <c r="L512" s="590"/>
      <c r="M512" s="592">
        <f>IF(ISERROR(K512/E512),"",K512/E512)</f>
        <v>0</v>
      </c>
      <c r="N512" s="592"/>
      <c r="O512" s="588"/>
      <c r="P512" s="591" t="s">
        <v>231</v>
      </c>
      <c r="Q512" s="591"/>
      <c r="R512" s="593">
        <f>SUM(O479:U479)</f>
        <v>0</v>
      </c>
      <c r="S512" s="593"/>
      <c r="T512" s="594" t="str">
        <f>IF(ISERROR(R512/R516),"",R512/R516)</f>
        <v/>
      </c>
      <c r="U512" s="594"/>
      <c r="V512" s="591" t="s">
        <v>265</v>
      </c>
      <c r="W512" s="591"/>
      <c r="X512" s="595">
        <f>SUM(O374,O431,O466,O482,O493,O509)</f>
        <v>0</v>
      </c>
      <c r="Y512" s="595"/>
      <c r="Z512" s="594" t="str">
        <f>IF(ISERROR(X512/X516),"",X512/X516)</f>
        <v/>
      </c>
      <c r="AA512" s="594"/>
    </row>
    <row r="513" spans="1:27" ht="20.100000000000001" customHeight="1">
      <c r="A513" s="585"/>
      <c r="B513" s="395" t="s">
        <v>266</v>
      </c>
      <c r="C513" s="596">
        <f>SUM(C509:D512)</f>
        <v>1</v>
      </c>
      <c r="D513" s="597"/>
      <c r="E513" s="590">
        <f>SUM(E509:F512)</f>
        <v>11</v>
      </c>
      <c r="F513" s="590"/>
      <c r="G513" s="591">
        <f>SUM(G509:H512)</f>
        <v>1</v>
      </c>
      <c r="H513" s="591"/>
      <c r="I513" s="590">
        <f>SUM(I509:J512)</f>
        <v>11</v>
      </c>
      <c r="J513" s="590"/>
      <c r="K513" s="590">
        <f>SUM(K509:L512)</f>
        <v>0</v>
      </c>
      <c r="L513" s="590"/>
      <c r="M513" s="592">
        <f>IF(ISERROR(K513/E513),"",K513/E513)</f>
        <v>0</v>
      </c>
      <c r="N513" s="592"/>
      <c r="O513" s="588"/>
      <c r="P513" s="591" t="s">
        <v>234</v>
      </c>
      <c r="Q513" s="591"/>
      <c r="R513" s="593">
        <f>SUM(O490:U490)</f>
        <v>0</v>
      </c>
      <c r="S513" s="593"/>
      <c r="T513" s="594" t="str">
        <f>IF(ISERROR(R513/R516),"",R513/R516)</f>
        <v/>
      </c>
      <c r="U513" s="594"/>
      <c r="V513" s="591" t="s">
        <v>267</v>
      </c>
      <c r="W513" s="591"/>
      <c r="X513" s="595">
        <f>SUM(O375,O432,O467,O483,O494,O510)</f>
        <v>0</v>
      </c>
      <c r="Y513" s="595"/>
      <c r="Z513" s="594" t="str">
        <f>IF(ISERROR(X513/X516),"",X513/X516)</f>
        <v/>
      </c>
      <c r="AA513" s="594"/>
    </row>
    <row r="514" spans="1:27" ht="20.100000000000001" customHeight="1">
      <c r="A514" s="307" t="s">
        <v>477</v>
      </c>
      <c r="B514" s="395">
        <f>G507</f>
        <v>844</v>
      </c>
      <c r="C514" s="598" t="s">
        <v>269</v>
      </c>
      <c r="D514" s="599"/>
      <c r="E514" s="591">
        <f>H507</f>
        <v>4245.3200000000006</v>
      </c>
      <c r="F514" s="591"/>
      <c r="G514" s="591" t="s">
        <v>270</v>
      </c>
      <c r="H514" s="591"/>
      <c r="I514" s="600">
        <f>L507</f>
        <v>9.3000000000000007</v>
      </c>
      <c r="J514" s="600"/>
      <c r="K514" s="588" t="s">
        <v>271</v>
      </c>
      <c r="L514" s="588"/>
      <c r="M514" s="600">
        <f>J507</f>
        <v>10.820512820512821</v>
      </c>
      <c r="N514" s="600"/>
      <c r="O514" s="588"/>
      <c r="P514" s="591" t="s">
        <v>244</v>
      </c>
      <c r="Q514" s="591"/>
      <c r="R514" s="593">
        <f>SUM(O506:U506)</f>
        <v>0</v>
      </c>
      <c r="S514" s="593"/>
      <c r="T514" s="594" t="str">
        <f>IF(ISERROR(R514/R516),"",R514/R516)</f>
        <v/>
      </c>
      <c r="U514" s="594"/>
      <c r="V514" s="591" t="s">
        <v>272</v>
      </c>
      <c r="W514" s="591"/>
      <c r="X514" s="595">
        <f>SUM(O376,O433,O468,O484,O495,O511)</f>
        <v>0</v>
      </c>
      <c r="Y514" s="595"/>
      <c r="Z514" s="594" t="str">
        <f>IF(ISERROR(X514/X516),"",X514/X516)</f>
        <v/>
      </c>
      <c r="AA514" s="594"/>
    </row>
    <row r="515" spans="1:27" ht="20.100000000000001" customHeight="1">
      <c r="A515" s="308" t="s">
        <v>478</v>
      </c>
      <c r="B515" s="395">
        <f>I507+C513</f>
        <v>79</v>
      </c>
      <c r="C515" s="601" t="s">
        <v>251</v>
      </c>
      <c r="D515" s="602"/>
      <c r="E515" s="603">
        <f>K507+I513</f>
        <v>101.75268817204301</v>
      </c>
      <c r="F515" s="603"/>
      <c r="G515" s="591" t="s">
        <v>274</v>
      </c>
      <c r="H515" s="591"/>
      <c r="I515" s="600">
        <f>B515-E515</f>
        <v>-22.752688172043008</v>
      </c>
      <c r="J515" s="600"/>
      <c r="K515" s="588" t="s">
        <v>275</v>
      </c>
      <c r="L515" s="588"/>
      <c r="M515" s="592">
        <f>IF(ISERROR(I515/E515),"",I515/E515)</f>
        <v>-0.22360773539046813</v>
      </c>
      <c r="N515" s="592"/>
      <c r="O515" s="588"/>
      <c r="P515" s="591" t="s">
        <v>245</v>
      </c>
      <c r="Q515" s="591"/>
      <c r="R515" s="593"/>
      <c r="S515" s="593"/>
      <c r="T515" s="594" t="str">
        <f>IF(ISERROR(R515/R516),"",R515/R516)</f>
        <v/>
      </c>
      <c r="U515" s="594"/>
      <c r="V515" s="591" t="s">
        <v>264</v>
      </c>
      <c r="W515" s="591"/>
      <c r="X515" s="595">
        <f>SUM(O377,O434,O469,O489,O496,O512)</f>
        <v>0</v>
      </c>
      <c r="Y515" s="595"/>
      <c r="Z515" s="594" t="str">
        <f>IF(ISERROR(X515/X516),"",X515/X516)</f>
        <v/>
      </c>
      <c r="AA515" s="594"/>
    </row>
    <row r="516" spans="1:27" ht="20.100000000000001" customHeight="1">
      <c r="A516" s="308" t="s">
        <v>479</v>
      </c>
      <c r="B516" s="395">
        <f>N507</f>
        <v>0</v>
      </c>
      <c r="C516" s="601" t="s">
        <v>277</v>
      </c>
      <c r="D516" s="602"/>
      <c r="E516" s="594">
        <f>IF(ISERROR(B516/B515),"",B516/B515)</f>
        <v>0</v>
      </c>
      <c r="F516" s="594"/>
      <c r="G516" s="591" t="s">
        <v>278</v>
      </c>
      <c r="H516" s="591"/>
      <c r="I516" s="588">
        <f>V507</f>
        <v>0</v>
      </c>
      <c r="J516" s="588"/>
      <c r="K516" s="588" t="s">
        <v>279</v>
      </c>
      <c r="L516" s="588"/>
      <c r="M516" s="592">
        <f t="array" ref="M516">IF(ISERROR(I516/B514),"",I516/B514)</f>
        <v>0</v>
      </c>
      <c r="N516" s="592"/>
      <c r="O516" s="588"/>
      <c r="P516" s="591" t="s">
        <v>266</v>
      </c>
      <c r="Q516" s="591"/>
      <c r="R516" s="593">
        <f>SUM(R509:S515)</f>
        <v>0</v>
      </c>
      <c r="S516" s="593"/>
      <c r="T516" s="594"/>
      <c r="U516" s="594"/>
      <c r="V516" s="591" t="s">
        <v>266</v>
      </c>
      <c r="W516" s="591"/>
      <c r="X516" s="595">
        <f>SUM(X509:Y515)</f>
        <v>0</v>
      </c>
      <c r="Y516" s="595"/>
      <c r="Z516" s="594"/>
      <c r="AA516" s="594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630" t="str">
        <f>IF(ISERROR(#REF!/#REF!),"",#REF!/#REF!)</f>
        <v/>
      </c>
      <c r="H517" s="630"/>
      <c r="I517" s="630"/>
      <c r="J517" s="125"/>
      <c r="K517" s="160"/>
      <c r="L517" s="122"/>
      <c r="M517" s="122"/>
      <c r="N517" s="630" t="str">
        <f>IF(ISERROR(G517/#REF!),"",G517/#REF!)</f>
        <v/>
      </c>
      <c r="O517" s="630"/>
      <c r="P517" s="630"/>
      <c r="Q517" s="630"/>
      <c r="R517" s="630"/>
      <c r="S517" s="397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6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633" t="s">
        <v>268</v>
      </c>
      <c r="B519" s="633"/>
      <c r="C519" s="586">
        <f>SUM(B171,B342,B514)</f>
        <v>11929</v>
      </c>
      <c r="D519" s="587"/>
      <c r="E519" s="633" t="s">
        <v>269</v>
      </c>
      <c r="F519" s="633"/>
      <c r="G519" s="603">
        <f>SUM(E171,E342,E514)</f>
        <v>60498.18</v>
      </c>
      <c r="H519" s="603"/>
      <c r="I519" s="591" t="s">
        <v>270</v>
      </c>
      <c r="J519" s="633"/>
      <c r="K519" s="586">
        <f>IF(ISERROR(C519/G520),"",C519/G520)</f>
        <v>18.680897357150268</v>
      </c>
      <c r="L519" s="587"/>
      <c r="M519" s="591" t="s">
        <v>271</v>
      </c>
      <c r="N519" s="591"/>
      <c r="O519" s="628">
        <f t="array" ref="O519">IF(ISERROR(C519/C520),"",C519/C520)</f>
        <v>16.788403349517981</v>
      </c>
      <c r="P519" s="629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591" t="s">
        <v>273</v>
      </c>
      <c r="B520" s="591"/>
      <c r="C520" s="586">
        <f>SUM(B172,B343,B515)</f>
        <v>710.55</v>
      </c>
      <c r="D520" s="587"/>
      <c r="E520" s="591" t="s">
        <v>251</v>
      </c>
      <c r="F520" s="591"/>
      <c r="G520" s="603">
        <f>SUM(E172,E343,E515)</f>
        <v>638.56675468719266</v>
      </c>
      <c r="H520" s="603"/>
      <c r="I520" s="601" t="s">
        <v>274</v>
      </c>
      <c r="J520" s="602"/>
      <c r="K520" s="598">
        <f>C520-G520</f>
        <v>71.983245312807298</v>
      </c>
      <c r="L520" s="599"/>
      <c r="M520" s="598" t="s">
        <v>275</v>
      </c>
      <c r="N520" s="599"/>
      <c r="O520" s="631">
        <f>IF(ISERROR(K520/C520),"",K520/C520)</f>
        <v>0.10130637578327677</v>
      </c>
      <c r="P520" s="632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601" t="s">
        <v>276</v>
      </c>
      <c r="B521" s="602"/>
      <c r="C521" s="586">
        <f>SUM(B173,B344,B516)</f>
        <v>0</v>
      </c>
      <c r="D521" s="587"/>
      <c r="E521" s="601" t="s">
        <v>277</v>
      </c>
      <c r="F521" s="602"/>
      <c r="G521" s="594">
        <f>IF(ISERROR(C521/C520),"",C521/C520)</f>
        <v>0</v>
      </c>
      <c r="H521" s="594"/>
      <c r="I521" s="591" t="s">
        <v>278</v>
      </c>
      <c r="J521" s="633"/>
      <c r="K521" s="603">
        <f>SUM(I173,I344,I516)</f>
        <v>0</v>
      </c>
      <c r="L521" s="603"/>
      <c r="M521" s="633" t="s">
        <v>279</v>
      </c>
      <c r="N521" s="633"/>
      <c r="O521" s="631">
        <f t="array" ref="O521">IF(ISERROR(K521/C519),"",K521/C519)</f>
        <v>0</v>
      </c>
      <c r="P521" s="632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347"/>
      <c r="H522" s="168"/>
      <c r="I522" s="397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601" t="s">
        <v>298</v>
      </c>
      <c r="B523" s="602"/>
      <c r="C523" s="601" t="s">
        <v>299</v>
      </c>
      <c r="D523" s="602"/>
      <c r="E523" s="601" t="s">
        <v>256</v>
      </c>
      <c r="F523" s="602"/>
      <c r="G523" s="634" t="s">
        <v>254</v>
      </c>
      <c r="H523" s="635"/>
      <c r="I523" s="601" t="s">
        <v>255</v>
      </c>
      <c r="J523" s="599"/>
      <c r="K523" s="601" t="s">
        <v>300</v>
      </c>
      <c r="L523" s="602"/>
      <c r="M523" s="601" t="s">
        <v>256</v>
      </c>
      <c r="N523" s="602"/>
      <c r="O523" s="591" t="s">
        <v>257</v>
      </c>
      <c r="P523" s="591"/>
      <c r="Q523" s="601" t="s">
        <v>300</v>
      </c>
      <c r="R523" s="602"/>
      <c r="S523" s="601" t="s">
        <v>256</v>
      </c>
      <c r="T523" s="602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640" t="s">
        <v>201</v>
      </c>
      <c r="B524" s="602"/>
      <c r="C524" s="601">
        <f>SUM(G28,G199,G370)</f>
        <v>3666</v>
      </c>
      <c r="D524" s="602"/>
      <c r="E524" s="641">
        <f>IF(ISERROR(C524/C530),"",C524/C530)</f>
        <v>0.30731829994131948</v>
      </c>
      <c r="F524" s="642"/>
      <c r="G524" s="636"/>
      <c r="H524" s="637"/>
      <c r="I524" s="643" t="s">
        <v>301</v>
      </c>
      <c r="J524" s="644"/>
      <c r="K524" s="598">
        <f t="shared" ref="K524:K529" si="239">SUM(R166,U337,U509)</f>
        <v>0</v>
      </c>
      <c r="L524" s="599"/>
      <c r="M524" s="641" t="str">
        <f t="array" ref="M524">IF(ISERROR(K524/K530),"",K524/K530)</f>
        <v/>
      </c>
      <c r="N524" s="642"/>
      <c r="O524" s="591" t="s">
        <v>259</v>
      </c>
      <c r="P524" s="591"/>
      <c r="Q524" s="628">
        <f t="shared" ref="Q524:Q529" si="240">SUM(X166,AA337,AA509)</f>
        <v>0</v>
      </c>
      <c r="R524" s="629"/>
      <c r="S524" s="641" t="str">
        <f t="array" ref="S524">IF(ISERROR(Q524/Q530),"",Q524/Q530)</f>
        <v/>
      </c>
      <c r="T524" s="642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640" t="s">
        <v>216</v>
      </c>
      <c r="B525" s="602"/>
      <c r="C525" s="601">
        <f>SUM(G86,G257,G428)</f>
        <v>4556</v>
      </c>
      <c r="D525" s="602"/>
      <c r="E525" s="641">
        <f>IF(ISERROR(C525/C530),"",C525/C530)</f>
        <v>0.38192639785396931</v>
      </c>
      <c r="F525" s="642"/>
      <c r="G525" s="636"/>
      <c r="H525" s="637"/>
      <c r="I525" s="643" t="s">
        <v>302</v>
      </c>
      <c r="J525" s="644"/>
      <c r="K525" s="598">
        <f t="shared" si="239"/>
        <v>0</v>
      </c>
      <c r="L525" s="599"/>
      <c r="M525" s="641" t="str">
        <f>IF(ISERROR(K525/K530),"",K525/K530)</f>
        <v/>
      </c>
      <c r="N525" s="642"/>
      <c r="O525" s="591" t="s">
        <v>261</v>
      </c>
      <c r="P525" s="591"/>
      <c r="Q525" s="628">
        <f t="shared" si="240"/>
        <v>0</v>
      </c>
      <c r="R525" s="629"/>
      <c r="S525" s="641" t="str">
        <f>IF(ISERROR(Q525/Q530),"",Q525/Q530)</f>
        <v/>
      </c>
      <c r="T525" s="642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640" t="s">
        <v>224</v>
      </c>
      <c r="B526" s="602"/>
      <c r="C526" s="601">
        <f>SUM(G121,G292,G463)</f>
        <v>1902</v>
      </c>
      <c r="D526" s="602"/>
      <c r="E526" s="641">
        <f>IF(ISERROR(C526/C530),"",C526/C530)</f>
        <v>0.15944337329197752</v>
      </c>
      <c r="F526" s="642"/>
      <c r="G526" s="636"/>
      <c r="H526" s="637"/>
      <c r="I526" s="643" t="s">
        <v>303</v>
      </c>
      <c r="J526" s="644"/>
      <c r="K526" s="598">
        <f t="shared" si="239"/>
        <v>0</v>
      </c>
      <c r="L526" s="599"/>
      <c r="M526" s="641" t="str">
        <f>IF(ISERROR(K526/K530),"",K526/K530)</f>
        <v/>
      </c>
      <c r="N526" s="642"/>
      <c r="O526" s="591" t="s">
        <v>263</v>
      </c>
      <c r="P526" s="591"/>
      <c r="Q526" s="628">
        <f t="shared" si="240"/>
        <v>0</v>
      </c>
      <c r="R526" s="629"/>
      <c r="S526" s="641" t="str">
        <f>IF(ISERROR(Q526/Q530),"",Q526/Q530)</f>
        <v/>
      </c>
      <c r="T526" s="642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640" t="s">
        <v>231</v>
      </c>
      <c r="B527" s="602"/>
      <c r="C527" s="601">
        <f>SUM(G137,G308,G479)</f>
        <v>1613</v>
      </c>
      <c r="D527" s="602"/>
      <c r="E527" s="641">
        <f>IF(ISERROR(C527/C530),"",C527/C530)</f>
        <v>0.13521669880124068</v>
      </c>
      <c r="F527" s="642"/>
      <c r="G527" s="636"/>
      <c r="H527" s="637"/>
      <c r="I527" s="643" t="s">
        <v>304</v>
      </c>
      <c r="J527" s="644"/>
      <c r="K527" s="598">
        <f t="shared" si="239"/>
        <v>0</v>
      </c>
      <c r="L527" s="599"/>
      <c r="M527" s="641" t="str">
        <f>IF(ISERROR(K527/K530),"",K527/K530)</f>
        <v/>
      </c>
      <c r="N527" s="642"/>
      <c r="O527" s="591" t="s">
        <v>305</v>
      </c>
      <c r="P527" s="591"/>
      <c r="Q527" s="628">
        <f t="shared" si="240"/>
        <v>0</v>
      </c>
      <c r="R527" s="629"/>
      <c r="S527" s="641" t="str">
        <f>IF(ISERROR(Q527/Q530),"",Q527/Q530)</f>
        <v/>
      </c>
      <c r="T527" s="642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640" t="s">
        <v>234</v>
      </c>
      <c r="B528" s="602"/>
      <c r="C528" s="601">
        <f>SUM(G148,G319,G490)</f>
        <v>96</v>
      </c>
      <c r="D528" s="602"/>
      <c r="E528" s="641">
        <f>IF(ISERROR(C528/C530),"",C528/C530)</f>
        <v>8.0476150557465004E-3</v>
      </c>
      <c r="F528" s="642"/>
      <c r="G528" s="636"/>
      <c r="H528" s="637"/>
      <c r="I528" s="643" t="s">
        <v>306</v>
      </c>
      <c r="J528" s="644"/>
      <c r="K528" s="598">
        <f t="shared" si="239"/>
        <v>0</v>
      </c>
      <c r="L528" s="599"/>
      <c r="M528" s="641" t="str">
        <f>IF(ISERROR(K528/K530),"",K528/K530)</f>
        <v/>
      </c>
      <c r="N528" s="642"/>
      <c r="O528" s="591" t="s">
        <v>267</v>
      </c>
      <c r="P528" s="591"/>
      <c r="Q528" s="628">
        <f t="shared" si="240"/>
        <v>0</v>
      </c>
      <c r="R528" s="629"/>
      <c r="S528" s="641" t="str">
        <f>IF(ISERROR(Q528/Q530),"",Q528/Q530)</f>
        <v/>
      </c>
      <c r="T528" s="642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640" t="s">
        <v>244</v>
      </c>
      <c r="B529" s="602"/>
      <c r="C529" s="601">
        <f>SUM(G163,G334,G506)</f>
        <v>96</v>
      </c>
      <c r="D529" s="602"/>
      <c r="E529" s="641">
        <f>IF(ISERROR(C529/C530),"",C529/C530)</f>
        <v>8.0476150557465004E-3</v>
      </c>
      <c r="F529" s="642"/>
      <c r="G529" s="636"/>
      <c r="H529" s="637"/>
      <c r="I529" s="643" t="s">
        <v>307</v>
      </c>
      <c r="J529" s="644"/>
      <c r="K529" s="598">
        <f t="shared" si="239"/>
        <v>0</v>
      </c>
      <c r="L529" s="599"/>
      <c r="M529" s="641" t="str">
        <f>IF(ISERROR(K529/K530),"",K529/K530)</f>
        <v/>
      </c>
      <c r="N529" s="642"/>
      <c r="O529" s="591" t="s">
        <v>272</v>
      </c>
      <c r="P529" s="591"/>
      <c r="Q529" s="628">
        <f t="shared" si="240"/>
        <v>0</v>
      </c>
      <c r="R529" s="629"/>
      <c r="S529" s="641" t="str">
        <f>IF(ISERROR(Q529/Q530),"",Q529/Q530)</f>
        <v/>
      </c>
      <c r="T529" s="642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601" t="s">
        <v>266</v>
      </c>
      <c r="B530" s="602"/>
      <c r="C530" s="601">
        <f>SUM(C524:C529)</f>
        <v>11929</v>
      </c>
      <c r="D530" s="602"/>
      <c r="E530" s="641">
        <f>SUM(E524:F529)</f>
        <v>1</v>
      </c>
      <c r="F530" s="642"/>
      <c r="G530" s="638"/>
      <c r="H530" s="639"/>
      <c r="I530" s="601" t="s">
        <v>266</v>
      </c>
      <c r="J530" s="599"/>
      <c r="K530" s="598">
        <f>SUM(R173,U344,U516)</f>
        <v>0</v>
      </c>
      <c r="L530" s="599"/>
      <c r="M530" s="641"/>
      <c r="N530" s="642"/>
      <c r="O530" s="591" t="s">
        <v>266</v>
      </c>
      <c r="P530" s="591"/>
      <c r="Q530" s="628">
        <f>SUM(Q524:R529)</f>
        <v>0</v>
      </c>
      <c r="R530" s="629"/>
      <c r="S530" s="641">
        <f>SUM(S524:T529)</f>
        <v>0</v>
      </c>
      <c r="T530" s="642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172"/>
      <c r="D531" s="172"/>
      <c r="E531" s="172"/>
      <c r="F531" s="172"/>
      <c r="G531" s="173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643" t="s">
        <v>308</v>
      </c>
      <c r="B532" s="597"/>
      <c r="C532" s="388" t="s">
        <v>309</v>
      </c>
      <c r="D532" s="388" t="s">
        <v>310</v>
      </c>
      <c r="E532" s="388" t="s">
        <v>311</v>
      </c>
      <c r="F532" s="388" t="s">
        <v>312</v>
      </c>
      <c r="G532" s="348" t="s">
        <v>313</v>
      </c>
      <c r="H532" s="129" t="s">
        <v>314</v>
      </c>
      <c r="I532" s="129" t="s">
        <v>315</v>
      </c>
      <c r="J532" s="129" t="s">
        <v>316</v>
      </c>
      <c r="K532" s="389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398" t="s">
        <v>322</v>
      </c>
      <c r="Q532" s="129" t="s">
        <v>323</v>
      </c>
      <c r="R532" s="109" t="s">
        <v>324</v>
      </c>
      <c r="S532" s="388" t="s">
        <v>325</v>
      </c>
      <c r="T532" s="388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645" t="s">
        <v>327</v>
      </c>
      <c r="B533" s="646"/>
      <c r="C533" s="106">
        <f>D533+E533+F533-G533-O533-P533</f>
        <v>38</v>
      </c>
      <c r="D533" s="106">
        <f>+'1'!C533</f>
        <v>38</v>
      </c>
      <c r="E533" s="106"/>
      <c r="F533" s="106"/>
      <c r="G533" s="107"/>
      <c r="H533" s="106"/>
      <c r="I533" s="106"/>
      <c r="J533" s="106">
        <f>C533-H533-I533</f>
        <v>38</v>
      </c>
      <c r="K533" s="106"/>
      <c r="L533" s="106"/>
      <c r="M533" s="106"/>
      <c r="N533" s="106"/>
      <c r="O533" s="106"/>
      <c r="P533" s="108"/>
      <c r="Q533" s="106">
        <f>J533-K533-L533</f>
        <v>38</v>
      </c>
      <c r="R533" s="109">
        <f>Q533*11-M533-N533</f>
        <v>418</v>
      </c>
      <c r="S533" s="391">
        <f t="array" ref="S533">IF(ISERROR(Q533/J533),"",Q533/J533)</f>
        <v>1</v>
      </c>
      <c r="T533" s="391">
        <f t="array" ref="T533">IF(ISERROR((O533:P533)/C533),"",SUM(O533:P533)/C533)</f>
        <v>0</v>
      </c>
      <c r="X533" s="116"/>
      <c r="Y533" s="116"/>
      <c r="Z533" s="159"/>
      <c r="AA533" s="159"/>
    </row>
    <row r="534" spans="1:27" ht="20.100000000000001" customHeight="1">
      <c r="A534" s="645" t="s">
        <v>328</v>
      </c>
      <c r="B534" s="646"/>
      <c r="C534" s="106">
        <f>D534+E534+F534-G534-O534-P534</f>
        <v>44</v>
      </c>
      <c r="D534" s="106">
        <f>+'1'!C534</f>
        <v>44</v>
      </c>
      <c r="E534" s="110"/>
      <c r="F534" s="110"/>
      <c r="G534" s="107"/>
      <c r="H534" s="106"/>
      <c r="I534" s="106"/>
      <c r="J534" s="106">
        <f>C534-H534-I534</f>
        <v>44</v>
      </c>
      <c r="K534" s="106">
        <v>3</v>
      </c>
      <c r="L534" s="106"/>
      <c r="M534" s="106"/>
      <c r="N534" s="106"/>
      <c r="O534" s="110"/>
      <c r="P534" s="111"/>
      <c r="Q534" s="106">
        <f>J534-K534-L534</f>
        <v>41</v>
      </c>
      <c r="R534" s="109">
        <f>Q534*11-M534-N534</f>
        <v>451</v>
      </c>
      <c r="S534" s="391">
        <f t="array" ref="S534">IF(ISERROR(Q534/J534),"",Q534/J534)</f>
        <v>0.93181818181818177</v>
      </c>
      <c r="T534" s="391">
        <f t="array" ref="T534">IF(ISERROR((O534:P534)/C534),"",SUM(O534:P534)/C534)</f>
        <v>0</v>
      </c>
      <c r="X534" s="116"/>
      <c r="Y534" s="116"/>
      <c r="Z534" s="159"/>
      <c r="AA534" s="159"/>
    </row>
    <row r="535" spans="1:27" ht="20.100000000000001" customHeight="1">
      <c r="A535" s="645" t="s">
        <v>329</v>
      </c>
      <c r="B535" s="646"/>
      <c r="C535" s="106">
        <f>D535+E535+F535-G535-O535-P535</f>
        <v>10</v>
      </c>
      <c r="D535" s="106">
        <f>+'1'!C535</f>
        <v>10</v>
      </c>
      <c r="E535" s="110"/>
      <c r="F535" s="110"/>
      <c r="G535" s="107"/>
      <c r="H535" s="106"/>
      <c r="I535" s="106"/>
      <c r="J535" s="106">
        <f>C535-H535-I535</f>
        <v>10</v>
      </c>
      <c r="K535" s="106"/>
      <c r="L535" s="106"/>
      <c r="M535" s="106"/>
      <c r="N535" s="106"/>
      <c r="O535" s="110"/>
      <c r="P535" s="111"/>
      <c r="Q535" s="106">
        <f>J535-K535-L535</f>
        <v>10</v>
      </c>
      <c r="R535" s="109">
        <f>Q535*11-M535-N535</f>
        <v>110</v>
      </c>
      <c r="S535" s="391">
        <f t="array" ref="S535">IF(ISERROR(Q535/J535),"",Q535/J535)</f>
        <v>1</v>
      </c>
      <c r="T535" s="391">
        <f t="array" ref="T535">IF(ISERROR((O535:P535)/C535),"",SUM(O535:P535)/C535)</f>
        <v>0</v>
      </c>
      <c r="V535" s="179"/>
      <c r="X535" s="116"/>
      <c r="Y535" s="116"/>
      <c r="Z535" s="159"/>
      <c r="AA535" s="159"/>
    </row>
    <row r="536" spans="1:27" ht="20.100000000000001" customHeight="1">
      <c r="A536" s="647" t="s">
        <v>330</v>
      </c>
      <c r="B536" s="648"/>
      <c r="C536" s="112">
        <f>SUM(C533:C535)</f>
        <v>92</v>
      </c>
      <c r="D536" s="112">
        <f t="shared" ref="D536:N536" si="241">SUM(D533:D535)</f>
        <v>92</v>
      </c>
      <c r="E536" s="112">
        <f t="shared" si="241"/>
        <v>0</v>
      </c>
      <c r="F536" s="112">
        <f t="shared" si="241"/>
        <v>0</v>
      </c>
      <c r="G536" s="113">
        <f t="shared" si="241"/>
        <v>0</v>
      </c>
      <c r="H536" s="112">
        <f t="shared" si="241"/>
        <v>0</v>
      </c>
      <c r="I536" s="112">
        <f t="shared" si="241"/>
        <v>0</v>
      </c>
      <c r="J536" s="112">
        <f t="shared" si="241"/>
        <v>92</v>
      </c>
      <c r="K536" s="112">
        <f t="shared" si="241"/>
        <v>3</v>
      </c>
      <c r="L536" s="112">
        <f t="shared" si="241"/>
        <v>0</v>
      </c>
      <c r="M536" s="112">
        <f t="shared" si="241"/>
        <v>0</v>
      </c>
      <c r="N536" s="112">
        <f t="shared" si="241"/>
        <v>0</v>
      </c>
      <c r="O536" s="112">
        <f>SUM(O533:O535)</f>
        <v>0</v>
      </c>
      <c r="P536" s="112">
        <f>SUM(P533:P535)</f>
        <v>0</v>
      </c>
      <c r="Q536" s="112">
        <f>SUM(Q533:Q535)</f>
        <v>89</v>
      </c>
      <c r="R536" s="114">
        <f>SUM(R533:R535)</f>
        <v>979</v>
      </c>
      <c r="S536" s="115">
        <f t="array" ref="S536">IF(ISERROR(Q536/J536),"",Q536/J536)</f>
        <v>0.96739130434782605</v>
      </c>
      <c r="T536" s="115">
        <f t="array" ref="T536">IF(ISERROR((O536:P536)/C536),"",SUM(O536:P536)/C536)</f>
        <v>0</v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7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7"/>
      <c r="H538" s="116"/>
      <c r="I538" s="118" t="s">
        <v>332</v>
      </c>
      <c r="J538" s="198" t="s">
        <v>447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54" spans="2:2">
      <c r="B554" s="121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183" activePane="bottomRight" state="frozen"/>
      <selection activeCell="E487" sqref="E487"/>
      <selection pane="topRight" activeCell="E487" sqref="E487"/>
      <selection pane="bottomLeft" activeCell="E487" sqref="E487"/>
      <selection pane="bottomRight" activeCell="G207" sqref="G207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55" t="s">
        <v>413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55"/>
      <c r="M1" s="555"/>
      <c r="N1" s="555"/>
      <c r="O1" s="555"/>
      <c r="P1" s="555"/>
      <c r="Q1" s="555"/>
      <c r="R1" s="555"/>
      <c r="S1" s="555"/>
      <c r="T1" s="555"/>
      <c r="U1" s="555"/>
      <c r="V1" s="555"/>
      <c r="W1" s="555"/>
      <c r="X1" s="555"/>
      <c r="Y1" s="555"/>
      <c r="Z1" s="555"/>
      <c r="AA1" s="555"/>
    </row>
    <row r="2" spans="1:27" ht="18.75">
      <c r="A2" s="556"/>
      <c r="B2" s="556"/>
      <c r="C2" s="556"/>
      <c r="D2" s="556"/>
      <c r="E2" s="556"/>
      <c r="F2" s="556"/>
      <c r="G2" s="556"/>
      <c r="H2" s="556"/>
      <c r="I2" s="556"/>
      <c r="J2" s="556"/>
      <c r="K2" s="556"/>
      <c r="L2" s="556"/>
      <c r="M2" s="556"/>
      <c r="N2" s="556"/>
      <c r="O2" s="556"/>
      <c r="P2" s="556"/>
      <c r="Q2" s="556"/>
      <c r="R2" s="556"/>
      <c r="S2" s="556"/>
      <c r="T2" s="556"/>
      <c r="U2" s="556"/>
      <c r="V2" s="556"/>
      <c r="W2" s="556"/>
      <c r="X2" s="556"/>
      <c r="Y2" s="556"/>
      <c r="Z2" s="556"/>
      <c r="AA2" s="556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57" t="s">
        <v>12</v>
      </c>
      <c r="B4" s="557" t="s">
        <v>25</v>
      </c>
      <c r="C4" s="557" t="s">
        <v>26</v>
      </c>
      <c r="D4" s="557" t="s">
        <v>27</v>
      </c>
      <c r="E4" s="560" t="s">
        <v>28</v>
      </c>
      <c r="F4" s="563" t="s">
        <v>29</v>
      </c>
      <c r="G4" s="566" t="s">
        <v>30</v>
      </c>
      <c r="H4" s="566"/>
      <c r="I4" s="557" t="s">
        <v>31</v>
      </c>
      <c r="J4" s="569" t="s">
        <v>32</v>
      </c>
      <c r="K4" s="572" t="s">
        <v>33</v>
      </c>
      <c r="L4" s="557" t="s">
        <v>34</v>
      </c>
      <c r="M4" s="575" t="s">
        <v>35</v>
      </c>
      <c r="N4" s="577" t="s">
        <v>36</v>
      </c>
      <c r="O4" s="566" t="s">
        <v>37</v>
      </c>
      <c r="P4" s="566"/>
      <c r="Q4" s="566"/>
      <c r="R4" s="566"/>
      <c r="S4" s="566"/>
      <c r="T4" s="566"/>
      <c r="U4" s="566"/>
      <c r="V4" s="566" t="s">
        <v>38</v>
      </c>
      <c r="W4" s="577" t="s">
        <v>39</v>
      </c>
      <c r="X4" s="566" t="s">
        <v>40</v>
      </c>
      <c r="Y4" s="566"/>
      <c r="Z4" s="566"/>
      <c r="AA4" s="566"/>
    </row>
    <row r="5" spans="1:27" s="104" customFormat="1" ht="15" customHeight="1">
      <c r="A5" s="558"/>
      <c r="B5" s="558"/>
      <c r="C5" s="558"/>
      <c r="D5" s="558"/>
      <c r="E5" s="561"/>
      <c r="F5" s="564"/>
      <c r="G5" s="566"/>
      <c r="H5" s="566"/>
      <c r="I5" s="558"/>
      <c r="J5" s="570"/>
      <c r="K5" s="573"/>
      <c r="L5" s="558"/>
      <c r="M5" s="576"/>
      <c r="N5" s="577"/>
      <c r="O5" s="566" t="s">
        <v>41</v>
      </c>
      <c r="P5" s="566" t="s">
        <v>42</v>
      </c>
      <c r="Q5" s="566" t="s">
        <v>43</v>
      </c>
      <c r="R5" s="567" t="s">
        <v>44</v>
      </c>
      <c r="S5" s="568" t="s">
        <v>45</v>
      </c>
      <c r="T5" s="566" t="s">
        <v>46</v>
      </c>
      <c r="U5" s="566" t="s">
        <v>47</v>
      </c>
      <c r="V5" s="566"/>
      <c r="W5" s="577"/>
      <c r="X5" s="566" t="s">
        <v>13</v>
      </c>
      <c r="Y5" s="566" t="s">
        <v>48</v>
      </c>
      <c r="Z5" s="566" t="s">
        <v>49</v>
      </c>
      <c r="AA5" s="566" t="s">
        <v>47</v>
      </c>
    </row>
    <row r="6" spans="1:27" s="104" customFormat="1" ht="27.75" customHeight="1">
      <c r="A6" s="559"/>
      <c r="B6" s="559"/>
      <c r="C6" s="559"/>
      <c r="D6" s="559"/>
      <c r="E6" s="562"/>
      <c r="F6" s="565"/>
      <c r="G6" s="350" t="s">
        <v>50</v>
      </c>
      <c r="H6" s="412" t="s">
        <v>51</v>
      </c>
      <c r="I6" s="559"/>
      <c r="J6" s="571"/>
      <c r="K6" s="574"/>
      <c r="L6" s="559"/>
      <c r="M6" s="576"/>
      <c r="N6" s="577"/>
      <c r="O6" s="566"/>
      <c r="P6" s="566"/>
      <c r="Q6" s="566"/>
      <c r="R6" s="567"/>
      <c r="S6" s="568"/>
      <c r="T6" s="566"/>
      <c r="U6" s="566"/>
      <c r="V6" s="566"/>
      <c r="W6" s="577"/>
      <c r="X6" s="566"/>
      <c r="Y6" s="566"/>
      <c r="Z6" s="566"/>
      <c r="AA6" s="566"/>
    </row>
    <row r="7" spans="1:27" ht="20.100000000000001" hidden="1" customHeight="1">
      <c r="A7" s="299">
        <v>30100030</v>
      </c>
      <c r="B7" s="414" t="s">
        <v>178</v>
      </c>
      <c r="C7" s="126" t="s">
        <v>179</v>
      </c>
      <c r="D7" s="108">
        <v>5.03</v>
      </c>
      <c r="E7" s="108"/>
      <c r="F7" s="127"/>
      <c r="G7" s="128"/>
      <c r="H7" s="423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415"/>
      <c r="P7" s="415"/>
      <c r="Q7" s="415"/>
      <c r="R7" s="415"/>
      <c r="S7" s="415"/>
      <c r="T7" s="415"/>
      <c r="U7" s="415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23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415"/>
      <c r="Q8" s="415"/>
      <c r="R8" s="415"/>
      <c r="S8" s="415"/>
      <c r="T8" s="415"/>
      <c r="U8" s="415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23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15"/>
      <c r="P9" s="415"/>
      <c r="Q9" s="415"/>
      <c r="R9" s="415"/>
      <c r="S9" s="415"/>
      <c r="T9" s="415"/>
      <c r="U9" s="415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423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415"/>
      <c r="P10" s="415"/>
      <c r="Q10" s="415"/>
      <c r="R10" s="415"/>
      <c r="S10" s="415"/>
      <c r="T10" s="415"/>
      <c r="U10" s="415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>
        <v>42738</v>
      </c>
      <c r="G11" s="128">
        <f>108*6+43</f>
        <v>691</v>
      </c>
      <c r="H11" s="423">
        <f t="shared" si="0"/>
        <v>3475.73</v>
      </c>
      <c r="I11" s="129">
        <f>11*4</f>
        <v>44</v>
      </c>
      <c r="J11" s="130">
        <f t="array" ref="J11">IF(ISERROR(G11/I11),"",G11/I11)</f>
        <v>15.704545454545455</v>
      </c>
      <c r="K11" s="131">
        <f t="array" ref="K11">IF(ISERROR(G11/L11),"",G11/L11)</f>
        <v>34.549999999999997</v>
      </c>
      <c r="L11" s="129">
        <v>20</v>
      </c>
      <c r="M11" s="109">
        <f t="shared" si="1"/>
        <v>9.4500000000000028</v>
      </c>
      <c r="N11" s="130">
        <f t="shared" si="4"/>
        <v>0</v>
      </c>
      <c r="O11" s="415"/>
      <c r="P11" s="415"/>
      <c r="Q11" s="415"/>
      <c r="R11" s="415"/>
      <c r="S11" s="415"/>
      <c r="T11" s="415"/>
      <c r="U11" s="415"/>
      <c r="V11" s="132">
        <f t="shared" si="2"/>
        <v>0</v>
      </c>
      <c r="W11" s="133">
        <f t="shared" si="3"/>
        <v>0</v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423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415"/>
      <c r="P12" s="415"/>
      <c r="Q12" s="415"/>
      <c r="R12" s="415"/>
      <c r="S12" s="415"/>
      <c r="T12" s="415"/>
      <c r="U12" s="415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23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15"/>
      <c r="P13" s="415"/>
      <c r="Q13" s="415"/>
      <c r="R13" s="415"/>
      <c r="S13" s="415"/>
      <c r="T13" s="415"/>
      <c r="U13" s="415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23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15"/>
      <c r="P14" s="415"/>
      <c r="Q14" s="415"/>
      <c r="R14" s="415"/>
      <c r="S14" s="415"/>
      <c r="T14" s="415"/>
      <c r="U14" s="415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423">
        <f t="shared" si="0"/>
        <v>0</v>
      </c>
      <c r="I15" s="423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415"/>
      <c r="P15" s="415"/>
      <c r="Q15" s="415"/>
      <c r="R15" s="415"/>
      <c r="S15" s="415"/>
      <c r="T15" s="415"/>
      <c r="U15" s="415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423">
        <f t="shared" si="0"/>
        <v>0</v>
      </c>
      <c r="I16" s="423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15"/>
      <c r="P16" s="415"/>
      <c r="Q16" s="415"/>
      <c r="R16" s="415"/>
      <c r="S16" s="415"/>
      <c r="T16" s="415"/>
      <c r="U16" s="415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423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15"/>
      <c r="P17" s="415"/>
      <c r="Q17" s="415"/>
      <c r="R17" s="415"/>
      <c r="S17" s="415"/>
      <c r="T17" s="415"/>
      <c r="U17" s="415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423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15"/>
      <c r="P18" s="415"/>
      <c r="Q18" s="415"/>
      <c r="R18" s="415"/>
      <c r="S18" s="415"/>
      <c r="T18" s="415"/>
      <c r="U18" s="415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423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415"/>
      <c r="P19" s="415"/>
      <c r="Q19" s="415"/>
      <c r="R19" s="415"/>
      <c r="S19" s="415"/>
      <c r="T19" s="415"/>
      <c r="U19" s="415"/>
      <c r="V19" s="132">
        <f t="shared" ref="V19:V21" si="5">SUM(X19:AA19)</f>
        <v>0</v>
      </c>
      <c r="W19" s="417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>
        <v>42738</v>
      </c>
      <c r="G20" s="128">
        <f>100*9+2+100</f>
        <v>1002</v>
      </c>
      <c r="H20" s="423">
        <f t="shared" si="0"/>
        <v>5100.18</v>
      </c>
      <c r="I20" s="129">
        <f>11*5</f>
        <v>55</v>
      </c>
      <c r="J20" s="130">
        <f t="array" ref="J20">IF(ISERROR(G20/I20),"",G20/I20)</f>
        <v>18.218181818181819</v>
      </c>
      <c r="K20" s="131">
        <f t="array" ref="K20">IF(ISERROR(G20/L20),"",G20/L20)</f>
        <v>43.565217391304351</v>
      </c>
      <c r="L20" s="129">
        <v>23</v>
      </c>
      <c r="M20" s="109">
        <f t="shared" si="1"/>
        <v>11.434782608695649</v>
      </c>
      <c r="N20" s="130">
        <f t="shared" si="4"/>
        <v>0</v>
      </c>
      <c r="O20" s="415"/>
      <c r="P20" s="415"/>
      <c r="Q20" s="415"/>
      <c r="R20" s="415"/>
      <c r="S20" s="415"/>
      <c r="T20" s="415"/>
      <c r="U20" s="415"/>
      <c r="V20" s="132">
        <f t="shared" si="5"/>
        <v>0</v>
      </c>
      <c r="W20" s="133">
        <f t="shared" si="6"/>
        <v>0</v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23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15"/>
      <c r="P21" s="415"/>
      <c r="Q21" s="415"/>
      <c r="R21" s="415"/>
      <c r="S21" s="415"/>
      <c r="T21" s="415"/>
      <c r="U21" s="415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413" t="s">
        <v>190</v>
      </c>
      <c r="D22" s="108">
        <v>4.8</v>
      </c>
      <c r="E22" s="108"/>
      <c r="F22" s="127"/>
      <c r="G22" s="128"/>
      <c r="H22" s="423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15"/>
      <c r="P22" s="415"/>
      <c r="Q22" s="415"/>
      <c r="R22" s="415"/>
      <c r="S22" s="415"/>
      <c r="T22" s="415"/>
      <c r="U22" s="415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413" t="s">
        <v>187</v>
      </c>
      <c r="D23" s="108">
        <v>4.8</v>
      </c>
      <c r="E23" s="108"/>
      <c r="F23" s="127"/>
      <c r="G23" s="128"/>
      <c r="H23" s="423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15"/>
      <c r="P23" s="415"/>
      <c r="Q23" s="415"/>
      <c r="R23" s="415"/>
      <c r="S23" s="415"/>
      <c r="T23" s="415"/>
      <c r="U23" s="415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413" t="s">
        <v>179</v>
      </c>
      <c r="D24" s="108">
        <v>4.8</v>
      </c>
      <c r="E24" s="108"/>
      <c r="F24" s="127"/>
      <c r="G24" s="128"/>
      <c r="H24" s="423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15"/>
      <c r="P24" s="415"/>
      <c r="Q24" s="415"/>
      <c r="R24" s="415"/>
      <c r="S24" s="415"/>
      <c r="T24" s="415"/>
      <c r="U24" s="415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413" t="s">
        <v>199</v>
      </c>
      <c r="D25" s="108">
        <v>4.8</v>
      </c>
      <c r="E25" s="108"/>
      <c r="F25" s="127"/>
      <c r="G25" s="128"/>
      <c r="H25" s="423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15"/>
      <c r="P25" s="415"/>
      <c r="Q25" s="415"/>
      <c r="R25" s="415"/>
      <c r="S25" s="415"/>
      <c r="T25" s="415"/>
      <c r="U25" s="415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23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15"/>
      <c r="P26" s="415"/>
      <c r="Q26" s="415"/>
      <c r="R26" s="415"/>
      <c r="S26" s="415"/>
      <c r="T26" s="415"/>
      <c r="U26" s="415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23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15"/>
      <c r="P27" s="415"/>
      <c r="Q27" s="415"/>
      <c r="R27" s="415"/>
      <c r="S27" s="415"/>
      <c r="T27" s="415"/>
      <c r="U27" s="415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578" t="s">
        <v>201</v>
      </c>
      <c r="B28" s="579"/>
      <c r="C28" s="421" t="s">
        <v>202</v>
      </c>
      <c r="D28" s="143"/>
      <c r="E28" s="143"/>
      <c r="F28" s="144"/>
      <c r="G28" s="145">
        <f>SUM(G7:G27)</f>
        <v>1693</v>
      </c>
      <c r="H28" s="146">
        <f>SUM(H7:H27)</f>
        <v>8575.91</v>
      </c>
      <c r="I28" s="146">
        <f>SUM(I7:I27)</f>
        <v>99</v>
      </c>
      <c r="J28" s="130">
        <f t="array" ref="J28">IF(ISERROR(G28/I28),"",G28/I28)</f>
        <v>17.1010101010101</v>
      </c>
      <c r="K28" s="146">
        <f>SUM(K7:K27)</f>
        <v>78.115217391304355</v>
      </c>
      <c r="L28" s="147"/>
      <c r="M28" s="146">
        <f t="shared" ref="M28:V28" si="10">SUM(M7:M27)</f>
        <v>20.884782608695652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414" t="s">
        <v>206</v>
      </c>
      <c r="C29" s="126" t="s">
        <v>199</v>
      </c>
      <c r="D29" s="108">
        <v>5.03</v>
      </c>
      <c r="E29" s="108"/>
      <c r="F29" s="127"/>
      <c r="G29" s="128"/>
      <c r="H29" s="423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418"/>
      <c r="P29" s="418"/>
      <c r="Q29" s="418"/>
      <c r="R29" s="418"/>
      <c r="S29" s="418"/>
      <c r="T29" s="418"/>
      <c r="U29" s="418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414" t="s">
        <v>425</v>
      </c>
      <c r="C30" s="187" t="s">
        <v>427</v>
      </c>
      <c r="D30" s="108">
        <v>5.03</v>
      </c>
      <c r="E30" s="108"/>
      <c r="F30" s="127"/>
      <c r="G30" s="128"/>
      <c r="H30" s="423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418"/>
      <c r="P30" s="418"/>
      <c r="Q30" s="418"/>
      <c r="R30" s="418"/>
      <c r="S30" s="418"/>
      <c r="T30" s="418"/>
      <c r="U30" s="418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414" t="s">
        <v>206</v>
      </c>
      <c r="C31" s="126" t="s">
        <v>186</v>
      </c>
      <c r="D31" s="108">
        <v>5.03</v>
      </c>
      <c r="E31" s="108"/>
      <c r="F31" s="127"/>
      <c r="G31" s="128"/>
      <c r="H31" s="423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418"/>
      <c r="P31" s="418"/>
      <c r="Q31" s="418"/>
      <c r="R31" s="418"/>
      <c r="S31" s="418"/>
      <c r="T31" s="418"/>
      <c r="U31" s="418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414" t="s">
        <v>206</v>
      </c>
      <c r="C32" s="126" t="s">
        <v>203</v>
      </c>
      <c r="D32" s="108">
        <v>5.03</v>
      </c>
      <c r="E32" s="108"/>
      <c r="F32" s="127"/>
      <c r="G32" s="128"/>
      <c r="H32" s="423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18"/>
      <c r="P32" s="418"/>
      <c r="Q32" s="418"/>
      <c r="R32" s="418"/>
      <c r="S32" s="418"/>
      <c r="T32" s="418"/>
      <c r="U32" s="418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414" t="s">
        <v>206</v>
      </c>
      <c r="C33" s="126" t="s">
        <v>207</v>
      </c>
      <c r="D33" s="108">
        <v>5.03</v>
      </c>
      <c r="E33" s="108"/>
      <c r="F33" s="127"/>
      <c r="G33" s="128"/>
      <c r="H33" s="423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418"/>
      <c r="P33" s="418"/>
      <c r="Q33" s="418"/>
      <c r="R33" s="418"/>
      <c r="S33" s="418"/>
      <c r="T33" s="418"/>
      <c r="U33" s="418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414" t="s">
        <v>414</v>
      </c>
      <c r="C34" s="187" t="s">
        <v>415</v>
      </c>
      <c r="D34" s="108">
        <v>5.03</v>
      </c>
      <c r="E34" s="108"/>
      <c r="F34" s="127"/>
      <c r="G34" s="128"/>
      <c r="H34" s="423">
        <f t="shared" si="11"/>
        <v>0</v>
      </c>
      <c r="I34" s="129"/>
      <c r="J34" s="130"/>
      <c r="K34" s="131"/>
      <c r="L34" s="129">
        <v>52</v>
      </c>
      <c r="M34" s="109"/>
      <c r="N34" s="130"/>
      <c r="O34" s="418"/>
      <c r="P34" s="418"/>
      <c r="Q34" s="418"/>
      <c r="R34" s="418"/>
      <c r="S34" s="418"/>
      <c r="T34" s="418"/>
      <c r="U34" s="418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414" t="s">
        <v>414</v>
      </c>
      <c r="C35" s="187" t="s">
        <v>416</v>
      </c>
      <c r="D35" s="108">
        <v>5.03</v>
      </c>
      <c r="E35" s="108"/>
      <c r="F35" s="127"/>
      <c r="G35" s="128"/>
      <c r="H35" s="423">
        <f t="shared" si="11"/>
        <v>0</v>
      </c>
      <c r="I35" s="129"/>
      <c r="J35" s="130"/>
      <c r="K35" s="131"/>
      <c r="L35" s="129">
        <v>52</v>
      </c>
      <c r="M35" s="109"/>
      <c r="N35" s="130"/>
      <c r="O35" s="418"/>
      <c r="P35" s="418"/>
      <c r="Q35" s="418"/>
      <c r="R35" s="418"/>
      <c r="S35" s="418"/>
      <c r="T35" s="418"/>
      <c r="U35" s="418"/>
      <c r="V35" s="132"/>
      <c r="W35" s="133"/>
      <c r="X35" s="132"/>
      <c r="Y35" s="132"/>
      <c r="Z35" s="132"/>
      <c r="AA35" s="132"/>
    </row>
    <row r="36" spans="1:27" ht="20.100000000000001" customHeight="1">
      <c r="A36" s="300">
        <v>30100015</v>
      </c>
      <c r="B36" s="414" t="s">
        <v>414</v>
      </c>
      <c r="C36" s="187" t="s">
        <v>61</v>
      </c>
      <c r="D36" s="108">
        <v>5.03</v>
      </c>
      <c r="E36" s="108"/>
      <c r="F36" s="127">
        <v>42737</v>
      </c>
      <c r="G36" s="128">
        <f>96+3+108*4+63</f>
        <v>594</v>
      </c>
      <c r="H36" s="423">
        <f t="shared" si="11"/>
        <v>2987.82</v>
      </c>
      <c r="I36" s="129">
        <f>4.5*2</f>
        <v>9</v>
      </c>
      <c r="J36" s="130">
        <f t="array" ref="J36">IF(ISERROR(G36/I36),"",G36/I36)</f>
        <v>66</v>
      </c>
      <c r="K36" s="131">
        <f t="array" ref="K36">IF(ISERROR(G36/L36),"",G36/L36)</f>
        <v>11.423076923076923</v>
      </c>
      <c r="L36" s="129">
        <v>52</v>
      </c>
      <c r="M36" s="109">
        <f t="shared" ref="M36" si="19">IF(ISERROR(I36-K36),"",I36-K36)</f>
        <v>-2.4230769230769234</v>
      </c>
      <c r="N36" s="130"/>
      <c r="O36" s="418"/>
      <c r="P36" s="418"/>
      <c r="Q36" s="418"/>
      <c r="R36" s="418"/>
      <c r="S36" s="418"/>
      <c r="T36" s="418"/>
      <c r="U36" s="418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414" t="s">
        <v>208</v>
      </c>
      <c r="C37" s="126" t="s">
        <v>179</v>
      </c>
      <c r="D37" s="108">
        <v>5.08</v>
      </c>
      <c r="E37" s="108"/>
      <c r="F37" s="127"/>
      <c r="G37" s="128"/>
      <c r="H37" s="423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20">IF(ISERROR(I37-K37),"",I37-K37)</f>
        <v>0</v>
      </c>
      <c r="N37" s="130">
        <f t="shared" ref="N37:N52" si="21">SUM(O37:U37)</f>
        <v>0</v>
      </c>
      <c r="O37" s="418"/>
      <c r="P37" s="418"/>
      <c r="Q37" s="418"/>
      <c r="R37" s="418"/>
      <c r="S37" s="418"/>
      <c r="T37" s="418"/>
      <c r="U37" s="418"/>
      <c r="V37" s="132">
        <f t="shared" ref="V37:V48" si="22">SUM(X37:AA37)</f>
        <v>0</v>
      </c>
      <c r="W37" s="133" t="str">
        <f t="shared" ref="W37:W48" si="23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414" t="s">
        <v>208</v>
      </c>
      <c r="C38" s="126" t="s">
        <v>204</v>
      </c>
      <c r="D38" s="108">
        <v>5.08</v>
      </c>
      <c r="E38" s="108"/>
      <c r="F38" s="127"/>
      <c r="G38" s="128"/>
      <c r="H38" s="423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20"/>
        <v>0</v>
      </c>
      <c r="N38" s="130">
        <f t="shared" si="21"/>
        <v>0</v>
      </c>
      <c r="O38" s="418"/>
      <c r="P38" s="418"/>
      <c r="Q38" s="418"/>
      <c r="R38" s="418"/>
      <c r="S38" s="418"/>
      <c r="T38" s="418"/>
      <c r="U38" s="418"/>
      <c r="V38" s="132">
        <f t="shared" si="22"/>
        <v>0</v>
      </c>
      <c r="W38" s="133" t="str">
        <f t="shared" si="23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414" t="s">
        <v>208</v>
      </c>
      <c r="C39" s="126" t="s">
        <v>205</v>
      </c>
      <c r="D39" s="108">
        <v>5.08</v>
      </c>
      <c r="E39" s="108"/>
      <c r="F39" s="127"/>
      <c r="G39" s="128"/>
      <c r="H39" s="423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20"/>
        <v>0</v>
      </c>
      <c r="N39" s="130">
        <f t="shared" si="21"/>
        <v>0</v>
      </c>
      <c r="O39" s="418"/>
      <c r="P39" s="418"/>
      <c r="Q39" s="418"/>
      <c r="R39" s="418"/>
      <c r="S39" s="418"/>
      <c r="T39" s="418"/>
      <c r="U39" s="418"/>
      <c r="V39" s="132">
        <f t="shared" si="22"/>
        <v>0</v>
      </c>
      <c r="W39" s="133" t="str">
        <f t="shared" si="23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414" t="s">
        <v>208</v>
      </c>
      <c r="C40" s="126" t="s">
        <v>186</v>
      </c>
      <c r="D40" s="108">
        <v>5.08</v>
      </c>
      <c r="E40" s="108"/>
      <c r="F40" s="127"/>
      <c r="G40" s="128"/>
      <c r="H40" s="423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20"/>
        <v>0</v>
      </c>
      <c r="N40" s="130">
        <f t="shared" si="21"/>
        <v>0</v>
      </c>
      <c r="O40" s="418"/>
      <c r="P40" s="418"/>
      <c r="Q40" s="418"/>
      <c r="R40" s="418"/>
      <c r="S40" s="418"/>
      <c r="T40" s="418"/>
      <c r="U40" s="418"/>
      <c r="V40" s="132">
        <f t="shared" si="22"/>
        <v>0</v>
      </c>
      <c r="W40" s="133" t="str">
        <f t="shared" si="23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414" t="s">
        <v>208</v>
      </c>
      <c r="C41" s="126" t="s">
        <v>203</v>
      </c>
      <c r="D41" s="108">
        <v>5.08</v>
      </c>
      <c r="E41" s="108"/>
      <c r="F41" s="127"/>
      <c r="G41" s="128"/>
      <c r="H41" s="423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20"/>
        <v>0</v>
      </c>
      <c r="N41" s="130">
        <f t="shared" si="21"/>
        <v>0</v>
      </c>
      <c r="O41" s="418"/>
      <c r="P41" s="418"/>
      <c r="Q41" s="418"/>
      <c r="R41" s="418"/>
      <c r="S41" s="418"/>
      <c r="T41" s="418"/>
      <c r="U41" s="418"/>
      <c r="V41" s="132">
        <f t="shared" si="22"/>
        <v>0</v>
      </c>
      <c r="W41" s="133" t="str">
        <f t="shared" si="23"/>
        <v/>
      </c>
      <c r="X41" s="132"/>
      <c r="Y41" s="132"/>
      <c r="Z41" s="132"/>
      <c r="AA41" s="132"/>
    </row>
    <row r="42" spans="1:27" ht="20.100000000000001" customHeight="1">
      <c r="A42" s="300">
        <v>30100026</v>
      </c>
      <c r="B42" s="414" t="s">
        <v>208</v>
      </c>
      <c r="C42" s="126" t="s">
        <v>199</v>
      </c>
      <c r="D42" s="108">
        <v>5.08</v>
      </c>
      <c r="E42" s="108"/>
      <c r="F42" s="127">
        <v>42738</v>
      </c>
      <c r="G42" s="128">
        <f>108*2+77+108*4</f>
        <v>725</v>
      </c>
      <c r="H42" s="423">
        <f t="shared" si="11"/>
        <v>3683</v>
      </c>
      <c r="I42" s="129">
        <f>11*3</f>
        <v>33</v>
      </c>
      <c r="J42" s="130">
        <f t="array" ref="J42">IF(ISERROR(G42/I42),"",G42/I42)</f>
        <v>21.969696969696969</v>
      </c>
      <c r="K42" s="131">
        <f t="array" ref="K42">IF(ISERROR(G42/L42),"",G42/L42)</f>
        <v>34.523809523809526</v>
      </c>
      <c r="L42" s="129">
        <v>21</v>
      </c>
      <c r="M42" s="109">
        <f t="shared" si="20"/>
        <v>-1.5238095238095255</v>
      </c>
      <c r="N42" s="130">
        <f t="shared" si="21"/>
        <v>0</v>
      </c>
      <c r="O42" s="415"/>
      <c r="P42" s="415"/>
      <c r="Q42" s="415"/>
      <c r="R42" s="415"/>
      <c r="S42" s="415"/>
      <c r="T42" s="415"/>
      <c r="U42" s="415"/>
      <c r="V42" s="132">
        <f t="shared" si="22"/>
        <v>0</v>
      </c>
      <c r="W42" s="133">
        <f t="shared" si="23"/>
        <v>0</v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414" t="s">
        <v>208</v>
      </c>
      <c r="C43" s="126" t="s">
        <v>187</v>
      </c>
      <c r="D43" s="108">
        <v>5.08</v>
      </c>
      <c r="E43" s="108"/>
      <c r="F43" s="127"/>
      <c r="G43" s="128"/>
      <c r="H43" s="423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20"/>
        <v>0</v>
      </c>
      <c r="N43" s="130">
        <f t="shared" si="21"/>
        <v>0</v>
      </c>
      <c r="O43" s="418"/>
      <c r="P43" s="418"/>
      <c r="Q43" s="418"/>
      <c r="R43" s="418"/>
      <c r="S43" s="418"/>
      <c r="T43" s="418"/>
      <c r="U43" s="418"/>
      <c r="V43" s="132">
        <f t="shared" si="22"/>
        <v>0</v>
      </c>
      <c r="W43" s="133" t="str">
        <f t="shared" si="23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414" t="s">
        <v>208</v>
      </c>
      <c r="C44" s="126" t="s">
        <v>207</v>
      </c>
      <c r="D44" s="108">
        <v>5.08</v>
      </c>
      <c r="E44" s="108"/>
      <c r="F44" s="127"/>
      <c r="G44" s="128"/>
      <c r="H44" s="423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20"/>
        <v>0</v>
      </c>
      <c r="N44" s="130">
        <f t="shared" si="21"/>
        <v>0</v>
      </c>
      <c r="O44" s="415"/>
      <c r="P44" s="415"/>
      <c r="Q44" s="415"/>
      <c r="R44" s="415"/>
      <c r="S44" s="415"/>
      <c r="T44" s="415"/>
      <c r="U44" s="415"/>
      <c r="V44" s="132">
        <f t="shared" si="22"/>
        <v>0</v>
      </c>
      <c r="W44" s="133" t="str">
        <f t="shared" si="23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414" t="s">
        <v>209</v>
      </c>
      <c r="C45" s="126" t="s">
        <v>194</v>
      </c>
      <c r="D45" s="108">
        <v>5.03</v>
      </c>
      <c r="E45" s="108"/>
      <c r="F45" s="127"/>
      <c r="G45" s="128"/>
      <c r="H45" s="423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20"/>
        <v>0</v>
      </c>
      <c r="N45" s="130">
        <f t="shared" si="21"/>
        <v>0</v>
      </c>
      <c r="O45" s="418"/>
      <c r="P45" s="418"/>
      <c r="Q45" s="418"/>
      <c r="R45" s="418"/>
      <c r="S45" s="418"/>
      <c r="T45" s="418"/>
      <c r="U45" s="418"/>
      <c r="V45" s="132">
        <f t="shared" si="22"/>
        <v>0</v>
      </c>
      <c r="W45" s="133" t="str">
        <f t="shared" si="23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414" t="s">
        <v>209</v>
      </c>
      <c r="C46" s="126" t="s">
        <v>179</v>
      </c>
      <c r="D46" s="108">
        <v>5.03</v>
      </c>
      <c r="E46" s="108"/>
      <c r="F46" s="127"/>
      <c r="G46" s="128"/>
      <c r="H46" s="423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20"/>
        <v>0</v>
      </c>
      <c r="N46" s="130">
        <f t="shared" si="21"/>
        <v>0</v>
      </c>
      <c r="O46" s="418"/>
      <c r="P46" s="418"/>
      <c r="Q46" s="418"/>
      <c r="R46" s="418"/>
      <c r="S46" s="418"/>
      <c r="T46" s="418"/>
      <c r="U46" s="418"/>
      <c r="V46" s="132">
        <f t="shared" si="22"/>
        <v>0</v>
      </c>
      <c r="W46" s="133" t="str">
        <f t="shared" si="23"/>
        <v/>
      </c>
      <c r="X46" s="132"/>
      <c r="Y46" s="132"/>
      <c r="Z46" s="132"/>
      <c r="AA46" s="132"/>
    </row>
    <row r="47" spans="1:27" ht="20.100000000000001" customHeight="1">
      <c r="A47" s="300">
        <v>30100062</v>
      </c>
      <c r="B47" s="414" t="s">
        <v>209</v>
      </c>
      <c r="C47" s="126" t="s">
        <v>195</v>
      </c>
      <c r="D47" s="108">
        <v>5.03</v>
      </c>
      <c r="E47" s="108"/>
      <c r="F47" s="127">
        <v>42737</v>
      </c>
      <c r="G47" s="128">
        <f>100+108*5+108+10</f>
        <v>758</v>
      </c>
      <c r="H47" s="423">
        <f t="shared" si="11"/>
        <v>3812.7400000000002</v>
      </c>
      <c r="I47" s="129">
        <f>6.5*2</f>
        <v>13</v>
      </c>
      <c r="J47" s="130">
        <f t="array" ref="J47">IF(ISERROR(G47/I47),"",G47/I47)</f>
        <v>58.307692307692307</v>
      </c>
      <c r="K47" s="131">
        <f t="array" ref="K47">IF(ISERROR(G47/L47),"",G47/L47)</f>
        <v>13.535714285714286</v>
      </c>
      <c r="L47" s="129">
        <v>56</v>
      </c>
      <c r="M47" s="109">
        <f t="shared" si="20"/>
        <v>-0.53571428571428648</v>
      </c>
      <c r="N47" s="130">
        <f t="shared" si="21"/>
        <v>0</v>
      </c>
      <c r="O47" s="418"/>
      <c r="P47" s="418"/>
      <c r="Q47" s="418"/>
      <c r="R47" s="418"/>
      <c r="S47" s="418"/>
      <c r="T47" s="418"/>
      <c r="U47" s="418"/>
      <c r="V47" s="132">
        <f t="shared" si="22"/>
        <v>0</v>
      </c>
      <c r="W47" s="133">
        <f t="shared" si="23"/>
        <v>0</v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414" t="s">
        <v>209</v>
      </c>
      <c r="C48" s="126" t="s">
        <v>204</v>
      </c>
      <c r="D48" s="108">
        <v>5.03</v>
      </c>
      <c r="E48" s="108"/>
      <c r="F48" s="127"/>
      <c r="G48" s="128"/>
      <c r="H48" s="423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20"/>
        <v>0</v>
      </c>
      <c r="N48" s="130">
        <f t="shared" si="21"/>
        <v>0</v>
      </c>
      <c r="O48" s="418"/>
      <c r="P48" s="418"/>
      <c r="Q48" s="418"/>
      <c r="R48" s="418"/>
      <c r="S48" s="418"/>
      <c r="T48" s="418"/>
      <c r="U48" s="418"/>
      <c r="V48" s="132">
        <f t="shared" si="22"/>
        <v>0</v>
      </c>
      <c r="W48" s="133" t="str">
        <f t="shared" si="23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414" t="s">
        <v>382</v>
      </c>
      <c r="C49" s="187" t="s">
        <v>383</v>
      </c>
      <c r="D49" s="108">
        <v>5.03</v>
      </c>
      <c r="E49" s="108"/>
      <c r="F49" s="127"/>
      <c r="G49" s="128"/>
      <c r="H49" s="423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20"/>
        <v>0</v>
      </c>
      <c r="N49" s="130">
        <f t="shared" si="21"/>
        <v>0</v>
      </c>
      <c r="O49" s="418"/>
      <c r="P49" s="418"/>
      <c r="Q49" s="418"/>
      <c r="R49" s="418"/>
      <c r="S49" s="418"/>
      <c r="T49" s="418"/>
      <c r="U49" s="418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414" t="s">
        <v>382</v>
      </c>
      <c r="C50" s="187" t="s">
        <v>384</v>
      </c>
      <c r="D50" s="108">
        <v>5.03</v>
      </c>
      <c r="E50" s="108"/>
      <c r="F50" s="127"/>
      <c r="G50" s="128"/>
      <c r="H50" s="423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20"/>
        <v>0</v>
      </c>
      <c r="N50" s="130">
        <f t="shared" si="21"/>
        <v>0</v>
      </c>
      <c r="O50" s="418"/>
      <c r="P50" s="418"/>
      <c r="Q50" s="418"/>
      <c r="R50" s="418"/>
      <c r="S50" s="418"/>
      <c r="T50" s="418"/>
      <c r="U50" s="418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414" t="s">
        <v>382</v>
      </c>
      <c r="C51" s="187" t="s">
        <v>389</v>
      </c>
      <c r="D51" s="108">
        <v>5.03</v>
      </c>
      <c r="E51" s="108"/>
      <c r="F51" s="127"/>
      <c r="G51" s="128"/>
      <c r="H51" s="423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20"/>
        <v>0</v>
      </c>
      <c r="N51" s="130">
        <f t="shared" si="21"/>
        <v>0</v>
      </c>
      <c r="O51" s="418"/>
      <c r="P51" s="418"/>
      <c r="Q51" s="418"/>
      <c r="R51" s="418"/>
      <c r="S51" s="418"/>
      <c r="T51" s="418"/>
      <c r="U51" s="418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414" t="s">
        <v>382</v>
      </c>
      <c r="C52" s="187" t="s">
        <v>391</v>
      </c>
      <c r="D52" s="108">
        <v>5.03</v>
      </c>
      <c r="E52" s="108"/>
      <c r="F52" s="127"/>
      <c r="G52" s="128"/>
      <c r="H52" s="423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20"/>
        <v>0</v>
      </c>
      <c r="N52" s="130">
        <f t="shared" si="21"/>
        <v>0</v>
      </c>
      <c r="O52" s="418"/>
      <c r="P52" s="418"/>
      <c r="Q52" s="418"/>
      <c r="R52" s="418"/>
      <c r="S52" s="418"/>
      <c r="T52" s="418"/>
      <c r="U52" s="418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414" t="s">
        <v>418</v>
      </c>
      <c r="C53" s="187" t="s">
        <v>364</v>
      </c>
      <c r="D53" s="108">
        <v>5.03</v>
      </c>
      <c r="E53" s="108"/>
      <c r="F53" s="127"/>
      <c r="G53" s="128"/>
      <c r="H53" s="423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20"/>
        <v>0</v>
      </c>
      <c r="N53" s="130"/>
      <c r="O53" s="418"/>
      <c r="P53" s="418"/>
      <c r="Q53" s="418"/>
      <c r="R53" s="418"/>
      <c r="S53" s="418"/>
      <c r="T53" s="418"/>
      <c r="U53" s="418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414" t="s">
        <v>418</v>
      </c>
      <c r="C54" s="187" t="s">
        <v>365</v>
      </c>
      <c r="D54" s="108">
        <v>5.03</v>
      </c>
      <c r="E54" s="108"/>
      <c r="F54" s="127"/>
      <c r="G54" s="128"/>
      <c r="H54" s="423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20"/>
        <v>0</v>
      </c>
      <c r="N54" s="130"/>
      <c r="O54" s="418"/>
      <c r="P54" s="418"/>
      <c r="Q54" s="418"/>
      <c r="R54" s="418"/>
      <c r="S54" s="418"/>
      <c r="T54" s="418"/>
      <c r="U54" s="418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414" t="s">
        <v>418</v>
      </c>
      <c r="C55" s="187" t="s">
        <v>366</v>
      </c>
      <c r="D55" s="108">
        <v>5.03</v>
      </c>
      <c r="E55" s="108"/>
      <c r="F55" s="127"/>
      <c r="G55" s="128"/>
      <c r="H55" s="423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20"/>
        <v>0</v>
      </c>
      <c r="N55" s="130"/>
      <c r="O55" s="418"/>
      <c r="P55" s="418"/>
      <c r="Q55" s="418"/>
      <c r="R55" s="418"/>
      <c r="S55" s="418"/>
      <c r="T55" s="418"/>
      <c r="U55" s="418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414" t="s">
        <v>418</v>
      </c>
      <c r="C56" s="187" t="s">
        <v>367</v>
      </c>
      <c r="D56" s="108">
        <v>5.03</v>
      </c>
      <c r="E56" s="108"/>
      <c r="F56" s="127"/>
      <c r="G56" s="128"/>
      <c r="H56" s="423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20"/>
        <v>0</v>
      </c>
      <c r="N56" s="130"/>
      <c r="O56" s="418"/>
      <c r="P56" s="418"/>
      <c r="Q56" s="418"/>
      <c r="R56" s="418"/>
      <c r="S56" s="418"/>
      <c r="T56" s="418"/>
      <c r="U56" s="418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23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20"/>
        <v>0</v>
      </c>
      <c r="N57" s="130">
        <f t="shared" ref="N57:N66" si="24">SUM(O57:U57)</f>
        <v>0</v>
      </c>
      <c r="O57" s="415"/>
      <c r="P57" s="415"/>
      <c r="Q57" s="415"/>
      <c r="R57" s="415"/>
      <c r="S57" s="415"/>
      <c r="T57" s="415"/>
      <c r="U57" s="415"/>
      <c r="V57" s="132">
        <f t="shared" ref="V57:V66" si="25">SUM(X57:AA57)</f>
        <v>0</v>
      </c>
      <c r="W57" s="133" t="str">
        <f t="shared" ref="W57:W66" si="26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23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20"/>
        <v>0</v>
      </c>
      <c r="N58" s="130">
        <f t="shared" si="24"/>
        <v>0</v>
      </c>
      <c r="O58" s="415"/>
      <c r="P58" s="415"/>
      <c r="Q58" s="415"/>
      <c r="R58" s="415"/>
      <c r="S58" s="415"/>
      <c r="T58" s="415"/>
      <c r="U58" s="415"/>
      <c r="V58" s="132">
        <f t="shared" si="25"/>
        <v>0</v>
      </c>
      <c r="W58" s="133" t="str">
        <f t="shared" si="26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423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20"/>
        <v>0</v>
      </c>
      <c r="N59" s="130">
        <f t="shared" si="24"/>
        <v>0</v>
      </c>
      <c r="O59" s="415"/>
      <c r="P59" s="415"/>
      <c r="Q59" s="415"/>
      <c r="R59" s="415"/>
      <c r="S59" s="415"/>
      <c r="T59" s="415"/>
      <c r="U59" s="415"/>
      <c r="V59" s="132">
        <f t="shared" si="25"/>
        <v>0</v>
      </c>
      <c r="W59" s="133" t="str">
        <f t="shared" si="26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23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20"/>
        <v>0</v>
      </c>
      <c r="N60" s="130">
        <f t="shared" si="24"/>
        <v>0</v>
      </c>
      <c r="O60" s="415"/>
      <c r="P60" s="415"/>
      <c r="Q60" s="415"/>
      <c r="R60" s="415"/>
      <c r="S60" s="415"/>
      <c r="T60" s="415"/>
      <c r="U60" s="415"/>
      <c r="V60" s="132">
        <f t="shared" si="25"/>
        <v>0</v>
      </c>
      <c r="W60" s="133" t="str">
        <f t="shared" si="26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23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20"/>
        <v>0</v>
      </c>
      <c r="N61" s="130">
        <f t="shared" si="24"/>
        <v>0</v>
      </c>
      <c r="O61" s="415"/>
      <c r="P61" s="415"/>
      <c r="Q61" s="415"/>
      <c r="R61" s="415"/>
      <c r="S61" s="415"/>
      <c r="T61" s="415"/>
      <c r="U61" s="415"/>
      <c r="V61" s="132">
        <f t="shared" si="25"/>
        <v>0</v>
      </c>
      <c r="W61" s="133" t="str">
        <f t="shared" si="26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23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20"/>
        <v>0</v>
      </c>
      <c r="N62" s="130">
        <f t="shared" si="24"/>
        <v>0</v>
      </c>
      <c r="O62" s="415"/>
      <c r="P62" s="415"/>
      <c r="Q62" s="415"/>
      <c r="R62" s="415"/>
      <c r="S62" s="415"/>
      <c r="T62" s="415"/>
      <c r="U62" s="415"/>
      <c r="V62" s="132">
        <f t="shared" si="25"/>
        <v>0</v>
      </c>
      <c r="W62" s="133" t="str">
        <f t="shared" si="26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23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20"/>
        <v>0</v>
      </c>
      <c r="N63" s="130">
        <f t="shared" si="24"/>
        <v>0</v>
      </c>
      <c r="O63" s="415"/>
      <c r="P63" s="415"/>
      <c r="Q63" s="415"/>
      <c r="R63" s="415"/>
      <c r="S63" s="415"/>
      <c r="T63" s="415"/>
      <c r="U63" s="415"/>
      <c r="V63" s="132">
        <f t="shared" si="25"/>
        <v>0</v>
      </c>
      <c r="W63" s="133" t="str">
        <f t="shared" si="26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23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20"/>
        <v>0</v>
      </c>
      <c r="N64" s="130">
        <f t="shared" si="24"/>
        <v>0</v>
      </c>
      <c r="O64" s="415"/>
      <c r="P64" s="415"/>
      <c r="Q64" s="415"/>
      <c r="R64" s="415"/>
      <c r="S64" s="415"/>
      <c r="T64" s="415"/>
      <c r="U64" s="415"/>
      <c r="V64" s="132">
        <f t="shared" si="25"/>
        <v>0</v>
      </c>
      <c r="W64" s="133" t="str">
        <f t="shared" si="26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23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20"/>
        <v>0</v>
      </c>
      <c r="N65" s="130">
        <f t="shared" si="24"/>
        <v>0</v>
      </c>
      <c r="O65" s="415"/>
      <c r="P65" s="415"/>
      <c r="Q65" s="415"/>
      <c r="R65" s="415"/>
      <c r="S65" s="415"/>
      <c r="T65" s="415"/>
      <c r="U65" s="415"/>
      <c r="V65" s="132">
        <f t="shared" si="25"/>
        <v>0</v>
      </c>
      <c r="W65" s="133" t="str">
        <f t="shared" si="26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23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20"/>
        <v>0</v>
      </c>
      <c r="N66" s="130">
        <f t="shared" si="24"/>
        <v>0</v>
      </c>
      <c r="O66" s="415"/>
      <c r="P66" s="415"/>
      <c r="Q66" s="415"/>
      <c r="R66" s="415"/>
      <c r="S66" s="415"/>
      <c r="T66" s="415"/>
      <c r="U66" s="415"/>
      <c r="V66" s="132">
        <f t="shared" si="25"/>
        <v>0</v>
      </c>
      <c r="W66" s="133" t="str">
        <f t="shared" si="26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423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15"/>
      <c r="P67" s="415"/>
      <c r="Q67" s="415"/>
      <c r="R67" s="415"/>
      <c r="S67" s="415"/>
      <c r="T67" s="415"/>
      <c r="U67" s="415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23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15"/>
      <c r="P68" s="415"/>
      <c r="Q68" s="415"/>
      <c r="R68" s="415"/>
      <c r="S68" s="415"/>
      <c r="T68" s="415"/>
      <c r="U68" s="415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423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7">IF(ISERROR(I69-K69),"",I69-K69)</f>
        <v>0</v>
      </c>
      <c r="N69" s="130">
        <f t="shared" ref="N69:N70" si="28">SUM(O69:U69)</f>
        <v>0</v>
      </c>
      <c r="O69" s="415"/>
      <c r="P69" s="415"/>
      <c r="Q69" s="415"/>
      <c r="R69" s="415"/>
      <c r="S69" s="415"/>
      <c r="T69" s="415"/>
      <c r="U69" s="415"/>
      <c r="V69" s="132">
        <f t="shared" ref="V69:V70" si="29">SUM(X69:AA69)</f>
        <v>0</v>
      </c>
      <c r="W69" s="133" t="str">
        <f t="shared" ref="W69:W70" si="30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423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7"/>
        <v>0</v>
      </c>
      <c r="N70" s="130">
        <f t="shared" si="28"/>
        <v>0</v>
      </c>
      <c r="O70" s="415"/>
      <c r="P70" s="415"/>
      <c r="Q70" s="415"/>
      <c r="R70" s="415"/>
      <c r="S70" s="415"/>
      <c r="T70" s="415"/>
      <c r="U70" s="415"/>
      <c r="V70" s="132">
        <f t="shared" si="29"/>
        <v>0</v>
      </c>
      <c r="W70" s="133" t="str">
        <f t="shared" si="30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23">
        <f t="shared" si="11"/>
        <v>0</v>
      </c>
      <c r="I71" s="129"/>
      <c r="J71" s="130"/>
      <c r="K71" s="131"/>
      <c r="L71" s="129"/>
      <c r="M71" s="109"/>
      <c r="N71" s="130"/>
      <c r="O71" s="415"/>
      <c r="P71" s="415"/>
      <c r="Q71" s="415"/>
      <c r="R71" s="415"/>
      <c r="S71" s="415"/>
      <c r="T71" s="415"/>
      <c r="U71" s="415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23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1">IF(ISERROR(I72-K72),"",I72-K72)</f>
        <v/>
      </c>
      <c r="N72" s="130">
        <f t="shared" ref="N72:N75" si="32">SUM(O72:U72)</f>
        <v>0</v>
      </c>
      <c r="O72" s="415"/>
      <c r="P72" s="415"/>
      <c r="Q72" s="415"/>
      <c r="R72" s="415"/>
      <c r="S72" s="415"/>
      <c r="T72" s="415"/>
      <c r="U72" s="415"/>
      <c r="V72" s="132">
        <f t="shared" ref="V72:V75" si="33">SUM(X72:AA72)</f>
        <v>0</v>
      </c>
      <c r="W72" s="133" t="str">
        <f t="shared" ref="W72:W75" si="34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23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1"/>
        <v/>
      </c>
      <c r="N73" s="130">
        <f t="shared" si="32"/>
        <v>0</v>
      </c>
      <c r="O73" s="415"/>
      <c r="P73" s="415"/>
      <c r="Q73" s="415"/>
      <c r="R73" s="415"/>
      <c r="S73" s="415"/>
      <c r="T73" s="415"/>
      <c r="U73" s="415"/>
      <c r="V73" s="132">
        <f t="shared" si="33"/>
        <v>0</v>
      </c>
      <c r="W73" s="133" t="str">
        <f t="shared" si="34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23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1"/>
        <v/>
      </c>
      <c r="N74" s="130">
        <f t="shared" si="32"/>
        <v>0</v>
      </c>
      <c r="O74" s="415"/>
      <c r="P74" s="415"/>
      <c r="Q74" s="415"/>
      <c r="R74" s="415"/>
      <c r="S74" s="415"/>
      <c r="T74" s="415"/>
      <c r="U74" s="415"/>
      <c r="V74" s="132">
        <f t="shared" si="33"/>
        <v>0</v>
      </c>
      <c r="W74" s="133" t="str">
        <f t="shared" si="34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23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1"/>
        <v/>
      </c>
      <c r="N75" s="130">
        <f t="shared" si="32"/>
        <v>0</v>
      </c>
      <c r="O75" s="415"/>
      <c r="P75" s="415"/>
      <c r="Q75" s="415"/>
      <c r="R75" s="415"/>
      <c r="S75" s="415"/>
      <c r="T75" s="415"/>
      <c r="U75" s="415"/>
      <c r="V75" s="132">
        <f t="shared" si="33"/>
        <v>0</v>
      </c>
      <c r="W75" s="133" t="str">
        <f t="shared" si="34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23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1"/>
        <v>0</v>
      </c>
      <c r="N76" s="130"/>
      <c r="O76" s="415"/>
      <c r="P76" s="415"/>
      <c r="Q76" s="415"/>
      <c r="R76" s="415"/>
      <c r="S76" s="415"/>
      <c r="T76" s="415"/>
      <c r="U76" s="415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23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1"/>
        <v>0</v>
      </c>
      <c r="N77" s="130"/>
      <c r="O77" s="415"/>
      <c r="P77" s="415"/>
      <c r="Q77" s="415"/>
      <c r="R77" s="415"/>
      <c r="S77" s="415"/>
      <c r="T77" s="415"/>
      <c r="U77" s="415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23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1"/>
        <v>0</v>
      </c>
      <c r="N78" s="130"/>
      <c r="O78" s="415"/>
      <c r="P78" s="415"/>
      <c r="Q78" s="415"/>
      <c r="R78" s="415"/>
      <c r="S78" s="415"/>
      <c r="T78" s="415"/>
      <c r="U78" s="415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23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1"/>
        <v>0</v>
      </c>
      <c r="N79" s="130"/>
      <c r="O79" s="415"/>
      <c r="P79" s="415"/>
      <c r="Q79" s="415"/>
      <c r="R79" s="415"/>
      <c r="S79" s="415"/>
      <c r="T79" s="415"/>
      <c r="U79" s="415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23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15"/>
      <c r="P80" s="415"/>
      <c r="Q80" s="415"/>
      <c r="R80" s="415"/>
      <c r="S80" s="415"/>
      <c r="T80" s="415"/>
      <c r="U80" s="415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23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15"/>
      <c r="P81" s="415"/>
      <c r="Q81" s="415"/>
      <c r="R81" s="415"/>
      <c r="S81" s="415"/>
      <c r="T81" s="415"/>
      <c r="U81" s="415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23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15"/>
      <c r="P82" s="415"/>
      <c r="Q82" s="415"/>
      <c r="R82" s="415"/>
      <c r="S82" s="415"/>
      <c r="T82" s="415"/>
      <c r="U82" s="415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23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15"/>
      <c r="P83" s="415"/>
      <c r="Q83" s="415"/>
      <c r="R83" s="415"/>
      <c r="S83" s="415"/>
      <c r="T83" s="415"/>
      <c r="U83" s="415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23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15"/>
      <c r="P84" s="415"/>
      <c r="Q84" s="415"/>
      <c r="R84" s="415"/>
      <c r="S84" s="415"/>
      <c r="T84" s="415"/>
      <c r="U84" s="415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23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15"/>
      <c r="P85" s="415"/>
      <c r="Q85" s="415"/>
      <c r="R85" s="415"/>
      <c r="S85" s="415"/>
      <c r="T85" s="415"/>
      <c r="U85" s="415"/>
      <c r="V85" s="132"/>
      <c r="W85" s="133"/>
      <c r="X85" s="132"/>
      <c r="Y85" s="132"/>
      <c r="Z85" s="132"/>
      <c r="AA85" s="132"/>
    </row>
    <row r="86" spans="1:27" ht="20.100000000000001" customHeight="1">
      <c r="A86" s="589" t="s">
        <v>216</v>
      </c>
      <c r="B86" s="589"/>
      <c r="C86" s="421" t="s">
        <v>202</v>
      </c>
      <c r="D86" s="143"/>
      <c r="E86" s="143"/>
      <c r="F86" s="144"/>
      <c r="G86" s="145">
        <f>SUM(G29:G85)</f>
        <v>2077</v>
      </c>
      <c r="H86" s="146">
        <f>SUM(H29:H85)</f>
        <v>10483.56</v>
      </c>
      <c r="I86" s="146">
        <f>SUM(I29:I85)</f>
        <v>55</v>
      </c>
      <c r="J86" s="130">
        <f t="array" ref="J86">IF(ISERROR(G86/I86),"",G86/I86)</f>
        <v>37.763636363636365</v>
      </c>
      <c r="K86" s="146">
        <f>SUM(K29:K85)</f>
        <v>59.482600732600737</v>
      </c>
      <c r="L86" s="147"/>
      <c r="M86" s="150">
        <f t="shared" ref="M86:V86" si="35">SUM(M29:M85)</f>
        <v>-4.4826007326007353</v>
      </c>
      <c r="N86" s="146">
        <f t="shared" si="35"/>
        <v>0</v>
      </c>
      <c r="O86" s="148">
        <f t="shared" si="35"/>
        <v>0</v>
      </c>
      <c r="P86" s="148">
        <f t="shared" si="35"/>
        <v>0</v>
      </c>
      <c r="Q86" s="148">
        <f t="shared" si="35"/>
        <v>0</v>
      </c>
      <c r="R86" s="148">
        <f t="shared" si="35"/>
        <v>0</v>
      </c>
      <c r="S86" s="148">
        <f t="shared" si="35"/>
        <v>0</v>
      </c>
      <c r="T86" s="148">
        <f t="shared" si="35"/>
        <v>0</v>
      </c>
      <c r="U86" s="148">
        <f t="shared" si="35"/>
        <v>0</v>
      </c>
      <c r="V86" s="149">
        <f t="shared" si="35"/>
        <v>0</v>
      </c>
      <c r="W86" s="133">
        <f t="shared" ref="W86:W93" si="36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customHeight="1">
      <c r="A87" s="299">
        <v>30400012</v>
      </c>
      <c r="B87" s="414" t="s">
        <v>217</v>
      </c>
      <c r="C87" s="126" t="s">
        <v>179</v>
      </c>
      <c r="D87" s="108">
        <v>5.03</v>
      </c>
      <c r="E87" s="108"/>
      <c r="F87" s="127">
        <v>42738</v>
      </c>
      <c r="G87" s="128">
        <v>59</v>
      </c>
      <c r="H87" s="423">
        <f t="shared" ref="H87:H120" si="37">D87*G87</f>
        <v>296.77000000000004</v>
      </c>
      <c r="I87" s="129">
        <v>9.5</v>
      </c>
      <c r="J87" s="130">
        <f t="array" ref="J87">IF(ISERROR(G87/I87),"",G87/I87)</f>
        <v>6.2105263157894735</v>
      </c>
      <c r="K87" s="131">
        <f t="array" ref="K87">IF(ISERROR(G87/L87),"",G87/L87)</f>
        <v>6.7045454545454541</v>
      </c>
      <c r="L87" s="129">
        <v>8.8000000000000007</v>
      </c>
      <c r="M87" s="109">
        <f t="shared" ref="M87:M117" si="38">IF(ISERROR(I87-K87),"",I87-K87)</f>
        <v>2.7954545454545459</v>
      </c>
      <c r="N87" s="130">
        <f t="shared" ref="N87:N93" si="39">SUM(O87:U87)</f>
        <v>0</v>
      </c>
      <c r="O87" s="415"/>
      <c r="P87" s="415"/>
      <c r="Q87" s="415"/>
      <c r="R87" s="415"/>
      <c r="S87" s="415"/>
      <c r="T87" s="415"/>
      <c r="U87" s="415"/>
      <c r="V87" s="132">
        <f t="shared" ref="V87:V93" si="40">SUM(X87:AA87)</f>
        <v>0</v>
      </c>
      <c r="W87" s="133">
        <f t="shared" si="36"/>
        <v>0</v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414" t="s">
        <v>217</v>
      </c>
      <c r="C88" s="126" t="s">
        <v>186</v>
      </c>
      <c r="D88" s="108">
        <v>5.03</v>
      </c>
      <c r="E88" s="108"/>
      <c r="F88" s="127"/>
      <c r="G88" s="128"/>
      <c r="H88" s="423">
        <f t="shared" si="37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8"/>
        <v>0</v>
      </c>
      <c r="N88" s="130">
        <f t="shared" si="39"/>
        <v>0</v>
      </c>
      <c r="O88" s="415"/>
      <c r="P88" s="415"/>
      <c r="Q88" s="415"/>
      <c r="R88" s="415"/>
      <c r="S88" s="415"/>
      <c r="T88" s="415"/>
      <c r="U88" s="415"/>
      <c r="V88" s="132">
        <f t="shared" si="40"/>
        <v>0</v>
      </c>
      <c r="W88" s="133" t="str">
        <f t="shared" si="36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414" t="s">
        <v>217</v>
      </c>
      <c r="C89" s="126" t="s">
        <v>204</v>
      </c>
      <c r="D89" s="108">
        <v>5.03</v>
      </c>
      <c r="E89" s="108"/>
      <c r="F89" s="127"/>
      <c r="G89" s="128"/>
      <c r="H89" s="423">
        <f t="shared" si="37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8"/>
        <v>0</v>
      </c>
      <c r="N89" s="130">
        <f t="shared" si="39"/>
        <v>0</v>
      </c>
      <c r="O89" s="415"/>
      <c r="P89" s="415"/>
      <c r="Q89" s="415"/>
      <c r="R89" s="415"/>
      <c r="S89" s="415"/>
      <c r="T89" s="415"/>
      <c r="U89" s="415"/>
      <c r="V89" s="132">
        <f t="shared" si="40"/>
        <v>0</v>
      </c>
      <c r="W89" s="133" t="str">
        <f t="shared" si="36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23">
        <f t="shared" si="37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8"/>
        <v>0</v>
      </c>
      <c r="N90" s="130">
        <f t="shared" si="39"/>
        <v>0</v>
      </c>
      <c r="O90" s="415"/>
      <c r="P90" s="415"/>
      <c r="Q90" s="415"/>
      <c r="R90" s="415"/>
      <c r="S90" s="415"/>
      <c r="T90" s="415"/>
      <c r="U90" s="415"/>
      <c r="V90" s="132">
        <f t="shared" si="40"/>
        <v>0</v>
      </c>
      <c r="W90" s="133" t="str">
        <f t="shared" si="36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423">
        <f t="shared" si="37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8"/>
        <v>0</v>
      </c>
      <c r="N91" s="130">
        <f t="shared" si="39"/>
        <v>0</v>
      </c>
      <c r="O91" s="415"/>
      <c r="P91" s="415"/>
      <c r="Q91" s="415"/>
      <c r="R91" s="415"/>
      <c r="S91" s="415"/>
      <c r="T91" s="415"/>
      <c r="U91" s="415"/>
      <c r="V91" s="132">
        <f t="shared" si="40"/>
        <v>0</v>
      </c>
      <c r="W91" s="133" t="str">
        <f t="shared" si="36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423">
        <f t="shared" si="37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8"/>
        <v>0</v>
      </c>
      <c r="N92" s="130">
        <f t="shared" si="39"/>
        <v>0</v>
      </c>
      <c r="O92" s="415"/>
      <c r="P92" s="415"/>
      <c r="Q92" s="415"/>
      <c r="R92" s="415"/>
      <c r="S92" s="415"/>
      <c r="T92" s="415"/>
      <c r="U92" s="415"/>
      <c r="V92" s="132">
        <f t="shared" si="40"/>
        <v>0</v>
      </c>
      <c r="W92" s="133" t="str">
        <f t="shared" si="36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423">
        <f t="shared" si="37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8"/>
        <v>0</v>
      </c>
      <c r="N93" s="130">
        <f t="shared" si="39"/>
        <v>0</v>
      </c>
      <c r="O93" s="415"/>
      <c r="P93" s="415"/>
      <c r="Q93" s="415"/>
      <c r="R93" s="415"/>
      <c r="S93" s="415"/>
      <c r="T93" s="415"/>
      <c r="U93" s="415"/>
      <c r="V93" s="132">
        <f t="shared" si="40"/>
        <v>0</v>
      </c>
      <c r="W93" s="133" t="str">
        <f t="shared" si="36"/>
        <v/>
      </c>
      <c r="X93" s="132"/>
      <c r="Y93" s="132"/>
      <c r="Z93" s="132"/>
      <c r="AA93" s="132"/>
    </row>
    <row r="94" spans="1:27" ht="20.100000000000001" customHeight="1">
      <c r="A94" s="299">
        <v>30400015</v>
      </c>
      <c r="B94" s="151" t="s">
        <v>512</v>
      </c>
      <c r="C94" s="126" t="s">
        <v>218</v>
      </c>
      <c r="D94" s="128">
        <v>5.03</v>
      </c>
      <c r="E94" s="108"/>
      <c r="F94" s="127">
        <v>42737</v>
      </c>
      <c r="G94" s="128">
        <v>18</v>
      </c>
      <c r="H94" s="423">
        <f t="shared" si="37"/>
        <v>90.54</v>
      </c>
      <c r="I94" s="129">
        <v>1.5</v>
      </c>
      <c r="J94" s="130">
        <f t="array" ref="J94">IF(ISERROR(G94/I94),"",G94/I94)</f>
        <v>12</v>
      </c>
      <c r="K94" s="131">
        <f t="array" ref="K94">IF(ISERROR(G94/L94),"",G94/L94)</f>
        <v>1.9354838709677418</v>
      </c>
      <c r="L94" s="129">
        <v>9.3000000000000007</v>
      </c>
      <c r="M94" s="109">
        <f t="shared" si="38"/>
        <v>-0.43548387096774177</v>
      </c>
      <c r="N94" s="130"/>
      <c r="O94" s="415"/>
      <c r="P94" s="415"/>
      <c r="Q94" s="415"/>
      <c r="R94" s="415"/>
      <c r="S94" s="415"/>
      <c r="T94" s="415"/>
      <c r="U94" s="415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23">
        <f t="shared" si="37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8"/>
        <v>0</v>
      </c>
      <c r="N95" s="130">
        <f t="shared" ref="N95:N114" si="41">SUM(O95:U95)</f>
        <v>0</v>
      </c>
      <c r="O95" s="415"/>
      <c r="P95" s="415"/>
      <c r="Q95" s="415"/>
      <c r="R95" s="415"/>
      <c r="S95" s="415"/>
      <c r="T95" s="415"/>
      <c r="U95" s="415"/>
      <c r="V95" s="132">
        <f t="shared" ref="V95:V102" si="42">SUM(X95:AA95)</f>
        <v>0</v>
      </c>
      <c r="W95" s="133" t="str">
        <f t="shared" ref="W95:W106" si="43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23">
        <f t="shared" si="37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8"/>
        <v>0</v>
      </c>
      <c r="N96" s="130">
        <f t="shared" si="41"/>
        <v>0</v>
      </c>
      <c r="O96" s="415"/>
      <c r="P96" s="415"/>
      <c r="Q96" s="415"/>
      <c r="R96" s="415"/>
      <c r="S96" s="415"/>
      <c r="T96" s="415"/>
      <c r="U96" s="415"/>
      <c r="V96" s="132">
        <f t="shared" si="42"/>
        <v>0</v>
      </c>
      <c r="W96" s="133" t="str">
        <f t="shared" si="43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23">
        <f t="shared" si="37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8"/>
        <v>0</v>
      </c>
      <c r="N97" s="130">
        <f t="shared" si="41"/>
        <v>0</v>
      </c>
      <c r="O97" s="415"/>
      <c r="P97" s="415"/>
      <c r="Q97" s="415"/>
      <c r="R97" s="415"/>
      <c r="S97" s="415"/>
      <c r="T97" s="415"/>
      <c r="U97" s="415"/>
      <c r="V97" s="132">
        <f t="shared" si="42"/>
        <v>0</v>
      </c>
      <c r="W97" s="133" t="str">
        <f t="shared" si="43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23">
        <f t="shared" si="37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8"/>
        <v>0</v>
      </c>
      <c r="N98" s="130">
        <f t="shared" si="41"/>
        <v>0</v>
      </c>
      <c r="O98" s="415"/>
      <c r="P98" s="415"/>
      <c r="Q98" s="415"/>
      <c r="R98" s="415"/>
      <c r="S98" s="415"/>
      <c r="T98" s="415"/>
      <c r="U98" s="415"/>
      <c r="V98" s="132">
        <f t="shared" si="42"/>
        <v>0</v>
      </c>
      <c r="W98" s="133" t="str">
        <f t="shared" si="43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423">
        <f t="shared" si="37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8"/>
        <v>0</v>
      </c>
      <c r="N99" s="130">
        <f t="shared" si="41"/>
        <v>0</v>
      </c>
      <c r="O99" s="415"/>
      <c r="P99" s="415"/>
      <c r="Q99" s="415"/>
      <c r="R99" s="415"/>
      <c r="S99" s="415"/>
      <c r="T99" s="415"/>
      <c r="U99" s="415"/>
      <c r="V99" s="132">
        <f t="shared" si="42"/>
        <v>0</v>
      </c>
      <c r="W99" s="133" t="str">
        <f t="shared" si="43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23">
        <f t="shared" si="37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8"/>
        <v/>
      </c>
      <c r="N100" s="130">
        <f t="shared" si="41"/>
        <v>0</v>
      </c>
      <c r="O100" s="415"/>
      <c r="P100" s="415"/>
      <c r="Q100" s="415"/>
      <c r="R100" s="415"/>
      <c r="S100" s="415"/>
      <c r="T100" s="415"/>
      <c r="U100" s="415"/>
      <c r="V100" s="132">
        <f t="shared" si="42"/>
        <v>0</v>
      </c>
      <c r="W100" s="133" t="str">
        <f t="shared" si="43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23">
        <f t="shared" si="37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8"/>
        <v/>
      </c>
      <c r="N101" s="130">
        <f t="shared" si="41"/>
        <v>0</v>
      </c>
      <c r="O101" s="415"/>
      <c r="P101" s="415"/>
      <c r="Q101" s="415"/>
      <c r="R101" s="415"/>
      <c r="S101" s="415"/>
      <c r="T101" s="415"/>
      <c r="U101" s="415"/>
      <c r="V101" s="132">
        <f t="shared" si="42"/>
        <v>0</v>
      </c>
      <c r="W101" s="133" t="str">
        <f t="shared" si="43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23">
        <f t="shared" si="37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8"/>
        <v/>
      </c>
      <c r="N102" s="130">
        <f t="shared" si="41"/>
        <v>0</v>
      </c>
      <c r="O102" s="415"/>
      <c r="P102" s="415"/>
      <c r="Q102" s="415"/>
      <c r="R102" s="415"/>
      <c r="S102" s="415"/>
      <c r="T102" s="415"/>
      <c r="U102" s="415"/>
      <c r="V102" s="132">
        <f t="shared" si="42"/>
        <v>0</v>
      </c>
      <c r="W102" s="133" t="str">
        <f t="shared" si="43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414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23">
        <f t="shared" si="37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8"/>
        <v>0</v>
      </c>
      <c r="N103" s="130">
        <f t="shared" si="41"/>
        <v>0</v>
      </c>
      <c r="O103" s="415"/>
      <c r="P103" s="415"/>
      <c r="Q103" s="415"/>
      <c r="R103" s="415"/>
      <c r="S103" s="415"/>
      <c r="T103" s="415"/>
      <c r="U103" s="415"/>
      <c r="V103" s="132">
        <f t="shared" ref="V103:V106" si="44">SUM(X103:AA103)</f>
        <v>0</v>
      </c>
      <c r="W103" s="133" t="str">
        <f t="shared" si="43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414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23">
        <f t="shared" si="37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8"/>
        <v>0</v>
      </c>
      <c r="N104" s="130">
        <f t="shared" si="41"/>
        <v>0</v>
      </c>
      <c r="O104" s="415"/>
      <c r="P104" s="415"/>
      <c r="Q104" s="415"/>
      <c r="R104" s="415"/>
      <c r="S104" s="415"/>
      <c r="T104" s="415"/>
      <c r="U104" s="415"/>
      <c r="V104" s="132">
        <f t="shared" si="44"/>
        <v>0</v>
      </c>
      <c r="W104" s="133" t="str">
        <f t="shared" si="43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414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23">
        <f t="shared" si="37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8"/>
        <v>0</v>
      </c>
      <c r="N105" s="130">
        <f t="shared" si="41"/>
        <v>0</v>
      </c>
      <c r="O105" s="415"/>
      <c r="P105" s="415"/>
      <c r="Q105" s="415"/>
      <c r="R105" s="415"/>
      <c r="S105" s="415"/>
      <c r="T105" s="415"/>
      <c r="U105" s="415"/>
      <c r="V105" s="132">
        <f t="shared" si="44"/>
        <v>0</v>
      </c>
      <c r="W105" s="133" t="str">
        <f t="shared" si="43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414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23">
        <f t="shared" si="37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8"/>
        <v>0</v>
      </c>
      <c r="N106" s="130">
        <f t="shared" si="41"/>
        <v>0</v>
      </c>
      <c r="O106" s="415"/>
      <c r="P106" s="415"/>
      <c r="Q106" s="415"/>
      <c r="R106" s="415"/>
      <c r="S106" s="415"/>
      <c r="T106" s="415"/>
      <c r="U106" s="415"/>
      <c r="V106" s="132">
        <f t="shared" si="44"/>
        <v>0</v>
      </c>
      <c r="W106" s="133" t="str">
        <f t="shared" si="43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414" t="s">
        <v>393</v>
      </c>
      <c r="C107" s="187" t="s">
        <v>395</v>
      </c>
      <c r="D107" s="108">
        <v>5</v>
      </c>
      <c r="E107" s="108"/>
      <c r="F107" s="127"/>
      <c r="G107" s="128"/>
      <c r="H107" s="423">
        <f t="shared" si="37"/>
        <v>0</v>
      </c>
      <c r="I107" s="129"/>
      <c r="J107" s="130" t="str">
        <f t="array" ref="J107">IF(ISERROR(G107/I107),"",G107/I107)</f>
        <v/>
      </c>
      <c r="K107" s="131">
        <f t="array" ref="K107">IF(ISERROR(G107/L107),"",G107/L107)</f>
        <v>0</v>
      </c>
      <c r="L107" s="129">
        <v>5</v>
      </c>
      <c r="M107" s="109">
        <f t="shared" si="38"/>
        <v>0</v>
      </c>
      <c r="N107" s="130">
        <f t="shared" si="41"/>
        <v>0</v>
      </c>
      <c r="O107" s="415"/>
      <c r="P107" s="415"/>
      <c r="Q107" s="415"/>
      <c r="R107" s="415"/>
      <c r="S107" s="415"/>
      <c r="T107" s="415"/>
      <c r="U107" s="415"/>
      <c r="V107" s="132"/>
      <c r="W107" s="133"/>
      <c r="X107" s="132"/>
      <c r="Y107" s="132"/>
      <c r="Z107" s="132"/>
      <c r="AA107" s="132"/>
    </row>
    <row r="108" spans="1:27" ht="20.100000000000001" customHeight="1">
      <c r="A108" s="299">
        <v>30400028</v>
      </c>
      <c r="B108" s="414" t="s">
        <v>393</v>
      </c>
      <c r="C108" s="187" t="s">
        <v>402</v>
      </c>
      <c r="D108" s="108">
        <v>5</v>
      </c>
      <c r="E108" s="108"/>
      <c r="F108" s="127">
        <v>42738</v>
      </c>
      <c r="G108" s="128">
        <f>90+56+90+70+70+61</f>
        <v>437</v>
      </c>
      <c r="H108" s="423">
        <f t="shared" si="37"/>
        <v>2185</v>
      </c>
      <c r="I108" s="129">
        <f>6.5*3+11+2*3</f>
        <v>36.5</v>
      </c>
      <c r="J108" s="130">
        <f t="array" ref="J108">IF(ISERROR(G108/I108),"",G108/I108)</f>
        <v>11.972602739726028</v>
      </c>
      <c r="K108" s="131">
        <f t="array" ref="K108">IF(ISERROR(G108/L108),"",G108/L108)</f>
        <v>87.4</v>
      </c>
      <c r="L108" s="129">
        <v>5</v>
      </c>
      <c r="M108" s="109">
        <f t="shared" si="38"/>
        <v>-50.900000000000006</v>
      </c>
      <c r="N108" s="130">
        <f t="shared" si="41"/>
        <v>0</v>
      </c>
      <c r="O108" s="415"/>
      <c r="P108" s="415"/>
      <c r="Q108" s="415"/>
      <c r="R108" s="415"/>
      <c r="S108" s="415"/>
      <c r="T108" s="415"/>
      <c r="U108" s="415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414" t="s">
        <v>404</v>
      </c>
      <c r="C109" s="187" t="s">
        <v>405</v>
      </c>
      <c r="D109" s="108">
        <v>5</v>
      </c>
      <c r="E109" s="108"/>
      <c r="F109" s="127"/>
      <c r="G109" s="128"/>
      <c r="H109" s="423">
        <f t="shared" si="37"/>
        <v>0</v>
      </c>
      <c r="I109" s="129"/>
      <c r="J109" s="130" t="str">
        <f t="array" ref="J109">IF(ISERROR(G109/I109),"",G109/I109)</f>
        <v/>
      </c>
      <c r="K109" s="131">
        <f t="array" ref="K109">IF(ISERROR(G109/L109),"",G109/L109)</f>
        <v>0</v>
      </c>
      <c r="L109" s="129">
        <v>5</v>
      </c>
      <c r="M109" s="109">
        <f t="shared" si="38"/>
        <v>0</v>
      </c>
      <c r="N109" s="130">
        <f t="shared" si="41"/>
        <v>0</v>
      </c>
      <c r="O109" s="415"/>
      <c r="P109" s="415"/>
      <c r="Q109" s="415"/>
      <c r="R109" s="415"/>
      <c r="S109" s="415"/>
      <c r="T109" s="415"/>
      <c r="U109" s="415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414" t="s">
        <v>492</v>
      </c>
      <c r="C110" s="187" t="s">
        <v>372</v>
      </c>
      <c r="D110" s="108">
        <v>5</v>
      </c>
      <c r="E110" s="108"/>
      <c r="F110" s="127"/>
      <c r="G110" s="128"/>
      <c r="H110" s="423">
        <f t="shared" si="37"/>
        <v>0</v>
      </c>
      <c r="I110" s="129"/>
      <c r="J110" s="130" t="str">
        <f t="array" ref="J110">IF(ISERROR(G110/I110),"",G110/I110)</f>
        <v/>
      </c>
      <c r="K110" s="131">
        <f t="array" ref="K110">IF(ISERROR(G110/L110),"",G110/L110)</f>
        <v>0</v>
      </c>
      <c r="L110" s="129">
        <v>5</v>
      </c>
      <c r="M110" s="109">
        <f t="shared" si="38"/>
        <v>0</v>
      </c>
      <c r="N110" s="130">
        <f t="shared" si="41"/>
        <v>0</v>
      </c>
      <c r="O110" s="415"/>
      <c r="P110" s="415"/>
      <c r="Q110" s="415"/>
      <c r="R110" s="415"/>
      <c r="S110" s="415"/>
      <c r="T110" s="415"/>
      <c r="U110" s="415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414" t="s">
        <v>343</v>
      </c>
      <c r="C111" s="126" t="s">
        <v>345</v>
      </c>
      <c r="D111" s="108">
        <v>5</v>
      </c>
      <c r="E111" s="108"/>
      <c r="F111" s="127"/>
      <c r="G111" s="128"/>
      <c r="H111" s="423">
        <f t="shared" si="37"/>
        <v>0</v>
      </c>
      <c r="I111" s="129"/>
      <c r="J111" s="130" t="str">
        <f t="array" ref="J111">IF(ISERROR(G111/I111),"",G111/I111)</f>
        <v/>
      </c>
      <c r="K111" s="131">
        <f t="array" ref="K111">IF(ISERROR(G111/L111),"",G111/L111)</f>
        <v>0</v>
      </c>
      <c r="L111" s="129">
        <v>5</v>
      </c>
      <c r="M111" s="109">
        <f t="shared" si="38"/>
        <v>0</v>
      </c>
      <c r="N111" s="130">
        <f t="shared" si="41"/>
        <v>0</v>
      </c>
      <c r="O111" s="415"/>
      <c r="P111" s="415"/>
      <c r="Q111" s="415"/>
      <c r="R111" s="415"/>
      <c r="S111" s="415"/>
      <c r="T111" s="415"/>
      <c r="U111" s="415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414" t="s">
        <v>343</v>
      </c>
      <c r="C112" s="126" t="s">
        <v>347</v>
      </c>
      <c r="D112" s="108">
        <v>5</v>
      </c>
      <c r="E112" s="108"/>
      <c r="F112" s="127"/>
      <c r="G112" s="128"/>
      <c r="H112" s="423">
        <f t="shared" si="37"/>
        <v>0</v>
      </c>
      <c r="I112" s="129"/>
      <c r="J112" s="130" t="str">
        <f t="array" ref="J112">IF(ISERROR(G112/I112),"",G112/I112)</f>
        <v/>
      </c>
      <c r="K112" s="131">
        <f t="array" ref="K112">IF(ISERROR(G112/L112),"",G112/L112)</f>
        <v>0</v>
      </c>
      <c r="L112" s="129">
        <v>5</v>
      </c>
      <c r="M112" s="109">
        <f t="shared" si="38"/>
        <v>0</v>
      </c>
      <c r="N112" s="130">
        <f t="shared" si="41"/>
        <v>0</v>
      </c>
      <c r="O112" s="415"/>
      <c r="P112" s="415"/>
      <c r="Q112" s="415"/>
      <c r="R112" s="415"/>
      <c r="S112" s="415"/>
      <c r="T112" s="415"/>
      <c r="U112" s="415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23">
        <f t="shared" si="37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8"/>
        <v>0</v>
      </c>
      <c r="N113" s="130">
        <f t="shared" si="41"/>
        <v>0</v>
      </c>
      <c r="O113" s="415"/>
      <c r="P113" s="415"/>
      <c r="Q113" s="415"/>
      <c r="R113" s="415"/>
      <c r="S113" s="415"/>
      <c r="T113" s="415"/>
      <c r="U113" s="415"/>
      <c r="V113" s="132">
        <f t="shared" ref="V113:V114" si="45">SUM(X113:AA113)</f>
        <v>0</v>
      </c>
      <c r="W113" s="133" t="str">
        <f t="shared" ref="W113:W114" si="46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23">
        <f t="shared" si="37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8"/>
        <v>0</v>
      </c>
      <c r="N114" s="130">
        <f t="shared" si="41"/>
        <v>0</v>
      </c>
      <c r="O114" s="415"/>
      <c r="P114" s="415"/>
      <c r="Q114" s="415"/>
      <c r="R114" s="415"/>
      <c r="S114" s="415"/>
      <c r="T114" s="415"/>
      <c r="U114" s="415"/>
      <c r="V114" s="132">
        <f t="shared" si="45"/>
        <v>0</v>
      </c>
      <c r="W114" s="133" t="str">
        <f t="shared" si="46"/>
        <v/>
      </c>
      <c r="X114" s="132"/>
      <c r="Y114" s="132"/>
      <c r="Z114" s="132"/>
      <c r="AA114" s="132"/>
    </row>
    <row r="115" spans="1:27" ht="20.10000000000000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>
        <v>42736</v>
      </c>
      <c r="G115" s="128">
        <v>39</v>
      </c>
      <c r="H115" s="423">
        <f t="shared" si="37"/>
        <v>195</v>
      </c>
      <c r="I115" s="129">
        <v>2</v>
      </c>
      <c r="J115" s="130">
        <f t="array" ref="J115">IF(ISERROR(G115/I115),"",G115/I115)</f>
        <v>19.5</v>
      </c>
      <c r="K115" s="131">
        <f t="array" ref="K115">IF(ISERROR(G115/L115),"",G115/L115)</f>
        <v>1.625</v>
      </c>
      <c r="L115" s="129">
        <v>24</v>
      </c>
      <c r="M115" s="109">
        <f t="shared" si="38"/>
        <v>0.375</v>
      </c>
      <c r="N115" s="130"/>
      <c r="O115" s="415"/>
      <c r="P115" s="415"/>
      <c r="Q115" s="415"/>
      <c r="R115" s="415"/>
      <c r="S115" s="415"/>
      <c r="T115" s="415"/>
      <c r="U115" s="415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23">
        <f t="shared" si="37"/>
        <v>0</v>
      </c>
      <c r="I116" s="129"/>
      <c r="J116" s="130" t="str">
        <f t="array" ref="J116">IF(ISERROR(G116/I116),"",G116/I116)</f>
        <v/>
      </c>
      <c r="K116" s="131">
        <f t="array" ref="K116">IF(ISERROR(G116/L116),"",G116/L116)</f>
        <v>0</v>
      </c>
      <c r="L116" s="129">
        <v>24</v>
      </c>
      <c r="M116" s="109">
        <f t="shared" si="38"/>
        <v>0</v>
      </c>
      <c r="N116" s="130"/>
      <c r="O116" s="415"/>
      <c r="P116" s="415"/>
      <c r="Q116" s="415"/>
      <c r="R116" s="415"/>
      <c r="S116" s="415"/>
      <c r="T116" s="415"/>
      <c r="U116" s="415"/>
      <c r="V116" s="132"/>
      <c r="W116" s="133"/>
      <c r="X116" s="132"/>
      <c r="Y116" s="132"/>
      <c r="Z116" s="132"/>
      <c r="AA116" s="132"/>
    </row>
    <row r="117" spans="1:27" ht="20.10000000000000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>
        <v>42736</v>
      </c>
      <c r="G117" s="128">
        <f>52+90+44+90+90+90</f>
        <v>456</v>
      </c>
      <c r="H117" s="423">
        <f t="shared" si="37"/>
        <v>2280</v>
      </c>
      <c r="I117" s="129">
        <f>1*3+5*3</f>
        <v>18</v>
      </c>
      <c r="J117" s="130">
        <f t="array" ref="J117">IF(ISERROR(G117/I117),"",G117/I117)</f>
        <v>25.333333333333332</v>
      </c>
      <c r="K117" s="131">
        <f t="array" ref="K117">IF(ISERROR(G117/L117),"",G117/L117)</f>
        <v>19</v>
      </c>
      <c r="L117" s="129">
        <v>24</v>
      </c>
      <c r="M117" s="109">
        <f t="shared" si="38"/>
        <v>-1</v>
      </c>
      <c r="N117" s="130"/>
      <c r="O117" s="415"/>
      <c r="P117" s="415"/>
      <c r="Q117" s="415"/>
      <c r="R117" s="415"/>
      <c r="S117" s="415"/>
      <c r="T117" s="415"/>
      <c r="U117" s="415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423">
        <f t="shared" si="37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7">IF(ISERROR(I118-K118),"",I118-K118)</f>
        <v>0</v>
      </c>
      <c r="N118" s="130">
        <f t="shared" ref="N118:N120" si="48">SUM(O118:U118)</f>
        <v>0</v>
      </c>
      <c r="O118" s="415"/>
      <c r="P118" s="415"/>
      <c r="Q118" s="415"/>
      <c r="R118" s="415"/>
      <c r="S118" s="415"/>
      <c r="T118" s="415"/>
      <c r="U118" s="415"/>
      <c r="V118" s="132">
        <f t="shared" ref="V118:V120" si="49">SUM(X118:AA118)</f>
        <v>0</v>
      </c>
      <c r="W118" s="133" t="str">
        <f t="shared" ref="W118:W142" si="50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23">
        <f t="shared" si="37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7"/>
        <v>0</v>
      </c>
      <c r="N119" s="130">
        <f t="shared" si="48"/>
        <v>0</v>
      </c>
      <c r="O119" s="415"/>
      <c r="P119" s="415"/>
      <c r="Q119" s="415"/>
      <c r="R119" s="415"/>
      <c r="S119" s="415"/>
      <c r="T119" s="415"/>
      <c r="U119" s="415"/>
      <c r="V119" s="132">
        <f t="shared" si="49"/>
        <v>0</v>
      </c>
      <c r="W119" s="133" t="str">
        <f t="shared" si="50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423">
        <f t="shared" si="37"/>
        <v>0</v>
      </c>
      <c r="I120" s="129"/>
      <c r="J120" s="130" t="str">
        <f t="array" ref="J120">IF(ISERROR(G120/I120),"",G120/I120)</f>
        <v/>
      </c>
      <c r="K120" s="423">
        <f t="array" ref="K120">IF(ISERROR(G120/L120),"",G120/L120)</f>
        <v>0</v>
      </c>
      <c r="L120" s="129">
        <v>9</v>
      </c>
      <c r="M120" s="109">
        <f t="shared" si="47"/>
        <v>0</v>
      </c>
      <c r="N120" s="130">
        <f t="shared" si="48"/>
        <v>0</v>
      </c>
      <c r="O120" s="415"/>
      <c r="P120" s="415"/>
      <c r="Q120" s="415"/>
      <c r="R120" s="415"/>
      <c r="S120" s="415"/>
      <c r="T120" s="415"/>
      <c r="U120" s="415"/>
      <c r="V120" s="132">
        <f t="shared" si="49"/>
        <v>0</v>
      </c>
      <c r="W120" s="133" t="str">
        <f t="shared" si="50"/>
        <v/>
      </c>
      <c r="X120" s="132"/>
      <c r="Y120" s="132"/>
      <c r="Z120" s="132"/>
      <c r="AA120" s="132"/>
    </row>
    <row r="121" spans="1:27" ht="20.100000000000001" customHeight="1">
      <c r="A121" s="578" t="s">
        <v>224</v>
      </c>
      <c r="B121" s="579"/>
      <c r="C121" s="421" t="s">
        <v>202</v>
      </c>
      <c r="D121" s="143"/>
      <c r="E121" s="143"/>
      <c r="F121" s="144"/>
      <c r="G121" s="145">
        <f>SUM(G87:G120)</f>
        <v>1009</v>
      </c>
      <c r="H121" s="146">
        <f>SUM(H87:H120)</f>
        <v>5047.3099999999995</v>
      </c>
      <c r="I121" s="146">
        <f>SUM(I87:I120)</f>
        <v>67.5</v>
      </c>
      <c r="J121" s="130">
        <f t="array" ref="J121">IF(ISERROR(G121/I121),"",G121/I121)</f>
        <v>14.948148148148148</v>
      </c>
      <c r="K121" s="146">
        <f>SUM(K87:K120)</f>
        <v>116.6650293255132</v>
      </c>
      <c r="L121" s="147"/>
      <c r="M121" s="150">
        <f t="shared" ref="M121:V121" si="51">SUM(M87:M120)</f>
        <v>-49.165029325513203</v>
      </c>
      <c r="N121" s="146">
        <f t="shared" si="51"/>
        <v>0</v>
      </c>
      <c r="O121" s="148">
        <f t="shared" si="51"/>
        <v>0</v>
      </c>
      <c r="P121" s="148">
        <f t="shared" si="51"/>
        <v>0</v>
      </c>
      <c r="Q121" s="148">
        <f t="shared" si="51"/>
        <v>0</v>
      </c>
      <c r="R121" s="148">
        <f t="shared" si="51"/>
        <v>0</v>
      </c>
      <c r="S121" s="148">
        <f t="shared" si="51"/>
        <v>0</v>
      </c>
      <c r="T121" s="148">
        <f t="shared" si="51"/>
        <v>0</v>
      </c>
      <c r="U121" s="148">
        <f t="shared" si="51"/>
        <v>0</v>
      </c>
      <c r="V121" s="149">
        <f t="shared" si="51"/>
        <v>0</v>
      </c>
      <c r="W121" s="133">
        <f t="shared" si="50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23">
        <f t="shared" ref="H122:H136" si="52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3">IF(ISERROR(I122-K122),"",I122-K122)</f>
        <v>0</v>
      </c>
      <c r="N122" s="130">
        <f t="shared" ref="N122:N136" si="54">SUM(O122:U122)</f>
        <v>0</v>
      </c>
      <c r="O122" s="415"/>
      <c r="P122" s="415"/>
      <c r="Q122" s="415"/>
      <c r="R122" s="415"/>
      <c r="S122" s="415"/>
      <c r="T122" s="415"/>
      <c r="U122" s="415"/>
      <c r="V122" s="132">
        <f t="shared" ref="V122:V136" si="55">SUM(X122:AA122)</f>
        <v>0</v>
      </c>
      <c r="W122" s="133" t="str">
        <f t="shared" si="50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23">
        <f t="shared" si="52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3"/>
        <v>0</v>
      </c>
      <c r="N123" s="130">
        <f t="shared" si="54"/>
        <v>0</v>
      </c>
      <c r="O123" s="415"/>
      <c r="P123" s="415"/>
      <c r="Q123" s="415"/>
      <c r="R123" s="415"/>
      <c r="S123" s="415"/>
      <c r="T123" s="415"/>
      <c r="U123" s="415"/>
      <c r="V123" s="132">
        <f t="shared" si="55"/>
        <v>0</v>
      </c>
      <c r="W123" s="133" t="str">
        <f t="shared" si="50"/>
        <v/>
      </c>
      <c r="X123" s="132"/>
      <c r="Y123" s="132"/>
      <c r="Z123" s="132"/>
      <c r="AA123" s="132"/>
    </row>
    <row r="124" spans="1:27" ht="20.10000000000000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>
        <v>42738</v>
      </c>
      <c r="G124" s="128">
        <f>100*6</f>
        <v>600</v>
      </c>
      <c r="H124" s="423">
        <f t="shared" si="52"/>
        <v>3024</v>
      </c>
      <c r="I124" s="129">
        <f>11*4</f>
        <v>44</v>
      </c>
      <c r="J124" s="130">
        <f t="array" ref="J124">IF(ISERROR(G124/I124),"",G124/I124)</f>
        <v>13.636363636363637</v>
      </c>
      <c r="K124" s="131">
        <f t="array" ref="K124">IF(ISERROR(G124/L124),"",G124/L124)</f>
        <v>30</v>
      </c>
      <c r="L124" s="129">
        <v>20</v>
      </c>
      <c r="M124" s="109">
        <f t="shared" si="53"/>
        <v>14</v>
      </c>
      <c r="N124" s="130">
        <f t="shared" si="54"/>
        <v>0</v>
      </c>
      <c r="O124" s="415"/>
      <c r="P124" s="415"/>
      <c r="Q124" s="415"/>
      <c r="R124" s="415"/>
      <c r="S124" s="415"/>
      <c r="T124" s="415"/>
      <c r="U124" s="415"/>
      <c r="V124" s="132">
        <f t="shared" si="55"/>
        <v>0</v>
      </c>
      <c r="W124" s="133">
        <f t="shared" si="50"/>
        <v>0</v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423">
        <f t="shared" si="52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3"/>
        <v>0</v>
      </c>
      <c r="N125" s="130">
        <f t="shared" si="54"/>
        <v>0</v>
      </c>
      <c r="O125" s="415"/>
      <c r="P125" s="415"/>
      <c r="Q125" s="415"/>
      <c r="R125" s="415"/>
      <c r="S125" s="415"/>
      <c r="T125" s="415"/>
      <c r="U125" s="415"/>
      <c r="V125" s="132">
        <f t="shared" si="55"/>
        <v>0</v>
      </c>
      <c r="W125" s="133" t="str">
        <f t="shared" si="50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419" t="s">
        <v>203</v>
      </c>
      <c r="D126" s="108">
        <v>5.03</v>
      </c>
      <c r="E126" s="108"/>
      <c r="F126" s="127"/>
      <c r="G126" s="128"/>
      <c r="H126" s="423">
        <f t="shared" si="52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3"/>
        <v>0</v>
      </c>
      <c r="N126" s="130">
        <f t="shared" si="54"/>
        <v>0</v>
      </c>
      <c r="O126" s="415"/>
      <c r="P126" s="415"/>
      <c r="Q126" s="415"/>
      <c r="R126" s="415"/>
      <c r="S126" s="415"/>
      <c r="T126" s="415"/>
      <c r="U126" s="415"/>
      <c r="V126" s="132">
        <f t="shared" si="55"/>
        <v>0</v>
      </c>
      <c r="W126" s="133" t="str">
        <f t="shared" si="50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23">
        <f t="shared" si="52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3"/>
        <v>0</v>
      </c>
      <c r="N127" s="130">
        <f t="shared" si="54"/>
        <v>0</v>
      </c>
      <c r="O127" s="415"/>
      <c r="P127" s="415"/>
      <c r="Q127" s="415"/>
      <c r="R127" s="415"/>
      <c r="S127" s="415"/>
      <c r="T127" s="415"/>
      <c r="U127" s="415"/>
      <c r="V127" s="132">
        <f t="shared" si="55"/>
        <v>0</v>
      </c>
      <c r="W127" s="133" t="str">
        <f t="shared" si="50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23">
        <f t="shared" si="52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3"/>
        <v>0</v>
      </c>
      <c r="N128" s="130">
        <f t="shared" si="54"/>
        <v>0</v>
      </c>
      <c r="O128" s="415"/>
      <c r="P128" s="415"/>
      <c r="Q128" s="415"/>
      <c r="R128" s="415"/>
      <c r="S128" s="415"/>
      <c r="T128" s="415"/>
      <c r="U128" s="415"/>
      <c r="V128" s="132">
        <f t="shared" si="55"/>
        <v>0</v>
      </c>
      <c r="W128" s="133" t="str">
        <f t="shared" si="50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419" t="s">
        <v>228</v>
      </c>
      <c r="D129" s="108">
        <v>5.03</v>
      </c>
      <c r="E129" s="108"/>
      <c r="F129" s="127"/>
      <c r="G129" s="128"/>
      <c r="H129" s="423">
        <f t="shared" si="52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3"/>
        <v>0</v>
      </c>
      <c r="N129" s="130">
        <f t="shared" si="54"/>
        <v>0</v>
      </c>
      <c r="O129" s="415"/>
      <c r="P129" s="415"/>
      <c r="Q129" s="415"/>
      <c r="R129" s="415"/>
      <c r="S129" s="415"/>
      <c r="T129" s="415"/>
      <c r="U129" s="415"/>
      <c r="V129" s="132">
        <f t="shared" si="55"/>
        <v>0</v>
      </c>
      <c r="W129" s="133" t="str">
        <f t="shared" si="50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419" t="s">
        <v>212</v>
      </c>
      <c r="D130" s="108">
        <v>5.03</v>
      </c>
      <c r="E130" s="108"/>
      <c r="F130" s="127"/>
      <c r="G130" s="128"/>
      <c r="H130" s="423">
        <f t="shared" si="52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3"/>
        <v/>
      </c>
      <c r="N130" s="130">
        <f t="shared" si="54"/>
        <v>0</v>
      </c>
      <c r="O130" s="415"/>
      <c r="P130" s="415"/>
      <c r="Q130" s="415"/>
      <c r="R130" s="415"/>
      <c r="S130" s="415"/>
      <c r="T130" s="415"/>
      <c r="U130" s="415"/>
      <c r="V130" s="132">
        <f t="shared" si="55"/>
        <v>0</v>
      </c>
      <c r="W130" s="133" t="str">
        <f t="shared" si="50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419" t="s">
        <v>203</v>
      </c>
      <c r="D131" s="108">
        <v>5.03</v>
      </c>
      <c r="E131" s="108"/>
      <c r="F131" s="127"/>
      <c r="G131" s="128"/>
      <c r="H131" s="423">
        <f t="shared" si="52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3"/>
        <v/>
      </c>
      <c r="N131" s="130">
        <f t="shared" si="54"/>
        <v>0</v>
      </c>
      <c r="O131" s="415"/>
      <c r="P131" s="415"/>
      <c r="Q131" s="415"/>
      <c r="R131" s="415"/>
      <c r="S131" s="415"/>
      <c r="T131" s="415"/>
      <c r="U131" s="415"/>
      <c r="V131" s="132">
        <f t="shared" si="55"/>
        <v>0</v>
      </c>
      <c r="W131" s="133" t="str">
        <f t="shared" si="50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419" t="s">
        <v>186</v>
      </c>
      <c r="D132" s="108">
        <v>5.03</v>
      </c>
      <c r="E132" s="108"/>
      <c r="F132" s="127"/>
      <c r="G132" s="128"/>
      <c r="H132" s="423">
        <f t="shared" si="52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3"/>
        <v/>
      </c>
      <c r="N132" s="130">
        <f t="shared" si="54"/>
        <v>0</v>
      </c>
      <c r="O132" s="415"/>
      <c r="P132" s="415"/>
      <c r="Q132" s="415"/>
      <c r="R132" s="415"/>
      <c r="S132" s="415"/>
      <c r="T132" s="415"/>
      <c r="U132" s="415"/>
      <c r="V132" s="132">
        <f t="shared" si="55"/>
        <v>0</v>
      </c>
      <c r="W132" s="133" t="str">
        <f t="shared" si="50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419" t="s">
        <v>228</v>
      </c>
      <c r="D133" s="108">
        <v>5.03</v>
      </c>
      <c r="E133" s="108"/>
      <c r="F133" s="127"/>
      <c r="G133" s="128"/>
      <c r="H133" s="423">
        <f t="shared" si="52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3"/>
        <v/>
      </c>
      <c r="N133" s="130">
        <f t="shared" si="54"/>
        <v>0</v>
      </c>
      <c r="O133" s="415"/>
      <c r="P133" s="415"/>
      <c r="Q133" s="415"/>
      <c r="R133" s="415"/>
      <c r="S133" s="415"/>
      <c r="T133" s="415"/>
      <c r="U133" s="415"/>
      <c r="V133" s="132">
        <f t="shared" si="55"/>
        <v>0</v>
      </c>
      <c r="W133" s="133" t="str">
        <f t="shared" si="50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419" t="s">
        <v>199</v>
      </c>
      <c r="D134" s="108">
        <v>5.03</v>
      </c>
      <c r="E134" s="108"/>
      <c r="F134" s="127"/>
      <c r="G134" s="128"/>
      <c r="H134" s="423">
        <f t="shared" si="52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3"/>
        <v/>
      </c>
      <c r="N134" s="130">
        <f t="shared" si="54"/>
        <v>0</v>
      </c>
      <c r="O134" s="415"/>
      <c r="P134" s="415"/>
      <c r="Q134" s="415"/>
      <c r="R134" s="415"/>
      <c r="S134" s="415"/>
      <c r="T134" s="415"/>
      <c r="U134" s="415"/>
      <c r="V134" s="132">
        <f t="shared" si="55"/>
        <v>0</v>
      </c>
      <c r="W134" s="133" t="str">
        <f t="shared" si="50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23">
        <f t="shared" si="52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3"/>
        <v>0</v>
      </c>
      <c r="N135" s="130">
        <f t="shared" si="54"/>
        <v>0</v>
      </c>
      <c r="O135" s="415"/>
      <c r="P135" s="415"/>
      <c r="Q135" s="415"/>
      <c r="R135" s="415"/>
      <c r="S135" s="415"/>
      <c r="T135" s="415"/>
      <c r="U135" s="415"/>
      <c r="V135" s="132">
        <f t="shared" si="55"/>
        <v>0</v>
      </c>
      <c r="W135" s="133" t="str">
        <f t="shared" si="50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423">
        <f t="shared" si="52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3"/>
        <v>0</v>
      </c>
      <c r="N136" s="130">
        <f t="shared" si="54"/>
        <v>0</v>
      </c>
      <c r="O136" s="415"/>
      <c r="P136" s="415"/>
      <c r="Q136" s="415"/>
      <c r="R136" s="415"/>
      <c r="S136" s="415"/>
      <c r="T136" s="415"/>
      <c r="U136" s="415"/>
      <c r="V136" s="132">
        <f t="shared" si="55"/>
        <v>0</v>
      </c>
      <c r="W136" s="133" t="str">
        <f t="shared" si="50"/>
        <v/>
      </c>
      <c r="X136" s="132"/>
      <c r="Y136" s="132"/>
      <c r="Z136" s="132"/>
      <c r="AA136" s="132"/>
    </row>
    <row r="137" spans="1:27" ht="20.100000000000001" customHeight="1">
      <c r="A137" s="578" t="s">
        <v>231</v>
      </c>
      <c r="B137" s="579"/>
      <c r="C137" s="421" t="s">
        <v>202</v>
      </c>
      <c r="D137" s="143"/>
      <c r="E137" s="143"/>
      <c r="F137" s="144"/>
      <c r="G137" s="145">
        <f>SUM(G122:G136)</f>
        <v>600</v>
      </c>
      <c r="H137" s="146">
        <f>SUM(H122:H136)</f>
        <v>3024</v>
      </c>
      <c r="I137" s="146">
        <f>SUM(I122:I136)</f>
        <v>44</v>
      </c>
      <c r="J137" s="130">
        <f t="array" ref="J137">IF(ISERROR(G137/I137),"",G137/I137)</f>
        <v>13.636363636363637</v>
      </c>
      <c r="K137" s="146">
        <f>SUM(K122:K136)</f>
        <v>30</v>
      </c>
      <c r="L137" s="147"/>
      <c r="M137" s="150">
        <f>SUM(M122:M136)</f>
        <v>14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50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23">
        <f t="shared" ref="H138:H147" si="56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7">IF(ISERROR(I138-K138),"",I138-K138)</f>
        <v>0</v>
      </c>
      <c r="N138" s="130">
        <f t="shared" ref="N138:N142" si="58">SUM(O138:U138)</f>
        <v>0</v>
      </c>
      <c r="O138" s="415"/>
      <c r="P138" s="415"/>
      <c r="Q138" s="415"/>
      <c r="R138" s="415"/>
      <c r="S138" s="415"/>
      <c r="T138" s="415"/>
      <c r="U138" s="415"/>
      <c r="V138" s="132">
        <f t="shared" ref="V138:V142" si="59">SUM(X138:AA138)</f>
        <v>0</v>
      </c>
      <c r="W138" s="133" t="str">
        <f t="shared" si="50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23">
        <f t="shared" si="56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7"/>
        <v>0</v>
      </c>
      <c r="N139" s="130">
        <f t="shared" si="58"/>
        <v>0</v>
      </c>
      <c r="O139" s="415"/>
      <c r="P139" s="415"/>
      <c r="Q139" s="415"/>
      <c r="R139" s="415"/>
      <c r="S139" s="415"/>
      <c r="T139" s="415"/>
      <c r="U139" s="415"/>
      <c r="V139" s="132">
        <f t="shared" si="59"/>
        <v>0</v>
      </c>
      <c r="W139" s="133" t="str">
        <f t="shared" si="50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23">
        <f t="shared" si="56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7"/>
        <v>0</v>
      </c>
      <c r="N140" s="130">
        <f t="shared" si="58"/>
        <v>0</v>
      </c>
      <c r="O140" s="415"/>
      <c r="P140" s="415"/>
      <c r="Q140" s="415"/>
      <c r="R140" s="415"/>
      <c r="S140" s="415"/>
      <c r="T140" s="415"/>
      <c r="U140" s="415"/>
      <c r="V140" s="132">
        <f t="shared" si="59"/>
        <v>0</v>
      </c>
      <c r="W140" s="133" t="str">
        <f t="shared" si="50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423">
        <f t="shared" si="56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7"/>
        <v>0</v>
      </c>
      <c r="N141" s="130">
        <f t="shared" si="58"/>
        <v>0</v>
      </c>
      <c r="O141" s="415"/>
      <c r="P141" s="415"/>
      <c r="Q141" s="415"/>
      <c r="R141" s="415"/>
      <c r="S141" s="415"/>
      <c r="T141" s="415"/>
      <c r="U141" s="415"/>
      <c r="V141" s="132">
        <f t="shared" si="59"/>
        <v>0</v>
      </c>
      <c r="W141" s="133" t="str">
        <f t="shared" si="50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23">
        <f t="shared" si="56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7"/>
        <v>0</v>
      </c>
      <c r="N142" s="130">
        <f t="shared" si="58"/>
        <v>0</v>
      </c>
      <c r="O142" s="415"/>
      <c r="P142" s="415"/>
      <c r="Q142" s="415"/>
      <c r="R142" s="415"/>
      <c r="S142" s="415"/>
      <c r="T142" s="415"/>
      <c r="U142" s="415"/>
      <c r="V142" s="132">
        <f t="shared" si="59"/>
        <v>0</v>
      </c>
      <c r="W142" s="133" t="str">
        <f t="shared" si="50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423">
        <f t="shared" si="56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415"/>
      <c r="P143" s="415"/>
      <c r="Q143" s="415"/>
      <c r="R143" s="415"/>
      <c r="S143" s="415"/>
      <c r="T143" s="415"/>
      <c r="U143" s="415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/>
      <c r="G144" s="128"/>
      <c r="H144" s="423">
        <f t="shared" si="56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415"/>
      <c r="P144" s="415"/>
      <c r="Q144" s="415"/>
      <c r="R144" s="415"/>
      <c r="S144" s="415"/>
      <c r="T144" s="415"/>
      <c r="U144" s="415"/>
      <c r="V144" s="132"/>
      <c r="W144" s="133"/>
      <c r="X144" s="132"/>
      <c r="Y144" s="132"/>
      <c r="Z144" s="132"/>
      <c r="AA144" s="132"/>
    </row>
    <row r="145" spans="1:27" ht="20.100000000000001" customHeight="1">
      <c r="A145" s="300">
        <v>30400021</v>
      </c>
      <c r="B145" s="134" t="s">
        <v>439</v>
      </c>
      <c r="C145" s="187" t="s">
        <v>53</v>
      </c>
      <c r="D145" s="108">
        <v>5.04</v>
      </c>
      <c r="E145" s="108"/>
      <c r="F145" s="127">
        <v>42737</v>
      </c>
      <c r="G145" s="128">
        <f>90*6+90</f>
        <v>630</v>
      </c>
      <c r="H145" s="423">
        <f t="shared" si="56"/>
        <v>3175.2</v>
      </c>
      <c r="I145" s="129">
        <f>11*4</f>
        <v>44</v>
      </c>
      <c r="J145" s="130">
        <f t="array" ref="J145">IF(ISERROR(G145/I145),"",G145/I145)</f>
        <v>14.318181818181818</v>
      </c>
      <c r="K145" s="131">
        <f t="array" ref="K145">IF(ISERROR(G145/L145),"",G145/L145)</f>
        <v>46.666666666666664</v>
      </c>
      <c r="L145" s="129">
        <v>13.5</v>
      </c>
      <c r="M145" s="109">
        <f t="shared" ref="M145" si="60">IF(ISERROR(I145-K145),"",I145-K145)</f>
        <v>-2.6666666666666643</v>
      </c>
      <c r="N145" s="130"/>
      <c r="O145" s="415"/>
      <c r="P145" s="415"/>
      <c r="Q145" s="415"/>
      <c r="R145" s="415"/>
      <c r="S145" s="415"/>
      <c r="T145" s="415"/>
      <c r="U145" s="415"/>
      <c r="V145" s="132"/>
      <c r="W145" s="133"/>
      <c r="X145" s="132"/>
      <c r="Y145" s="132"/>
      <c r="Z145" s="132"/>
      <c r="AA145" s="132"/>
    </row>
    <row r="146" spans="1:27" ht="20.10000000000000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/>
      <c r="G146" s="128"/>
      <c r="H146" s="438">
        <f t="shared" si="56"/>
        <v>0</v>
      </c>
      <c r="I146" s="129"/>
      <c r="J146" s="130"/>
      <c r="K146" s="131">
        <f t="array" ref="K146">IF(ISERROR(G146/L146),"",G146/L146)</f>
        <v>0</v>
      </c>
      <c r="L146" s="129">
        <v>13.5</v>
      </c>
      <c r="M146" s="109"/>
      <c r="N146" s="130"/>
      <c r="O146" s="446"/>
      <c r="P146" s="446"/>
      <c r="Q146" s="446"/>
      <c r="R146" s="446"/>
      <c r="S146" s="446"/>
      <c r="T146" s="446"/>
      <c r="U146" s="446"/>
      <c r="V146" s="132"/>
      <c r="W146" s="133"/>
      <c r="X146" s="132"/>
      <c r="Y146" s="132"/>
      <c r="Z146" s="132"/>
      <c r="AA146" s="132"/>
    </row>
    <row r="147" spans="1:27" ht="20.100000000000001" hidden="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28"/>
      <c r="H147" s="423">
        <f t="shared" si="56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ref="M147" si="61">IF(ISERROR(I147-K147),"",I147-K147)</f>
        <v>0</v>
      </c>
      <c r="N147" s="130">
        <f t="shared" ref="N147" si="62">SUM(O147:U147)</f>
        <v>0</v>
      </c>
      <c r="O147" s="415"/>
      <c r="P147" s="415"/>
      <c r="Q147" s="415"/>
      <c r="R147" s="415"/>
      <c r="S147" s="415"/>
      <c r="T147" s="415"/>
      <c r="U147" s="415"/>
      <c r="V147" s="132">
        <f t="shared" ref="V147" si="63">SUM(X147:AA147)</f>
        <v>0</v>
      </c>
      <c r="W147" s="133" t="str">
        <f t="shared" ref="W147:W152" si="64">IF(ISERROR(V147/G147),"",V147/G147)</f>
        <v/>
      </c>
      <c r="X147" s="132"/>
      <c r="Y147" s="132"/>
      <c r="Z147" s="132"/>
      <c r="AA147" s="132"/>
    </row>
    <row r="148" spans="1:27" ht="20.100000000000001" customHeight="1">
      <c r="A148" s="578" t="s">
        <v>234</v>
      </c>
      <c r="B148" s="579"/>
      <c r="C148" s="421" t="s">
        <v>202</v>
      </c>
      <c r="D148" s="143"/>
      <c r="E148" s="143"/>
      <c r="F148" s="144"/>
      <c r="G148" s="145">
        <f>SUM(G138:G147)</f>
        <v>630</v>
      </c>
      <c r="H148" s="146">
        <f>SUM(H138:H147)</f>
        <v>3175.2</v>
      </c>
      <c r="I148" s="146">
        <f>SUM(I138:I147)</f>
        <v>44</v>
      </c>
      <c r="J148" s="130">
        <f t="array" ref="J148">IF(ISERROR(G148/I148),"",G148/I148)</f>
        <v>14.318181818181818</v>
      </c>
      <c r="K148" s="146">
        <f>SUM(K138:K147)</f>
        <v>46.666666666666664</v>
      </c>
      <c r="L148" s="147"/>
      <c r="M148" s="150">
        <f>SUM(M138:M147)</f>
        <v>-2.6666666666666643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>
        <f t="shared" si="64"/>
        <v>0</v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hidden="1" customHeight="1">
      <c r="A149" s="299">
        <v>30700013</v>
      </c>
      <c r="B149" s="298" t="s">
        <v>103</v>
      </c>
      <c r="C149" s="413"/>
      <c r="D149" s="108">
        <v>3.65</v>
      </c>
      <c r="E149" s="108"/>
      <c r="F149" s="153"/>
      <c r="G149" s="128"/>
      <c r="H149" s="423">
        <f t="shared" ref="H149:H162" si="65">D149*G149</f>
        <v>0</v>
      </c>
      <c r="I149" s="129"/>
      <c r="J149" s="130" t="str">
        <f t="array" ref="J149">IF(ISERROR(G149/I149),"",G149/I149)</f>
        <v/>
      </c>
      <c r="K149" s="423">
        <f t="array" ref="K149">IF(ISERROR(G149/L149),"",G149/L149)</f>
        <v>0</v>
      </c>
      <c r="L149" s="129">
        <v>5</v>
      </c>
      <c r="M149" s="109">
        <f t="shared" ref="M149:M152" si="66">IF(ISERROR(I149-K149),"",I149-K149)</f>
        <v>0</v>
      </c>
      <c r="N149" s="130">
        <f t="shared" ref="N149:N152" si="67">SUM(O149:U149)</f>
        <v>0</v>
      </c>
      <c r="O149" s="415"/>
      <c r="P149" s="415"/>
      <c r="Q149" s="415"/>
      <c r="R149" s="415"/>
      <c r="S149" s="415"/>
      <c r="T149" s="415"/>
      <c r="U149" s="415"/>
      <c r="V149" s="132">
        <f t="shared" ref="V149:V152" si="68">SUM(X149:AA149)</f>
        <v>0</v>
      </c>
      <c r="W149" s="133" t="str">
        <f t="shared" si="64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30700014</v>
      </c>
      <c r="B150" s="141" t="s">
        <v>236</v>
      </c>
      <c r="C150" s="413"/>
      <c r="D150" s="108">
        <v>6.58</v>
      </c>
      <c r="E150" s="108"/>
      <c r="F150" s="127"/>
      <c r="G150" s="128"/>
      <c r="H150" s="423">
        <f t="shared" si="65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5</v>
      </c>
      <c r="M150" s="109">
        <f t="shared" si="66"/>
        <v>0</v>
      </c>
      <c r="N150" s="130">
        <f t="shared" si="67"/>
        <v>0</v>
      </c>
      <c r="O150" s="415"/>
      <c r="P150" s="415"/>
      <c r="Q150" s="415"/>
      <c r="R150" s="415"/>
      <c r="S150" s="415"/>
      <c r="T150" s="415"/>
      <c r="U150" s="415"/>
      <c r="V150" s="132">
        <f t="shared" si="68"/>
        <v>0</v>
      </c>
      <c r="W150" s="133" t="str">
        <f t="shared" si="64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30700016</v>
      </c>
      <c r="B151" s="141" t="s">
        <v>237</v>
      </c>
      <c r="C151" s="413"/>
      <c r="D151" s="108">
        <v>7.8</v>
      </c>
      <c r="E151" s="108"/>
      <c r="F151" s="127"/>
      <c r="G151" s="128"/>
      <c r="H151" s="423">
        <f t="shared" si="65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4.5999999999999996</v>
      </c>
      <c r="M151" s="109">
        <f t="shared" si="66"/>
        <v>0</v>
      </c>
      <c r="N151" s="130">
        <f t="shared" si="67"/>
        <v>0</v>
      </c>
      <c r="O151" s="415"/>
      <c r="P151" s="415"/>
      <c r="Q151" s="415"/>
      <c r="R151" s="415"/>
      <c r="S151" s="415"/>
      <c r="T151" s="415"/>
      <c r="U151" s="415"/>
      <c r="V151" s="132">
        <f t="shared" si="68"/>
        <v>0</v>
      </c>
      <c r="W151" s="133" t="str">
        <f t="shared" si="64"/>
        <v/>
      </c>
      <c r="X151" s="132"/>
      <c r="Y151" s="132"/>
      <c r="Z151" s="132"/>
      <c r="AA151" s="132"/>
    </row>
    <row r="152" spans="1:27" ht="20.100000000000001" hidden="1" customHeight="1">
      <c r="A152" s="299">
        <v>30700017</v>
      </c>
      <c r="B152" s="141" t="s">
        <v>238</v>
      </c>
      <c r="C152" s="413"/>
      <c r="D152" s="108">
        <v>4.4000000000000004</v>
      </c>
      <c r="E152" s="108"/>
      <c r="F152" s="127"/>
      <c r="G152" s="128"/>
      <c r="H152" s="423">
        <f t="shared" si="65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5.8</v>
      </c>
      <c r="M152" s="109">
        <f t="shared" si="66"/>
        <v>0</v>
      </c>
      <c r="N152" s="130">
        <f t="shared" si="67"/>
        <v>0</v>
      </c>
      <c r="O152" s="415"/>
      <c r="P152" s="415"/>
      <c r="Q152" s="415"/>
      <c r="R152" s="415"/>
      <c r="S152" s="415"/>
      <c r="T152" s="415"/>
      <c r="U152" s="415"/>
      <c r="V152" s="132">
        <f t="shared" si="68"/>
        <v>0</v>
      </c>
      <c r="W152" s="133" t="str">
        <f t="shared" si="64"/>
        <v/>
      </c>
      <c r="X152" s="132"/>
      <c r="Y152" s="132"/>
      <c r="Z152" s="132"/>
      <c r="AA152" s="132"/>
    </row>
    <row r="153" spans="1:27" ht="20.100000000000001" hidden="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28"/>
      <c r="H153" s="423">
        <f t="shared" si="65"/>
        <v>0</v>
      </c>
      <c r="I153" s="129"/>
      <c r="J153" s="130"/>
      <c r="K153" s="131"/>
      <c r="L153" s="129">
        <v>6</v>
      </c>
      <c r="M153" s="109"/>
      <c r="N153" s="130"/>
      <c r="O153" s="415"/>
      <c r="P153" s="415"/>
      <c r="Q153" s="415"/>
      <c r="R153" s="415"/>
      <c r="S153" s="415"/>
      <c r="T153" s="415"/>
      <c r="U153" s="415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5"/>
      <c r="B154" s="413" t="s">
        <v>239</v>
      </c>
      <c r="C154" s="413" t="s">
        <v>179</v>
      </c>
      <c r="D154" s="108">
        <v>6.04</v>
      </c>
      <c r="E154" s="108"/>
      <c r="F154" s="127"/>
      <c r="G154" s="128"/>
      <c r="H154" s="423">
        <f t="shared" si="65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5" si="69">IF(ISERROR(I154-K154),"",I154-K154)</f>
        <v>0</v>
      </c>
      <c r="N154" s="130">
        <f t="shared" ref="N154:N155" si="70">SUM(O154:U154)</f>
        <v>0</v>
      </c>
      <c r="O154" s="415"/>
      <c r="P154" s="415"/>
      <c r="Q154" s="415"/>
      <c r="R154" s="415"/>
      <c r="S154" s="415"/>
      <c r="T154" s="415"/>
      <c r="U154" s="415"/>
      <c r="V154" s="132">
        <f t="shared" ref="V154:V155" si="71">SUM(X154:AA154)</f>
        <v>0</v>
      </c>
      <c r="W154" s="133" t="str">
        <f t="shared" ref="W154:W155" si="72">IF(ISERROR(V154/G154),"",V154/G154)</f>
        <v/>
      </c>
      <c r="X154" s="132"/>
      <c r="Y154" s="132"/>
      <c r="Z154" s="132"/>
      <c r="AA154" s="132"/>
    </row>
    <row r="155" spans="1:27" ht="20.100000000000001" hidden="1" customHeight="1">
      <c r="A155" s="305">
        <v>30700019</v>
      </c>
      <c r="B155" s="413" t="s">
        <v>239</v>
      </c>
      <c r="C155" s="413" t="s">
        <v>186</v>
      </c>
      <c r="D155" s="108">
        <v>6.04</v>
      </c>
      <c r="E155" s="108"/>
      <c r="F155" s="127"/>
      <c r="G155" s="128"/>
      <c r="H155" s="423">
        <f t="shared" si="65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9"/>
        <v>0</v>
      </c>
      <c r="N155" s="130">
        <f t="shared" si="70"/>
        <v>0</v>
      </c>
      <c r="O155" s="415"/>
      <c r="P155" s="415"/>
      <c r="Q155" s="415"/>
      <c r="R155" s="415"/>
      <c r="S155" s="415"/>
      <c r="T155" s="415"/>
      <c r="U155" s="415"/>
      <c r="V155" s="132">
        <f t="shared" si="71"/>
        <v>0</v>
      </c>
      <c r="W155" s="133" t="str">
        <f t="shared" si="72"/>
        <v/>
      </c>
      <c r="X155" s="132"/>
      <c r="Y155" s="132"/>
      <c r="Z155" s="132"/>
      <c r="AA155" s="132"/>
    </row>
    <row r="156" spans="1:27" ht="20.100000000000001" hidden="1" customHeight="1">
      <c r="A156" s="305">
        <v>30601015</v>
      </c>
      <c r="B156" s="413" t="s">
        <v>443</v>
      </c>
      <c r="C156" s="413" t="s">
        <v>179</v>
      </c>
      <c r="D156" s="108">
        <v>6</v>
      </c>
      <c r="E156" s="108"/>
      <c r="F156" s="127"/>
      <c r="G156" s="128"/>
      <c r="H156" s="423">
        <f t="shared" si="65"/>
        <v>0</v>
      </c>
      <c r="I156" s="129"/>
      <c r="J156" s="130"/>
      <c r="K156" s="131"/>
      <c r="L156" s="129"/>
      <c r="M156" s="109"/>
      <c r="N156" s="130"/>
      <c r="O156" s="415"/>
      <c r="P156" s="415"/>
      <c r="Q156" s="415"/>
      <c r="R156" s="415"/>
      <c r="S156" s="415"/>
      <c r="T156" s="415"/>
      <c r="U156" s="415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305">
        <v>30101016</v>
      </c>
      <c r="B157" s="413" t="s">
        <v>443</v>
      </c>
      <c r="C157" s="413" t="s">
        <v>60</v>
      </c>
      <c r="D157" s="108">
        <v>6</v>
      </c>
      <c r="E157" s="108"/>
      <c r="F157" s="127"/>
      <c r="G157" s="128"/>
      <c r="H157" s="423">
        <f t="shared" si="65"/>
        <v>0</v>
      </c>
      <c r="I157" s="129"/>
      <c r="J157" s="130"/>
      <c r="K157" s="131"/>
      <c r="L157" s="129">
        <v>6</v>
      </c>
      <c r="M157" s="109"/>
      <c r="N157" s="130"/>
      <c r="O157" s="415"/>
      <c r="P157" s="415"/>
      <c r="Q157" s="415"/>
      <c r="R157" s="415"/>
      <c r="S157" s="415"/>
      <c r="T157" s="415"/>
      <c r="U157" s="415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299">
        <v>30700018</v>
      </c>
      <c r="B158" s="414" t="s">
        <v>240</v>
      </c>
      <c r="C158" s="126"/>
      <c r="D158" s="108">
        <v>7.3</v>
      </c>
      <c r="E158" s="108"/>
      <c r="F158" s="127"/>
      <c r="G158" s="128"/>
      <c r="H158" s="423">
        <f t="shared" si="65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3">IF(ISERROR(I158-K158),"",I158-K158)</f>
        <v/>
      </c>
      <c r="N158" s="130">
        <f t="shared" ref="N158:N159" si="74">SUM(O158:U158)</f>
        <v>0</v>
      </c>
      <c r="O158" s="415"/>
      <c r="P158" s="415"/>
      <c r="Q158" s="415"/>
      <c r="R158" s="415"/>
      <c r="S158" s="415"/>
      <c r="T158" s="415"/>
      <c r="U158" s="415"/>
      <c r="V158" s="132">
        <f t="shared" ref="V158:V159" si="75">SUM(X158:AA158)</f>
        <v>0</v>
      </c>
      <c r="W158" s="133" t="str">
        <f t="shared" ref="W158:W159" si="76">IF(ISERROR(V158/G158),"",V158/G158)</f>
        <v/>
      </c>
      <c r="X158" s="132"/>
      <c r="Y158" s="132"/>
      <c r="Z158" s="132"/>
      <c r="AA158" s="132"/>
    </row>
    <row r="159" spans="1:27" ht="20.100000000000001" hidden="1" customHeight="1">
      <c r="A159" s="299">
        <v>30700010</v>
      </c>
      <c r="B159" s="414" t="s">
        <v>241</v>
      </c>
      <c r="C159" s="126"/>
      <c r="D159" s="108">
        <f>78*120/1000</f>
        <v>9.36</v>
      </c>
      <c r="E159" s="108"/>
      <c r="F159" s="127"/>
      <c r="G159" s="128"/>
      <c r="H159" s="423">
        <f t="shared" si="65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4"/>
        <v>0</v>
      </c>
      <c r="O159" s="415"/>
      <c r="P159" s="415"/>
      <c r="Q159" s="415"/>
      <c r="R159" s="415"/>
      <c r="S159" s="415"/>
      <c r="T159" s="415"/>
      <c r="U159" s="415"/>
      <c r="V159" s="132">
        <f t="shared" si="75"/>
        <v>0</v>
      </c>
      <c r="W159" s="133" t="str">
        <f t="shared" si="76"/>
        <v/>
      </c>
      <c r="X159" s="132"/>
      <c r="Y159" s="132"/>
      <c r="Z159" s="132"/>
      <c r="AA159" s="132"/>
    </row>
    <row r="160" spans="1:27" ht="20.100000000000001" hidden="1" customHeight="1">
      <c r="A160" s="299">
        <v>30700015</v>
      </c>
      <c r="B160" s="414" t="s">
        <v>242</v>
      </c>
      <c r="C160" s="126"/>
      <c r="D160" s="108">
        <v>4.5</v>
      </c>
      <c r="E160" s="108"/>
      <c r="F160" s="127"/>
      <c r="G160" s="128"/>
      <c r="H160" s="423">
        <f t="shared" si="65"/>
        <v>0</v>
      </c>
      <c r="I160" s="129"/>
      <c r="J160" s="130"/>
      <c r="K160" s="131"/>
      <c r="L160" s="129"/>
      <c r="M160" s="109"/>
      <c r="N160" s="130"/>
      <c r="O160" s="415"/>
      <c r="P160" s="415"/>
      <c r="Q160" s="415"/>
      <c r="R160" s="415"/>
      <c r="S160" s="415"/>
      <c r="T160" s="415"/>
      <c r="U160" s="415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299">
        <v>30700012</v>
      </c>
      <c r="B161" s="414" t="s">
        <v>243</v>
      </c>
      <c r="C161" s="126"/>
      <c r="D161" s="108">
        <v>4.5</v>
      </c>
      <c r="E161" s="108"/>
      <c r="F161" s="127"/>
      <c r="G161" s="128"/>
      <c r="H161" s="423">
        <f t="shared" si="65"/>
        <v>0</v>
      </c>
      <c r="I161" s="129"/>
      <c r="J161" s="130"/>
      <c r="K161" s="131"/>
      <c r="L161" s="129"/>
      <c r="M161" s="109"/>
      <c r="N161" s="130"/>
      <c r="O161" s="415"/>
      <c r="P161" s="415"/>
      <c r="Q161" s="415"/>
      <c r="R161" s="415"/>
      <c r="S161" s="415"/>
      <c r="T161" s="415"/>
      <c r="U161" s="415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306">
        <v>30101063</v>
      </c>
      <c r="B162" s="254" t="s">
        <v>436</v>
      </c>
      <c r="C162" s="126"/>
      <c r="D162" s="108">
        <v>5.03</v>
      </c>
      <c r="E162" s="108"/>
      <c r="F162" s="127"/>
      <c r="G162" s="128"/>
      <c r="H162" s="423">
        <f t="shared" si="65"/>
        <v>0</v>
      </c>
      <c r="I162" s="129"/>
      <c r="J162" s="130"/>
      <c r="K162" s="131"/>
      <c r="L162" s="129"/>
      <c r="M162" s="109"/>
      <c r="N162" s="130"/>
      <c r="O162" s="415"/>
      <c r="P162" s="415"/>
      <c r="Q162" s="415"/>
      <c r="R162" s="415"/>
      <c r="S162" s="415"/>
      <c r="T162" s="415"/>
      <c r="U162" s="415"/>
      <c r="V162" s="132"/>
      <c r="W162" s="133"/>
      <c r="X162" s="132"/>
      <c r="Y162" s="132"/>
      <c r="Z162" s="132"/>
      <c r="AA162" s="132"/>
    </row>
    <row r="163" spans="1:27" ht="20.100000000000001" hidden="1" customHeight="1">
      <c r="A163" s="578" t="s">
        <v>244</v>
      </c>
      <c r="B163" s="579"/>
      <c r="C163" s="421" t="s">
        <v>202</v>
      </c>
      <c r="D163" s="143"/>
      <c r="E163" s="143"/>
      <c r="F163" s="144"/>
      <c r="G163" s="145">
        <f>SUM(G149:G161)</f>
        <v>0</v>
      </c>
      <c r="H163" s="146">
        <f>SUM(H149:H159)</f>
        <v>0</v>
      </c>
      <c r="I163" s="146">
        <f>SUM(I149:I161)</f>
        <v>0</v>
      </c>
      <c r="J163" s="130" t="str">
        <f t="array" ref="J163">IF(ISERROR(G163/I163),"",G163/I163)</f>
        <v/>
      </c>
      <c r="K163" s="146">
        <f>SUM(K149:K159)</f>
        <v>0</v>
      </c>
      <c r="L163" s="147"/>
      <c r="M163" s="150">
        <f t="shared" ref="M163:V163" si="77">SUM(M149:M159)</f>
        <v>0</v>
      </c>
      <c r="N163" s="146">
        <f t="shared" si="77"/>
        <v>0</v>
      </c>
      <c r="O163" s="148">
        <f t="shared" si="77"/>
        <v>0</v>
      </c>
      <c r="P163" s="148">
        <f t="shared" si="77"/>
        <v>0</v>
      </c>
      <c r="Q163" s="148">
        <f t="shared" si="77"/>
        <v>0</v>
      </c>
      <c r="R163" s="148">
        <f t="shared" si="77"/>
        <v>0</v>
      </c>
      <c r="S163" s="148">
        <f t="shared" si="77"/>
        <v>0</v>
      </c>
      <c r="T163" s="148">
        <f t="shared" si="77"/>
        <v>0</v>
      </c>
      <c r="U163" s="148">
        <f t="shared" si="77"/>
        <v>0</v>
      </c>
      <c r="V163" s="149">
        <f t="shared" si="77"/>
        <v>0</v>
      </c>
      <c r="W163" s="133" t="str">
        <f>IF(ISERROR(V163/G163),"",V163/G163)</f>
        <v/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580" t="s">
        <v>246</v>
      </c>
      <c r="B164" s="581"/>
      <c r="C164" s="581"/>
      <c r="D164" s="581"/>
      <c r="E164" s="581"/>
      <c r="F164" s="582"/>
      <c r="G164" s="154">
        <f>SUM(G28,G86,G121,G137,G148,G163)</f>
        <v>6009</v>
      </c>
      <c r="H164" s="154">
        <f>SUM(H28,H86,H121,H137,H148,H163)</f>
        <v>30305.98</v>
      </c>
      <c r="I164" s="154">
        <f>SUM(I28,I86,I121,I137,I148,I163)</f>
        <v>309.5</v>
      </c>
      <c r="J164" s="155">
        <f t="array" ref="J164">IF(ISERROR(G164/I164),"",G164/I164)</f>
        <v>19.41518578352181</v>
      </c>
      <c r="K164" s="154">
        <f>SUM(K28,K86,K121,K137,K148,K163)</f>
        <v>330.92951411608499</v>
      </c>
      <c r="L164" s="155">
        <f>IF(ISERROR(G164/K164),"",G164/K164)</f>
        <v>18.15794525323642</v>
      </c>
      <c r="M164" s="154">
        <f t="shared" ref="M164:AA164" si="78">SUM(M28,M86,M121,M137,M148,M163)</f>
        <v>-21.429514116084952</v>
      </c>
      <c r="N164" s="154">
        <f t="shared" si="78"/>
        <v>0</v>
      </c>
      <c r="O164" s="154">
        <f t="shared" si="78"/>
        <v>0</v>
      </c>
      <c r="P164" s="154">
        <f t="shared" si="78"/>
        <v>0</v>
      </c>
      <c r="Q164" s="154">
        <f t="shared" si="78"/>
        <v>0</v>
      </c>
      <c r="R164" s="154">
        <f t="shared" si="78"/>
        <v>0</v>
      </c>
      <c r="S164" s="154">
        <f t="shared" si="78"/>
        <v>0</v>
      </c>
      <c r="T164" s="154">
        <f t="shared" si="78"/>
        <v>0</v>
      </c>
      <c r="U164" s="154">
        <f t="shared" si="78"/>
        <v>0</v>
      </c>
      <c r="V164" s="154">
        <f t="shared" si="78"/>
        <v>0</v>
      </c>
      <c r="W164" s="154">
        <f t="shared" si="78"/>
        <v>0</v>
      </c>
      <c r="X164" s="154">
        <f t="shared" si="78"/>
        <v>0</v>
      </c>
      <c r="Y164" s="154">
        <f t="shared" si="78"/>
        <v>0</v>
      </c>
      <c r="Z164" s="154">
        <f t="shared" si="78"/>
        <v>0</v>
      </c>
      <c r="AA164" s="154">
        <f t="shared" si="78"/>
        <v>0</v>
      </c>
    </row>
    <row r="165" spans="1:27" ht="20.100000000000001" customHeight="1">
      <c r="A165" s="583" t="s">
        <v>476</v>
      </c>
      <c r="B165" s="420" t="s">
        <v>247</v>
      </c>
      <c r="C165" s="586" t="s">
        <v>248</v>
      </c>
      <c r="D165" s="587"/>
      <c r="E165" s="588" t="s">
        <v>249</v>
      </c>
      <c r="F165" s="588"/>
      <c r="G165" s="591" t="s">
        <v>250</v>
      </c>
      <c r="H165" s="591"/>
      <c r="I165" s="588" t="s">
        <v>251</v>
      </c>
      <c r="J165" s="588"/>
      <c r="K165" s="588" t="s">
        <v>252</v>
      </c>
      <c r="L165" s="588"/>
      <c r="M165" s="588" t="s">
        <v>253</v>
      </c>
      <c r="N165" s="588"/>
      <c r="O165" s="588" t="s">
        <v>254</v>
      </c>
      <c r="P165" s="591" t="s">
        <v>255</v>
      </c>
      <c r="Q165" s="591"/>
      <c r="R165" s="591" t="s">
        <v>252</v>
      </c>
      <c r="S165" s="591"/>
      <c r="T165" s="591" t="s">
        <v>256</v>
      </c>
      <c r="U165" s="591"/>
      <c r="V165" s="591" t="s">
        <v>257</v>
      </c>
      <c r="W165" s="591"/>
      <c r="X165" s="591" t="s">
        <v>252</v>
      </c>
      <c r="Y165" s="591"/>
      <c r="Z165" s="591" t="s">
        <v>256</v>
      </c>
      <c r="AA165" s="591"/>
    </row>
    <row r="166" spans="1:27" ht="20.100000000000001" customHeight="1">
      <c r="A166" s="584"/>
      <c r="B166" s="420" t="s">
        <v>258</v>
      </c>
      <c r="C166" s="586">
        <v>1</v>
      </c>
      <c r="D166" s="587"/>
      <c r="E166" s="590">
        <f>C166*11</f>
        <v>11</v>
      </c>
      <c r="F166" s="590"/>
      <c r="G166" s="591">
        <v>1</v>
      </c>
      <c r="H166" s="591"/>
      <c r="I166" s="590">
        <f>G166*11</f>
        <v>11</v>
      </c>
      <c r="J166" s="590"/>
      <c r="K166" s="590">
        <f>E166-I166</f>
        <v>0</v>
      </c>
      <c r="L166" s="590"/>
      <c r="M166" s="592">
        <f>IF(ISERROR(K166/E166),"",K166/E166)</f>
        <v>0</v>
      </c>
      <c r="N166" s="592"/>
      <c r="O166" s="588"/>
      <c r="P166" s="591" t="s">
        <v>201</v>
      </c>
      <c r="Q166" s="591"/>
      <c r="R166" s="593">
        <f>SUM(O28:U28)</f>
        <v>0</v>
      </c>
      <c r="S166" s="593"/>
      <c r="T166" s="594" t="str">
        <f t="array" ref="T166">IF(ISERROR(R166/R173),"",R166/R173)</f>
        <v/>
      </c>
      <c r="U166" s="594"/>
      <c r="V166" s="591" t="s">
        <v>259</v>
      </c>
      <c r="W166" s="591"/>
      <c r="X166" s="595">
        <f>SUM(P27,P85,P120,P136,P147,P161)</f>
        <v>0</v>
      </c>
      <c r="Y166" s="595"/>
      <c r="Z166" s="594" t="str">
        <f t="array" ref="Z166">IF(ISERROR(X166/X173),"",X166/X173)</f>
        <v/>
      </c>
      <c r="AA166" s="594"/>
    </row>
    <row r="167" spans="1:27" ht="20.100000000000001" customHeight="1">
      <c r="A167" s="584"/>
      <c r="B167" s="420" t="s">
        <v>260</v>
      </c>
      <c r="C167" s="586">
        <v>1</v>
      </c>
      <c r="D167" s="587"/>
      <c r="E167" s="590">
        <f>C167*11</f>
        <v>11</v>
      </c>
      <c r="F167" s="590"/>
      <c r="G167" s="591">
        <v>1</v>
      </c>
      <c r="H167" s="591"/>
      <c r="I167" s="590">
        <f>G167*11</f>
        <v>11</v>
      </c>
      <c r="J167" s="590"/>
      <c r="K167" s="590">
        <f>E167-I167</f>
        <v>0</v>
      </c>
      <c r="L167" s="590"/>
      <c r="M167" s="592">
        <f>IF(ISERROR(K167/E167),"",K167/E167)</f>
        <v>0</v>
      </c>
      <c r="N167" s="592"/>
      <c r="O167" s="588"/>
      <c r="P167" s="591" t="s">
        <v>216</v>
      </c>
      <c r="Q167" s="591"/>
      <c r="R167" s="593">
        <f>SUM(O86:U86)</f>
        <v>0</v>
      </c>
      <c r="S167" s="593"/>
      <c r="T167" s="594" t="str">
        <f>IF(ISERROR(R167/R173),"",R167/R173)</f>
        <v/>
      </c>
      <c r="U167" s="594"/>
      <c r="V167" s="591" t="s">
        <v>261</v>
      </c>
      <c r="W167" s="591"/>
      <c r="X167" s="595">
        <f>SUM(P28,P86,P121,P137,P148,P163)</f>
        <v>0</v>
      </c>
      <c r="Y167" s="595"/>
      <c r="Z167" s="594" t="str">
        <f>IF(ISERROR(X167/X173),"",X167/X173)</f>
        <v/>
      </c>
      <c r="AA167" s="594"/>
    </row>
    <row r="168" spans="1:27" ht="20.100000000000001" customHeight="1">
      <c r="A168" s="584"/>
      <c r="B168" s="420" t="s">
        <v>262</v>
      </c>
      <c r="C168" s="586">
        <v>1</v>
      </c>
      <c r="D168" s="587"/>
      <c r="E168" s="590">
        <f>C168*8</f>
        <v>8</v>
      </c>
      <c r="F168" s="590"/>
      <c r="G168" s="591">
        <v>1</v>
      </c>
      <c r="H168" s="591"/>
      <c r="I168" s="590">
        <f>G168*8</f>
        <v>8</v>
      </c>
      <c r="J168" s="590"/>
      <c r="K168" s="590">
        <f>E168-I168</f>
        <v>0</v>
      </c>
      <c r="L168" s="590"/>
      <c r="M168" s="592">
        <f>IF(ISERROR(K168/E168),"",K168/E168)</f>
        <v>0</v>
      </c>
      <c r="N168" s="592"/>
      <c r="O168" s="588"/>
      <c r="P168" s="591" t="s">
        <v>224</v>
      </c>
      <c r="Q168" s="591"/>
      <c r="R168" s="593">
        <f>SUM(O121:U121)</f>
        <v>0</v>
      </c>
      <c r="S168" s="593"/>
      <c r="T168" s="594" t="str">
        <f>IF(ISERROR(R168/R173),"",R168/R173)</f>
        <v/>
      </c>
      <c r="U168" s="594"/>
      <c r="V168" s="591" t="s">
        <v>263</v>
      </c>
      <c r="W168" s="591"/>
      <c r="X168" s="595">
        <f>SUM(P29,P87,P122,P138,P149,P164)</f>
        <v>0</v>
      </c>
      <c r="Y168" s="595"/>
      <c r="Z168" s="594" t="str">
        <f>IF(ISERROR(X168/X173),"",X168/X173)</f>
        <v/>
      </c>
      <c r="AA168" s="594"/>
    </row>
    <row r="169" spans="1:27" ht="20.100000000000001" customHeight="1">
      <c r="A169" s="584"/>
      <c r="B169" s="420" t="s">
        <v>264</v>
      </c>
      <c r="C169" s="586">
        <v>1</v>
      </c>
      <c r="D169" s="587"/>
      <c r="E169" s="590">
        <f>C169*11</f>
        <v>11</v>
      </c>
      <c r="F169" s="590"/>
      <c r="G169" s="591">
        <v>1</v>
      </c>
      <c r="H169" s="591"/>
      <c r="I169" s="590">
        <f>G169*11</f>
        <v>11</v>
      </c>
      <c r="J169" s="590"/>
      <c r="K169" s="590">
        <f>E169-I169</f>
        <v>0</v>
      </c>
      <c r="L169" s="590"/>
      <c r="M169" s="592">
        <f>IF(ISERROR(K169/E169),"",K169/E169)</f>
        <v>0</v>
      </c>
      <c r="N169" s="592"/>
      <c r="O169" s="588"/>
      <c r="P169" s="591" t="s">
        <v>231</v>
      </c>
      <c r="Q169" s="591"/>
      <c r="R169" s="593">
        <f>SUM(O137:U137)</f>
        <v>0</v>
      </c>
      <c r="S169" s="593"/>
      <c r="T169" s="594" t="str">
        <f>IF(ISERROR(R169/R173),"",R169/R173)</f>
        <v/>
      </c>
      <c r="U169" s="594"/>
      <c r="V169" s="591" t="s">
        <v>265</v>
      </c>
      <c r="W169" s="591"/>
      <c r="X169" s="595">
        <f>SUM(P31,P88,P123,P139,P150,P165)</f>
        <v>0</v>
      </c>
      <c r="Y169" s="595"/>
      <c r="Z169" s="594" t="str">
        <f>IF(ISERROR(X169/X173),"",X169/X173)</f>
        <v/>
      </c>
      <c r="AA169" s="594"/>
    </row>
    <row r="170" spans="1:27" ht="20.100000000000001" customHeight="1">
      <c r="A170" s="585"/>
      <c r="B170" s="420" t="s">
        <v>266</v>
      </c>
      <c r="C170" s="596">
        <f>SUM(C166:D169)</f>
        <v>4</v>
      </c>
      <c r="D170" s="597"/>
      <c r="E170" s="590">
        <f>SUM(E166:F169)</f>
        <v>41</v>
      </c>
      <c r="F170" s="590"/>
      <c r="G170" s="591">
        <f>SUM(G166:H169)</f>
        <v>4</v>
      </c>
      <c r="H170" s="591"/>
      <c r="I170" s="590">
        <f>SUM(I166:J169)</f>
        <v>41</v>
      </c>
      <c r="J170" s="590"/>
      <c r="K170" s="590">
        <f>SUM(K166:L169)</f>
        <v>0</v>
      </c>
      <c r="L170" s="590"/>
      <c r="M170" s="592">
        <f>IF(ISERROR(K170/E170),"",K170/E170)</f>
        <v>0</v>
      </c>
      <c r="N170" s="592"/>
      <c r="O170" s="588"/>
      <c r="P170" s="591" t="s">
        <v>234</v>
      </c>
      <c r="Q170" s="591"/>
      <c r="R170" s="593">
        <f>SUM(O148:U148)</f>
        <v>0</v>
      </c>
      <c r="S170" s="593"/>
      <c r="T170" s="594" t="str">
        <f>IF(ISERROR(R170/R173),"",R170/R173)</f>
        <v/>
      </c>
      <c r="U170" s="594"/>
      <c r="V170" s="591" t="s">
        <v>267</v>
      </c>
      <c r="W170" s="591"/>
      <c r="X170" s="595">
        <f>SUM(P32,P89,P124,P140,P151,P166)</f>
        <v>0</v>
      </c>
      <c r="Y170" s="595"/>
      <c r="Z170" s="594" t="str">
        <f>IF(ISERROR(X170/X173),"",X170/X173)</f>
        <v/>
      </c>
      <c r="AA170" s="594"/>
    </row>
    <row r="171" spans="1:27" ht="20.100000000000001" customHeight="1">
      <c r="A171" s="307" t="s">
        <v>477</v>
      </c>
      <c r="B171" s="420">
        <f>G164</f>
        <v>6009</v>
      </c>
      <c r="C171" s="598" t="s">
        <v>269</v>
      </c>
      <c r="D171" s="599"/>
      <c r="E171" s="591">
        <f>H164</f>
        <v>30305.98</v>
      </c>
      <c r="F171" s="591"/>
      <c r="G171" s="591" t="s">
        <v>270</v>
      </c>
      <c r="H171" s="591"/>
      <c r="I171" s="600">
        <f>L164</f>
        <v>18.15794525323642</v>
      </c>
      <c r="J171" s="600"/>
      <c r="K171" s="588" t="s">
        <v>271</v>
      </c>
      <c r="L171" s="588"/>
      <c r="M171" s="600">
        <f>J164</f>
        <v>19.41518578352181</v>
      </c>
      <c r="N171" s="600"/>
      <c r="O171" s="588"/>
      <c r="P171" s="591" t="s">
        <v>244</v>
      </c>
      <c r="Q171" s="591"/>
      <c r="R171" s="593">
        <f>SUM(O163:U163)</f>
        <v>0</v>
      </c>
      <c r="S171" s="593"/>
      <c r="T171" s="594" t="str">
        <f>IF(ISERROR(R171/R173),"",R171/R173)</f>
        <v/>
      </c>
      <c r="U171" s="594"/>
      <c r="V171" s="591" t="s">
        <v>272</v>
      </c>
      <c r="W171" s="591"/>
      <c r="X171" s="595">
        <f>SUM(P33,P90,P125,P141,P152,P167)</f>
        <v>0</v>
      </c>
      <c r="Y171" s="595"/>
      <c r="Z171" s="594" t="str">
        <f>IF(ISERROR(X171/X173),"",X171/X173)</f>
        <v/>
      </c>
      <c r="AA171" s="594"/>
    </row>
    <row r="172" spans="1:27" ht="20.100000000000001" customHeight="1">
      <c r="A172" s="308" t="s">
        <v>478</v>
      </c>
      <c r="B172" s="420">
        <f>I164+C170</f>
        <v>313.5</v>
      </c>
      <c r="C172" s="601" t="s">
        <v>251</v>
      </c>
      <c r="D172" s="602"/>
      <c r="E172" s="603">
        <f>K164+I170</f>
        <v>371.92951411608499</v>
      </c>
      <c r="F172" s="603"/>
      <c r="G172" s="591" t="s">
        <v>274</v>
      </c>
      <c r="H172" s="591"/>
      <c r="I172" s="600">
        <f>B172-E172</f>
        <v>-58.429514116084988</v>
      </c>
      <c r="J172" s="600"/>
      <c r="K172" s="588" t="s">
        <v>275</v>
      </c>
      <c r="L172" s="588"/>
      <c r="M172" s="592">
        <f>IF(ISERROR(I172/E172),"",I172/E172)</f>
        <v>-0.15709835304398087</v>
      </c>
      <c r="N172" s="592"/>
      <c r="O172" s="588"/>
      <c r="P172" s="591" t="s">
        <v>245</v>
      </c>
      <c r="Q172" s="591"/>
      <c r="R172" s="593"/>
      <c r="S172" s="593"/>
      <c r="T172" s="594" t="str">
        <f>IF(ISERROR(R172/R173),"",R172/R173)</f>
        <v/>
      </c>
      <c r="U172" s="594"/>
      <c r="V172" s="591" t="s">
        <v>264</v>
      </c>
      <c r="W172" s="591"/>
      <c r="X172" s="595"/>
      <c r="Y172" s="595"/>
      <c r="Z172" s="594" t="str">
        <f>IF(ISERROR(X172/X173),"",X172/X173)</f>
        <v/>
      </c>
      <c r="AA172" s="594"/>
    </row>
    <row r="173" spans="1:27" ht="20.100000000000001" customHeight="1">
      <c r="A173" s="308" t="s">
        <v>479</v>
      </c>
      <c r="B173" s="420">
        <f>N164</f>
        <v>0</v>
      </c>
      <c r="C173" s="601" t="s">
        <v>277</v>
      </c>
      <c r="D173" s="602"/>
      <c r="E173" s="594">
        <f>IF(ISERROR(B173/B172),"",B173/B172)</f>
        <v>0</v>
      </c>
      <c r="F173" s="594"/>
      <c r="G173" s="591" t="s">
        <v>278</v>
      </c>
      <c r="H173" s="591"/>
      <c r="I173" s="588">
        <f>V164</f>
        <v>0</v>
      </c>
      <c r="J173" s="588"/>
      <c r="K173" s="588" t="s">
        <v>279</v>
      </c>
      <c r="L173" s="588"/>
      <c r="M173" s="592">
        <f t="array" ref="M173">IF(ISERROR(I173/B171),"",I173/B171)</f>
        <v>0</v>
      </c>
      <c r="N173" s="592"/>
      <c r="O173" s="588"/>
      <c r="P173" s="591" t="s">
        <v>266</v>
      </c>
      <c r="Q173" s="591"/>
      <c r="R173" s="593">
        <f>SUM(R166:S172)</f>
        <v>0</v>
      </c>
      <c r="S173" s="593"/>
      <c r="T173" s="594"/>
      <c r="U173" s="594"/>
      <c r="V173" s="591" t="s">
        <v>266</v>
      </c>
      <c r="W173" s="591"/>
      <c r="X173" s="595">
        <f>SUM(X166:Y172)</f>
        <v>0</v>
      </c>
      <c r="Y173" s="595"/>
      <c r="Z173" s="594"/>
      <c r="AA173" s="594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4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604" t="s">
        <v>480</v>
      </c>
      <c r="B175" s="607" t="s">
        <v>280</v>
      </c>
      <c r="C175" s="607" t="s">
        <v>281</v>
      </c>
      <c r="D175" s="607" t="s">
        <v>282</v>
      </c>
      <c r="E175" s="610" t="s">
        <v>283</v>
      </c>
      <c r="F175" s="623" t="s">
        <v>284</v>
      </c>
      <c r="G175" s="588" t="s">
        <v>285</v>
      </c>
      <c r="H175" s="588"/>
      <c r="I175" s="607" t="s">
        <v>286</v>
      </c>
      <c r="J175" s="613" t="s">
        <v>271</v>
      </c>
      <c r="K175" s="616" t="s">
        <v>287</v>
      </c>
      <c r="L175" s="607" t="s">
        <v>270</v>
      </c>
      <c r="M175" s="619" t="s">
        <v>288</v>
      </c>
      <c r="N175" s="621" t="s">
        <v>252</v>
      </c>
      <c r="O175" s="588" t="s">
        <v>289</v>
      </c>
      <c r="P175" s="588"/>
      <c r="Q175" s="588"/>
      <c r="R175" s="588"/>
      <c r="S175" s="588"/>
      <c r="T175" s="588"/>
      <c r="U175" s="588"/>
      <c r="V175" s="588" t="s">
        <v>290</v>
      </c>
      <c r="W175" s="621" t="s">
        <v>291</v>
      </c>
      <c r="X175" s="588" t="s">
        <v>292</v>
      </c>
      <c r="Y175" s="588"/>
      <c r="Z175" s="588"/>
      <c r="AA175" s="588"/>
    </row>
    <row r="176" spans="1:27" ht="21.95" customHeight="1">
      <c r="A176" s="605"/>
      <c r="B176" s="608"/>
      <c r="C176" s="608"/>
      <c r="D176" s="608"/>
      <c r="E176" s="611"/>
      <c r="F176" s="624"/>
      <c r="G176" s="588"/>
      <c r="H176" s="588"/>
      <c r="I176" s="608"/>
      <c r="J176" s="614"/>
      <c r="K176" s="617"/>
      <c r="L176" s="608"/>
      <c r="M176" s="620"/>
      <c r="N176" s="621"/>
      <c r="O176" s="588" t="s">
        <v>259</v>
      </c>
      <c r="P176" s="588" t="s">
        <v>261</v>
      </c>
      <c r="Q176" s="588" t="s">
        <v>263</v>
      </c>
      <c r="R176" s="622" t="s">
        <v>265</v>
      </c>
      <c r="S176" s="591" t="s">
        <v>267</v>
      </c>
      <c r="T176" s="588" t="s">
        <v>272</v>
      </c>
      <c r="U176" s="588" t="s">
        <v>264</v>
      </c>
      <c r="V176" s="588"/>
      <c r="W176" s="621"/>
      <c r="X176" s="588" t="s">
        <v>293</v>
      </c>
      <c r="Y176" s="588" t="s">
        <v>294</v>
      </c>
      <c r="Z176" s="588" t="s">
        <v>295</v>
      </c>
      <c r="AA176" s="588" t="s">
        <v>264</v>
      </c>
    </row>
    <row r="177" spans="1:27" ht="21.95" customHeight="1">
      <c r="A177" s="606"/>
      <c r="B177" s="609"/>
      <c r="C177" s="609"/>
      <c r="D177" s="609"/>
      <c r="E177" s="612"/>
      <c r="F177" s="625"/>
      <c r="G177" s="348" t="s">
        <v>540</v>
      </c>
      <c r="H177" s="413" t="s">
        <v>297</v>
      </c>
      <c r="I177" s="609"/>
      <c r="J177" s="615"/>
      <c r="K177" s="618"/>
      <c r="L177" s="609"/>
      <c r="M177" s="620"/>
      <c r="N177" s="621"/>
      <c r="O177" s="588"/>
      <c r="P177" s="588"/>
      <c r="Q177" s="588"/>
      <c r="R177" s="622"/>
      <c r="S177" s="591"/>
      <c r="T177" s="588"/>
      <c r="U177" s="588"/>
      <c r="V177" s="588"/>
      <c r="W177" s="621"/>
      <c r="X177" s="588"/>
      <c r="Y177" s="588"/>
      <c r="Z177" s="588"/>
      <c r="AA177" s="588"/>
    </row>
    <row r="178" spans="1:27" ht="20.100000000000001" hidden="1" customHeight="1">
      <c r="A178" s="299">
        <v>30100030</v>
      </c>
      <c r="B178" s="414" t="s">
        <v>178</v>
      </c>
      <c r="C178" s="126" t="s">
        <v>179</v>
      </c>
      <c r="D178" s="108">
        <v>5.03</v>
      </c>
      <c r="E178" s="108"/>
      <c r="F178" s="127"/>
      <c r="G178" s="128"/>
      <c r="H178" s="423">
        <f t="shared" ref="H178:H187" si="79">D178*G178</f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16</v>
      </c>
      <c r="M178" s="109">
        <f t="shared" ref="M178:M187" si="80">IF(ISERROR(I178-K178),"",I178-K178)</f>
        <v>0</v>
      </c>
      <c r="N178" s="130">
        <f>SUM(O178:U178)</f>
        <v>0</v>
      </c>
      <c r="O178" s="415"/>
      <c r="P178" s="415"/>
      <c r="Q178" s="415"/>
      <c r="R178" s="415"/>
      <c r="S178" s="415"/>
      <c r="T178" s="415"/>
      <c r="U178" s="415"/>
      <c r="V178" s="132">
        <f t="shared" ref="V178:V183" si="81">SUM(X178:AA178)</f>
        <v>0</v>
      </c>
      <c r="W178" s="133" t="str">
        <f t="shared" ref="W178:W183" si="82">IF(ISERROR(V178/G178),"",V178/G178)</f>
        <v/>
      </c>
      <c r="X178" s="132"/>
      <c r="Y178" s="132"/>
      <c r="Z178" s="132"/>
      <c r="AA178" s="132"/>
    </row>
    <row r="179" spans="1:27" ht="20.100000000000001" hidden="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28"/>
      <c r="H179" s="423">
        <f t="shared" si="79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80"/>
        <v>0</v>
      </c>
      <c r="N179" s="130">
        <f t="shared" ref="N179:N187" si="83">SUM(O179:U179)</f>
        <v>0</v>
      </c>
      <c r="O179" s="415"/>
      <c r="P179" s="415"/>
      <c r="Q179" s="415"/>
      <c r="R179" s="415"/>
      <c r="S179" s="415"/>
      <c r="T179" s="415"/>
      <c r="U179" s="415"/>
      <c r="V179" s="132">
        <f t="shared" si="81"/>
        <v>0</v>
      </c>
      <c r="W179" s="133" t="str">
        <f t="shared" si="82"/>
        <v/>
      </c>
      <c r="X179" s="132"/>
      <c r="Y179" s="132"/>
      <c r="Z179" s="132"/>
      <c r="AA179" s="132"/>
    </row>
    <row r="180" spans="1:27" ht="20.100000000000001" hidden="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28"/>
      <c r="H180" s="423">
        <f t="shared" si="79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80"/>
        <v>0</v>
      </c>
      <c r="N180" s="130">
        <f t="shared" si="83"/>
        <v>0</v>
      </c>
      <c r="O180" s="415"/>
      <c r="P180" s="415"/>
      <c r="Q180" s="415"/>
      <c r="R180" s="415"/>
      <c r="S180" s="415"/>
      <c r="T180" s="415"/>
      <c r="U180" s="415"/>
      <c r="V180" s="132">
        <f t="shared" si="81"/>
        <v>0</v>
      </c>
      <c r="W180" s="133" t="str">
        <f t="shared" si="82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/>
      <c r="G181" s="128"/>
      <c r="H181" s="423">
        <f t="shared" si="79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19</v>
      </c>
      <c r="M181" s="109">
        <f t="shared" si="80"/>
        <v>0</v>
      </c>
      <c r="N181" s="130">
        <f t="shared" si="83"/>
        <v>0</v>
      </c>
      <c r="O181" s="415"/>
      <c r="P181" s="415"/>
      <c r="Q181" s="415"/>
      <c r="R181" s="415"/>
      <c r="S181" s="415"/>
      <c r="T181" s="415"/>
      <c r="U181" s="415"/>
      <c r="V181" s="132">
        <f t="shared" si="81"/>
        <v>0</v>
      </c>
      <c r="W181" s="133" t="str">
        <f t="shared" si="82"/>
        <v/>
      </c>
      <c r="X181" s="132"/>
      <c r="Y181" s="132"/>
      <c r="Z181" s="132"/>
      <c r="AA181" s="132"/>
    </row>
    <row r="182" spans="1:27" ht="20.10000000000000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>
        <v>42738</v>
      </c>
      <c r="G182" s="128">
        <f>108+108*4+75+27</f>
        <v>642</v>
      </c>
      <c r="H182" s="423">
        <f t="shared" si="79"/>
        <v>3229.26</v>
      </c>
      <c r="I182" s="129">
        <f>8.5*4</f>
        <v>34</v>
      </c>
      <c r="J182" s="130">
        <f t="array" ref="J182">IF(ISERROR(G182/I182),"",G182/I182)</f>
        <v>18.882352941176471</v>
      </c>
      <c r="K182" s="131">
        <f t="array" ref="K182">IF(ISERROR(G182/L182),"",G182/L182)</f>
        <v>32.1</v>
      </c>
      <c r="L182" s="129">
        <v>20</v>
      </c>
      <c r="M182" s="109">
        <f t="shared" si="80"/>
        <v>1.8999999999999986</v>
      </c>
      <c r="N182" s="130">
        <f t="shared" si="83"/>
        <v>0</v>
      </c>
      <c r="O182" s="415"/>
      <c r="P182" s="415"/>
      <c r="Q182" s="415"/>
      <c r="R182" s="415"/>
      <c r="S182" s="415"/>
      <c r="T182" s="415"/>
      <c r="U182" s="415"/>
      <c r="V182" s="132">
        <f t="shared" si="81"/>
        <v>0</v>
      </c>
      <c r="W182" s="133">
        <f t="shared" si="82"/>
        <v>0</v>
      </c>
      <c r="X182" s="132"/>
      <c r="Y182" s="132"/>
      <c r="Z182" s="132"/>
      <c r="AA182" s="132"/>
    </row>
    <row r="183" spans="1:27" ht="20.10000000000000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27">
        <v>42739</v>
      </c>
      <c r="G183" s="128">
        <f>100+100</f>
        <v>200</v>
      </c>
      <c r="H183" s="423">
        <f t="shared" si="79"/>
        <v>1008</v>
      </c>
      <c r="I183" s="129">
        <f>5*4</f>
        <v>20</v>
      </c>
      <c r="J183" s="130">
        <f t="array" ref="J183">IF(ISERROR(G183/I183),"",G183/I183)</f>
        <v>10</v>
      </c>
      <c r="K183" s="131">
        <f t="array" ref="K183">IF(ISERROR(G183/L183),"",G183/L183)</f>
        <v>10.526315789473685</v>
      </c>
      <c r="L183" s="129">
        <v>19</v>
      </c>
      <c r="M183" s="109">
        <f t="shared" si="80"/>
        <v>9.473684210526315</v>
      </c>
      <c r="N183" s="130">
        <f t="shared" si="83"/>
        <v>0</v>
      </c>
      <c r="O183" s="415"/>
      <c r="P183" s="415"/>
      <c r="Q183" s="415"/>
      <c r="R183" s="415"/>
      <c r="S183" s="415"/>
      <c r="T183" s="415"/>
      <c r="U183" s="415"/>
      <c r="V183" s="132">
        <f t="shared" si="81"/>
        <v>0</v>
      </c>
      <c r="W183" s="133">
        <f t="shared" si="82"/>
        <v>0</v>
      </c>
      <c r="X183" s="132"/>
      <c r="Y183" s="132"/>
      <c r="Z183" s="132"/>
      <c r="AA183" s="132"/>
    </row>
    <row r="184" spans="1:27" ht="20.100000000000001" hidden="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/>
      <c r="G184" s="128"/>
      <c r="H184" s="423">
        <f t="shared" si="79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80"/>
        <v>0</v>
      </c>
      <c r="N184" s="130">
        <f t="shared" si="83"/>
        <v>0</v>
      </c>
      <c r="O184" s="415"/>
      <c r="P184" s="415"/>
      <c r="Q184" s="415"/>
      <c r="R184" s="415"/>
      <c r="S184" s="415"/>
      <c r="T184" s="415"/>
      <c r="U184" s="415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28"/>
      <c r="H185" s="423">
        <f t="shared" si="79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80"/>
        <v>0</v>
      </c>
      <c r="N185" s="130">
        <f t="shared" si="83"/>
        <v>0</v>
      </c>
      <c r="O185" s="415"/>
      <c r="P185" s="415"/>
      <c r="Q185" s="415"/>
      <c r="R185" s="415"/>
      <c r="S185" s="415"/>
      <c r="T185" s="415"/>
      <c r="U185" s="415"/>
      <c r="V185" s="132"/>
      <c r="W185" s="133"/>
      <c r="X185" s="132"/>
      <c r="Y185" s="132"/>
      <c r="Z185" s="132"/>
      <c r="AA185" s="132"/>
    </row>
    <row r="186" spans="1:27" ht="20.100000000000001" hidden="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/>
      <c r="G186" s="128"/>
      <c r="H186" s="423">
        <f t="shared" si="79"/>
        <v>0</v>
      </c>
      <c r="I186" s="423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80"/>
        <v>0</v>
      </c>
      <c r="N186" s="130">
        <f t="shared" si="83"/>
        <v>0</v>
      </c>
      <c r="O186" s="415"/>
      <c r="P186" s="415"/>
      <c r="Q186" s="415"/>
      <c r="R186" s="415"/>
      <c r="S186" s="415"/>
      <c r="T186" s="415"/>
      <c r="U186" s="415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/>
      <c r="G187" s="128"/>
      <c r="H187" s="423">
        <f t="shared" si="79"/>
        <v>0</v>
      </c>
      <c r="I187" s="423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 t="shared" si="80"/>
        <v>0</v>
      </c>
      <c r="N187" s="130">
        <f t="shared" si="83"/>
        <v>0</v>
      </c>
      <c r="O187" s="415"/>
      <c r="P187" s="415"/>
      <c r="Q187" s="415"/>
      <c r="R187" s="415"/>
      <c r="S187" s="415"/>
      <c r="T187" s="415"/>
      <c r="U187" s="415"/>
      <c r="V187" s="132">
        <f>SUM(X187:AA187)</f>
        <v>0</v>
      </c>
      <c r="W187" s="133" t="str">
        <f>IF(ISERROR(V187/G187),"",V187/G187)</f>
        <v/>
      </c>
      <c r="X187" s="132"/>
      <c r="Y187" s="132"/>
      <c r="Z187" s="132"/>
      <c r="AA187" s="132"/>
    </row>
    <row r="188" spans="1:27" ht="20.100000000000001" hidden="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28"/>
      <c r="H188" s="423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415"/>
      <c r="P188" s="415"/>
      <c r="Q188" s="415"/>
      <c r="R188" s="415"/>
      <c r="S188" s="415"/>
      <c r="T188" s="415"/>
      <c r="U188" s="415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28"/>
      <c r="H189" s="423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415"/>
      <c r="P189" s="415"/>
      <c r="Q189" s="415"/>
      <c r="R189" s="415"/>
      <c r="S189" s="415"/>
      <c r="T189" s="415"/>
      <c r="U189" s="415"/>
      <c r="V189" s="132"/>
      <c r="W189" s="133"/>
      <c r="X189" s="132"/>
      <c r="Y189" s="132"/>
      <c r="Z189" s="132"/>
      <c r="AA189" s="132"/>
    </row>
    <row r="190" spans="1:27" ht="20.100000000000001" hidden="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E190" s="108"/>
      <c r="F190" s="127"/>
      <c r="G190" s="128"/>
      <c r="H190" s="423">
        <f t="shared" ref="H190:H198" si="84">D190*G190</f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19</v>
      </c>
      <c r="M190" s="109">
        <f t="shared" ref="M190:M198" si="85">IF(ISERROR(I190-K190),"",I190-K190)</f>
        <v>0</v>
      </c>
      <c r="N190" s="130">
        <f t="shared" ref="N190:N192" si="86">SUM(O190:U190)</f>
        <v>0</v>
      </c>
      <c r="O190" s="415"/>
      <c r="P190" s="415"/>
      <c r="Q190" s="415"/>
      <c r="R190" s="415"/>
      <c r="S190" s="415"/>
      <c r="T190" s="415"/>
      <c r="U190" s="415"/>
      <c r="V190" s="132">
        <f t="shared" ref="V190:V192" si="87">SUM(X190:AA190)</f>
        <v>0</v>
      </c>
      <c r="W190" s="133" t="str">
        <f t="shared" ref="W190:W192" si="88">IF(ISERROR(V190/G190),"",V190/G190)</f>
        <v/>
      </c>
      <c r="X190" s="132"/>
      <c r="Y190" s="132"/>
      <c r="Z190" s="132"/>
      <c r="AA190" s="132"/>
    </row>
    <row r="191" spans="1:27" ht="20.10000000000000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27">
        <v>42738</v>
      </c>
      <c r="G191" s="128">
        <f>100+56+100</f>
        <v>256</v>
      </c>
      <c r="H191" s="423">
        <f t="shared" si="84"/>
        <v>1303.04</v>
      </c>
      <c r="I191" s="129">
        <f>4.5*5</f>
        <v>22.5</v>
      </c>
      <c r="J191" s="130">
        <f t="array" ref="J191">IF(ISERROR(G191/I191),"",G191/I191)</f>
        <v>11.377777777777778</v>
      </c>
      <c r="K191" s="131">
        <f t="array" ref="K191">IF(ISERROR(G191/L191),"",G191/L191)</f>
        <v>11.130434782608695</v>
      </c>
      <c r="L191" s="129">
        <v>23</v>
      </c>
      <c r="M191" s="109">
        <f t="shared" si="85"/>
        <v>11.369565217391305</v>
      </c>
      <c r="N191" s="130">
        <f t="shared" si="86"/>
        <v>0</v>
      </c>
      <c r="O191" s="415"/>
      <c r="P191" s="415"/>
      <c r="Q191" s="415"/>
      <c r="R191" s="415"/>
      <c r="S191" s="415"/>
      <c r="T191" s="415"/>
      <c r="U191" s="415"/>
      <c r="V191" s="132">
        <f t="shared" si="87"/>
        <v>0</v>
      </c>
      <c r="W191" s="133">
        <f t="shared" si="88"/>
        <v>0</v>
      </c>
      <c r="X191" s="132"/>
      <c r="Y191" s="132"/>
      <c r="Z191" s="132"/>
      <c r="AA191" s="132"/>
    </row>
    <row r="192" spans="1:27" ht="20.100000000000001" hidden="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/>
      <c r="G192" s="128"/>
      <c r="H192" s="423">
        <f t="shared" si="84"/>
        <v>0</v>
      </c>
      <c r="I192" s="129"/>
      <c r="J192" s="130" t="str">
        <f t="array" ref="J192">IF(ISERROR(G192/I192),"",G192/I192)</f>
        <v/>
      </c>
      <c r="K192" s="131">
        <f t="array" ref="K192">IF(ISERROR(G192/L192),"",G192/L192)</f>
        <v>0</v>
      </c>
      <c r="L192" s="129">
        <v>23</v>
      </c>
      <c r="M192" s="109">
        <f t="shared" si="85"/>
        <v>0</v>
      </c>
      <c r="N192" s="130">
        <f t="shared" si="86"/>
        <v>0</v>
      </c>
      <c r="O192" s="415"/>
      <c r="P192" s="415"/>
      <c r="Q192" s="415"/>
      <c r="R192" s="415"/>
      <c r="S192" s="415"/>
      <c r="T192" s="415"/>
      <c r="U192" s="415"/>
      <c r="V192" s="132">
        <f t="shared" si="87"/>
        <v>0</v>
      </c>
      <c r="W192" s="133" t="str">
        <f t="shared" si="88"/>
        <v/>
      </c>
      <c r="X192" s="132"/>
      <c r="Y192" s="132"/>
      <c r="Z192" s="132"/>
      <c r="AA192" s="132"/>
    </row>
    <row r="193" spans="1:27" ht="20.100000000000001" hidden="1" customHeight="1">
      <c r="A193" s="300">
        <v>30100003</v>
      </c>
      <c r="B193" s="141" t="s">
        <v>198</v>
      </c>
      <c r="C193" s="413" t="s">
        <v>190</v>
      </c>
      <c r="D193" s="108">
        <v>4.8</v>
      </c>
      <c r="E193" s="108"/>
      <c r="F193" s="127"/>
      <c r="G193" s="128"/>
      <c r="H193" s="423">
        <f t="shared" si="84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5"/>
        <v>0</v>
      </c>
      <c r="N193" s="130"/>
      <c r="O193" s="415"/>
      <c r="P193" s="415"/>
      <c r="Q193" s="415"/>
      <c r="R193" s="415"/>
      <c r="S193" s="415"/>
      <c r="T193" s="415"/>
      <c r="U193" s="415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30100004</v>
      </c>
      <c r="B194" s="141" t="s">
        <v>198</v>
      </c>
      <c r="C194" s="413" t="s">
        <v>187</v>
      </c>
      <c r="D194" s="108">
        <v>4.8</v>
      </c>
      <c r="E194" s="108"/>
      <c r="F194" s="127"/>
      <c r="G194" s="128"/>
      <c r="H194" s="423">
        <f t="shared" si="84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5"/>
        <v>0</v>
      </c>
      <c r="N194" s="130"/>
      <c r="O194" s="415"/>
      <c r="P194" s="415"/>
      <c r="Q194" s="415"/>
      <c r="R194" s="415"/>
      <c r="S194" s="415"/>
      <c r="T194" s="415"/>
      <c r="U194" s="415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30100006</v>
      </c>
      <c r="B195" s="141" t="s">
        <v>198</v>
      </c>
      <c r="C195" s="413" t="s">
        <v>179</v>
      </c>
      <c r="D195" s="108">
        <v>4.8</v>
      </c>
      <c r="E195" s="108"/>
      <c r="F195" s="127"/>
      <c r="G195" s="128"/>
      <c r="H195" s="423">
        <f t="shared" si="84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5"/>
        <v>0</v>
      </c>
      <c r="N195" s="130"/>
      <c r="O195" s="415"/>
      <c r="P195" s="415"/>
      <c r="Q195" s="415"/>
      <c r="R195" s="415"/>
      <c r="S195" s="415"/>
      <c r="T195" s="415"/>
      <c r="U195" s="415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30100005</v>
      </c>
      <c r="B196" s="141" t="s">
        <v>198</v>
      </c>
      <c r="C196" s="413" t="s">
        <v>199</v>
      </c>
      <c r="D196" s="108">
        <v>4.8</v>
      </c>
      <c r="E196" s="108"/>
      <c r="F196" s="127"/>
      <c r="G196" s="128"/>
      <c r="H196" s="423">
        <f t="shared" si="84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5"/>
        <v>0</v>
      </c>
      <c r="N196" s="130"/>
      <c r="O196" s="415"/>
      <c r="P196" s="415"/>
      <c r="Q196" s="415"/>
      <c r="R196" s="415"/>
      <c r="S196" s="415"/>
      <c r="T196" s="415"/>
      <c r="U196" s="415"/>
      <c r="V196" s="132"/>
      <c r="W196" s="133"/>
      <c r="X196" s="132"/>
      <c r="Y196" s="132"/>
      <c r="Z196" s="132"/>
      <c r="AA196" s="132"/>
    </row>
    <row r="197" spans="1:27" ht="20.100000000000001" hidden="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/>
      <c r="G197" s="128"/>
      <c r="H197" s="423">
        <f t="shared" si="84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5"/>
        <v>0</v>
      </c>
      <c r="N197" s="130">
        <f t="shared" ref="N197:N198" si="89">SUM(O197:U197)</f>
        <v>0</v>
      </c>
      <c r="O197" s="415"/>
      <c r="P197" s="415"/>
      <c r="Q197" s="415"/>
      <c r="R197" s="415"/>
      <c r="S197" s="415"/>
      <c r="T197" s="415"/>
      <c r="U197" s="415"/>
      <c r="V197" s="132">
        <f t="shared" ref="V197:V198" si="90">SUM(X197:AA197)</f>
        <v>0</v>
      </c>
      <c r="W197" s="133" t="str">
        <f t="shared" ref="W197:W198" si="91">IF(ISERROR(V197/G197),"",V197/G197)</f>
        <v/>
      </c>
      <c r="X197" s="132"/>
      <c r="Y197" s="132"/>
      <c r="Z197" s="132"/>
      <c r="AA197" s="132"/>
    </row>
    <row r="198" spans="1:27" ht="20.10000000000000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27">
        <v>42738</v>
      </c>
      <c r="G198" s="128">
        <f>100*7</f>
        <v>700</v>
      </c>
      <c r="H198" s="423">
        <f t="shared" si="84"/>
        <v>3493</v>
      </c>
      <c r="I198" s="129">
        <f>7*5</f>
        <v>35</v>
      </c>
      <c r="J198" s="130">
        <f t="array" ref="J198">IF(ISERROR(G198/I198),"",G198/I198)</f>
        <v>20</v>
      </c>
      <c r="K198" s="131">
        <f t="array" ref="K198">IF(ISERROR(G198/L198),"",G198/L198)</f>
        <v>29.787234042553191</v>
      </c>
      <c r="L198" s="129">
        <v>23.5</v>
      </c>
      <c r="M198" s="109">
        <f t="shared" si="85"/>
        <v>5.212765957446809</v>
      </c>
      <c r="N198" s="130">
        <f t="shared" si="89"/>
        <v>0</v>
      </c>
      <c r="O198" s="415"/>
      <c r="P198" s="415"/>
      <c r="Q198" s="415"/>
      <c r="R198" s="415"/>
      <c r="S198" s="415"/>
      <c r="T198" s="415"/>
      <c r="U198" s="415"/>
      <c r="V198" s="132">
        <f t="shared" si="90"/>
        <v>0</v>
      </c>
      <c r="W198" s="133">
        <f t="shared" si="91"/>
        <v>0</v>
      </c>
      <c r="X198" s="132"/>
      <c r="Y198" s="132"/>
      <c r="Z198" s="132"/>
      <c r="AA198" s="132"/>
    </row>
    <row r="199" spans="1:27" ht="20.100000000000001" customHeight="1">
      <c r="A199" s="578" t="s">
        <v>201</v>
      </c>
      <c r="B199" s="579"/>
      <c r="C199" s="421" t="s">
        <v>202</v>
      </c>
      <c r="D199" s="143"/>
      <c r="E199" s="143"/>
      <c r="F199" s="144"/>
      <c r="G199" s="145">
        <f>SUM(G178:G198)</f>
        <v>1798</v>
      </c>
      <c r="H199" s="146">
        <f>SUM(H178:H198)</f>
        <v>9033.2999999999993</v>
      </c>
      <c r="I199" s="146">
        <f>SUM(I178:I198)</f>
        <v>111.5</v>
      </c>
      <c r="J199" s="130">
        <f t="array" ref="J199">IF(ISERROR(G199/I199),"",G199/I199)</f>
        <v>16.125560538116591</v>
      </c>
      <c r="K199" s="146">
        <f>SUM(K178:K198)</f>
        <v>83.543984614635576</v>
      </c>
      <c r="L199" s="147"/>
      <c r="M199" s="150">
        <f t="shared" ref="M199:AA199" si="92">SUM(M178:M198)</f>
        <v>27.956015385364427</v>
      </c>
      <c r="N199" s="146">
        <f t="shared" si="92"/>
        <v>0</v>
      </c>
      <c r="O199" s="148">
        <f t="shared" si="92"/>
        <v>0</v>
      </c>
      <c r="P199" s="148">
        <f t="shared" si="92"/>
        <v>0</v>
      </c>
      <c r="Q199" s="148">
        <f t="shared" si="92"/>
        <v>0</v>
      </c>
      <c r="R199" s="148">
        <f t="shared" si="92"/>
        <v>0</v>
      </c>
      <c r="S199" s="148">
        <f t="shared" si="92"/>
        <v>0</v>
      </c>
      <c r="T199" s="148">
        <f t="shared" si="92"/>
        <v>0</v>
      </c>
      <c r="U199" s="148">
        <f t="shared" si="92"/>
        <v>0</v>
      </c>
      <c r="V199" s="149">
        <f t="shared" si="92"/>
        <v>0</v>
      </c>
      <c r="W199" s="133">
        <f t="shared" si="92"/>
        <v>0</v>
      </c>
      <c r="X199" s="149">
        <f t="shared" si="92"/>
        <v>0</v>
      </c>
      <c r="Y199" s="149">
        <f t="shared" si="92"/>
        <v>0</v>
      </c>
      <c r="Z199" s="149">
        <f t="shared" si="92"/>
        <v>0</v>
      </c>
      <c r="AA199" s="149">
        <f t="shared" si="92"/>
        <v>0</v>
      </c>
    </row>
    <row r="200" spans="1:27" ht="20.100000000000001" hidden="1" customHeight="1">
      <c r="A200" s="300">
        <v>30100012</v>
      </c>
      <c r="B200" s="414" t="s">
        <v>206</v>
      </c>
      <c r="C200" s="126" t="s">
        <v>199</v>
      </c>
      <c r="D200" s="108">
        <v>5.03</v>
      </c>
      <c r="E200" s="108"/>
      <c r="F200" s="127"/>
      <c r="G200" s="128"/>
      <c r="H200" s="423">
        <f t="shared" ref="H200:H256" si="93">D200*G200</f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 t="shared" ref="M200:M207" si="94">IF(ISERROR(I200-K200),"",I200-K200)</f>
        <v>0</v>
      </c>
      <c r="N200" s="130">
        <f t="shared" ref="N200" si="95">SUM(O200:U200)</f>
        <v>0</v>
      </c>
      <c r="O200" s="418"/>
      <c r="P200" s="418"/>
      <c r="Q200" s="418"/>
      <c r="R200" s="418"/>
      <c r="S200" s="418"/>
      <c r="T200" s="418"/>
      <c r="U200" s="418"/>
      <c r="V200" s="132">
        <f t="shared" ref="V200" si="96">SUM(X200:AA200)</f>
        <v>0</v>
      </c>
      <c r="W200" s="133" t="str">
        <f t="shared" ref="W200" si="97">IF(ISERROR(V200/G200),"",V200/G200)</f>
        <v/>
      </c>
      <c r="X200" s="132"/>
      <c r="Y200" s="132"/>
      <c r="Z200" s="132"/>
      <c r="AA200" s="132"/>
    </row>
    <row r="201" spans="1:27" ht="20.100000000000001" customHeight="1">
      <c r="A201" s="300">
        <v>30100011</v>
      </c>
      <c r="B201" s="414" t="s">
        <v>425</v>
      </c>
      <c r="C201" s="187" t="s">
        <v>427</v>
      </c>
      <c r="D201" s="108">
        <v>5.03</v>
      </c>
      <c r="E201" s="108"/>
      <c r="F201" s="127">
        <v>42738</v>
      </c>
      <c r="G201" s="128">
        <f>108*5+84+108-624</f>
        <v>108</v>
      </c>
      <c r="H201" s="423">
        <f t="shared" si="93"/>
        <v>543.24</v>
      </c>
      <c r="I201" s="129">
        <f>5*2</f>
        <v>10</v>
      </c>
      <c r="J201" s="130">
        <f t="array" ref="J201">IF(ISERROR(G201/I201),"",G201/I201)</f>
        <v>10.8</v>
      </c>
      <c r="K201" s="131">
        <f t="array" ref="K201">IF(ISERROR(G201/L201),"",G201/L201)</f>
        <v>2.0769230769230771</v>
      </c>
      <c r="L201" s="129">
        <v>52</v>
      </c>
      <c r="M201" s="109">
        <f t="shared" si="94"/>
        <v>7.9230769230769234</v>
      </c>
      <c r="N201" s="130"/>
      <c r="O201" s="418"/>
      <c r="P201" s="418"/>
      <c r="Q201" s="418"/>
      <c r="R201" s="418"/>
      <c r="S201" s="418"/>
      <c r="T201" s="418"/>
      <c r="U201" s="418"/>
      <c r="V201" s="132"/>
      <c r="W201" s="133"/>
      <c r="X201" s="132"/>
      <c r="Y201" s="132"/>
      <c r="Z201" s="132"/>
      <c r="AA201" s="132"/>
    </row>
    <row r="202" spans="1:27" ht="20.100000000000001" hidden="1" customHeight="1">
      <c r="A202" s="300">
        <v>30100010</v>
      </c>
      <c r="B202" s="414" t="s">
        <v>206</v>
      </c>
      <c r="C202" s="126" t="s">
        <v>186</v>
      </c>
      <c r="D202" s="108">
        <v>5.03</v>
      </c>
      <c r="E202" s="108"/>
      <c r="F202" s="127"/>
      <c r="G202" s="128"/>
      <c r="H202" s="423">
        <f t="shared" si="93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 t="shared" si="94"/>
        <v>0</v>
      </c>
      <c r="N202" s="130">
        <f t="shared" ref="N202:N204" si="98">SUM(O202:U202)</f>
        <v>0</v>
      </c>
      <c r="O202" s="418"/>
      <c r="P202" s="418"/>
      <c r="Q202" s="418"/>
      <c r="R202" s="418"/>
      <c r="S202" s="418"/>
      <c r="T202" s="418"/>
      <c r="U202" s="418"/>
      <c r="V202" s="132">
        <f t="shared" ref="V202:V204" si="99">SUM(X202:AA202)</f>
        <v>0</v>
      </c>
      <c r="W202" s="133" t="str">
        <f t="shared" ref="W202:W204" si="100">IF(ISERROR(V202/G202),"",V202/G202)</f>
        <v/>
      </c>
      <c r="X202" s="132"/>
      <c r="Y202" s="132"/>
      <c r="Z202" s="132"/>
      <c r="AA202" s="132"/>
    </row>
    <row r="203" spans="1:27" ht="20.100000000000001" hidden="1" customHeight="1">
      <c r="A203" s="300">
        <v>30100014</v>
      </c>
      <c r="B203" s="414" t="s">
        <v>206</v>
      </c>
      <c r="C203" s="126" t="s">
        <v>203</v>
      </c>
      <c r="D203" s="108">
        <v>5.03</v>
      </c>
      <c r="E203" s="108"/>
      <c r="F203" s="127"/>
      <c r="G203" s="128"/>
      <c r="H203" s="423">
        <f t="shared" si="93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 t="shared" si="94"/>
        <v>0</v>
      </c>
      <c r="N203" s="130">
        <f t="shared" si="98"/>
        <v>0</v>
      </c>
      <c r="O203" s="418"/>
      <c r="P203" s="418"/>
      <c r="Q203" s="418"/>
      <c r="R203" s="418"/>
      <c r="S203" s="418"/>
      <c r="T203" s="418"/>
      <c r="U203" s="418"/>
      <c r="V203" s="132">
        <f t="shared" si="99"/>
        <v>0</v>
      </c>
      <c r="W203" s="133" t="str">
        <f t="shared" si="100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30100013</v>
      </c>
      <c r="B204" s="414" t="s">
        <v>206</v>
      </c>
      <c r="C204" s="126" t="s">
        <v>207</v>
      </c>
      <c r="D204" s="108">
        <v>5.03</v>
      </c>
      <c r="E204" s="108"/>
      <c r="F204" s="127"/>
      <c r="G204" s="128"/>
      <c r="H204" s="423">
        <f t="shared" si="93"/>
        <v>0</v>
      </c>
      <c r="I204" s="129"/>
      <c r="J204" s="130" t="str">
        <f t="array" ref="J204">IF(ISERROR(G204/I204),"",G204/I204)</f>
        <v/>
      </c>
      <c r="K204" s="131">
        <f t="array" ref="K204">IF(ISERROR(G204/L204),"",G204/L204)</f>
        <v>0</v>
      </c>
      <c r="L204" s="129">
        <v>52</v>
      </c>
      <c r="M204" s="109">
        <f t="shared" si="94"/>
        <v>0</v>
      </c>
      <c r="N204" s="130">
        <f t="shared" si="98"/>
        <v>0</v>
      </c>
      <c r="O204" s="418"/>
      <c r="P204" s="418"/>
      <c r="Q204" s="418"/>
      <c r="R204" s="418"/>
      <c r="S204" s="418"/>
      <c r="T204" s="418"/>
      <c r="U204" s="418"/>
      <c r="V204" s="132">
        <f t="shared" si="99"/>
        <v>0</v>
      </c>
      <c r="W204" s="133" t="str">
        <f t="shared" si="100"/>
        <v/>
      </c>
      <c r="X204" s="132"/>
      <c r="Y204" s="132"/>
      <c r="Z204" s="132"/>
      <c r="AA204" s="132"/>
    </row>
    <row r="205" spans="1:27" ht="20.100000000000001" hidden="1" customHeight="1">
      <c r="A205" s="300">
        <v>30100016</v>
      </c>
      <c r="B205" s="414" t="s">
        <v>414</v>
      </c>
      <c r="C205" s="187" t="s">
        <v>415</v>
      </c>
      <c r="D205" s="108">
        <v>5.03</v>
      </c>
      <c r="E205" s="108"/>
      <c r="F205" s="127"/>
      <c r="G205" s="128"/>
      <c r="H205" s="423">
        <f t="shared" si="93"/>
        <v>0</v>
      </c>
      <c r="I205" s="129"/>
      <c r="J205" s="130" t="str">
        <f t="array" ref="J205">IF(ISERROR(G205/I205),"",G205/I205)</f>
        <v/>
      </c>
      <c r="K205" s="131">
        <f t="array" ref="K205">IF(ISERROR(G205/L205),"",G205/L205)</f>
        <v>0</v>
      </c>
      <c r="L205" s="129">
        <v>52</v>
      </c>
      <c r="M205" s="109">
        <f t="shared" si="94"/>
        <v>0</v>
      </c>
      <c r="N205" s="130"/>
      <c r="O205" s="418"/>
      <c r="P205" s="418"/>
      <c r="Q205" s="418"/>
      <c r="R205" s="418"/>
      <c r="S205" s="418"/>
      <c r="T205" s="418"/>
      <c r="U205" s="418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30100017</v>
      </c>
      <c r="B206" s="414" t="s">
        <v>414</v>
      </c>
      <c r="C206" s="187" t="s">
        <v>416</v>
      </c>
      <c r="D206" s="108">
        <v>5.03</v>
      </c>
      <c r="E206" s="108"/>
      <c r="F206" s="127"/>
      <c r="G206" s="128"/>
      <c r="H206" s="423">
        <f t="shared" si="93"/>
        <v>0</v>
      </c>
      <c r="I206" s="129"/>
      <c r="J206" s="130" t="str">
        <f t="array" ref="J206">IF(ISERROR(G206/I206),"",G206/I206)</f>
        <v/>
      </c>
      <c r="K206" s="131">
        <f t="array" ref="K206">IF(ISERROR(G206/L206),"",G206/L206)</f>
        <v>0</v>
      </c>
      <c r="L206" s="129">
        <v>52</v>
      </c>
      <c r="M206" s="109">
        <f t="shared" si="94"/>
        <v>0</v>
      </c>
      <c r="N206" s="130"/>
      <c r="O206" s="418"/>
      <c r="P206" s="418"/>
      <c r="Q206" s="418"/>
      <c r="R206" s="418"/>
      <c r="S206" s="418"/>
      <c r="T206" s="418"/>
      <c r="U206" s="418"/>
      <c r="V206" s="132"/>
      <c r="W206" s="133"/>
      <c r="X206" s="132"/>
      <c r="Y206" s="132"/>
      <c r="Z206" s="132"/>
      <c r="AA206" s="132"/>
    </row>
    <row r="207" spans="1:27" ht="20.100000000000001" customHeight="1">
      <c r="A207" s="300">
        <v>30100015</v>
      </c>
      <c r="B207" s="414" t="s">
        <v>414</v>
      </c>
      <c r="C207" s="187" t="s">
        <v>61</v>
      </c>
      <c r="D207" s="108">
        <v>5.03</v>
      </c>
      <c r="E207" s="108"/>
      <c r="F207" s="127">
        <v>42737</v>
      </c>
      <c r="G207" s="128">
        <f>108*6+88</f>
        <v>736</v>
      </c>
      <c r="H207" s="423">
        <f t="shared" si="93"/>
        <v>3702.0800000000004</v>
      </c>
      <c r="I207" s="129">
        <f>4.5*2</f>
        <v>9</v>
      </c>
      <c r="J207" s="130">
        <f t="array" ref="J207">IF(ISERROR(G207/I207),"",G207/I207)</f>
        <v>81.777777777777771</v>
      </c>
      <c r="K207" s="131">
        <f t="array" ref="K207">IF(ISERROR(G207/L207),"",G207/L207)</f>
        <v>14.153846153846153</v>
      </c>
      <c r="L207" s="129">
        <v>52</v>
      </c>
      <c r="M207" s="109">
        <f t="shared" si="94"/>
        <v>-5.1538461538461533</v>
      </c>
      <c r="N207" s="130"/>
      <c r="O207" s="418"/>
      <c r="P207" s="418"/>
      <c r="Q207" s="418"/>
      <c r="R207" s="418"/>
      <c r="S207" s="418"/>
      <c r="T207" s="418"/>
      <c r="U207" s="418"/>
      <c r="V207" s="132"/>
      <c r="W207" s="133"/>
      <c r="X207" s="132"/>
      <c r="Y207" s="132"/>
      <c r="Z207" s="132"/>
      <c r="AA207" s="132"/>
    </row>
    <row r="208" spans="1:27" ht="20.100000000000001" hidden="1" customHeight="1">
      <c r="A208" s="300">
        <v>30100027</v>
      </c>
      <c r="B208" s="414" t="s">
        <v>208</v>
      </c>
      <c r="C208" s="126" t="s">
        <v>179</v>
      </c>
      <c r="D208" s="108">
        <v>5.08</v>
      </c>
      <c r="E208" s="108"/>
      <c r="F208" s="127"/>
      <c r="G208" s="128"/>
      <c r="H208" s="423">
        <f t="shared" si="93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ref="M208:M237" si="101">IF(ISERROR(I208-K208),"",I208-K208)</f>
        <v>0</v>
      </c>
      <c r="N208" s="130">
        <f t="shared" ref="N208:N237" si="102">SUM(O208:U208)</f>
        <v>0</v>
      </c>
      <c r="O208" s="418"/>
      <c r="P208" s="418"/>
      <c r="Q208" s="418"/>
      <c r="R208" s="418"/>
      <c r="S208" s="418"/>
      <c r="T208" s="418"/>
      <c r="U208" s="418"/>
      <c r="V208" s="132">
        <f t="shared" ref="V208:V219" si="103">SUM(X208:AA208)</f>
        <v>0</v>
      </c>
      <c r="W208" s="133" t="str">
        <f t="shared" ref="W208:W219" si="104">IF(ISERROR(V208/G208),"",V208/G208)</f>
        <v/>
      </c>
      <c r="X208" s="132"/>
      <c r="Y208" s="132"/>
      <c r="Z208" s="132"/>
      <c r="AA208" s="132"/>
    </row>
    <row r="209" spans="1:27" ht="20.100000000000001" customHeight="1">
      <c r="A209" s="300">
        <v>30100023</v>
      </c>
      <c r="B209" s="414" t="s">
        <v>208</v>
      </c>
      <c r="C209" s="126" t="s">
        <v>204</v>
      </c>
      <c r="D209" s="108">
        <v>5.08</v>
      </c>
      <c r="E209" s="108"/>
      <c r="F209" s="127">
        <v>42736</v>
      </c>
      <c r="G209" s="128">
        <v>5</v>
      </c>
      <c r="H209" s="423">
        <f t="shared" si="93"/>
        <v>25.4</v>
      </c>
      <c r="I209" s="129">
        <v>0.5</v>
      </c>
      <c r="J209" s="130">
        <f t="array" ref="J209">IF(ISERROR(G209/I209),"",G209/I209)</f>
        <v>10</v>
      </c>
      <c r="K209" s="131">
        <f t="array" ref="K209">IF(ISERROR(G209/L209),"",G209/L209)</f>
        <v>0.23809523809523808</v>
      </c>
      <c r="L209" s="129">
        <v>21</v>
      </c>
      <c r="M209" s="109">
        <f t="shared" si="101"/>
        <v>0.26190476190476192</v>
      </c>
      <c r="N209" s="130">
        <f t="shared" si="102"/>
        <v>0</v>
      </c>
      <c r="O209" s="418"/>
      <c r="P209" s="418"/>
      <c r="Q209" s="418"/>
      <c r="R209" s="418"/>
      <c r="S209" s="418"/>
      <c r="T209" s="418"/>
      <c r="U209" s="418"/>
      <c r="V209" s="132">
        <f t="shared" si="103"/>
        <v>0</v>
      </c>
      <c r="W209" s="133">
        <f t="shared" si="104"/>
        <v>0</v>
      </c>
      <c r="X209" s="132"/>
      <c r="Y209" s="132"/>
      <c r="Z209" s="132"/>
      <c r="AA209" s="132"/>
    </row>
    <row r="210" spans="1:27" ht="20.100000000000001" hidden="1" customHeight="1">
      <c r="A210" s="300">
        <v>30100024</v>
      </c>
      <c r="B210" s="414" t="s">
        <v>208</v>
      </c>
      <c r="C210" s="126" t="s">
        <v>205</v>
      </c>
      <c r="D210" s="108">
        <v>5.08</v>
      </c>
      <c r="E210" s="108"/>
      <c r="F210" s="127"/>
      <c r="G210" s="128"/>
      <c r="H210" s="423">
        <f t="shared" si="93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418"/>
      <c r="P210" s="418"/>
      <c r="Q210" s="418"/>
      <c r="R210" s="418"/>
      <c r="S210" s="418"/>
      <c r="T210" s="418"/>
      <c r="U210" s="418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30100022</v>
      </c>
      <c r="B211" s="414" t="s">
        <v>208</v>
      </c>
      <c r="C211" s="126" t="s">
        <v>186</v>
      </c>
      <c r="D211" s="108">
        <v>5.08</v>
      </c>
      <c r="E211" s="108"/>
      <c r="F211" s="127"/>
      <c r="G211" s="128"/>
      <c r="H211" s="423">
        <f t="shared" si="93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418"/>
      <c r="P211" s="418"/>
      <c r="Q211" s="418"/>
      <c r="R211" s="418"/>
      <c r="S211" s="418"/>
      <c r="T211" s="418"/>
      <c r="U211" s="418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30100029</v>
      </c>
      <c r="B212" s="414" t="s">
        <v>208</v>
      </c>
      <c r="C212" s="126" t="s">
        <v>203</v>
      </c>
      <c r="D212" s="108">
        <v>5.08</v>
      </c>
      <c r="E212" s="108"/>
      <c r="F212" s="127"/>
      <c r="G212" s="128"/>
      <c r="H212" s="423">
        <f t="shared" si="93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418"/>
      <c r="P212" s="418"/>
      <c r="Q212" s="418"/>
      <c r="R212" s="418"/>
      <c r="S212" s="418"/>
      <c r="T212" s="418"/>
      <c r="U212" s="418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customHeight="1">
      <c r="A213" s="300">
        <v>30100026</v>
      </c>
      <c r="B213" s="414" t="s">
        <v>208</v>
      </c>
      <c r="C213" s="126" t="s">
        <v>199</v>
      </c>
      <c r="D213" s="108">
        <v>5.08</v>
      </c>
      <c r="E213" s="108"/>
      <c r="F213" s="127">
        <v>42738</v>
      </c>
      <c r="G213" s="128">
        <f>108*4+84</f>
        <v>516</v>
      </c>
      <c r="H213" s="423">
        <f t="shared" si="93"/>
        <v>2621.2800000000002</v>
      </c>
      <c r="I213" s="129">
        <f>8.5*4</f>
        <v>34</v>
      </c>
      <c r="J213" s="130">
        <f t="array" ref="J213">IF(ISERROR(G213/I213),"",G213/I213)</f>
        <v>15.176470588235293</v>
      </c>
      <c r="K213" s="131">
        <f t="array" ref="K213">IF(ISERROR(G213/L213),"",G213/L213)</f>
        <v>24.571428571428573</v>
      </c>
      <c r="L213" s="129">
        <v>21</v>
      </c>
      <c r="M213" s="109">
        <f t="shared" si="101"/>
        <v>9.428571428571427</v>
      </c>
      <c r="N213" s="130">
        <f t="shared" si="102"/>
        <v>0</v>
      </c>
      <c r="O213" s="415"/>
      <c r="P213" s="415"/>
      <c r="Q213" s="415"/>
      <c r="R213" s="415"/>
      <c r="S213" s="415"/>
      <c r="T213" s="415"/>
      <c r="U213" s="415"/>
      <c r="V213" s="132">
        <f t="shared" si="103"/>
        <v>0</v>
      </c>
      <c r="W213" s="133">
        <f t="shared" si="104"/>
        <v>0</v>
      </c>
      <c r="X213" s="132"/>
      <c r="Y213" s="132"/>
      <c r="Z213" s="132"/>
      <c r="AA213" s="132"/>
    </row>
    <row r="214" spans="1:27" ht="20.100000000000001" hidden="1" customHeight="1">
      <c r="A214" s="300">
        <v>30100025</v>
      </c>
      <c r="B214" s="414" t="s">
        <v>208</v>
      </c>
      <c r="C214" s="126" t="s">
        <v>187</v>
      </c>
      <c r="D214" s="108">
        <v>5.08</v>
      </c>
      <c r="E214" s="108"/>
      <c r="F214" s="127"/>
      <c r="G214" s="128"/>
      <c r="H214" s="423">
        <f t="shared" si="93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418"/>
      <c r="P214" s="418"/>
      <c r="Q214" s="418"/>
      <c r="R214" s="418"/>
      <c r="S214" s="418"/>
      <c r="T214" s="418"/>
      <c r="U214" s="418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customHeight="1">
      <c r="A215" s="300">
        <v>30100028</v>
      </c>
      <c r="B215" s="414" t="s">
        <v>208</v>
      </c>
      <c r="C215" s="126" t="s">
        <v>207</v>
      </c>
      <c r="D215" s="108">
        <v>5.08</v>
      </c>
      <c r="E215" s="108"/>
      <c r="F215" s="127">
        <v>42738</v>
      </c>
      <c r="G215" s="128">
        <f>108+70</f>
        <v>178</v>
      </c>
      <c r="H215" s="423">
        <f t="shared" si="93"/>
        <v>904.24</v>
      </c>
      <c r="I215" s="129">
        <f>3*4</f>
        <v>12</v>
      </c>
      <c r="J215" s="130">
        <f t="array" ref="J215">IF(ISERROR(G215/I215),"",G215/I215)</f>
        <v>14.833333333333334</v>
      </c>
      <c r="K215" s="131">
        <f t="array" ref="K215">IF(ISERROR(G215/L215),"",G215/L215)</f>
        <v>8.4761904761904763</v>
      </c>
      <c r="L215" s="129">
        <v>21</v>
      </c>
      <c r="M215" s="109">
        <f t="shared" si="101"/>
        <v>3.5238095238095237</v>
      </c>
      <c r="N215" s="130">
        <f t="shared" si="102"/>
        <v>0</v>
      </c>
      <c r="O215" s="415"/>
      <c r="P215" s="415"/>
      <c r="Q215" s="415"/>
      <c r="R215" s="415"/>
      <c r="S215" s="415"/>
      <c r="T215" s="415"/>
      <c r="U215" s="415"/>
      <c r="V215" s="132">
        <f t="shared" si="103"/>
        <v>0</v>
      </c>
      <c r="W215" s="133">
        <f t="shared" si="104"/>
        <v>0</v>
      </c>
      <c r="X215" s="132"/>
      <c r="Y215" s="132"/>
      <c r="Z215" s="132"/>
      <c r="AA215" s="132"/>
    </row>
    <row r="216" spans="1:27" ht="20.100000000000001" customHeight="1">
      <c r="A216" s="300">
        <v>30100032</v>
      </c>
      <c r="B216" s="414" t="s">
        <v>209</v>
      </c>
      <c r="C216" s="126" t="s">
        <v>194</v>
      </c>
      <c r="D216" s="108">
        <v>5.03</v>
      </c>
      <c r="E216" s="108"/>
      <c r="F216" s="127">
        <v>42736</v>
      </c>
      <c r="G216" s="128">
        <v>1</v>
      </c>
      <c r="H216" s="423">
        <f t="shared" si="93"/>
        <v>5.03</v>
      </c>
      <c r="I216" s="129">
        <v>0.02</v>
      </c>
      <c r="J216" s="130">
        <f t="array" ref="J216">IF(ISERROR(G216/I216),"",G216/I216)</f>
        <v>50</v>
      </c>
      <c r="K216" s="131">
        <f t="array" ref="K216">IF(ISERROR(G216/L216),"",G216/L216)</f>
        <v>1.7857142857142856E-2</v>
      </c>
      <c r="L216" s="129">
        <v>56</v>
      </c>
      <c r="M216" s="109">
        <f t="shared" si="101"/>
        <v>2.1428571428571443E-3</v>
      </c>
      <c r="N216" s="130">
        <f t="shared" si="102"/>
        <v>0</v>
      </c>
      <c r="O216" s="418"/>
      <c r="P216" s="418"/>
      <c r="Q216" s="418"/>
      <c r="R216" s="418"/>
      <c r="S216" s="418"/>
      <c r="T216" s="418"/>
      <c r="U216" s="418"/>
      <c r="V216" s="132">
        <f t="shared" si="103"/>
        <v>0</v>
      </c>
      <c r="W216" s="133">
        <f t="shared" si="104"/>
        <v>0</v>
      </c>
      <c r="X216" s="132"/>
      <c r="Y216" s="132"/>
      <c r="Z216" s="132"/>
      <c r="AA216" s="132"/>
    </row>
    <row r="217" spans="1:27" ht="20.100000000000001" customHeight="1">
      <c r="A217" s="300">
        <v>30100033</v>
      </c>
      <c r="B217" s="414" t="s">
        <v>209</v>
      </c>
      <c r="C217" s="126" t="s">
        <v>179</v>
      </c>
      <c r="D217" s="108">
        <v>5.03</v>
      </c>
      <c r="E217" s="108"/>
      <c r="F217" s="127">
        <v>42736</v>
      </c>
      <c r="G217" s="128">
        <v>1</v>
      </c>
      <c r="H217" s="423">
        <f t="shared" si="93"/>
        <v>5.03</v>
      </c>
      <c r="I217" s="129">
        <v>0.02</v>
      </c>
      <c r="J217" s="130">
        <f t="array" ref="J217">IF(ISERROR(G217/I217),"",G217/I217)</f>
        <v>50</v>
      </c>
      <c r="K217" s="131">
        <f t="array" ref="K217">IF(ISERROR(G217/L217),"",G217/L217)</f>
        <v>1.7857142857142856E-2</v>
      </c>
      <c r="L217" s="129">
        <v>56</v>
      </c>
      <c r="M217" s="109">
        <f t="shared" si="101"/>
        <v>2.1428571428571443E-3</v>
      </c>
      <c r="N217" s="130">
        <f t="shared" si="102"/>
        <v>0</v>
      </c>
      <c r="O217" s="418"/>
      <c r="P217" s="418"/>
      <c r="Q217" s="418"/>
      <c r="R217" s="418"/>
      <c r="S217" s="418"/>
      <c r="T217" s="418"/>
      <c r="U217" s="418"/>
      <c r="V217" s="132">
        <f t="shared" si="103"/>
        <v>0</v>
      </c>
      <c r="W217" s="133">
        <f t="shared" si="104"/>
        <v>0</v>
      </c>
      <c r="X217" s="132"/>
      <c r="Y217" s="132"/>
      <c r="Z217" s="132"/>
      <c r="AA217" s="132"/>
    </row>
    <row r="218" spans="1:27" ht="20.100000000000001" customHeight="1">
      <c r="A218" s="300">
        <v>30100062</v>
      </c>
      <c r="B218" s="414" t="s">
        <v>209</v>
      </c>
      <c r="C218" s="126" t="s">
        <v>195</v>
      </c>
      <c r="D218" s="108">
        <v>5.03</v>
      </c>
      <c r="E218" s="108"/>
      <c r="F218" s="127">
        <v>42737</v>
      </c>
      <c r="G218" s="128">
        <v>8</v>
      </c>
      <c r="H218" s="423">
        <f t="shared" si="93"/>
        <v>40.24</v>
      </c>
      <c r="I218" s="129">
        <v>0.14000000000000001</v>
      </c>
      <c r="J218" s="130">
        <f t="array" ref="J218">IF(ISERROR(G218/I218),"",G218/I218)</f>
        <v>57.142857142857139</v>
      </c>
      <c r="K218" s="131">
        <f t="array" ref="K218">IF(ISERROR(G218/L218),"",G218/L218)</f>
        <v>0.14285714285714285</v>
      </c>
      <c r="L218" s="129">
        <v>56</v>
      </c>
      <c r="M218" s="109">
        <f t="shared" si="101"/>
        <v>-2.8571428571428359E-3</v>
      </c>
      <c r="N218" s="130">
        <f t="shared" si="102"/>
        <v>0</v>
      </c>
      <c r="O218" s="418"/>
      <c r="P218" s="418"/>
      <c r="Q218" s="418"/>
      <c r="R218" s="418"/>
      <c r="S218" s="418"/>
      <c r="T218" s="418"/>
      <c r="U218" s="418"/>
      <c r="V218" s="132">
        <f t="shared" si="103"/>
        <v>0</v>
      </c>
      <c r="W218" s="133">
        <f t="shared" si="104"/>
        <v>0</v>
      </c>
      <c r="X218" s="132"/>
      <c r="Y218" s="132"/>
      <c r="Z218" s="132"/>
      <c r="AA218" s="132"/>
    </row>
    <row r="219" spans="1:27" ht="20.100000000000001" hidden="1" customHeight="1">
      <c r="A219" s="300">
        <v>30100031</v>
      </c>
      <c r="B219" s="414" t="s">
        <v>209</v>
      </c>
      <c r="C219" s="126" t="s">
        <v>204</v>
      </c>
      <c r="D219" s="108">
        <v>5.03</v>
      </c>
      <c r="E219" s="108"/>
      <c r="F219" s="127"/>
      <c r="G219" s="128"/>
      <c r="H219" s="423">
        <f t="shared" si="93"/>
        <v>0</v>
      </c>
      <c r="I219" s="129"/>
      <c r="J219" s="130" t="str">
        <f t="array" ref="J219">IF(ISERROR(G219/I219),"",G219/I219)</f>
        <v/>
      </c>
      <c r="K219" s="131">
        <f t="array" ref="K219">IF(ISERROR(G219/L219),"",G219/L219)</f>
        <v>0</v>
      </c>
      <c r="L219" s="129">
        <v>56</v>
      </c>
      <c r="M219" s="109">
        <f t="shared" si="101"/>
        <v>0</v>
      </c>
      <c r="N219" s="130">
        <f t="shared" si="102"/>
        <v>0</v>
      </c>
      <c r="O219" s="418"/>
      <c r="P219" s="418"/>
      <c r="Q219" s="418"/>
      <c r="R219" s="418"/>
      <c r="S219" s="418"/>
      <c r="T219" s="418"/>
      <c r="U219" s="418"/>
      <c r="V219" s="132">
        <f t="shared" si="103"/>
        <v>0</v>
      </c>
      <c r="W219" s="133" t="str">
        <f t="shared" si="104"/>
        <v/>
      </c>
      <c r="X219" s="132"/>
      <c r="Y219" s="132"/>
      <c r="Z219" s="132"/>
      <c r="AA219" s="132"/>
    </row>
    <row r="220" spans="1:27" ht="20.100000000000001" hidden="1" customHeight="1">
      <c r="A220" s="300">
        <v>30100019</v>
      </c>
      <c r="B220" s="414" t="s">
        <v>382</v>
      </c>
      <c r="C220" s="187" t="s">
        <v>383</v>
      </c>
      <c r="D220" s="108">
        <v>5.03</v>
      </c>
      <c r="E220" s="108"/>
      <c r="F220" s="127"/>
      <c r="G220" s="128"/>
      <c r="H220" s="423">
        <f t="shared" si="93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418"/>
      <c r="P220" s="418"/>
      <c r="Q220" s="418"/>
      <c r="R220" s="418"/>
      <c r="S220" s="418"/>
      <c r="T220" s="418"/>
      <c r="U220" s="418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30100020</v>
      </c>
      <c r="B221" s="414" t="s">
        <v>382</v>
      </c>
      <c r="C221" s="187" t="s">
        <v>384</v>
      </c>
      <c r="D221" s="108">
        <v>5.03</v>
      </c>
      <c r="E221" s="108"/>
      <c r="F221" s="127"/>
      <c r="G221" s="128"/>
      <c r="H221" s="423">
        <f t="shared" si="93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418"/>
      <c r="P221" s="418"/>
      <c r="Q221" s="418"/>
      <c r="R221" s="418"/>
      <c r="S221" s="418"/>
      <c r="T221" s="418"/>
      <c r="U221" s="418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30100021</v>
      </c>
      <c r="B222" s="414" t="s">
        <v>382</v>
      </c>
      <c r="C222" s="187" t="s">
        <v>389</v>
      </c>
      <c r="D222" s="108">
        <v>5.03</v>
      </c>
      <c r="E222" s="108"/>
      <c r="F222" s="127"/>
      <c r="G222" s="128"/>
      <c r="H222" s="423">
        <f t="shared" si="93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418"/>
      <c r="P222" s="418"/>
      <c r="Q222" s="418"/>
      <c r="R222" s="418"/>
      <c r="S222" s="418"/>
      <c r="T222" s="418"/>
      <c r="U222" s="418"/>
      <c r="V222" s="132"/>
      <c r="W222" s="133"/>
      <c r="X222" s="132"/>
      <c r="Y222" s="132"/>
      <c r="Z222" s="132"/>
      <c r="AA222" s="132"/>
    </row>
    <row r="223" spans="1:27" ht="20.100000000000001" customHeight="1">
      <c r="A223" s="300">
        <v>30100018</v>
      </c>
      <c r="B223" s="414" t="s">
        <v>382</v>
      </c>
      <c r="C223" s="187" t="s">
        <v>391</v>
      </c>
      <c r="D223" s="108">
        <v>5.03</v>
      </c>
      <c r="E223" s="108"/>
      <c r="F223" s="127">
        <v>42739</v>
      </c>
      <c r="G223" s="128">
        <f>90+55</f>
        <v>145</v>
      </c>
      <c r="H223" s="423">
        <f t="shared" si="93"/>
        <v>729.35</v>
      </c>
      <c r="I223" s="129">
        <v>3</v>
      </c>
      <c r="J223" s="130">
        <f t="array" ref="J223">IF(ISERROR(G223/I223),"",G223/I223)</f>
        <v>48.333333333333336</v>
      </c>
      <c r="K223" s="131">
        <f t="array" ref="K223">IF(ISERROR(G223/L223),"",G223/L223)</f>
        <v>2.6851851851851851</v>
      </c>
      <c r="L223" s="129">
        <v>54</v>
      </c>
      <c r="M223" s="109">
        <f t="shared" si="101"/>
        <v>0.31481481481481488</v>
      </c>
      <c r="N223" s="130">
        <f t="shared" si="102"/>
        <v>0</v>
      </c>
      <c r="O223" s="418"/>
      <c r="P223" s="418"/>
      <c r="Q223" s="418"/>
      <c r="R223" s="418"/>
      <c r="S223" s="418"/>
      <c r="T223" s="418"/>
      <c r="U223" s="418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30700007</v>
      </c>
      <c r="B224" s="414" t="s">
        <v>418</v>
      </c>
      <c r="C224" s="187" t="s">
        <v>364</v>
      </c>
      <c r="D224" s="108">
        <v>5.03</v>
      </c>
      <c r="E224" s="108"/>
      <c r="F224" s="127"/>
      <c r="G224" s="128"/>
      <c r="H224" s="423">
        <f t="shared" si="93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418"/>
      <c r="P224" s="418"/>
      <c r="Q224" s="418"/>
      <c r="R224" s="418"/>
      <c r="S224" s="418"/>
      <c r="T224" s="418"/>
      <c r="U224" s="418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30700006</v>
      </c>
      <c r="B225" s="414" t="s">
        <v>418</v>
      </c>
      <c r="C225" s="187" t="s">
        <v>365</v>
      </c>
      <c r="D225" s="108">
        <v>5.03</v>
      </c>
      <c r="E225" s="108"/>
      <c r="F225" s="127"/>
      <c r="G225" s="128"/>
      <c r="H225" s="423">
        <f t="shared" si="93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418"/>
      <c r="P225" s="418"/>
      <c r="Q225" s="418"/>
      <c r="R225" s="418"/>
      <c r="S225" s="418"/>
      <c r="T225" s="418"/>
      <c r="U225" s="418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30700008</v>
      </c>
      <c r="B226" s="414" t="s">
        <v>418</v>
      </c>
      <c r="C226" s="187" t="s">
        <v>366</v>
      </c>
      <c r="D226" s="108">
        <v>5.03</v>
      </c>
      <c r="E226" s="108"/>
      <c r="F226" s="127"/>
      <c r="G226" s="128"/>
      <c r="H226" s="423">
        <f t="shared" si="93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418"/>
      <c r="P226" s="418"/>
      <c r="Q226" s="418"/>
      <c r="R226" s="418"/>
      <c r="S226" s="418"/>
      <c r="T226" s="418"/>
      <c r="U226" s="418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3">
        <v>30700009</v>
      </c>
      <c r="B227" s="414" t="s">
        <v>418</v>
      </c>
      <c r="C227" s="187" t="s">
        <v>367</v>
      </c>
      <c r="D227" s="108">
        <v>5.03</v>
      </c>
      <c r="E227" s="108"/>
      <c r="F227" s="127"/>
      <c r="G227" s="128"/>
      <c r="H227" s="423">
        <f t="shared" si="93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101"/>
        <v>0</v>
      </c>
      <c r="N227" s="130">
        <f t="shared" si="102"/>
        <v>0</v>
      </c>
      <c r="O227" s="418"/>
      <c r="P227" s="418"/>
      <c r="Q227" s="418"/>
      <c r="R227" s="418"/>
      <c r="S227" s="418"/>
      <c r="T227" s="418"/>
      <c r="U227" s="418"/>
      <c r="V227" s="132"/>
      <c r="W227" s="133"/>
      <c r="X227" s="132"/>
      <c r="Y227" s="132"/>
      <c r="Z227" s="132"/>
      <c r="AA227" s="132"/>
    </row>
    <row r="228" spans="1:27" ht="20.100000000000001" hidden="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/>
      <c r="G228" s="128"/>
      <c r="H228" s="423">
        <f t="shared" si="93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415"/>
      <c r="P228" s="415"/>
      <c r="Q228" s="415"/>
      <c r="R228" s="415"/>
      <c r="S228" s="415"/>
      <c r="T228" s="415"/>
      <c r="U228" s="415"/>
      <c r="V228" s="132">
        <f t="shared" ref="V228:V237" si="105">SUM(X228:AA228)</f>
        <v>0</v>
      </c>
      <c r="W228" s="133" t="str">
        <f t="shared" ref="W228:W237" si="106">IF(ISERROR(V228/G228),"",V228/G228)</f>
        <v/>
      </c>
      <c r="X228" s="132"/>
      <c r="Y228" s="132"/>
      <c r="Z228" s="132"/>
      <c r="AA228" s="132"/>
    </row>
    <row r="229" spans="1:27" ht="20.100000000000001" hidden="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/>
      <c r="G229" s="128"/>
      <c r="H229" s="423">
        <f t="shared" si="93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415"/>
      <c r="P229" s="415"/>
      <c r="Q229" s="415"/>
      <c r="R229" s="415"/>
      <c r="S229" s="415"/>
      <c r="T229" s="415"/>
      <c r="U229" s="415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/>
      <c r="G230" s="128"/>
      <c r="H230" s="423">
        <f t="shared" si="93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40</v>
      </c>
      <c r="M230" s="109">
        <f t="shared" si="101"/>
        <v>0</v>
      </c>
      <c r="N230" s="130">
        <f t="shared" si="102"/>
        <v>0</v>
      </c>
      <c r="O230" s="415"/>
      <c r="P230" s="415"/>
      <c r="Q230" s="415"/>
      <c r="R230" s="415"/>
      <c r="S230" s="415"/>
      <c r="T230" s="415"/>
      <c r="U230" s="415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28"/>
      <c r="H231" s="423">
        <f t="shared" si="93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415"/>
      <c r="P231" s="415"/>
      <c r="Q231" s="415"/>
      <c r="R231" s="415"/>
      <c r="S231" s="415"/>
      <c r="T231" s="415"/>
      <c r="U231" s="415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28"/>
      <c r="H232" s="423">
        <f t="shared" si="93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415"/>
      <c r="P232" s="415"/>
      <c r="Q232" s="415"/>
      <c r="R232" s="415"/>
      <c r="S232" s="415"/>
      <c r="T232" s="415"/>
      <c r="U232" s="415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28"/>
      <c r="H233" s="423">
        <f t="shared" si="93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415"/>
      <c r="P233" s="415"/>
      <c r="Q233" s="415"/>
      <c r="R233" s="415"/>
      <c r="S233" s="415"/>
      <c r="T233" s="415"/>
      <c r="U233" s="415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28"/>
      <c r="H234" s="423">
        <f t="shared" si="93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415"/>
      <c r="P234" s="415"/>
      <c r="Q234" s="415"/>
      <c r="R234" s="415"/>
      <c r="S234" s="415"/>
      <c r="T234" s="415"/>
      <c r="U234" s="415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/>
      <c r="G235" s="128"/>
      <c r="H235" s="423">
        <f t="shared" si="93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415"/>
      <c r="P235" s="415"/>
      <c r="Q235" s="415"/>
      <c r="R235" s="415"/>
      <c r="S235" s="415"/>
      <c r="T235" s="415"/>
      <c r="U235" s="415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/>
      <c r="G236" s="128"/>
      <c r="H236" s="423">
        <f t="shared" si="93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415"/>
      <c r="P236" s="415"/>
      <c r="Q236" s="415"/>
      <c r="R236" s="415"/>
      <c r="S236" s="415"/>
      <c r="T236" s="415"/>
      <c r="U236" s="415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/>
      <c r="G237" s="128"/>
      <c r="H237" s="423">
        <f t="shared" si="93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50</v>
      </c>
      <c r="M237" s="109">
        <f t="shared" si="101"/>
        <v>0</v>
      </c>
      <c r="N237" s="130">
        <f t="shared" si="102"/>
        <v>0</v>
      </c>
      <c r="O237" s="415"/>
      <c r="P237" s="415"/>
      <c r="Q237" s="415"/>
      <c r="R237" s="415"/>
      <c r="S237" s="415"/>
      <c r="T237" s="415"/>
      <c r="U237" s="415"/>
      <c r="V237" s="132">
        <f t="shared" si="105"/>
        <v>0</v>
      </c>
      <c r="W237" s="133" t="str">
        <f t="shared" si="106"/>
        <v/>
      </c>
      <c r="X237" s="132"/>
      <c r="Y237" s="132"/>
      <c r="Z237" s="132"/>
      <c r="AA237" s="132"/>
    </row>
    <row r="238" spans="1:27" ht="20.100000000000001" hidden="1" customHeight="1">
      <c r="A238" s="300">
        <v>30100043</v>
      </c>
      <c r="B238" s="134" t="s">
        <v>429</v>
      </c>
      <c r="C238" s="187" t="s">
        <v>427</v>
      </c>
      <c r="D238" s="108">
        <v>5.03</v>
      </c>
      <c r="E238" s="108"/>
      <c r="F238" s="127"/>
      <c r="G238" s="128"/>
      <c r="H238" s="423">
        <f t="shared" si="93"/>
        <v>0</v>
      </c>
      <c r="I238" s="129"/>
      <c r="J238" s="130"/>
      <c r="K238" s="131"/>
      <c r="L238" s="129">
        <v>50</v>
      </c>
      <c r="M238" s="109"/>
      <c r="N238" s="130"/>
      <c r="O238" s="415"/>
      <c r="P238" s="415"/>
      <c r="Q238" s="415"/>
      <c r="R238" s="415"/>
      <c r="S238" s="415"/>
      <c r="T238" s="415"/>
      <c r="U238" s="415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/>
      <c r="G239" s="128"/>
      <c r="H239" s="423">
        <f t="shared" si="93"/>
        <v>0</v>
      </c>
      <c r="I239" s="129"/>
      <c r="J239" s="130"/>
      <c r="K239" s="131">
        <f t="array" ref="K239">IF(ISERROR(G239/L239),"",G239/L239)</f>
        <v>0</v>
      </c>
      <c r="L239" s="129">
        <v>50</v>
      </c>
      <c r="M239" s="109">
        <f t="shared" ref="M239:M250" si="107">IF(ISERROR(I239-K239),"",I239-K239)</f>
        <v>0</v>
      </c>
      <c r="N239" s="130"/>
      <c r="O239" s="415"/>
      <c r="P239" s="415"/>
      <c r="Q239" s="415"/>
      <c r="R239" s="415"/>
      <c r="S239" s="415"/>
      <c r="T239" s="415"/>
      <c r="U239" s="415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/>
      <c r="G240" s="128"/>
      <c r="H240" s="423">
        <f t="shared" si="93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7"/>
        <v>0</v>
      </c>
      <c r="N240" s="130">
        <f t="shared" ref="N240:N241" si="108">SUM(O240:U240)</f>
        <v>0</v>
      </c>
      <c r="O240" s="415"/>
      <c r="P240" s="415"/>
      <c r="Q240" s="415"/>
      <c r="R240" s="415"/>
      <c r="S240" s="415"/>
      <c r="T240" s="415"/>
      <c r="U240" s="415"/>
      <c r="V240" s="132">
        <f t="shared" ref="V240:V241" si="109">SUM(X240:AA240)</f>
        <v>0</v>
      </c>
      <c r="W240" s="133" t="str">
        <f t="shared" ref="W240:W241" si="110">IF(ISERROR(V240/G240),"",V240/G240)</f>
        <v/>
      </c>
      <c r="X240" s="132"/>
      <c r="Y240" s="132"/>
      <c r="Z240" s="132"/>
      <c r="AA240" s="132"/>
    </row>
    <row r="241" spans="1:27" ht="20.100000000000001" hidden="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/>
      <c r="G241" s="128"/>
      <c r="H241" s="423">
        <f t="shared" si="93"/>
        <v>0</v>
      </c>
      <c r="I241" s="129"/>
      <c r="J241" s="130" t="str">
        <f t="array" ref="J241">IF(ISERROR(G241/I241),"",G241/I241)</f>
        <v/>
      </c>
      <c r="K241" s="131">
        <f t="array" ref="K241">IF(ISERROR(G241/L241),"",G241/L241)</f>
        <v>0</v>
      </c>
      <c r="L241" s="129">
        <v>21.5</v>
      </c>
      <c r="M241" s="109">
        <f t="shared" si="107"/>
        <v>0</v>
      </c>
      <c r="N241" s="130">
        <f t="shared" si="108"/>
        <v>0</v>
      </c>
      <c r="O241" s="415"/>
      <c r="P241" s="415"/>
      <c r="Q241" s="415"/>
      <c r="R241" s="415"/>
      <c r="S241" s="415"/>
      <c r="T241" s="415"/>
      <c r="U241" s="415"/>
      <c r="V241" s="132">
        <f t="shared" si="109"/>
        <v>0</v>
      </c>
      <c r="W241" s="133" t="str">
        <f t="shared" si="110"/>
        <v/>
      </c>
      <c r="X241" s="132"/>
      <c r="Y241" s="132"/>
      <c r="Z241" s="132"/>
      <c r="AA241" s="132"/>
    </row>
    <row r="242" spans="1:27" ht="20.100000000000001" hidden="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28"/>
      <c r="H242" s="423">
        <f t="shared" si="93"/>
        <v>0</v>
      </c>
      <c r="I242" s="129"/>
      <c r="J242" s="130"/>
      <c r="K242" s="131"/>
      <c r="L242" s="129"/>
      <c r="M242" s="109">
        <f t="shared" si="107"/>
        <v>0</v>
      </c>
      <c r="N242" s="130"/>
      <c r="O242" s="415"/>
      <c r="P242" s="415"/>
      <c r="Q242" s="415"/>
      <c r="R242" s="415"/>
      <c r="S242" s="415"/>
      <c r="T242" s="415"/>
      <c r="U242" s="415"/>
      <c r="V242" s="132"/>
      <c r="W242" s="133"/>
      <c r="X242" s="132"/>
      <c r="Y242" s="132"/>
      <c r="Z242" s="132"/>
      <c r="AA242" s="132"/>
    </row>
    <row r="243" spans="1:27" ht="20.100000000000001" hidden="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28"/>
      <c r="H243" s="423">
        <f t="shared" si="93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ref="N243:N246" si="111">SUM(O243:U243)</f>
        <v>0</v>
      </c>
      <c r="O243" s="415"/>
      <c r="P243" s="415"/>
      <c r="Q243" s="415"/>
      <c r="R243" s="415"/>
      <c r="S243" s="415"/>
      <c r="T243" s="415"/>
      <c r="U243" s="415"/>
      <c r="V243" s="132">
        <f t="shared" ref="V243:V246" si="112">SUM(X243:AA243)</f>
        <v>0</v>
      </c>
      <c r="W243" s="133" t="str">
        <f t="shared" ref="W243:W246" si="113">IF(ISERROR(V243/G243),"",V243/G243)</f>
        <v/>
      </c>
      <c r="X243" s="132"/>
      <c r="Y243" s="132"/>
      <c r="Z243" s="132"/>
      <c r="AA243" s="132"/>
    </row>
    <row r="244" spans="1:27" ht="20.100000000000001" hidden="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28"/>
      <c r="H244" s="423">
        <f t="shared" si="93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415"/>
      <c r="P244" s="415"/>
      <c r="Q244" s="415"/>
      <c r="R244" s="415"/>
      <c r="S244" s="415"/>
      <c r="T244" s="415"/>
      <c r="U244" s="415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28"/>
      <c r="H245" s="423">
        <f t="shared" si="93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415"/>
      <c r="P245" s="415"/>
      <c r="Q245" s="415"/>
      <c r="R245" s="415"/>
      <c r="S245" s="415"/>
      <c r="T245" s="415"/>
      <c r="U245" s="415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28"/>
      <c r="H246" s="423">
        <f t="shared" si="93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7"/>
        <v/>
      </c>
      <c r="N246" s="130">
        <f t="shared" si="111"/>
        <v>0</v>
      </c>
      <c r="O246" s="415"/>
      <c r="P246" s="415"/>
      <c r="Q246" s="415"/>
      <c r="R246" s="415"/>
      <c r="S246" s="415"/>
      <c r="T246" s="415"/>
      <c r="U246" s="415"/>
      <c r="V246" s="132">
        <f t="shared" si="112"/>
        <v>0</v>
      </c>
      <c r="W246" s="133" t="str">
        <f t="shared" si="113"/>
        <v/>
      </c>
      <c r="X246" s="132"/>
      <c r="Y246" s="132"/>
      <c r="Z246" s="132"/>
      <c r="AA246" s="132"/>
    </row>
    <row r="247" spans="1:27" ht="20.100000000000001" hidden="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28"/>
      <c r="H247" s="423">
        <f t="shared" si="93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415"/>
      <c r="P247" s="415"/>
      <c r="Q247" s="415"/>
      <c r="R247" s="415"/>
      <c r="S247" s="415"/>
      <c r="T247" s="415"/>
      <c r="U247" s="415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28"/>
      <c r="H248" s="423">
        <f t="shared" si="93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415"/>
      <c r="P248" s="415"/>
      <c r="Q248" s="415"/>
      <c r="R248" s="415"/>
      <c r="S248" s="415"/>
      <c r="T248" s="415"/>
      <c r="U248" s="415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28"/>
      <c r="H249" s="423">
        <f t="shared" si="93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415"/>
      <c r="P249" s="415"/>
      <c r="Q249" s="415"/>
      <c r="R249" s="415"/>
      <c r="S249" s="415"/>
      <c r="T249" s="415"/>
      <c r="U249" s="415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28"/>
      <c r="H250" s="423">
        <f t="shared" si="93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7"/>
        <v>0</v>
      </c>
      <c r="N250" s="130"/>
      <c r="O250" s="415"/>
      <c r="P250" s="415"/>
      <c r="Q250" s="415"/>
      <c r="R250" s="415"/>
      <c r="S250" s="415"/>
      <c r="T250" s="415"/>
      <c r="U250" s="415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28"/>
      <c r="H251" s="423">
        <f t="shared" si="93"/>
        <v>0</v>
      </c>
      <c r="I251" s="129"/>
      <c r="J251" s="130"/>
      <c r="K251" s="131"/>
      <c r="L251" s="129">
        <v>4</v>
      </c>
      <c r="M251" s="109"/>
      <c r="N251" s="130"/>
      <c r="O251" s="415"/>
      <c r="P251" s="415"/>
      <c r="Q251" s="415"/>
      <c r="R251" s="415"/>
      <c r="S251" s="415"/>
      <c r="T251" s="415"/>
      <c r="U251" s="415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28"/>
      <c r="H252" s="423">
        <f t="shared" si="93"/>
        <v>0</v>
      </c>
      <c r="I252" s="129"/>
      <c r="J252" s="130"/>
      <c r="K252" s="131"/>
      <c r="L252" s="129">
        <v>4</v>
      </c>
      <c r="M252" s="109"/>
      <c r="N252" s="130"/>
      <c r="O252" s="415"/>
      <c r="P252" s="415"/>
      <c r="Q252" s="415"/>
      <c r="R252" s="415"/>
      <c r="S252" s="415"/>
      <c r="T252" s="415"/>
      <c r="U252" s="415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28"/>
      <c r="H253" s="423">
        <f t="shared" si="93"/>
        <v>0</v>
      </c>
      <c r="I253" s="129"/>
      <c r="J253" s="130"/>
      <c r="K253" s="131"/>
      <c r="L253" s="129">
        <v>4</v>
      </c>
      <c r="M253" s="109"/>
      <c r="N253" s="130"/>
      <c r="O253" s="415"/>
      <c r="P253" s="415"/>
      <c r="Q253" s="415"/>
      <c r="R253" s="415"/>
      <c r="S253" s="415"/>
      <c r="T253" s="415"/>
      <c r="U253" s="415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28"/>
      <c r="H254" s="423">
        <f t="shared" si="93"/>
        <v>0</v>
      </c>
      <c r="I254" s="129"/>
      <c r="J254" s="130"/>
      <c r="K254" s="131"/>
      <c r="L254" s="129">
        <v>4</v>
      </c>
      <c r="M254" s="109"/>
      <c r="N254" s="130"/>
      <c r="O254" s="415"/>
      <c r="P254" s="415"/>
      <c r="Q254" s="415"/>
      <c r="R254" s="415"/>
      <c r="S254" s="415"/>
      <c r="T254" s="415"/>
      <c r="U254" s="415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28"/>
      <c r="H255" s="423">
        <f t="shared" si="93"/>
        <v>0</v>
      </c>
      <c r="I255" s="129"/>
      <c r="J255" s="130"/>
      <c r="K255" s="131"/>
      <c r="L255" s="129">
        <v>4</v>
      </c>
      <c r="M255" s="109"/>
      <c r="N255" s="130"/>
      <c r="O255" s="415"/>
      <c r="P255" s="415"/>
      <c r="Q255" s="415"/>
      <c r="R255" s="415"/>
      <c r="S255" s="415"/>
      <c r="T255" s="415"/>
      <c r="U255" s="415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28"/>
      <c r="H256" s="423">
        <f t="shared" si="93"/>
        <v>0</v>
      </c>
      <c r="I256" s="129"/>
      <c r="J256" s="130"/>
      <c r="K256" s="131"/>
      <c r="L256" s="129">
        <v>4</v>
      </c>
      <c r="M256" s="109"/>
      <c r="N256" s="130"/>
      <c r="O256" s="415"/>
      <c r="P256" s="415"/>
      <c r="Q256" s="415"/>
      <c r="R256" s="415"/>
      <c r="S256" s="415"/>
      <c r="T256" s="415"/>
      <c r="U256" s="415"/>
      <c r="V256" s="132"/>
      <c r="W256" s="133"/>
      <c r="X256" s="132"/>
      <c r="Y256" s="132"/>
      <c r="Z256" s="132"/>
      <c r="AA256" s="132"/>
    </row>
    <row r="257" spans="1:27" ht="20.100000000000001" customHeight="1">
      <c r="A257" s="589" t="s">
        <v>216</v>
      </c>
      <c r="B257" s="589"/>
      <c r="C257" s="421" t="s">
        <v>202</v>
      </c>
      <c r="D257" s="143"/>
      <c r="E257" s="143"/>
      <c r="F257" s="144"/>
      <c r="G257" s="145">
        <f>SUM(G200:G256)</f>
        <v>1698</v>
      </c>
      <c r="H257" s="146">
        <f>SUM(H200:H256)</f>
        <v>8575.89</v>
      </c>
      <c r="I257" s="146">
        <f>SUM(I200:I256)</f>
        <v>68.679999999999993</v>
      </c>
      <c r="J257" s="130">
        <f t="array" ref="J257">IF(ISERROR(G257/I257),"",G257/I257)</f>
        <v>24.723354688410019</v>
      </c>
      <c r="K257" s="146">
        <f>SUM(K200:K256)</f>
        <v>52.380240130240132</v>
      </c>
      <c r="L257" s="147"/>
      <c r="M257" s="150">
        <f t="shared" ref="M257:V257" si="114">SUM(M200:M256)</f>
        <v>16.299759869759868</v>
      </c>
      <c r="N257" s="146">
        <f t="shared" si="114"/>
        <v>0</v>
      </c>
      <c r="O257" s="148">
        <f t="shared" si="114"/>
        <v>0</v>
      </c>
      <c r="P257" s="148">
        <f t="shared" si="114"/>
        <v>0</v>
      </c>
      <c r="Q257" s="148">
        <f t="shared" si="114"/>
        <v>0</v>
      </c>
      <c r="R257" s="148">
        <f t="shared" si="114"/>
        <v>0</v>
      </c>
      <c r="S257" s="148">
        <f t="shared" si="114"/>
        <v>0</v>
      </c>
      <c r="T257" s="148">
        <f t="shared" si="114"/>
        <v>0</v>
      </c>
      <c r="U257" s="148">
        <f t="shared" si="114"/>
        <v>0</v>
      </c>
      <c r="V257" s="149">
        <f t="shared" si="114"/>
        <v>0</v>
      </c>
      <c r="W257" s="133">
        <f t="shared" ref="W257:W264" si="115">IF(ISERROR(V257/G257),"",V257/G257)</f>
        <v>0</v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hidden="1" customHeight="1">
      <c r="A258" s="299">
        <v>30400012</v>
      </c>
      <c r="B258" s="414" t="s">
        <v>217</v>
      </c>
      <c r="C258" s="126" t="s">
        <v>179</v>
      </c>
      <c r="D258" s="108">
        <v>5.03</v>
      </c>
      <c r="E258" s="108"/>
      <c r="F258" s="127"/>
      <c r="G258" s="128"/>
      <c r="H258" s="423">
        <f t="shared" ref="H258:H291" si="116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7">IF(ISERROR(I258-K258),"",I258-K258)</f>
        <v>0</v>
      </c>
      <c r="N258" s="130">
        <f t="shared" ref="N258:N265" si="118">SUM(O258:U258)</f>
        <v>0</v>
      </c>
      <c r="O258" s="415"/>
      <c r="P258" s="415"/>
      <c r="Q258" s="415"/>
      <c r="R258" s="415"/>
      <c r="S258" s="415"/>
      <c r="T258" s="415"/>
      <c r="U258" s="415"/>
      <c r="V258" s="132">
        <f t="shared" ref="V258:V264" si="119">SUM(X258:AA258)</f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30400010</v>
      </c>
      <c r="B259" s="414" t="s">
        <v>217</v>
      </c>
      <c r="C259" s="126" t="s">
        <v>186</v>
      </c>
      <c r="D259" s="108">
        <v>5.03</v>
      </c>
      <c r="E259" s="108"/>
      <c r="F259" s="127"/>
      <c r="G259" s="128"/>
      <c r="H259" s="423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415"/>
      <c r="P259" s="415"/>
      <c r="Q259" s="415"/>
      <c r="R259" s="415"/>
      <c r="S259" s="415"/>
      <c r="T259" s="415"/>
      <c r="U259" s="415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30400011</v>
      </c>
      <c r="B260" s="414" t="s">
        <v>217</v>
      </c>
      <c r="C260" s="126" t="s">
        <v>204</v>
      </c>
      <c r="D260" s="108">
        <v>5.03</v>
      </c>
      <c r="E260" s="108"/>
      <c r="F260" s="127"/>
      <c r="G260" s="128"/>
      <c r="H260" s="423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8.8000000000000007</v>
      </c>
      <c r="M260" s="109">
        <f t="shared" si="117"/>
        <v>0</v>
      </c>
      <c r="N260" s="130">
        <f t="shared" si="118"/>
        <v>0</v>
      </c>
      <c r="O260" s="415"/>
      <c r="P260" s="415"/>
      <c r="Q260" s="415"/>
      <c r="R260" s="415"/>
      <c r="S260" s="415"/>
      <c r="T260" s="415"/>
      <c r="U260" s="415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28"/>
      <c r="H261" s="423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415"/>
      <c r="P261" s="415"/>
      <c r="Q261" s="415"/>
      <c r="R261" s="415"/>
      <c r="S261" s="415"/>
      <c r="T261" s="415"/>
      <c r="U261" s="415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/>
      <c r="G262" s="128"/>
      <c r="H262" s="423">
        <f t="shared" si="116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415"/>
      <c r="P262" s="415"/>
      <c r="Q262" s="415"/>
      <c r="R262" s="415"/>
      <c r="S262" s="415"/>
      <c r="T262" s="415"/>
      <c r="U262" s="415"/>
      <c r="V262" s="132">
        <f t="shared" si="119"/>
        <v>0</v>
      </c>
      <c r="W262" s="133" t="str">
        <f t="shared" si="115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/>
      <c r="G263" s="128"/>
      <c r="H263" s="423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7"/>
        <v>0</v>
      </c>
      <c r="N263" s="130">
        <f t="shared" si="118"/>
        <v>0</v>
      </c>
      <c r="O263" s="415"/>
      <c r="P263" s="415"/>
      <c r="Q263" s="415"/>
      <c r="R263" s="415"/>
      <c r="S263" s="415"/>
      <c r="T263" s="415"/>
      <c r="U263" s="415"/>
      <c r="V263" s="132">
        <f t="shared" si="119"/>
        <v>0</v>
      </c>
      <c r="W263" s="133" t="str">
        <f t="shared" si="115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/>
      <c r="G264" s="128"/>
      <c r="H264" s="423">
        <f t="shared" si="116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415"/>
      <c r="P264" s="415"/>
      <c r="Q264" s="415"/>
      <c r="R264" s="415"/>
      <c r="S264" s="415"/>
      <c r="T264" s="415"/>
      <c r="U264" s="415"/>
      <c r="V264" s="132">
        <f t="shared" si="119"/>
        <v>0</v>
      </c>
      <c r="W264" s="133" t="str">
        <f t="shared" si="115"/>
        <v/>
      </c>
      <c r="X264" s="132"/>
      <c r="Y264" s="132"/>
      <c r="Z264" s="132"/>
      <c r="AA264" s="132"/>
    </row>
    <row r="265" spans="1:27" ht="20.100000000000001" hidden="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/>
      <c r="G265" s="128"/>
      <c r="H265" s="423">
        <f t="shared" si="116"/>
        <v>0</v>
      </c>
      <c r="I265" s="129"/>
      <c r="J265" s="130"/>
      <c r="K265" s="131">
        <f t="array" ref="K265">IF(ISERROR(G265/L265),"",G265/L265)</f>
        <v>0</v>
      </c>
      <c r="L265" s="129">
        <v>9.3000000000000007</v>
      </c>
      <c r="M265" s="109">
        <f t="shared" si="117"/>
        <v>0</v>
      </c>
      <c r="N265" s="130">
        <f t="shared" si="118"/>
        <v>0</v>
      </c>
      <c r="O265" s="415"/>
      <c r="P265" s="415"/>
      <c r="Q265" s="415"/>
      <c r="R265" s="415"/>
      <c r="S265" s="415"/>
      <c r="T265" s="415"/>
      <c r="U265" s="415"/>
      <c r="V265" s="132"/>
      <c r="W265" s="133"/>
      <c r="X265" s="132"/>
      <c r="Y265" s="132"/>
      <c r="Z265" s="132"/>
      <c r="AA265" s="132"/>
    </row>
    <row r="266" spans="1:27" ht="20.100000000000001" hidden="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28"/>
      <c r="H266" s="423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15"/>
      <c r="P266" s="415"/>
      <c r="Q266" s="415"/>
      <c r="R266" s="415"/>
      <c r="S266" s="415"/>
      <c r="T266" s="415"/>
      <c r="U266" s="415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28"/>
      <c r="H267" s="423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415"/>
      <c r="P267" s="415"/>
      <c r="Q267" s="415"/>
      <c r="R267" s="415"/>
      <c r="S267" s="415"/>
      <c r="T267" s="415"/>
      <c r="U267" s="415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28"/>
      <c r="H268" s="423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415"/>
      <c r="P268" s="415"/>
      <c r="Q268" s="415"/>
      <c r="R268" s="415"/>
      <c r="S268" s="415"/>
      <c r="T268" s="415"/>
      <c r="U268" s="415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28"/>
      <c r="H269" s="423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415"/>
      <c r="P269" s="415"/>
      <c r="Q269" s="415"/>
      <c r="R269" s="415"/>
      <c r="S269" s="415"/>
      <c r="T269" s="415"/>
      <c r="U269" s="415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28"/>
      <c r="H270" s="423">
        <f t="shared" si="116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6" si="120">IF(ISERROR(I270-K270),"",I270-K270)</f>
        <v>0</v>
      </c>
      <c r="N270" s="130">
        <f t="shared" ref="N270:N285" si="121">SUM(O270:U270)</f>
        <v>0</v>
      </c>
      <c r="O270" s="415"/>
      <c r="P270" s="415"/>
      <c r="Q270" s="415"/>
      <c r="R270" s="415"/>
      <c r="S270" s="415"/>
      <c r="T270" s="415"/>
      <c r="U270" s="415"/>
      <c r="V270" s="132">
        <f t="shared" ref="V270:V273" si="122">SUM(X270:AA270)</f>
        <v>0</v>
      </c>
      <c r="W270" s="133" t="str">
        <f t="shared" ref="W270:W277" si="123">IF(ISERROR(V270/G270),"",V270/G270)</f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28"/>
      <c r="H271" s="423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415"/>
      <c r="P271" s="415"/>
      <c r="Q271" s="415"/>
      <c r="R271" s="415"/>
      <c r="S271" s="415"/>
      <c r="T271" s="415"/>
      <c r="U271" s="415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28"/>
      <c r="H272" s="423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415"/>
      <c r="P272" s="415"/>
      <c r="Q272" s="415"/>
      <c r="R272" s="415"/>
      <c r="S272" s="415"/>
      <c r="T272" s="415"/>
      <c r="U272" s="415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28"/>
      <c r="H273" s="423">
        <f t="shared" si="116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20"/>
        <v/>
      </c>
      <c r="N273" s="130">
        <f t="shared" si="121"/>
        <v>0</v>
      </c>
      <c r="O273" s="415"/>
      <c r="P273" s="415"/>
      <c r="Q273" s="415"/>
      <c r="R273" s="415"/>
      <c r="S273" s="415"/>
      <c r="T273" s="415"/>
      <c r="U273" s="415"/>
      <c r="V273" s="132">
        <f t="shared" si="122"/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30600005</v>
      </c>
      <c r="B274" s="414" t="s">
        <v>222</v>
      </c>
      <c r="C274" s="126" t="s">
        <v>181</v>
      </c>
      <c r="D274" s="108">
        <v>9.36</v>
      </c>
      <c r="E274" s="108"/>
      <c r="F274" s="127"/>
      <c r="G274" s="128"/>
      <c r="H274" s="423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415"/>
      <c r="P274" s="415"/>
      <c r="Q274" s="415"/>
      <c r="R274" s="415"/>
      <c r="S274" s="415"/>
      <c r="T274" s="415"/>
      <c r="U274" s="415"/>
      <c r="V274" s="132">
        <f t="shared" ref="V274:V277" si="124">SUM(X274:AA274)</f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30600008</v>
      </c>
      <c r="B275" s="414" t="s">
        <v>222</v>
      </c>
      <c r="C275" s="126" t="s">
        <v>179</v>
      </c>
      <c r="D275" s="108">
        <v>9.36</v>
      </c>
      <c r="E275" s="108"/>
      <c r="F275" s="127"/>
      <c r="G275" s="128"/>
      <c r="H275" s="423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415"/>
      <c r="P275" s="415"/>
      <c r="Q275" s="415"/>
      <c r="R275" s="415"/>
      <c r="S275" s="415"/>
      <c r="T275" s="415"/>
      <c r="U275" s="415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30600007</v>
      </c>
      <c r="B276" s="414" t="s">
        <v>222</v>
      </c>
      <c r="C276" s="126" t="s">
        <v>221</v>
      </c>
      <c r="D276" s="108">
        <v>9.36</v>
      </c>
      <c r="E276" s="108"/>
      <c r="F276" s="127"/>
      <c r="G276" s="128"/>
      <c r="H276" s="423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415"/>
      <c r="P276" s="415"/>
      <c r="Q276" s="415"/>
      <c r="R276" s="415"/>
      <c r="S276" s="415"/>
      <c r="T276" s="415"/>
      <c r="U276" s="415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304">
        <v>30600006</v>
      </c>
      <c r="B277" s="414" t="s">
        <v>222</v>
      </c>
      <c r="C277" s="126" t="s">
        <v>186</v>
      </c>
      <c r="D277" s="108">
        <v>9.36</v>
      </c>
      <c r="E277" s="108"/>
      <c r="F277" s="127"/>
      <c r="G277" s="128"/>
      <c r="H277" s="423">
        <f t="shared" si="116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20"/>
        <v>0</v>
      </c>
      <c r="N277" s="130">
        <f t="shared" si="121"/>
        <v>0</v>
      </c>
      <c r="O277" s="415"/>
      <c r="P277" s="415"/>
      <c r="Q277" s="415"/>
      <c r="R277" s="415"/>
      <c r="S277" s="415"/>
      <c r="T277" s="415"/>
      <c r="U277" s="415"/>
      <c r="V277" s="132">
        <f t="shared" si="124"/>
        <v>0</v>
      </c>
      <c r="W277" s="133" t="str">
        <f t="shared" si="123"/>
        <v/>
      </c>
      <c r="X277" s="132"/>
      <c r="Y277" s="132"/>
      <c r="Z277" s="132"/>
      <c r="AA277" s="132"/>
    </row>
    <row r="278" spans="1:27" ht="20.100000000000001" hidden="1" customHeight="1">
      <c r="A278" s="299">
        <v>30400026</v>
      </c>
      <c r="B278" s="414" t="s">
        <v>393</v>
      </c>
      <c r="C278" s="187" t="s">
        <v>395</v>
      </c>
      <c r="D278" s="108">
        <v>5</v>
      </c>
      <c r="E278" s="108"/>
      <c r="F278" s="127"/>
      <c r="G278" s="128"/>
      <c r="H278" s="423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415"/>
      <c r="P278" s="415"/>
      <c r="Q278" s="415"/>
      <c r="R278" s="415"/>
      <c r="S278" s="415"/>
      <c r="T278" s="415"/>
      <c r="U278" s="415"/>
      <c r="V278" s="132"/>
      <c r="W278" s="133"/>
      <c r="X278" s="132"/>
      <c r="Y278" s="132"/>
      <c r="Z278" s="132"/>
      <c r="AA278" s="132"/>
    </row>
    <row r="279" spans="1:27" ht="20.100000000000001" customHeight="1">
      <c r="A279" s="299">
        <v>30400028</v>
      </c>
      <c r="B279" s="414" t="s">
        <v>393</v>
      </c>
      <c r="C279" s="187" t="s">
        <v>402</v>
      </c>
      <c r="D279" s="108">
        <v>5</v>
      </c>
      <c r="E279" s="108"/>
      <c r="F279" s="127">
        <v>42738</v>
      </c>
      <c r="G279" s="128">
        <f>90*5+81</f>
        <v>531</v>
      </c>
      <c r="H279" s="423">
        <f t="shared" si="116"/>
        <v>2655</v>
      </c>
      <c r="I279" s="129">
        <f>8*9</f>
        <v>72</v>
      </c>
      <c r="J279" s="130">
        <f t="array" ref="J279">IF(ISERROR(G279/I279),"",G279/I279)</f>
        <v>7.375</v>
      </c>
      <c r="K279" s="131">
        <f t="array" ref="K279">IF(ISERROR(G279/L279),"",G279/L279)</f>
        <v>106.2</v>
      </c>
      <c r="L279" s="129">
        <v>5</v>
      </c>
      <c r="M279" s="109">
        <f t="shared" si="120"/>
        <v>-34.200000000000003</v>
      </c>
      <c r="N279" s="130">
        <f t="shared" si="121"/>
        <v>0</v>
      </c>
      <c r="O279" s="415"/>
      <c r="P279" s="415"/>
      <c r="Q279" s="415"/>
      <c r="R279" s="415"/>
      <c r="S279" s="415"/>
      <c r="T279" s="415"/>
      <c r="U279" s="415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>
        <v>30400027</v>
      </c>
      <c r="B280" s="414" t="s">
        <v>404</v>
      </c>
      <c r="C280" s="187" t="s">
        <v>405</v>
      </c>
      <c r="D280" s="108">
        <v>5</v>
      </c>
      <c r="E280" s="108"/>
      <c r="F280" s="127"/>
      <c r="G280" s="128"/>
      <c r="H280" s="423">
        <f t="shared" si="116"/>
        <v>0</v>
      </c>
      <c r="I280" s="129"/>
      <c r="J280" s="130" t="str">
        <f t="array" ref="J280">IF(ISERROR(G280/I280),"",G280/I280)</f>
        <v/>
      </c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415"/>
      <c r="P280" s="415"/>
      <c r="Q280" s="415"/>
      <c r="R280" s="415"/>
      <c r="S280" s="415"/>
      <c r="T280" s="415"/>
      <c r="U280" s="415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/>
      <c r="B281" s="414" t="s">
        <v>342</v>
      </c>
      <c r="C281" s="187" t="s">
        <v>372</v>
      </c>
      <c r="D281" s="108">
        <v>5</v>
      </c>
      <c r="E281" s="108"/>
      <c r="F281" s="127"/>
      <c r="G281" s="128"/>
      <c r="H281" s="423">
        <f t="shared" si="116"/>
        <v>0</v>
      </c>
      <c r="I281" s="129"/>
      <c r="J281" s="130" t="str">
        <f t="array" ref="J281">IF(ISERROR(G281/I281),"",G281/I281)</f>
        <v/>
      </c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415"/>
      <c r="P281" s="415"/>
      <c r="Q281" s="415"/>
      <c r="R281" s="415"/>
      <c r="S281" s="415"/>
      <c r="T281" s="415"/>
      <c r="U281" s="415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30600009</v>
      </c>
      <c r="B282" s="414" t="s">
        <v>343</v>
      </c>
      <c r="C282" s="126" t="s">
        <v>345</v>
      </c>
      <c r="D282" s="108">
        <v>5</v>
      </c>
      <c r="E282" s="108"/>
      <c r="F282" s="127"/>
      <c r="G282" s="128"/>
      <c r="H282" s="423">
        <f t="shared" si="116"/>
        <v>0</v>
      </c>
      <c r="I282" s="129"/>
      <c r="J282" s="130" t="str">
        <f t="array" ref="J282">IF(ISERROR(G282/I282),"",G282/I282)</f>
        <v/>
      </c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415"/>
      <c r="P282" s="415"/>
      <c r="Q282" s="415"/>
      <c r="R282" s="415"/>
      <c r="S282" s="415"/>
      <c r="T282" s="415"/>
      <c r="U282" s="415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30600010</v>
      </c>
      <c r="B283" s="414" t="s">
        <v>343</v>
      </c>
      <c r="C283" s="126" t="s">
        <v>347</v>
      </c>
      <c r="D283" s="108">
        <v>5</v>
      </c>
      <c r="E283" s="108"/>
      <c r="F283" s="127"/>
      <c r="G283" s="128"/>
      <c r="H283" s="423">
        <f t="shared" si="116"/>
        <v>0</v>
      </c>
      <c r="I283" s="129"/>
      <c r="J283" s="130" t="str">
        <f t="array" ref="J283">IF(ISERROR(G283/I283),"",G283/I283)</f>
        <v/>
      </c>
      <c r="K283" s="131">
        <f t="array" ref="K283">IF(ISERROR(G283/L283),"",G283/L283)</f>
        <v>0</v>
      </c>
      <c r="L283" s="129">
        <v>5</v>
      </c>
      <c r="M283" s="109">
        <f t="shared" si="120"/>
        <v>0</v>
      </c>
      <c r="N283" s="130">
        <f t="shared" si="121"/>
        <v>0</v>
      </c>
      <c r="O283" s="415"/>
      <c r="P283" s="415"/>
      <c r="Q283" s="415"/>
      <c r="R283" s="415"/>
      <c r="S283" s="415"/>
      <c r="T283" s="415"/>
      <c r="U283" s="415"/>
      <c r="V283" s="132"/>
      <c r="W283" s="133"/>
      <c r="X283" s="132"/>
      <c r="Y283" s="132"/>
      <c r="Z283" s="132"/>
      <c r="AA283" s="132"/>
    </row>
    <row r="284" spans="1:27" ht="20.100000000000001" hidden="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/>
      <c r="G284" s="128"/>
      <c r="H284" s="423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415"/>
      <c r="P284" s="415"/>
      <c r="Q284" s="415"/>
      <c r="R284" s="415"/>
      <c r="S284" s="415"/>
      <c r="T284" s="415"/>
      <c r="U284" s="415"/>
      <c r="V284" s="132">
        <f t="shared" ref="V284:V285" si="125">SUM(X284:AA284)</f>
        <v>0</v>
      </c>
      <c r="W284" s="133" t="str">
        <f t="shared" ref="W284:W285" si="126">IF(ISERROR(V284/G284),"",V284/G284)</f>
        <v/>
      </c>
      <c r="X284" s="132"/>
      <c r="Y284" s="132"/>
      <c r="Z284" s="132"/>
      <c r="AA284" s="132"/>
    </row>
    <row r="285" spans="1:27" ht="20.100000000000001" hidden="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28"/>
      <c r="H285" s="423">
        <f t="shared" si="116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20"/>
        <v>0</v>
      </c>
      <c r="N285" s="130">
        <f t="shared" si="121"/>
        <v>0</v>
      </c>
      <c r="O285" s="415"/>
      <c r="P285" s="415"/>
      <c r="Q285" s="415"/>
      <c r="R285" s="415"/>
      <c r="S285" s="415"/>
      <c r="T285" s="415"/>
      <c r="U285" s="415"/>
      <c r="V285" s="132">
        <f t="shared" si="125"/>
        <v>0</v>
      </c>
      <c r="W285" s="133" t="str">
        <f t="shared" si="126"/>
        <v/>
      </c>
      <c r="X285" s="132"/>
      <c r="Y285" s="132"/>
      <c r="Z285" s="132"/>
      <c r="AA285" s="132"/>
    </row>
    <row r="286" spans="1:27" ht="20.100000000000001" customHeight="1">
      <c r="A286" s="299">
        <v>30400004</v>
      </c>
      <c r="B286" s="151" t="s">
        <v>419</v>
      </c>
      <c r="C286" s="187" t="s">
        <v>73</v>
      </c>
      <c r="D286" s="108">
        <v>5.03</v>
      </c>
      <c r="E286" s="108"/>
      <c r="F286" s="127">
        <v>42736</v>
      </c>
      <c r="G286" s="128">
        <v>15</v>
      </c>
      <c r="H286" s="423">
        <f t="shared" si="116"/>
        <v>75.45</v>
      </c>
      <c r="I286" s="129">
        <f>3.5*9</f>
        <v>31.5</v>
      </c>
      <c r="J286" s="130">
        <f t="array" ref="J286">IF(ISERROR(G286/I286),"",G286/I286)</f>
        <v>0.47619047619047616</v>
      </c>
      <c r="K286" s="131">
        <f t="array" ref="K286">IF(ISERROR(G286/L286),"",G286/L286)</f>
        <v>0.625</v>
      </c>
      <c r="L286" s="129">
        <v>24</v>
      </c>
      <c r="M286" s="109">
        <f t="shared" si="120"/>
        <v>30.875</v>
      </c>
      <c r="N286" s="130"/>
      <c r="O286" s="415"/>
      <c r="P286" s="415"/>
      <c r="Q286" s="415"/>
      <c r="R286" s="415"/>
      <c r="S286" s="415"/>
      <c r="T286" s="415"/>
      <c r="U286" s="415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/>
      <c r="G287" s="128"/>
      <c r="H287" s="423">
        <f t="shared" si="116"/>
        <v>0</v>
      </c>
      <c r="I287" s="129"/>
      <c r="J287" s="130"/>
      <c r="K287" s="131"/>
      <c r="L287" s="129">
        <v>24</v>
      </c>
      <c r="M287" s="109"/>
      <c r="N287" s="130"/>
      <c r="O287" s="415"/>
      <c r="P287" s="415"/>
      <c r="Q287" s="415"/>
      <c r="R287" s="415"/>
      <c r="S287" s="415"/>
      <c r="T287" s="415"/>
      <c r="U287" s="415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/>
      <c r="G288" s="128"/>
      <c r="H288" s="423">
        <f t="shared" si="116"/>
        <v>0</v>
      </c>
      <c r="I288" s="129"/>
      <c r="J288" s="130"/>
      <c r="K288" s="131"/>
      <c r="L288" s="129">
        <v>24</v>
      </c>
      <c r="M288" s="109"/>
      <c r="N288" s="130"/>
      <c r="O288" s="415"/>
      <c r="P288" s="415"/>
      <c r="Q288" s="415"/>
      <c r="R288" s="415"/>
      <c r="S288" s="415"/>
      <c r="T288" s="415"/>
      <c r="U288" s="415"/>
      <c r="V288" s="132"/>
      <c r="W288" s="133"/>
      <c r="X288" s="132"/>
      <c r="Y288" s="132"/>
      <c r="Z288" s="132"/>
      <c r="AA288" s="132"/>
    </row>
    <row r="289" spans="1:27" ht="20.100000000000001" hidden="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/>
      <c r="G289" s="128"/>
      <c r="H289" s="423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ref="M289:M291" si="127">IF(ISERROR(I289-K289),"",I289-K289)</f>
        <v>0</v>
      </c>
      <c r="N289" s="130">
        <f t="shared" ref="N289:N291" si="128">SUM(O289:U289)</f>
        <v>0</v>
      </c>
      <c r="O289" s="415"/>
      <c r="P289" s="415"/>
      <c r="Q289" s="415"/>
      <c r="R289" s="415"/>
      <c r="S289" s="415"/>
      <c r="T289" s="415"/>
      <c r="U289" s="415"/>
      <c r="V289" s="132">
        <f t="shared" ref="V289:V291" si="129">SUM(X289:AA289)</f>
        <v>0</v>
      </c>
      <c r="W289" s="133" t="str">
        <f t="shared" ref="W289:W313" si="130">IF(ISERROR(V289/G289),"",V289/G289)</f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28"/>
      <c r="H290" s="423">
        <f t="shared" si="116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415"/>
      <c r="P290" s="415"/>
      <c r="Q290" s="415"/>
      <c r="R290" s="415"/>
      <c r="S290" s="415"/>
      <c r="T290" s="415"/>
      <c r="U290" s="415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hidden="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/>
      <c r="G291" s="128"/>
      <c r="H291" s="423">
        <f t="shared" si="116"/>
        <v>0</v>
      </c>
      <c r="I291" s="129"/>
      <c r="J291" s="130" t="str">
        <f t="array" ref="J291">IF(ISERROR(G291/I291),"",G291/I291)</f>
        <v/>
      </c>
      <c r="K291" s="423">
        <f t="array" ref="K291">IF(ISERROR(G291/L291),"",G291/L291)</f>
        <v>0</v>
      </c>
      <c r="L291" s="129">
        <v>9</v>
      </c>
      <c r="M291" s="109">
        <f t="shared" si="127"/>
        <v>0</v>
      </c>
      <c r="N291" s="130">
        <f t="shared" si="128"/>
        <v>0</v>
      </c>
      <c r="O291" s="415"/>
      <c r="P291" s="415"/>
      <c r="Q291" s="415"/>
      <c r="R291" s="415"/>
      <c r="S291" s="415"/>
      <c r="T291" s="415"/>
      <c r="U291" s="415"/>
      <c r="V291" s="132">
        <f t="shared" si="129"/>
        <v>0</v>
      </c>
      <c r="W291" s="133" t="str">
        <f t="shared" si="130"/>
        <v/>
      </c>
      <c r="X291" s="132"/>
      <c r="Y291" s="132"/>
      <c r="Z291" s="132"/>
      <c r="AA291" s="132"/>
    </row>
    <row r="292" spans="1:27" ht="20.100000000000001" customHeight="1">
      <c r="A292" s="578" t="s">
        <v>224</v>
      </c>
      <c r="B292" s="579"/>
      <c r="C292" s="421" t="s">
        <v>202</v>
      </c>
      <c r="D292" s="143"/>
      <c r="E292" s="143"/>
      <c r="F292" s="144"/>
      <c r="G292" s="145">
        <f>SUM(G258:G291)</f>
        <v>546</v>
      </c>
      <c r="H292" s="146">
        <f>SUM(H258:H291)</f>
        <v>2730.45</v>
      </c>
      <c r="I292" s="146">
        <f>SUM(I258:I291)</f>
        <v>103.5</v>
      </c>
      <c r="J292" s="130">
        <f t="array" ref="J292">IF(ISERROR(G292/I292),"",G292/I292)</f>
        <v>5.27536231884058</v>
      </c>
      <c r="K292" s="146">
        <f>SUM(K258:K291)</f>
        <v>106.825</v>
      </c>
      <c r="L292" s="147"/>
      <c r="M292" s="150">
        <f t="shared" ref="M292:V292" si="131">SUM(M258:M291)</f>
        <v>-3.3250000000000028</v>
      </c>
      <c r="N292" s="146">
        <f t="shared" si="131"/>
        <v>0</v>
      </c>
      <c r="O292" s="148">
        <f t="shared" si="131"/>
        <v>0</v>
      </c>
      <c r="P292" s="148">
        <f t="shared" si="131"/>
        <v>0</v>
      </c>
      <c r="Q292" s="148">
        <f t="shared" si="131"/>
        <v>0</v>
      </c>
      <c r="R292" s="148">
        <f t="shared" si="131"/>
        <v>0</v>
      </c>
      <c r="S292" s="148">
        <f t="shared" si="131"/>
        <v>0</v>
      </c>
      <c r="T292" s="148">
        <f t="shared" si="131"/>
        <v>0</v>
      </c>
      <c r="U292" s="148">
        <f t="shared" si="131"/>
        <v>0</v>
      </c>
      <c r="V292" s="149">
        <f t="shared" si="131"/>
        <v>0</v>
      </c>
      <c r="W292" s="133">
        <f t="shared" si="130"/>
        <v>0</v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hidden="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/>
      <c r="G293" s="128"/>
      <c r="H293" s="423">
        <f t="shared" ref="H293:H307" si="132">D293*G293</f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ref="M293:M307" si="133">IF(ISERROR(I293-K293),"",I293-K293)</f>
        <v>0</v>
      </c>
      <c r="N293" s="130">
        <f t="shared" ref="N293:N307" si="134">SUM(O293:U293)</f>
        <v>0</v>
      </c>
      <c r="O293" s="415"/>
      <c r="P293" s="415"/>
      <c r="Q293" s="415"/>
      <c r="R293" s="415"/>
      <c r="S293" s="415"/>
      <c r="T293" s="415"/>
      <c r="U293" s="415"/>
      <c r="V293" s="132">
        <f t="shared" ref="V293:V307" si="135">SUM(X293:AA293)</f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hidden="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/>
      <c r="G294" s="128"/>
      <c r="H294" s="423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25</v>
      </c>
      <c r="M294" s="109">
        <f t="shared" si="133"/>
        <v>0</v>
      </c>
      <c r="N294" s="130">
        <f t="shared" si="134"/>
        <v>0</v>
      </c>
      <c r="O294" s="415"/>
      <c r="P294" s="415"/>
      <c r="Q294" s="415"/>
      <c r="R294" s="415"/>
      <c r="S294" s="415"/>
      <c r="T294" s="415"/>
      <c r="U294" s="415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>
        <v>42738</v>
      </c>
      <c r="G295" s="128">
        <f>75+100+100+100</f>
        <v>375</v>
      </c>
      <c r="H295" s="423">
        <f t="shared" si="132"/>
        <v>1890</v>
      </c>
      <c r="I295" s="129">
        <f>6.5*4</f>
        <v>26</v>
      </c>
      <c r="J295" s="130">
        <f t="array" ref="J295">IF(ISERROR(G295/I295),"",G295/I295)</f>
        <v>14.423076923076923</v>
      </c>
      <c r="K295" s="131">
        <f t="array" ref="K295">IF(ISERROR(G295/L295),"",G295/L295)</f>
        <v>18.75</v>
      </c>
      <c r="L295" s="129">
        <v>20</v>
      </c>
      <c r="M295" s="109">
        <f t="shared" si="133"/>
        <v>7.25</v>
      </c>
      <c r="N295" s="130">
        <f t="shared" si="134"/>
        <v>0</v>
      </c>
      <c r="O295" s="415"/>
      <c r="P295" s="415"/>
      <c r="Q295" s="415"/>
      <c r="R295" s="415"/>
      <c r="S295" s="415"/>
      <c r="T295" s="415"/>
      <c r="U295" s="415"/>
      <c r="V295" s="132">
        <f t="shared" si="135"/>
        <v>0</v>
      </c>
      <c r="W295" s="133">
        <f t="shared" si="130"/>
        <v>0</v>
      </c>
      <c r="X295" s="132"/>
      <c r="Y295" s="132"/>
      <c r="Z295" s="132"/>
      <c r="AA295" s="132"/>
    </row>
    <row r="296" spans="1:27" ht="20.100000000000001" hidden="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28"/>
      <c r="H296" s="423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415"/>
      <c r="P296" s="415"/>
      <c r="Q296" s="415"/>
      <c r="R296" s="415"/>
      <c r="S296" s="415"/>
      <c r="T296" s="415"/>
      <c r="U296" s="415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30100054</v>
      </c>
      <c r="B297" s="140" t="s">
        <v>227</v>
      </c>
      <c r="C297" s="419" t="s">
        <v>203</v>
      </c>
      <c r="D297" s="108">
        <v>5.03</v>
      </c>
      <c r="E297" s="108"/>
      <c r="F297" s="127"/>
      <c r="G297" s="128"/>
      <c r="H297" s="423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415"/>
      <c r="P297" s="415"/>
      <c r="Q297" s="415"/>
      <c r="R297" s="415"/>
      <c r="S297" s="415"/>
      <c r="T297" s="415"/>
      <c r="U297" s="415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/>
      <c r="G298" s="128"/>
      <c r="H298" s="423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415"/>
      <c r="P298" s="415"/>
      <c r="Q298" s="415"/>
      <c r="R298" s="415"/>
      <c r="S298" s="415"/>
      <c r="T298" s="415"/>
      <c r="U298" s="415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28"/>
      <c r="H299" s="423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415"/>
      <c r="P299" s="415"/>
      <c r="Q299" s="415"/>
      <c r="R299" s="415"/>
      <c r="S299" s="415"/>
      <c r="T299" s="415"/>
      <c r="U299" s="415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/>
      <c r="B300" s="140" t="s">
        <v>227</v>
      </c>
      <c r="C300" s="419" t="s">
        <v>228</v>
      </c>
      <c r="D300" s="108">
        <v>5.03</v>
      </c>
      <c r="E300" s="108"/>
      <c r="F300" s="127"/>
      <c r="G300" s="128"/>
      <c r="H300" s="423">
        <f t="shared" si="132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3"/>
        <v>0</v>
      </c>
      <c r="N300" s="130">
        <f t="shared" si="134"/>
        <v>0</v>
      </c>
      <c r="O300" s="415"/>
      <c r="P300" s="415"/>
      <c r="Q300" s="415"/>
      <c r="R300" s="415"/>
      <c r="S300" s="415"/>
      <c r="T300" s="415"/>
      <c r="U300" s="415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30101067</v>
      </c>
      <c r="B301" s="140" t="s">
        <v>229</v>
      </c>
      <c r="C301" s="419" t="s">
        <v>212</v>
      </c>
      <c r="D301" s="108">
        <v>5.03</v>
      </c>
      <c r="E301" s="108"/>
      <c r="F301" s="127"/>
      <c r="G301" s="128"/>
      <c r="H301" s="423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415"/>
      <c r="P301" s="415"/>
      <c r="Q301" s="415"/>
      <c r="R301" s="415"/>
      <c r="S301" s="415"/>
      <c r="T301" s="415"/>
      <c r="U301" s="415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30101068</v>
      </c>
      <c r="B302" s="140" t="s">
        <v>229</v>
      </c>
      <c r="C302" s="419" t="s">
        <v>203</v>
      </c>
      <c r="D302" s="108">
        <v>5.03</v>
      </c>
      <c r="E302" s="108"/>
      <c r="F302" s="127"/>
      <c r="G302" s="128"/>
      <c r="H302" s="423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415"/>
      <c r="P302" s="415"/>
      <c r="Q302" s="415"/>
      <c r="R302" s="415"/>
      <c r="S302" s="415"/>
      <c r="T302" s="415"/>
      <c r="U302" s="415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30101069</v>
      </c>
      <c r="B303" s="140" t="s">
        <v>229</v>
      </c>
      <c r="C303" s="419" t="s">
        <v>186</v>
      </c>
      <c r="D303" s="108">
        <v>5.03</v>
      </c>
      <c r="E303" s="108"/>
      <c r="F303" s="127"/>
      <c r="G303" s="128"/>
      <c r="H303" s="423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415"/>
      <c r="P303" s="415"/>
      <c r="Q303" s="415"/>
      <c r="R303" s="415"/>
      <c r="S303" s="415"/>
      <c r="T303" s="415"/>
      <c r="U303" s="415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30101070</v>
      </c>
      <c r="B304" s="140" t="s">
        <v>229</v>
      </c>
      <c r="C304" s="419" t="s">
        <v>228</v>
      </c>
      <c r="D304" s="108">
        <v>5.03</v>
      </c>
      <c r="E304" s="108"/>
      <c r="F304" s="127"/>
      <c r="G304" s="128"/>
      <c r="H304" s="423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415"/>
      <c r="P304" s="415"/>
      <c r="Q304" s="415"/>
      <c r="R304" s="415"/>
      <c r="S304" s="415"/>
      <c r="T304" s="415"/>
      <c r="U304" s="415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299">
        <v>30101071</v>
      </c>
      <c r="B305" s="140" t="s">
        <v>229</v>
      </c>
      <c r="C305" s="419" t="s">
        <v>199</v>
      </c>
      <c r="D305" s="108">
        <v>5.03</v>
      </c>
      <c r="E305" s="108"/>
      <c r="F305" s="127"/>
      <c r="G305" s="128"/>
      <c r="H305" s="423">
        <f t="shared" si="132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3"/>
        <v/>
      </c>
      <c r="N305" s="130">
        <f t="shared" si="134"/>
        <v>0</v>
      </c>
      <c r="O305" s="415"/>
      <c r="P305" s="415"/>
      <c r="Q305" s="415"/>
      <c r="R305" s="415"/>
      <c r="S305" s="415"/>
      <c r="T305" s="415"/>
      <c r="U305" s="415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/>
      <c r="G306" s="128"/>
      <c r="H306" s="423">
        <f t="shared" si="132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3"/>
        <v>0</v>
      </c>
      <c r="N306" s="130">
        <f t="shared" si="134"/>
        <v>0</v>
      </c>
      <c r="O306" s="415"/>
      <c r="P306" s="415"/>
      <c r="Q306" s="415"/>
      <c r="R306" s="415"/>
      <c r="S306" s="415"/>
      <c r="T306" s="415"/>
      <c r="U306" s="415"/>
      <c r="V306" s="132">
        <f t="shared" si="135"/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hidden="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/>
      <c r="G307" s="128"/>
      <c r="H307" s="423">
        <f t="shared" si="132"/>
        <v>0</v>
      </c>
      <c r="I307" s="129"/>
      <c r="J307" s="130" t="str">
        <f t="array" ref="J307">IF(ISERROR(G307/I307),"",G307/I307)</f>
        <v/>
      </c>
      <c r="K307" s="131">
        <f t="array" ref="K307">IF(ISERROR(G307/L307),"",G307/L307)</f>
        <v>0</v>
      </c>
      <c r="L307" s="129">
        <v>25</v>
      </c>
      <c r="M307" s="109">
        <f t="shared" si="133"/>
        <v>0</v>
      </c>
      <c r="N307" s="130">
        <f t="shared" si="134"/>
        <v>0</v>
      </c>
      <c r="O307" s="415"/>
      <c r="P307" s="415"/>
      <c r="Q307" s="415"/>
      <c r="R307" s="415"/>
      <c r="S307" s="415"/>
      <c r="T307" s="415"/>
      <c r="U307" s="415"/>
      <c r="V307" s="132">
        <f t="shared" si="135"/>
        <v>0</v>
      </c>
      <c r="W307" s="133" t="str">
        <f t="shared" si="130"/>
        <v/>
      </c>
      <c r="X307" s="132"/>
      <c r="Y307" s="132"/>
      <c r="Z307" s="132"/>
      <c r="AA307" s="132"/>
    </row>
    <row r="308" spans="1:27" ht="20.100000000000001" customHeight="1">
      <c r="A308" s="578" t="s">
        <v>231</v>
      </c>
      <c r="B308" s="579"/>
      <c r="C308" s="421" t="s">
        <v>202</v>
      </c>
      <c r="D308" s="143"/>
      <c r="E308" s="143"/>
      <c r="F308" s="144"/>
      <c r="G308" s="145">
        <f>SUM(G293:G307)</f>
        <v>375</v>
      </c>
      <c r="H308" s="146">
        <f>SUM(H293:H307)</f>
        <v>1890</v>
      </c>
      <c r="I308" s="146">
        <f>SUM(I293:I307)</f>
        <v>26</v>
      </c>
      <c r="J308" s="130">
        <f t="array" ref="J308">IF(ISERROR(G308/I308),"",G308/I308)</f>
        <v>14.423076923076923</v>
      </c>
      <c r="K308" s="146">
        <f>SUM(K293:K307)</f>
        <v>18.75</v>
      </c>
      <c r="L308" s="146"/>
      <c r="M308" s="150">
        <f>SUM(M293:M307)</f>
        <v>7.25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>
        <f t="shared" si="130"/>
        <v>0</v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hidden="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28"/>
      <c r="H309" s="423">
        <f t="shared" ref="H309:H318" si="136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3" si="137">IF(ISERROR(I309-K309),"",I309-K309)</f>
        <v>0</v>
      </c>
      <c r="N309" s="130">
        <f t="shared" ref="N309:N313" si="138">SUM(O309:U309)</f>
        <v>0</v>
      </c>
      <c r="O309" s="415"/>
      <c r="P309" s="415"/>
      <c r="Q309" s="415"/>
      <c r="R309" s="415"/>
      <c r="S309" s="415"/>
      <c r="T309" s="415"/>
      <c r="U309" s="415"/>
      <c r="V309" s="132">
        <f t="shared" ref="V309:V313" si="139">SUM(X309:AA309)</f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28"/>
      <c r="H310" s="423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415"/>
      <c r="P310" s="415"/>
      <c r="Q310" s="415"/>
      <c r="R310" s="415"/>
      <c r="S310" s="415"/>
      <c r="T310" s="415"/>
      <c r="U310" s="415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28"/>
      <c r="H311" s="423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415"/>
      <c r="P311" s="415"/>
      <c r="Q311" s="415"/>
      <c r="R311" s="415"/>
      <c r="S311" s="415"/>
      <c r="T311" s="415"/>
      <c r="U311" s="415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28"/>
      <c r="H312" s="423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415"/>
      <c r="P312" s="415"/>
      <c r="Q312" s="415"/>
      <c r="R312" s="415"/>
      <c r="S312" s="415"/>
      <c r="T312" s="415"/>
      <c r="U312" s="415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28"/>
      <c r="H313" s="423">
        <f t="shared" si="136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37"/>
        <v>0</v>
      </c>
      <c r="N313" s="130">
        <f t="shared" si="138"/>
        <v>0</v>
      </c>
      <c r="O313" s="415"/>
      <c r="P313" s="415"/>
      <c r="Q313" s="415"/>
      <c r="R313" s="415"/>
      <c r="S313" s="415"/>
      <c r="T313" s="415"/>
      <c r="U313" s="415"/>
      <c r="V313" s="132">
        <f t="shared" si="139"/>
        <v>0</v>
      </c>
      <c r="W313" s="133" t="str">
        <f t="shared" si="130"/>
        <v/>
      </c>
      <c r="X313" s="132"/>
      <c r="Y313" s="132"/>
      <c r="Z313" s="132"/>
      <c r="AA313" s="132"/>
    </row>
    <row r="314" spans="1:27" ht="20.100000000000001" hidden="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/>
      <c r="G314" s="128"/>
      <c r="H314" s="423">
        <f t="shared" si="136"/>
        <v>0</v>
      </c>
      <c r="I314" s="129"/>
      <c r="J314" s="130"/>
      <c r="K314" s="131"/>
      <c r="L314" s="129">
        <v>13.5</v>
      </c>
      <c r="M314" s="109"/>
      <c r="N314" s="130"/>
      <c r="O314" s="415"/>
      <c r="P314" s="415"/>
      <c r="Q314" s="415"/>
      <c r="R314" s="415"/>
      <c r="S314" s="415"/>
      <c r="T314" s="415"/>
      <c r="U314" s="415"/>
      <c r="V314" s="132"/>
      <c r="W314" s="133"/>
      <c r="X314" s="132"/>
      <c r="Y314" s="132"/>
      <c r="Z314" s="132"/>
      <c r="AA314" s="132"/>
    </row>
    <row r="315" spans="1:27" ht="20.100000000000001" customHeight="1">
      <c r="A315" s="300">
        <v>30400020</v>
      </c>
      <c r="B315" s="134" t="s">
        <v>439</v>
      </c>
      <c r="C315" s="187" t="s">
        <v>74</v>
      </c>
      <c r="D315" s="108">
        <v>5.03</v>
      </c>
      <c r="E315" s="108"/>
      <c r="F315" s="127">
        <v>42737</v>
      </c>
      <c r="G315" s="128">
        <v>46</v>
      </c>
      <c r="H315" s="423">
        <f t="shared" si="136"/>
        <v>231.38000000000002</v>
      </c>
      <c r="I315" s="129">
        <f>1*4</f>
        <v>4</v>
      </c>
      <c r="J315" s="130">
        <f t="array" ref="J315">IF(ISERROR(G315/I315),"",G315/I315)</f>
        <v>11.5</v>
      </c>
      <c r="K315" s="131">
        <f t="array" ref="K315">IF(ISERROR(G315/L315),"",G315/L315)</f>
        <v>3.4074074074074074</v>
      </c>
      <c r="L315" s="129">
        <v>13.5</v>
      </c>
      <c r="M315" s="109">
        <f t="shared" ref="M315:M316" si="140">IF(ISERROR(I315-K315),"",I315-K315)</f>
        <v>0.59259259259259256</v>
      </c>
      <c r="N315" s="130"/>
      <c r="O315" s="415"/>
      <c r="P315" s="415"/>
      <c r="Q315" s="415"/>
      <c r="R315" s="415"/>
      <c r="S315" s="415"/>
      <c r="T315" s="415"/>
      <c r="U315" s="415"/>
      <c r="V315" s="132"/>
      <c r="W315" s="133"/>
      <c r="X315" s="132"/>
      <c r="Y315" s="132"/>
      <c r="Z315" s="132"/>
      <c r="AA315" s="132"/>
    </row>
    <row r="316" spans="1:27" ht="20.100000000000001" customHeight="1">
      <c r="A316" s="300">
        <v>30400021</v>
      </c>
      <c r="B316" s="134" t="s">
        <v>439</v>
      </c>
      <c r="C316" s="187" t="s">
        <v>53</v>
      </c>
      <c r="D316" s="108">
        <v>5.03</v>
      </c>
      <c r="E316" s="108"/>
      <c r="F316" s="127">
        <v>42737</v>
      </c>
      <c r="G316" s="128">
        <f>90*5+50</f>
        <v>500</v>
      </c>
      <c r="H316" s="423">
        <f t="shared" si="136"/>
        <v>2515</v>
      </c>
      <c r="I316" s="129">
        <f>10.5*4</f>
        <v>42</v>
      </c>
      <c r="J316" s="130">
        <f t="array" ref="J316">IF(ISERROR(G316/I316),"",G316/I316)</f>
        <v>11.904761904761905</v>
      </c>
      <c r="K316" s="131">
        <f t="array" ref="K316">IF(ISERROR(G316/L316),"",G316/L316)</f>
        <v>37.037037037037038</v>
      </c>
      <c r="L316" s="129">
        <v>13.5</v>
      </c>
      <c r="M316" s="109">
        <f t="shared" si="140"/>
        <v>4.9629629629629619</v>
      </c>
      <c r="N316" s="130"/>
      <c r="O316" s="415"/>
      <c r="P316" s="415"/>
      <c r="Q316" s="415"/>
      <c r="R316" s="415"/>
      <c r="S316" s="415"/>
      <c r="T316" s="415"/>
      <c r="U316" s="415"/>
      <c r="V316" s="132"/>
      <c r="W316" s="133"/>
      <c r="X316" s="132"/>
      <c r="Y316" s="132"/>
      <c r="Z316" s="132"/>
      <c r="AA316" s="132"/>
    </row>
    <row r="317" spans="1:27" ht="20.10000000000000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/>
      <c r="G317" s="128"/>
      <c r="H317" s="438">
        <f t="shared" si="136"/>
        <v>0</v>
      </c>
      <c r="I317" s="129"/>
      <c r="J317" s="130"/>
      <c r="K317" s="131"/>
      <c r="L317" s="129"/>
      <c r="M317" s="109"/>
      <c r="N317" s="130"/>
      <c r="O317" s="446"/>
      <c r="P317" s="446"/>
      <c r="Q317" s="446"/>
      <c r="R317" s="446"/>
      <c r="S317" s="446"/>
      <c r="T317" s="446"/>
      <c r="U317" s="446"/>
      <c r="V317" s="132"/>
      <c r="W317" s="133"/>
      <c r="X317" s="132"/>
      <c r="Y317" s="132"/>
      <c r="Z317" s="132"/>
      <c r="AA317" s="132"/>
    </row>
    <row r="318" spans="1:27" ht="20.100000000000001" hidden="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28"/>
      <c r="H318" s="423">
        <f t="shared" si="136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ref="M318" si="141">IF(ISERROR(I318-K318),"",I318-K318)</f>
        <v>0</v>
      </c>
      <c r="N318" s="130">
        <f t="shared" ref="N318" si="142">SUM(O318:U318)</f>
        <v>0</v>
      </c>
      <c r="O318" s="415"/>
      <c r="P318" s="415"/>
      <c r="Q318" s="415"/>
      <c r="R318" s="415"/>
      <c r="S318" s="415"/>
      <c r="T318" s="415"/>
      <c r="U318" s="415"/>
      <c r="V318" s="132">
        <f t="shared" ref="V318" si="143">SUM(X318:AA318)</f>
        <v>0</v>
      </c>
      <c r="W318" s="133" t="str">
        <f t="shared" ref="W318:W323" si="144">IF(ISERROR(V318/G318),"",V318/G318)</f>
        <v/>
      </c>
      <c r="X318" s="132"/>
      <c r="Y318" s="132"/>
      <c r="Z318" s="132"/>
      <c r="AA318" s="132"/>
    </row>
    <row r="319" spans="1:27" ht="20.100000000000001" customHeight="1">
      <c r="A319" s="578" t="s">
        <v>234</v>
      </c>
      <c r="B319" s="579"/>
      <c r="C319" s="421" t="s">
        <v>202</v>
      </c>
      <c r="D319" s="143"/>
      <c r="E319" s="143"/>
      <c r="F319" s="144"/>
      <c r="G319" s="145">
        <f>SUM(G309:G318)</f>
        <v>546</v>
      </c>
      <c r="H319" s="146">
        <f>SUM(H309:H318)</f>
        <v>2746.38</v>
      </c>
      <c r="I319" s="146">
        <f>SUM(I309:I318)</f>
        <v>46</v>
      </c>
      <c r="J319" s="130">
        <f t="array" ref="J319">IF(ISERROR(G319/I319),"",G319/I319)</f>
        <v>11.869565217391305</v>
      </c>
      <c r="K319" s="146">
        <f>SUM(K309:K318)</f>
        <v>40.444444444444443</v>
      </c>
      <c r="L319" s="147"/>
      <c r="M319" s="150">
        <f>SUM(M309:M318)</f>
        <v>5.5555555555555545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>
        <f t="shared" si="144"/>
        <v>0</v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hidden="1" customHeight="1">
      <c r="A320" s="299">
        <v>30700013</v>
      </c>
      <c r="B320" s="141" t="s">
        <v>235</v>
      </c>
      <c r="C320" s="413"/>
      <c r="D320" s="108">
        <v>3.65</v>
      </c>
      <c r="E320" s="108"/>
      <c r="F320" s="153"/>
      <c r="G320" s="128"/>
      <c r="H320" s="423">
        <f t="shared" ref="H320:H333" si="145">D320*G320</f>
        <v>0</v>
      </c>
      <c r="I320" s="129"/>
      <c r="J320" s="130" t="str">
        <f t="array" ref="J320">IF(ISERROR(G320/I320),"",G320/I320)</f>
        <v/>
      </c>
      <c r="K320" s="423">
        <f t="array" ref="K320">IF(ISERROR(G320/L320),"",G320/L320)</f>
        <v>0</v>
      </c>
      <c r="L320" s="129">
        <v>5</v>
      </c>
      <c r="M320" s="109">
        <f t="shared" ref="M320:M323" si="146">IF(ISERROR(I320-K320),"",I320-K320)</f>
        <v>0</v>
      </c>
      <c r="N320" s="130">
        <f t="shared" ref="N320:N323" si="147">SUM(O320:U320)</f>
        <v>0</v>
      </c>
      <c r="O320" s="415"/>
      <c r="P320" s="415"/>
      <c r="Q320" s="415"/>
      <c r="R320" s="415"/>
      <c r="S320" s="415"/>
      <c r="T320" s="415"/>
      <c r="U320" s="415"/>
      <c r="V320" s="132">
        <f t="shared" ref="V320:V323" si="148">SUM(X320:AA320)</f>
        <v>0</v>
      </c>
      <c r="W320" s="133" t="str">
        <f t="shared" si="144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30700014</v>
      </c>
      <c r="B321" s="141" t="s">
        <v>236</v>
      </c>
      <c r="C321" s="413"/>
      <c r="D321" s="108">
        <v>6.58</v>
      </c>
      <c r="E321" s="108"/>
      <c r="F321" s="127"/>
      <c r="G321" s="128"/>
      <c r="H321" s="423">
        <f t="shared" si="145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</v>
      </c>
      <c r="M321" s="109">
        <f t="shared" si="146"/>
        <v>0</v>
      </c>
      <c r="N321" s="130">
        <f t="shared" si="147"/>
        <v>0</v>
      </c>
      <c r="O321" s="415"/>
      <c r="P321" s="415"/>
      <c r="Q321" s="415"/>
      <c r="R321" s="415"/>
      <c r="S321" s="415"/>
      <c r="T321" s="415"/>
      <c r="U321" s="415"/>
      <c r="V321" s="132">
        <f t="shared" si="148"/>
        <v>0</v>
      </c>
      <c r="W321" s="133" t="str">
        <f t="shared" si="144"/>
        <v/>
      </c>
      <c r="X321" s="132"/>
      <c r="Y321" s="132"/>
      <c r="Z321" s="132"/>
      <c r="AA321" s="132"/>
    </row>
    <row r="322" spans="1:27" ht="20.100000000000001" hidden="1" customHeight="1">
      <c r="A322" s="299">
        <v>30700016</v>
      </c>
      <c r="B322" s="141" t="s">
        <v>237</v>
      </c>
      <c r="C322" s="413"/>
      <c r="D322" s="108">
        <v>7.8</v>
      </c>
      <c r="E322" s="108"/>
      <c r="F322" s="127"/>
      <c r="G322" s="128"/>
      <c r="H322" s="423">
        <f t="shared" si="145"/>
        <v>0</v>
      </c>
      <c r="I322" s="129"/>
      <c r="J322" s="130" t="str">
        <f t="array" ref="J322">IF(ISERROR(G322/I322),"",G322/I322)</f>
        <v/>
      </c>
      <c r="K322" s="131">
        <f t="array" ref="K322">IF(ISERROR(G322/L322),"",G322/L322)</f>
        <v>0</v>
      </c>
      <c r="L322" s="129">
        <v>4.5999999999999996</v>
      </c>
      <c r="M322" s="109">
        <f t="shared" si="146"/>
        <v>0</v>
      </c>
      <c r="N322" s="130">
        <f t="shared" si="147"/>
        <v>0</v>
      </c>
      <c r="O322" s="415"/>
      <c r="P322" s="415"/>
      <c r="Q322" s="415"/>
      <c r="R322" s="415"/>
      <c r="S322" s="415"/>
      <c r="T322" s="415"/>
      <c r="U322" s="415"/>
      <c r="V322" s="132">
        <f t="shared" si="148"/>
        <v>0</v>
      </c>
      <c r="W322" s="133" t="str">
        <f t="shared" si="144"/>
        <v/>
      </c>
      <c r="X322" s="132"/>
      <c r="Y322" s="132"/>
      <c r="Z322" s="132"/>
      <c r="AA322" s="132"/>
    </row>
    <row r="323" spans="1:27" ht="20.100000000000001" hidden="1" customHeight="1">
      <c r="A323" s="299">
        <v>30700017</v>
      </c>
      <c r="B323" s="141" t="s">
        <v>238</v>
      </c>
      <c r="C323" s="413"/>
      <c r="D323" s="108">
        <v>4.4000000000000004</v>
      </c>
      <c r="E323" s="108"/>
      <c r="F323" s="127"/>
      <c r="G323" s="128"/>
      <c r="H323" s="423">
        <f t="shared" si="145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5.8</v>
      </c>
      <c r="M323" s="109">
        <f t="shared" si="146"/>
        <v>0</v>
      </c>
      <c r="N323" s="130">
        <f t="shared" si="147"/>
        <v>0</v>
      </c>
      <c r="O323" s="415"/>
      <c r="P323" s="415"/>
      <c r="Q323" s="415"/>
      <c r="R323" s="415"/>
      <c r="S323" s="415"/>
      <c r="T323" s="415"/>
      <c r="U323" s="415"/>
      <c r="V323" s="132">
        <f t="shared" si="148"/>
        <v>0</v>
      </c>
      <c r="W323" s="133" t="str">
        <f t="shared" si="144"/>
        <v/>
      </c>
      <c r="X323" s="132"/>
      <c r="Y323" s="132"/>
      <c r="Z323" s="132"/>
      <c r="AA323" s="132"/>
    </row>
    <row r="324" spans="1:27" ht="20.100000000000001" hidden="1" customHeight="1">
      <c r="A324" s="299">
        <v>30700001</v>
      </c>
      <c r="B324" s="127" t="s">
        <v>359</v>
      </c>
      <c r="C324" s="413"/>
      <c r="D324" s="108"/>
      <c r="E324" s="108"/>
      <c r="F324" s="127"/>
      <c r="G324" s="128"/>
      <c r="H324" s="423">
        <f t="shared" si="145"/>
        <v>0</v>
      </c>
      <c r="I324" s="129"/>
      <c r="J324" s="130"/>
      <c r="K324" s="131"/>
      <c r="L324" s="129">
        <v>6</v>
      </c>
      <c r="M324" s="109"/>
      <c r="N324" s="130"/>
      <c r="O324" s="415"/>
      <c r="P324" s="415"/>
      <c r="Q324" s="415"/>
      <c r="R324" s="415"/>
      <c r="S324" s="415"/>
      <c r="T324" s="415"/>
      <c r="U324" s="415"/>
      <c r="V324" s="132"/>
      <c r="W324" s="133"/>
      <c r="X324" s="132"/>
      <c r="Y324" s="132"/>
      <c r="Z324" s="132"/>
      <c r="AA324" s="132"/>
    </row>
    <row r="325" spans="1:27" ht="20.100000000000001" hidden="1" customHeight="1">
      <c r="A325" s="305"/>
      <c r="B325" s="413" t="s">
        <v>239</v>
      </c>
      <c r="C325" s="413" t="s">
        <v>179</v>
      </c>
      <c r="D325" s="108">
        <v>6.04</v>
      </c>
      <c r="E325" s="108"/>
      <c r="F325" s="127"/>
      <c r="G325" s="128"/>
      <c r="H325" s="423">
        <f t="shared" si="145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6" si="149">IF(ISERROR(I325-K325),"",I325-K325)</f>
        <v>0</v>
      </c>
      <c r="N325" s="130">
        <f t="shared" ref="N325:N326" si="150">SUM(O325:U325)</f>
        <v>0</v>
      </c>
      <c r="O325" s="415"/>
      <c r="P325" s="415"/>
      <c r="Q325" s="415"/>
      <c r="R325" s="415"/>
      <c r="S325" s="415"/>
      <c r="T325" s="415"/>
      <c r="U325" s="415"/>
      <c r="V325" s="132">
        <f t="shared" ref="V325:V326" si="151">SUM(X325:AA325)</f>
        <v>0</v>
      </c>
      <c r="W325" s="133" t="str">
        <f t="shared" ref="W325:W326" si="152">IF(ISERROR(V325/G325),"",V325/G325)</f>
        <v/>
      </c>
      <c r="X325" s="132"/>
      <c r="Y325" s="132"/>
      <c r="Z325" s="132"/>
      <c r="AA325" s="132"/>
    </row>
    <row r="326" spans="1:27" ht="20.100000000000001" hidden="1" customHeight="1">
      <c r="A326" s="305">
        <v>30700019</v>
      </c>
      <c r="B326" s="413" t="s">
        <v>239</v>
      </c>
      <c r="C326" s="413" t="s">
        <v>186</v>
      </c>
      <c r="D326" s="108">
        <v>6.04</v>
      </c>
      <c r="E326" s="108"/>
      <c r="F326" s="127"/>
      <c r="G326" s="128"/>
      <c r="H326" s="423">
        <f t="shared" si="145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49"/>
        <v>0</v>
      </c>
      <c r="N326" s="130">
        <f t="shared" si="150"/>
        <v>0</v>
      </c>
      <c r="O326" s="415"/>
      <c r="P326" s="415"/>
      <c r="Q326" s="415"/>
      <c r="R326" s="415"/>
      <c r="S326" s="415"/>
      <c r="T326" s="415"/>
      <c r="U326" s="415"/>
      <c r="V326" s="132">
        <f t="shared" si="151"/>
        <v>0</v>
      </c>
      <c r="W326" s="133" t="str">
        <f t="shared" si="152"/>
        <v/>
      </c>
      <c r="X326" s="132"/>
      <c r="Y326" s="132"/>
      <c r="Z326" s="132"/>
      <c r="AA326" s="132"/>
    </row>
    <row r="327" spans="1:27" ht="20.100000000000001" hidden="1" customHeight="1">
      <c r="A327" s="305">
        <v>30601015</v>
      </c>
      <c r="B327" s="413" t="s">
        <v>443</v>
      </c>
      <c r="C327" s="413" t="s">
        <v>179</v>
      </c>
      <c r="D327" s="108">
        <v>6</v>
      </c>
      <c r="E327" s="108"/>
      <c r="F327" s="127"/>
      <c r="G327" s="128"/>
      <c r="H327" s="423">
        <f t="shared" si="145"/>
        <v>0</v>
      </c>
      <c r="I327" s="129"/>
      <c r="J327" s="130"/>
      <c r="K327" s="131"/>
      <c r="L327" s="129"/>
      <c r="M327" s="109"/>
      <c r="N327" s="130"/>
      <c r="O327" s="415"/>
      <c r="P327" s="415"/>
      <c r="Q327" s="415"/>
      <c r="R327" s="415"/>
      <c r="S327" s="415"/>
      <c r="T327" s="415"/>
      <c r="U327" s="415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305">
        <v>30101016</v>
      </c>
      <c r="B328" s="413" t="s">
        <v>443</v>
      </c>
      <c r="C328" s="413" t="s">
        <v>60</v>
      </c>
      <c r="D328" s="108">
        <v>6</v>
      </c>
      <c r="E328" s="108"/>
      <c r="F328" s="127"/>
      <c r="G328" s="128"/>
      <c r="H328" s="423">
        <f t="shared" si="145"/>
        <v>0</v>
      </c>
      <c r="I328" s="129"/>
      <c r="J328" s="130"/>
      <c r="K328" s="131">
        <f t="array" ref="K328">IF(ISERROR(G328/L328),"",G328/L328)</f>
        <v>0</v>
      </c>
      <c r="L328" s="129">
        <v>6</v>
      </c>
      <c r="M328" s="109"/>
      <c r="N328" s="130"/>
      <c r="O328" s="415"/>
      <c r="P328" s="415"/>
      <c r="Q328" s="415"/>
      <c r="R328" s="415"/>
      <c r="S328" s="415"/>
      <c r="T328" s="415"/>
      <c r="U328" s="415"/>
      <c r="V328" s="132"/>
      <c r="W328" s="133"/>
      <c r="X328" s="132"/>
      <c r="Y328" s="132"/>
      <c r="Z328" s="132"/>
      <c r="AA328" s="132"/>
    </row>
    <row r="329" spans="1:27" ht="20.100000000000001" hidden="1" customHeight="1">
      <c r="A329" s="299">
        <v>30700018</v>
      </c>
      <c r="B329" s="414" t="s">
        <v>240</v>
      </c>
      <c r="C329" s="126"/>
      <c r="D329" s="108">
        <v>7.3</v>
      </c>
      <c r="E329" s="108"/>
      <c r="F329" s="127"/>
      <c r="G329" s="128"/>
      <c r="H329" s="423">
        <f t="shared" si="145"/>
        <v>0</v>
      </c>
      <c r="I329" s="129"/>
      <c r="J329" s="130"/>
      <c r="K329" s="131"/>
      <c r="L329" s="129"/>
      <c r="M329" s="109"/>
      <c r="N329" s="130"/>
      <c r="O329" s="415"/>
      <c r="P329" s="415"/>
      <c r="Q329" s="415"/>
      <c r="R329" s="415"/>
      <c r="S329" s="415"/>
      <c r="T329" s="415"/>
      <c r="U329" s="415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30700010</v>
      </c>
      <c r="B330" s="414" t="s">
        <v>241</v>
      </c>
      <c r="C330" s="126"/>
      <c r="D330" s="108">
        <f>78*120/1000</f>
        <v>9.36</v>
      </c>
      <c r="E330" s="108"/>
      <c r="F330" s="127"/>
      <c r="G330" s="128"/>
      <c r="H330" s="423">
        <f t="shared" si="145"/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3">SUM(O330:U330)</f>
        <v>0</v>
      </c>
      <c r="O330" s="415"/>
      <c r="P330" s="415"/>
      <c r="Q330" s="415"/>
      <c r="R330" s="415"/>
      <c r="S330" s="415"/>
      <c r="T330" s="415"/>
      <c r="U330" s="415"/>
      <c r="V330" s="132">
        <f t="shared" ref="V330" si="154">SUM(X330:AA330)</f>
        <v>0</v>
      </c>
      <c r="W330" s="133" t="str">
        <f t="shared" ref="W330" si="155">IF(ISERROR(V330/G330),"",V330/G330)</f>
        <v/>
      </c>
      <c r="X330" s="132"/>
      <c r="Y330" s="132"/>
      <c r="Z330" s="132"/>
      <c r="AA330" s="132"/>
    </row>
    <row r="331" spans="1:27" ht="20.100000000000001" hidden="1" customHeight="1">
      <c r="A331" s="299">
        <v>30700015</v>
      </c>
      <c r="B331" s="414" t="s">
        <v>242</v>
      </c>
      <c r="C331" s="126"/>
      <c r="D331" s="108">
        <v>4.5</v>
      </c>
      <c r="E331" s="108"/>
      <c r="F331" s="127"/>
      <c r="G331" s="128"/>
      <c r="H331" s="423">
        <f t="shared" si="145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415"/>
      <c r="P331" s="415"/>
      <c r="Q331" s="415"/>
      <c r="R331" s="415"/>
      <c r="S331" s="415"/>
      <c r="T331" s="415"/>
      <c r="U331" s="415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299">
        <v>30700012</v>
      </c>
      <c r="B332" s="414" t="s">
        <v>243</v>
      </c>
      <c r="C332" s="126"/>
      <c r="D332" s="108">
        <v>4.5</v>
      </c>
      <c r="E332" s="108"/>
      <c r="F332" s="127"/>
      <c r="G332" s="128"/>
      <c r="H332" s="423">
        <f t="shared" si="145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415"/>
      <c r="P332" s="415"/>
      <c r="Q332" s="415"/>
      <c r="R332" s="415"/>
      <c r="S332" s="415"/>
      <c r="T332" s="415"/>
      <c r="U332" s="415"/>
      <c r="V332" s="132"/>
      <c r="W332" s="133"/>
      <c r="X332" s="132"/>
      <c r="Y332" s="132"/>
      <c r="Z332" s="132"/>
      <c r="AA332" s="132"/>
    </row>
    <row r="333" spans="1:27" ht="20.100000000000001" hidden="1" customHeight="1">
      <c r="A333" s="299"/>
      <c r="B333" s="199" t="s">
        <v>438</v>
      </c>
      <c r="C333" s="126"/>
      <c r="D333" s="108">
        <v>4.5</v>
      </c>
      <c r="E333" s="108"/>
      <c r="F333" s="127"/>
      <c r="G333" s="128"/>
      <c r="H333" s="423">
        <f t="shared" si="145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415"/>
      <c r="P333" s="415"/>
      <c r="Q333" s="415"/>
      <c r="R333" s="415"/>
      <c r="S333" s="415"/>
      <c r="T333" s="415"/>
      <c r="U333" s="415"/>
      <c r="V333" s="132"/>
      <c r="W333" s="133"/>
      <c r="X333" s="132"/>
      <c r="Y333" s="132"/>
      <c r="Z333" s="132"/>
      <c r="AA333" s="132"/>
    </row>
    <row r="334" spans="1:27" ht="20.100000000000001" hidden="1" customHeight="1">
      <c r="A334" s="578" t="s">
        <v>244</v>
      </c>
      <c r="B334" s="579"/>
      <c r="C334" s="421" t="s">
        <v>202</v>
      </c>
      <c r="D334" s="143"/>
      <c r="E334" s="143"/>
      <c r="F334" s="144"/>
      <c r="G334" s="145">
        <f>SUM(G320:G333)</f>
        <v>0</v>
      </c>
      <c r="H334" s="146">
        <f>SUM(H320:H330)</f>
        <v>0</v>
      </c>
      <c r="I334" s="146">
        <f>SUM(I320:I333)</f>
        <v>0</v>
      </c>
      <c r="J334" s="130"/>
      <c r="K334" s="146">
        <f>SUM(K320:K330)</f>
        <v>0</v>
      </c>
      <c r="L334" s="147"/>
      <c r="M334" s="150">
        <f t="shared" ref="M334:AA334" si="156">SUM(M320:M330)</f>
        <v>0</v>
      </c>
      <c r="N334" s="146">
        <f t="shared" si="156"/>
        <v>0</v>
      </c>
      <c r="O334" s="148">
        <f t="shared" si="156"/>
        <v>0</v>
      </c>
      <c r="P334" s="148">
        <f t="shared" si="156"/>
        <v>0</v>
      </c>
      <c r="Q334" s="148">
        <f t="shared" si="156"/>
        <v>0</v>
      </c>
      <c r="R334" s="148">
        <f t="shared" si="156"/>
        <v>0</v>
      </c>
      <c r="S334" s="148">
        <f t="shared" si="156"/>
        <v>0</v>
      </c>
      <c r="T334" s="148">
        <f t="shared" si="156"/>
        <v>0</v>
      </c>
      <c r="U334" s="148">
        <f t="shared" si="156"/>
        <v>0</v>
      </c>
      <c r="V334" s="149">
        <f t="shared" si="156"/>
        <v>0</v>
      </c>
      <c r="W334" s="133">
        <f t="shared" si="156"/>
        <v>0</v>
      </c>
      <c r="X334" s="149">
        <f t="shared" si="156"/>
        <v>0</v>
      </c>
      <c r="Y334" s="149">
        <f t="shared" si="156"/>
        <v>0</v>
      </c>
      <c r="Z334" s="149">
        <f t="shared" si="156"/>
        <v>0</v>
      </c>
      <c r="AA334" s="149">
        <f t="shared" si="156"/>
        <v>0</v>
      </c>
    </row>
    <row r="335" spans="1:27" ht="20.100000000000001" customHeight="1">
      <c r="A335" s="580" t="s">
        <v>246</v>
      </c>
      <c r="B335" s="581"/>
      <c r="C335" s="581"/>
      <c r="D335" s="581"/>
      <c r="E335" s="581"/>
      <c r="F335" s="582"/>
      <c r="G335" s="154">
        <f>SUM(G199,G257,G292,G308,G319,G334)</f>
        <v>4963</v>
      </c>
      <c r="H335" s="154">
        <f>SUM(H199,H257,H292,H308,H319,H334)</f>
        <v>24976.02</v>
      </c>
      <c r="I335" s="154">
        <f>SUM(I199,I257,I292,I308,I319,I334)</f>
        <v>355.68</v>
      </c>
      <c r="J335" s="155">
        <f t="array" ref="J335">IF(ISERROR(G335/I335),"",G335/I335)</f>
        <v>13.953553756185334</v>
      </c>
      <c r="K335" s="154">
        <f>SUM(K199,K257,K292,K308,K319,K334)</f>
        <v>301.94366918932019</v>
      </c>
      <c r="L335" s="155">
        <f>IF(ISERROR(G335/K335),"",G335/K335)</f>
        <v>16.436840730342237</v>
      </c>
      <c r="M335" s="154">
        <f t="shared" ref="M335:AA335" si="157">SUM(M199,M257,M292,M308,M319,M334)</f>
        <v>53.736330810679846</v>
      </c>
      <c r="N335" s="154">
        <f t="shared" si="157"/>
        <v>0</v>
      </c>
      <c r="O335" s="154">
        <f t="shared" si="157"/>
        <v>0</v>
      </c>
      <c r="P335" s="154">
        <f t="shared" si="157"/>
        <v>0</v>
      </c>
      <c r="Q335" s="154">
        <f t="shared" si="157"/>
        <v>0</v>
      </c>
      <c r="R335" s="154">
        <f t="shared" si="157"/>
        <v>0</v>
      </c>
      <c r="S335" s="154">
        <f t="shared" si="157"/>
        <v>0</v>
      </c>
      <c r="T335" s="154">
        <f t="shared" si="157"/>
        <v>0</v>
      </c>
      <c r="U335" s="154">
        <f t="shared" si="157"/>
        <v>0</v>
      </c>
      <c r="V335" s="154">
        <f t="shared" si="157"/>
        <v>0</v>
      </c>
      <c r="W335" s="154">
        <f t="shared" si="157"/>
        <v>0</v>
      </c>
      <c r="X335" s="154">
        <f t="shared" si="157"/>
        <v>0</v>
      </c>
      <c r="Y335" s="154">
        <f t="shared" si="157"/>
        <v>0</v>
      </c>
      <c r="Z335" s="154">
        <f t="shared" si="157"/>
        <v>0</v>
      </c>
      <c r="AA335" s="154">
        <f t="shared" si="157"/>
        <v>0</v>
      </c>
    </row>
    <row r="336" spans="1:27" ht="20.100000000000001" customHeight="1">
      <c r="A336" s="583" t="s">
        <v>476</v>
      </c>
      <c r="B336" s="420" t="s">
        <v>247</v>
      </c>
      <c r="C336" s="586" t="s">
        <v>248</v>
      </c>
      <c r="D336" s="587"/>
      <c r="E336" s="588" t="s">
        <v>249</v>
      </c>
      <c r="F336" s="588"/>
      <c r="G336" s="591" t="s">
        <v>250</v>
      </c>
      <c r="H336" s="591"/>
      <c r="I336" s="588" t="s">
        <v>251</v>
      </c>
      <c r="J336" s="588"/>
      <c r="K336" s="588" t="s">
        <v>252</v>
      </c>
      <c r="L336" s="588"/>
      <c r="M336" s="588" t="s">
        <v>253</v>
      </c>
      <c r="N336" s="588"/>
      <c r="O336" s="588" t="s">
        <v>254</v>
      </c>
      <c r="P336" s="591" t="s">
        <v>255</v>
      </c>
      <c r="Q336" s="591"/>
      <c r="R336" s="591" t="s">
        <v>252</v>
      </c>
      <c r="S336" s="591"/>
      <c r="T336" s="591" t="s">
        <v>256</v>
      </c>
      <c r="U336" s="591"/>
      <c r="V336" s="591" t="s">
        <v>257</v>
      </c>
      <c r="W336" s="591"/>
      <c r="X336" s="591" t="s">
        <v>252</v>
      </c>
      <c r="Y336" s="591"/>
      <c r="Z336" s="591" t="s">
        <v>256</v>
      </c>
      <c r="AA336" s="591"/>
    </row>
    <row r="337" spans="1:27" ht="20.100000000000001" customHeight="1">
      <c r="A337" s="584"/>
      <c r="B337" s="420" t="s">
        <v>258</v>
      </c>
      <c r="C337" s="626">
        <v>1</v>
      </c>
      <c r="D337" s="627"/>
      <c r="E337" s="590">
        <f>C337*11</f>
        <v>11</v>
      </c>
      <c r="F337" s="590"/>
      <c r="G337" s="591">
        <v>1</v>
      </c>
      <c r="H337" s="591"/>
      <c r="I337" s="590">
        <f>G337*11</f>
        <v>11</v>
      </c>
      <c r="J337" s="590"/>
      <c r="K337" s="590">
        <f>E337-I337</f>
        <v>0</v>
      </c>
      <c r="L337" s="590"/>
      <c r="M337" s="592">
        <f>IF(ISERROR(K337/E337),"",K337/E337)</f>
        <v>0</v>
      </c>
      <c r="N337" s="592"/>
      <c r="O337" s="588"/>
      <c r="P337" s="591" t="s">
        <v>201</v>
      </c>
      <c r="Q337" s="591"/>
      <c r="R337" s="593">
        <f>SUM(O199:U199)</f>
        <v>0</v>
      </c>
      <c r="S337" s="593"/>
      <c r="T337" s="594" t="str">
        <f t="array" ref="T337">IF(ISERROR(R337/R344),"",R337/R344)</f>
        <v/>
      </c>
      <c r="U337" s="594"/>
      <c r="V337" s="591" t="s">
        <v>259</v>
      </c>
      <c r="W337" s="591"/>
      <c r="X337" s="628">
        <f>SUM(P198,P256,P291,P307,P318,P333)</f>
        <v>0</v>
      </c>
      <c r="Y337" s="629"/>
      <c r="Z337" s="594" t="str">
        <f t="array" ref="Z337">IF(ISERROR(X337/X344),"",X337/X344)</f>
        <v/>
      </c>
      <c r="AA337" s="594"/>
    </row>
    <row r="338" spans="1:27" ht="20.100000000000001" customHeight="1">
      <c r="A338" s="584"/>
      <c r="B338" s="420" t="s">
        <v>260</v>
      </c>
      <c r="C338" s="586">
        <v>0</v>
      </c>
      <c r="D338" s="587"/>
      <c r="E338" s="590">
        <f>C338*11</f>
        <v>0</v>
      </c>
      <c r="F338" s="590"/>
      <c r="G338" s="591">
        <v>0</v>
      </c>
      <c r="H338" s="591"/>
      <c r="I338" s="590">
        <f>G338*11</f>
        <v>0</v>
      </c>
      <c r="J338" s="590"/>
      <c r="K338" s="590">
        <f>E338-I338</f>
        <v>0</v>
      </c>
      <c r="L338" s="590"/>
      <c r="M338" s="592" t="str">
        <f>IF(ISERROR(K338/E338),"",K338/E338)</f>
        <v/>
      </c>
      <c r="N338" s="592"/>
      <c r="O338" s="588"/>
      <c r="P338" s="591" t="s">
        <v>216</v>
      </c>
      <c r="Q338" s="591"/>
      <c r="R338" s="593">
        <f>SUM(O257:U257)</f>
        <v>0</v>
      </c>
      <c r="S338" s="593"/>
      <c r="T338" s="594" t="str">
        <f>IF(ISERROR(R338/R344),"",R338/R344)</f>
        <v/>
      </c>
      <c r="U338" s="594"/>
      <c r="V338" s="591" t="s">
        <v>261</v>
      </c>
      <c r="W338" s="591"/>
      <c r="X338" s="628">
        <f>SUM(P199,P257,P292,P308,P319,P334)</f>
        <v>0</v>
      </c>
      <c r="Y338" s="629"/>
      <c r="Z338" s="594" t="str">
        <f>IF(ISERROR(X338/X344),"",X338/X344)</f>
        <v/>
      </c>
      <c r="AA338" s="594"/>
    </row>
    <row r="339" spans="1:27" ht="20.100000000000001" customHeight="1">
      <c r="A339" s="584"/>
      <c r="B339" s="420" t="s">
        <v>262</v>
      </c>
      <c r="C339" s="586">
        <v>0</v>
      </c>
      <c r="D339" s="587"/>
      <c r="E339" s="590">
        <f>C339*8</f>
        <v>0</v>
      </c>
      <c r="F339" s="590"/>
      <c r="G339" s="591">
        <v>1</v>
      </c>
      <c r="H339" s="591"/>
      <c r="I339" s="590">
        <f>G339*8</f>
        <v>8</v>
      </c>
      <c r="J339" s="590"/>
      <c r="K339" s="590">
        <f>E339-I339</f>
        <v>-8</v>
      </c>
      <c r="L339" s="590"/>
      <c r="M339" s="592" t="str">
        <f>IF(ISERROR(K339/E339),"",K339/E339)</f>
        <v/>
      </c>
      <c r="N339" s="592"/>
      <c r="O339" s="588"/>
      <c r="P339" s="591" t="s">
        <v>224</v>
      </c>
      <c r="Q339" s="591"/>
      <c r="R339" s="593">
        <f>SUM(O292:U292)</f>
        <v>0</v>
      </c>
      <c r="S339" s="593"/>
      <c r="T339" s="594" t="str">
        <f>IF(ISERROR(R339/R344),"",R339/R344)</f>
        <v/>
      </c>
      <c r="U339" s="594"/>
      <c r="V339" s="591" t="s">
        <v>263</v>
      </c>
      <c r="W339" s="591"/>
      <c r="X339" s="628">
        <f>SUM(P200,P258,P293,P309,P320,P335)</f>
        <v>0</v>
      </c>
      <c r="Y339" s="629"/>
      <c r="Z339" s="594" t="str">
        <f>IF(ISERROR(X339/X344),"",X339/X344)</f>
        <v/>
      </c>
      <c r="AA339" s="594"/>
    </row>
    <row r="340" spans="1:27" ht="20.100000000000001" customHeight="1">
      <c r="A340" s="584"/>
      <c r="B340" s="420" t="s">
        <v>264</v>
      </c>
      <c r="C340" s="586">
        <v>1</v>
      </c>
      <c r="D340" s="587"/>
      <c r="E340" s="590">
        <f>C340*11</f>
        <v>11</v>
      </c>
      <c r="F340" s="590"/>
      <c r="G340" s="591">
        <v>1</v>
      </c>
      <c r="H340" s="591"/>
      <c r="I340" s="590">
        <f>G340*11</f>
        <v>11</v>
      </c>
      <c r="J340" s="590"/>
      <c r="K340" s="590">
        <f>E340-I340</f>
        <v>0</v>
      </c>
      <c r="L340" s="590"/>
      <c r="M340" s="592">
        <f>IF(ISERROR(K340/E340),"",K340/E340)</f>
        <v>0</v>
      </c>
      <c r="N340" s="592"/>
      <c r="O340" s="588"/>
      <c r="P340" s="591" t="s">
        <v>231</v>
      </c>
      <c r="Q340" s="591"/>
      <c r="R340" s="593">
        <f>SUM(O308:U308)</f>
        <v>0</v>
      </c>
      <c r="S340" s="593"/>
      <c r="T340" s="594" t="str">
        <f>IF(ISERROR(R340/R344),"",R340/R344)</f>
        <v/>
      </c>
      <c r="U340" s="594"/>
      <c r="V340" s="591" t="s">
        <v>265</v>
      </c>
      <c r="W340" s="591"/>
      <c r="X340" s="628">
        <f>SUM(P202,P259,P294,P310,P321,P336)</f>
        <v>0</v>
      </c>
      <c r="Y340" s="629"/>
      <c r="Z340" s="594" t="str">
        <f>IF(ISERROR(X340/X344),"",X340/X344)</f>
        <v/>
      </c>
      <c r="AA340" s="594"/>
    </row>
    <row r="341" spans="1:27" ht="20.100000000000001" customHeight="1">
      <c r="A341" s="585"/>
      <c r="B341" s="420" t="s">
        <v>266</v>
      </c>
      <c r="C341" s="596">
        <f>SUM(C337:D340)</f>
        <v>2</v>
      </c>
      <c r="D341" s="597"/>
      <c r="E341" s="590">
        <f>SUM(E337:F340)</f>
        <v>22</v>
      </c>
      <c r="F341" s="590"/>
      <c r="G341" s="591">
        <f>SUM(G337:H340)</f>
        <v>3</v>
      </c>
      <c r="H341" s="591"/>
      <c r="I341" s="590">
        <f>SUM(I337:J340)</f>
        <v>30</v>
      </c>
      <c r="J341" s="590"/>
      <c r="K341" s="590">
        <f>SUM(K337:L340)</f>
        <v>-8</v>
      </c>
      <c r="L341" s="590"/>
      <c r="M341" s="592">
        <f>IF(ISERROR(K341/E341),"",K341/E341)</f>
        <v>-0.36363636363636365</v>
      </c>
      <c r="N341" s="592"/>
      <c r="O341" s="588"/>
      <c r="P341" s="591" t="s">
        <v>234</v>
      </c>
      <c r="Q341" s="591"/>
      <c r="R341" s="593">
        <f>SUM(O319:U319)</f>
        <v>0</v>
      </c>
      <c r="S341" s="593"/>
      <c r="T341" s="594" t="str">
        <f>IF(ISERROR(R341/R344),"",R341/R344)</f>
        <v/>
      </c>
      <c r="U341" s="594"/>
      <c r="V341" s="591" t="s">
        <v>267</v>
      </c>
      <c r="W341" s="591"/>
      <c r="X341" s="628">
        <f>SUM(P203,P260,P295,P311,P322,P337)</f>
        <v>0</v>
      </c>
      <c r="Y341" s="629"/>
      <c r="Z341" s="594" t="str">
        <f>IF(ISERROR(X341/X344),"",X341/X344)</f>
        <v/>
      </c>
      <c r="AA341" s="594"/>
    </row>
    <row r="342" spans="1:27" ht="20.100000000000001" customHeight="1">
      <c r="A342" s="309" t="s">
        <v>477</v>
      </c>
      <c r="B342" s="420">
        <f>G335</f>
        <v>4963</v>
      </c>
      <c r="C342" s="598" t="s">
        <v>269</v>
      </c>
      <c r="D342" s="599"/>
      <c r="E342" s="591">
        <f>H335</f>
        <v>24976.02</v>
      </c>
      <c r="F342" s="591"/>
      <c r="G342" s="591" t="s">
        <v>270</v>
      </c>
      <c r="H342" s="591"/>
      <c r="I342" s="600">
        <f>L335</f>
        <v>16.436840730342237</v>
      </c>
      <c r="J342" s="600"/>
      <c r="K342" s="588" t="s">
        <v>271</v>
      </c>
      <c r="L342" s="588"/>
      <c r="M342" s="600">
        <f>J335</f>
        <v>13.953553756185334</v>
      </c>
      <c r="N342" s="600"/>
      <c r="O342" s="588"/>
      <c r="P342" s="591" t="s">
        <v>244</v>
      </c>
      <c r="Q342" s="591"/>
      <c r="R342" s="593">
        <f>SUM(O334:U334)</f>
        <v>0</v>
      </c>
      <c r="S342" s="593"/>
      <c r="T342" s="594" t="str">
        <f>IF(ISERROR(R342/R344),"",R342/R344)</f>
        <v/>
      </c>
      <c r="U342" s="594"/>
      <c r="V342" s="591" t="s">
        <v>272</v>
      </c>
      <c r="W342" s="591"/>
      <c r="X342" s="628">
        <f>SUM(P204,P261,P296,P312,P323,P338)</f>
        <v>0</v>
      </c>
      <c r="Y342" s="629"/>
      <c r="Z342" s="594" t="str">
        <f>IF(ISERROR(X342/X344),"",X342/X344)</f>
        <v/>
      </c>
      <c r="AA342" s="594"/>
    </row>
    <row r="343" spans="1:27" ht="20.100000000000001" customHeight="1">
      <c r="A343" s="310" t="s">
        <v>478</v>
      </c>
      <c r="B343" s="420">
        <f>I335+C341</f>
        <v>357.68</v>
      </c>
      <c r="C343" s="601" t="s">
        <v>251</v>
      </c>
      <c r="D343" s="602"/>
      <c r="E343" s="603">
        <f>K335+I341</f>
        <v>331.94366918932019</v>
      </c>
      <c r="F343" s="603"/>
      <c r="G343" s="591" t="s">
        <v>274</v>
      </c>
      <c r="H343" s="591"/>
      <c r="I343" s="600">
        <f>B343-E343</f>
        <v>25.736330810679817</v>
      </c>
      <c r="J343" s="600"/>
      <c r="K343" s="588" t="s">
        <v>275</v>
      </c>
      <c r="L343" s="588"/>
      <c r="M343" s="592">
        <f>IF(ISERROR(I343/E343),"",I343/E343)</f>
        <v>7.7532223685824839E-2</v>
      </c>
      <c r="N343" s="592"/>
      <c r="O343" s="588"/>
      <c r="P343" s="591" t="s">
        <v>245</v>
      </c>
      <c r="Q343" s="591"/>
      <c r="R343" s="593"/>
      <c r="S343" s="593"/>
      <c r="T343" s="594" t="str">
        <f>IF(ISERROR(R343/R344),"",R343/R344)</f>
        <v/>
      </c>
      <c r="U343" s="594"/>
      <c r="V343" s="591" t="s">
        <v>264</v>
      </c>
      <c r="W343" s="591"/>
      <c r="X343" s="628">
        <f>SUM(P205,P262,P297,P313,P324,P339)</f>
        <v>0</v>
      </c>
      <c r="Y343" s="629"/>
      <c r="Z343" s="594" t="str">
        <f>IF(ISERROR(X343/X344),"",X343/X344)</f>
        <v/>
      </c>
      <c r="AA343" s="594"/>
    </row>
    <row r="344" spans="1:27" ht="20.100000000000001" customHeight="1">
      <c r="A344" s="310" t="s">
        <v>479</v>
      </c>
      <c r="B344" s="420">
        <f>N335</f>
        <v>0</v>
      </c>
      <c r="C344" s="601" t="s">
        <v>277</v>
      </c>
      <c r="D344" s="602"/>
      <c r="E344" s="594">
        <f>IF(ISERROR(B344/B343),"",B344/B343)</f>
        <v>0</v>
      </c>
      <c r="F344" s="594"/>
      <c r="G344" s="591" t="s">
        <v>278</v>
      </c>
      <c r="H344" s="591"/>
      <c r="I344" s="588">
        <f>V335</f>
        <v>0</v>
      </c>
      <c r="J344" s="588"/>
      <c r="K344" s="588" t="s">
        <v>279</v>
      </c>
      <c r="L344" s="588"/>
      <c r="M344" s="592">
        <f t="array" ref="M344">IF(ISERROR(I344/B342),"",I344/B342)</f>
        <v>0</v>
      </c>
      <c r="N344" s="592"/>
      <c r="O344" s="588"/>
      <c r="P344" s="591" t="s">
        <v>266</v>
      </c>
      <c r="Q344" s="591"/>
      <c r="R344" s="593">
        <f>SUM(R337:S343)</f>
        <v>0</v>
      </c>
      <c r="S344" s="593"/>
      <c r="T344" s="594"/>
      <c r="U344" s="594"/>
      <c r="V344" s="591" t="s">
        <v>266</v>
      </c>
      <c r="W344" s="591"/>
      <c r="X344" s="595">
        <f>SUM(X337:Y343)</f>
        <v>0</v>
      </c>
      <c r="Y344" s="595"/>
      <c r="Z344" s="594"/>
      <c r="AA344" s="594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4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604" t="s">
        <v>480</v>
      </c>
      <c r="B346" s="607" t="s">
        <v>280</v>
      </c>
      <c r="C346" s="607" t="s">
        <v>281</v>
      </c>
      <c r="D346" s="607" t="s">
        <v>282</v>
      </c>
      <c r="E346" s="610" t="s">
        <v>283</v>
      </c>
      <c r="F346" s="623" t="s">
        <v>284</v>
      </c>
      <c r="G346" s="588" t="s">
        <v>285</v>
      </c>
      <c r="H346" s="588"/>
      <c r="I346" s="607" t="s">
        <v>286</v>
      </c>
      <c r="J346" s="613" t="s">
        <v>271</v>
      </c>
      <c r="K346" s="616" t="s">
        <v>287</v>
      </c>
      <c r="L346" s="607" t="s">
        <v>270</v>
      </c>
      <c r="M346" s="619" t="s">
        <v>288</v>
      </c>
      <c r="N346" s="621" t="s">
        <v>252</v>
      </c>
      <c r="O346" s="588" t="s">
        <v>289</v>
      </c>
      <c r="P346" s="588"/>
      <c r="Q346" s="588"/>
      <c r="R346" s="588"/>
      <c r="S346" s="588"/>
      <c r="T346" s="588"/>
      <c r="U346" s="588"/>
      <c r="V346" s="588" t="s">
        <v>290</v>
      </c>
      <c r="W346" s="621" t="s">
        <v>291</v>
      </c>
      <c r="X346" s="588" t="s">
        <v>292</v>
      </c>
      <c r="Y346" s="588"/>
      <c r="Z346" s="588"/>
      <c r="AA346" s="588"/>
    </row>
    <row r="347" spans="1:27" ht="21.95" customHeight="1">
      <c r="A347" s="605"/>
      <c r="B347" s="608"/>
      <c r="C347" s="608"/>
      <c r="D347" s="608"/>
      <c r="E347" s="611"/>
      <c r="F347" s="624"/>
      <c r="G347" s="588"/>
      <c r="H347" s="588"/>
      <c r="I347" s="608"/>
      <c r="J347" s="614"/>
      <c r="K347" s="617"/>
      <c r="L347" s="608"/>
      <c r="M347" s="620"/>
      <c r="N347" s="621"/>
      <c r="O347" s="588" t="s">
        <v>259</v>
      </c>
      <c r="P347" s="588" t="s">
        <v>261</v>
      </c>
      <c r="Q347" s="588" t="s">
        <v>263</v>
      </c>
      <c r="R347" s="622" t="s">
        <v>265</v>
      </c>
      <c r="S347" s="591" t="s">
        <v>267</v>
      </c>
      <c r="T347" s="588" t="s">
        <v>272</v>
      </c>
      <c r="U347" s="588" t="s">
        <v>264</v>
      </c>
      <c r="V347" s="588"/>
      <c r="W347" s="621"/>
      <c r="X347" s="588" t="s">
        <v>293</v>
      </c>
      <c r="Y347" s="588" t="s">
        <v>294</v>
      </c>
      <c r="Z347" s="588" t="s">
        <v>295</v>
      </c>
      <c r="AA347" s="588" t="s">
        <v>264</v>
      </c>
    </row>
    <row r="348" spans="1:27" ht="21.95" customHeight="1">
      <c r="A348" s="606"/>
      <c r="B348" s="609"/>
      <c r="C348" s="609"/>
      <c r="D348" s="609"/>
      <c r="E348" s="612"/>
      <c r="F348" s="625"/>
      <c r="G348" s="348" t="s">
        <v>540</v>
      </c>
      <c r="H348" s="413" t="s">
        <v>297</v>
      </c>
      <c r="I348" s="609"/>
      <c r="J348" s="615"/>
      <c r="K348" s="618"/>
      <c r="L348" s="609"/>
      <c r="M348" s="620"/>
      <c r="N348" s="621"/>
      <c r="O348" s="588"/>
      <c r="P348" s="588"/>
      <c r="Q348" s="588"/>
      <c r="R348" s="622"/>
      <c r="S348" s="591"/>
      <c r="T348" s="588"/>
      <c r="U348" s="588"/>
      <c r="V348" s="588"/>
      <c r="W348" s="621"/>
      <c r="X348" s="588"/>
      <c r="Y348" s="588"/>
      <c r="Z348" s="588"/>
      <c r="AA348" s="588"/>
    </row>
    <row r="349" spans="1:27" ht="20.100000000000001" hidden="1" customHeight="1">
      <c r="A349" s="299">
        <v>30100030</v>
      </c>
      <c r="B349" s="414" t="s">
        <v>178</v>
      </c>
      <c r="C349" s="126" t="s">
        <v>179</v>
      </c>
      <c r="D349" s="108">
        <v>5.03</v>
      </c>
      <c r="E349" s="108"/>
      <c r="F349" s="127"/>
      <c r="G349" s="128"/>
      <c r="H349" s="423">
        <f t="shared" ref="H349:H369" si="158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58" si="159">IF(ISERROR(I349-K349),"",I349-K349)</f>
        <v>0</v>
      </c>
      <c r="N349" s="130">
        <f t="shared" ref="N349:N354" si="160">SUM(O349:U349)</f>
        <v>0</v>
      </c>
      <c r="O349" s="415"/>
      <c r="P349" s="415"/>
      <c r="Q349" s="415"/>
      <c r="R349" s="415"/>
      <c r="S349" s="415"/>
      <c r="T349" s="415"/>
      <c r="U349" s="415"/>
      <c r="V349" s="132">
        <f t="shared" ref="V349:V354" si="161">SUM(X349:AA349)</f>
        <v>0</v>
      </c>
      <c r="W349" s="133" t="str">
        <f t="shared" ref="W349:W354" si="162">IF(ISERROR(V349/G349),"",V349/G349)</f>
        <v/>
      </c>
      <c r="X349" s="132"/>
      <c r="Y349" s="132"/>
      <c r="Z349" s="132"/>
      <c r="AA349" s="132"/>
    </row>
    <row r="350" spans="1:27" ht="20.100000000000001" hidden="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28"/>
      <c r="H350" s="423">
        <f t="shared" si="158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9"/>
        <v>0</v>
      </c>
      <c r="N350" s="130">
        <f t="shared" si="160"/>
        <v>0</v>
      </c>
      <c r="O350" s="415"/>
      <c r="P350" s="415"/>
      <c r="Q350" s="415"/>
      <c r="R350" s="415"/>
      <c r="S350" s="415"/>
      <c r="T350" s="415"/>
      <c r="U350" s="415"/>
      <c r="V350" s="132">
        <f t="shared" si="161"/>
        <v>0</v>
      </c>
      <c r="W350" s="133" t="str">
        <f t="shared" si="162"/>
        <v/>
      </c>
      <c r="X350" s="132"/>
      <c r="Y350" s="132"/>
      <c r="Z350" s="132"/>
      <c r="AA350" s="132"/>
    </row>
    <row r="351" spans="1:27" ht="20.100000000000001" hidden="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28"/>
      <c r="H351" s="423">
        <f t="shared" si="158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59"/>
        <v>0</v>
      </c>
      <c r="N351" s="130">
        <f t="shared" si="160"/>
        <v>0</v>
      </c>
      <c r="O351" s="415"/>
      <c r="P351" s="415"/>
      <c r="Q351" s="415"/>
      <c r="R351" s="415"/>
      <c r="S351" s="415"/>
      <c r="T351" s="415"/>
      <c r="U351" s="415"/>
      <c r="V351" s="132">
        <f t="shared" si="161"/>
        <v>0</v>
      </c>
      <c r="W351" s="133" t="str">
        <f t="shared" si="162"/>
        <v/>
      </c>
      <c r="X351" s="132"/>
      <c r="Y351" s="132"/>
      <c r="Z351" s="132"/>
      <c r="AA351" s="132"/>
    </row>
    <row r="352" spans="1:27" ht="20.100000000000001" hidden="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28"/>
      <c r="H352" s="423">
        <f t="shared" si="158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9"/>
        <v>0</v>
      </c>
      <c r="N352" s="130">
        <f t="shared" si="160"/>
        <v>0</v>
      </c>
      <c r="O352" s="415"/>
      <c r="P352" s="415"/>
      <c r="Q352" s="415"/>
      <c r="R352" s="415"/>
      <c r="S352" s="415"/>
      <c r="T352" s="415"/>
      <c r="U352" s="415"/>
      <c r="V352" s="132">
        <f t="shared" si="161"/>
        <v>0</v>
      </c>
      <c r="W352" s="133" t="str">
        <f t="shared" si="162"/>
        <v/>
      </c>
      <c r="X352" s="132"/>
      <c r="Y352" s="132"/>
      <c r="Z352" s="132"/>
      <c r="AA352" s="132"/>
    </row>
    <row r="353" spans="1:27" ht="20.100000000000001" hidden="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28"/>
      <c r="H353" s="423">
        <f t="shared" si="158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59"/>
        <v>0</v>
      </c>
      <c r="N353" s="130">
        <f t="shared" si="160"/>
        <v>0</v>
      </c>
      <c r="O353" s="415"/>
      <c r="P353" s="415"/>
      <c r="Q353" s="415"/>
      <c r="R353" s="415"/>
      <c r="S353" s="415"/>
      <c r="T353" s="415"/>
      <c r="U353" s="415"/>
      <c r="V353" s="132">
        <f t="shared" si="161"/>
        <v>0</v>
      </c>
      <c r="W353" s="133" t="str">
        <f t="shared" si="162"/>
        <v/>
      </c>
      <c r="X353" s="132"/>
      <c r="Y353" s="132"/>
      <c r="Z353" s="132"/>
      <c r="AA353" s="132"/>
    </row>
    <row r="354" spans="1:27" ht="20.100000000000001" hidden="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137"/>
      <c r="H354" s="423">
        <f t="shared" si="158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59"/>
        <v>0</v>
      </c>
      <c r="N354" s="130">
        <f t="shared" si="160"/>
        <v>0</v>
      </c>
      <c r="O354" s="415"/>
      <c r="P354" s="415"/>
      <c r="Q354" s="415"/>
      <c r="R354" s="415"/>
      <c r="S354" s="415"/>
      <c r="T354" s="415"/>
      <c r="U354" s="415"/>
      <c r="V354" s="132">
        <f t="shared" si="161"/>
        <v>0</v>
      </c>
      <c r="W354" s="133" t="str">
        <f t="shared" si="162"/>
        <v/>
      </c>
      <c r="X354" s="132"/>
      <c r="Y354" s="132"/>
      <c r="Z354" s="132"/>
      <c r="AA354" s="132"/>
    </row>
    <row r="355" spans="1:27" ht="20.100000000000001" hidden="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28"/>
      <c r="H355" s="423">
        <f t="shared" si="158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59"/>
        <v>0</v>
      </c>
      <c r="N355" s="130"/>
      <c r="O355" s="415"/>
      <c r="P355" s="415"/>
      <c r="Q355" s="415"/>
      <c r="R355" s="415"/>
      <c r="S355" s="415"/>
      <c r="T355" s="415"/>
      <c r="U355" s="415"/>
      <c r="V355" s="132"/>
      <c r="W355" s="133"/>
      <c r="X355" s="132"/>
      <c r="Y355" s="132"/>
      <c r="Z355" s="132"/>
      <c r="AA355" s="132"/>
    </row>
    <row r="356" spans="1:27" ht="20.100000000000001" hidden="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28"/>
      <c r="H356" s="423">
        <f t="shared" si="158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59"/>
        <v>0</v>
      </c>
      <c r="N356" s="130"/>
      <c r="O356" s="415"/>
      <c r="P356" s="415"/>
      <c r="Q356" s="415"/>
      <c r="R356" s="415"/>
      <c r="S356" s="415"/>
      <c r="T356" s="415"/>
      <c r="U356" s="415"/>
      <c r="V356" s="132"/>
      <c r="W356" s="133"/>
      <c r="X356" s="132"/>
      <c r="Y356" s="132"/>
      <c r="Z356" s="132"/>
      <c r="AA356" s="132"/>
    </row>
    <row r="357" spans="1:27" ht="20.100000000000001" hidden="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28"/>
      <c r="H357" s="423">
        <f t="shared" si="158"/>
        <v>0</v>
      </c>
      <c r="I357" s="423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59"/>
        <v>0</v>
      </c>
      <c r="N357" s="130">
        <f>SUM(O357:U357)</f>
        <v>0</v>
      </c>
      <c r="O357" s="415"/>
      <c r="P357" s="415"/>
      <c r="Q357" s="415"/>
      <c r="R357" s="415"/>
      <c r="S357" s="415"/>
      <c r="T357" s="415"/>
      <c r="U357" s="415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hidden="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28"/>
      <c r="H358" s="423">
        <f t="shared" si="158"/>
        <v>0</v>
      </c>
      <c r="I358" s="423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59"/>
        <v>0</v>
      </c>
      <c r="N358" s="130">
        <f>SUM(O358:U358)</f>
        <v>0</v>
      </c>
      <c r="O358" s="415"/>
      <c r="P358" s="415"/>
      <c r="Q358" s="415"/>
      <c r="R358" s="415"/>
      <c r="S358" s="415"/>
      <c r="T358" s="415"/>
      <c r="U358" s="415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hidden="1" customHeight="1">
      <c r="A359" s="302">
        <v>30100063</v>
      </c>
      <c r="B359" s="134" t="s">
        <v>191</v>
      </c>
      <c r="C359" s="126" t="s">
        <v>192</v>
      </c>
      <c r="D359" s="108">
        <v>5.03</v>
      </c>
      <c r="E359" s="108"/>
      <c r="F359" s="126"/>
      <c r="G359" s="128"/>
      <c r="H359" s="423">
        <f t="shared" si="158"/>
        <v>0</v>
      </c>
      <c r="I359" s="423"/>
      <c r="J359" s="130"/>
      <c r="K359" s="131"/>
      <c r="L359" s="129"/>
      <c r="M359" s="109"/>
      <c r="N359" s="130"/>
      <c r="O359" s="415"/>
      <c r="P359" s="415"/>
      <c r="Q359" s="415"/>
      <c r="R359" s="415"/>
      <c r="S359" s="415"/>
      <c r="T359" s="415"/>
      <c r="U359" s="415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30100061</v>
      </c>
      <c r="B360" s="134" t="s">
        <v>191</v>
      </c>
      <c r="C360" s="126" t="s">
        <v>193</v>
      </c>
      <c r="D360" s="108">
        <v>5.03</v>
      </c>
      <c r="E360" s="108"/>
      <c r="F360" s="126"/>
      <c r="G360" s="128"/>
      <c r="H360" s="423">
        <f t="shared" si="158"/>
        <v>0</v>
      </c>
      <c r="I360" s="423"/>
      <c r="J360" s="130"/>
      <c r="K360" s="131"/>
      <c r="L360" s="129"/>
      <c r="M360" s="109"/>
      <c r="N360" s="130"/>
      <c r="O360" s="415"/>
      <c r="P360" s="415"/>
      <c r="Q360" s="415"/>
      <c r="R360" s="415"/>
      <c r="S360" s="415"/>
      <c r="T360" s="415"/>
      <c r="U360" s="415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28"/>
      <c r="H361" s="423">
        <f t="shared" si="158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ref="M361:M369" si="163">IF(ISERROR(I361-K361),"",I361-K361)</f>
        <v>0</v>
      </c>
      <c r="N361" s="130">
        <f t="shared" ref="N361:N363" si="164">SUM(O361:U361)</f>
        <v>0</v>
      </c>
      <c r="O361" s="415"/>
      <c r="P361" s="415"/>
      <c r="Q361" s="415"/>
      <c r="R361" s="415"/>
      <c r="S361" s="415"/>
      <c r="T361" s="415"/>
      <c r="U361" s="415"/>
      <c r="V361" s="132">
        <f t="shared" ref="V361:V363" si="165">SUM(X361:AA361)</f>
        <v>0</v>
      </c>
      <c r="W361" s="133" t="str">
        <f t="shared" ref="W361:W363" si="166">IF(ISERROR(V361/G361),"",V361/G361)</f>
        <v/>
      </c>
      <c r="X361" s="132"/>
      <c r="Y361" s="132"/>
      <c r="Z361" s="132"/>
      <c r="AA361" s="132"/>
    </row>
    <row r="362" spans="1:27" ht="20.100000000000001" hidden="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28"/>
      <c r="H362" s="423">
        <f t="shared" si="158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3"/>
        <v>0</v>
      </c>
      <c r="N362" s="130">
        <f t="shared" si="164"/>
        <v>0</v>
      </c>
      <c r="O362" s="415"/>
      <c r="P362" s="415"/>
      <c r="Q362" s="415"/>
      <c r="R362" s="415"/>
      <c r="S362" s="415"/>
      <c r="T362" s="415"/>
      <c r="U362" s="415"/>
      <c r="V362" s="132">
        <f t="shared" si="165"/>
        <v>0</v>
      </c>
      <c r="W362" s="133" t="str">
        <f t="shared" si="166"/>
        <v/>
      </c>
      <c r="X362" s="132"/>
      <c r="Y362" s="132"/>
      <c r="Z362" s="132"/>
      <c r="AA362" s="132"/>
    </row>
    <row r="363" spans="1:27" ht="20.100000000000001" hidden="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28"/>
      <c r="H363" s="423">
        <f t="shared" si="158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3"/>
        <v>0</v>
      </c>
      <c r="N363" s="130">
        <f t="shared" si="164"/>
        <v>0</v>
      </c>
      <c r="O363" s="415"/>
      <c r="P363" s="415"/>
      <c r="Q363" s="415"/>
      <c r="R363" s="415"/>
      <c r="S363" s="415"/>
      <c r="T363" s="415"/>
      <c r="U363" s="415"/>
      <c r="V363" s="132">
        <f t="shared" si="165"/>
        <v>0</v>
      </c>
      <c r="W363" s="133" t="str">
        <f t="shared" si="166"/>
        <v/>
      </c>
      <c r="X363" s="132"/>
      <c r="Y363" s="132"/>
      <c r="Z363" s="132"/>
      <c r="AA363" s="132"/>
    </row>
    <row r="364" spans="1:27" ht="20.100000000000001" hidden="1" customHeight="1">
      <c r="A364" s="300">
        <v>30100003</v>
      </c>
      <c r="B364" s="141" t="s">
        <v>198</v>
      </c>
      <c r="C364" s="413" t="s">
        <v>190</v>
      </c>
      <c r="D364" s="108">
        <v>4.8</v>
      </c>
      <c r="E364" s="108"/>
      <c r="F364" s="127"/>
      <c r="G364" s="128"/>
      <c r="H364" s="423">
        <f t="shared" si="158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3"/>
        <v>0</v>
      </c>
      <c r="N364" s="130"/>
      <c r="O364" s="415"/>
      <c r="P364" s="415"/>
      <c r="Q364" s="415"/>
      <c r="R364" s="415"/>
      <c r="S364" s="415"/>
      <c r="T364" s="415"/>
      <c r="U364" s="415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30100004</v>
      </c>
      <c r="B365" s="141" t="s">
        <v>198</v>
      </c>
      <c r="C365" s="413" t="s">
        <v>187</v>
      </c>
      <c r="D365" s="108">
        <v>4.8</v>
      </c>
      <c r="E365" s="108"/>
      <c r="F365" s="127"/>
      <c r="G365" s="128"/>
      <c r="H365" s="423">
        <f t="shared" si="158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3"/>
        <v>0</v>
      </c>
      <c r="N365" s="130"/>
      <c r="O365" s="415"/>
      <c r="P365" s="415"/>
      <c r="Q365" s="415"/>
      <c r="R365" s="415"/>
      <c r="S365" s="415"/>
      <c r="T365" s="415"/>
      <c r="U365" s="415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30100006</v>
      </c>
      <c r="B366" s="141" t="s">
        <v>198</v>
      </c>
      <c r="C366" s="413" t="s">
        <v>179</v>
      </c>
      <c r="D366" s="108">
        <v>4.8</v>
      </c>
      <c r="E366" s="108"/>
      <c r="F366" s="127"/>
      <c r="G366" s="128"/>
      <c r="H366" s="423">
        <f t="shared" si="158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3"/>
        <v>0</v>
      </c>
      <c r="N366" s="130"/>
      <c r="O366" s="415"/>
      <c r="P366" s="415"/>
      <c r="Q366" s="415"/>
      <c r="R366" s="415"/>
      <c r="S366" s="415"/>
      <c r="T366" s="415"/>
      <c r="U366" s="415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0">
        <v>30100005</v>
      </c>
      <c r="B367" s="141" t="s">
        <v>198</v>
      </c>
      <c r="C367" s="413" t="s">
        <v>199</v>
      </c>
      <c r="D367" s="108">
        <v>4.8</v>
      </c>
      <c r="E367" s="108"/>
      <c r="F367" s="127"/>
      <c r="G367" s="128"/>
      <c r="H367" s="423">
        <f t="shared" si="158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3"/>
        <v>0</v>
      </c>
      <c r="N367" s="130"/>
      <c r="O367" s="415"/>
      <c r="P367" s="415"/>
      <c r="Q367" s="415"/>
      <c r="R367" s="415"/>
      <c r="S367" s="415"/>
      <c r="T367" s="415"/>
      <c r="U367" s="415"/>
      <c r="V367" s="132"/>
      <c r="W367" s="133"/>
      <c r="X367" s="132"/>
      <c r="Y367" s="132"/>
      <c r="Z367" s="132"/>
      <c r="AA367" s="132"/>
    </row>
    <row r="368" spans="1:27" ht="20.100000000000001" hidden="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28"/>
      <c r="H368" s="423">
        <f t="shared" si="158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3"/>
        <v>0</v>
      </c>
      <c r="N368" s="130">
        <f t="shared" ref="N368:N369" si="167">SUM(O368:U368)</f>
        <v>0</v>
      </c>
      <c r="O368" s="415"/>
      <c r="P368" s="415"/>
      <c r="Q368" s="415"/>
      <c r="R368" s="415"/>
      <c r="S368" s="415"/>
      <c r="T368" s="415"/>
      <c r="U368" s="415"/>
      <c r="V368" s="132">
        <f t="shared" ref="V368:V369" si="168">SUM(X368:AA368)</f>
        <v>0</v>
      </c>
      <c r="W368" s="133" t="str">
        <f t="shared" ref="W368:W369" si="169">IF(ISERROR(V368/G368),"",V368/G368)</f>
        <v/>
      </c>
      <c r="X368" s="132"/>
      <c r="Y368" s="132"/>
      <c r="Z368" s="132"/>
      <c r="AA368" s="132"/>
    </row>
    <row r="369" spans="1:27" ht="20.100000000000001" hidden="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28"/>
      <c r="H369" s="423">
        <f t="shared" si="158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3"/>
        <v>0</v>
      </c>
      <c r="N369" s="130">
        <f t="shared" si="167"/>
        <v>0</v>
      </c>
      <c r="O369" s="415"/>
      <c r="P369" s="415"/>
      <c r="Q369" s="415"/>
      <c r="R369" s="415"/>
      <c r="S369" s="415"/>
      <c r="T369" s="415"/>
      <c r="U369" s="415"/>
      <c r="V369" s="132">
        <f t="shared" si="168"/>
        <v>0</v>
      </c>
      <c r="W369" s="133" t="str">
        <f t="shared" si="169"/>
        <v/>
      </c>
      <c r="X369" s="132"/>
      <c r="Y369" s="132"/>
      <c r="Z369" s="132"/>
      <c r="AA369" s="132"/>
    </row>
    <row r="370" spans="1:27" ht="20.100000000000001" hidden="1" customHeight="1">
      <c r="A370" s="578" t="s">
        <v>201</v>
      </c>
      <c r="B370" s="579"/>
      <c r="C370" s="421" t="s">
        <v>202</v>
      </c>
      <c r="D370" s="143"/>
      <c r="E370" s="143"/>
      <c r="F370" s="144"/>
      <c r="G370" s="145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70">SUM(M349:M369)</f>
        <v>0</v>
      </c>
      <c r="N370" s="146">
        <f t="shared" si="170"/>
        <v>0</v>
      </c>
      <c r="O370" s="148">
        <f t="shared" si="170"/>
        <v>0</v>
      </c>
      <c r="P370" s="148">
        <f t="shared" si="170"/>
        <v>0</v>
      </c>
      <c r="Q370" s="148">
        <f t="shared" si="170"/>
        <v>0</v>
      </c>
      <c r="R370" s="148">
        <f t="shared" si="170"/>
        <v>0</v>
      </c>
      <c r="S370" s="148">
        <f t="shared" si="170"/>
        <v>0</v>
      </c>
      <c r="T370" s="148">
        <f t="shared" si="170"/>
        <v>0</v>
      </c>
      <c r="U370" s="148">
        <f t="shared" si="170"/>
        <v>0</v>
      </c>
      <c r="V370" s="149">
        <f t="shared" si="170"/>
        <v>0</v>
      </c>
      <c r="W370" s="133">
        <f t="shared" si="170"/>
        <v>0</v>
      </c>
      <c r="X370" s="149">
        <f t="shared" si="170"/>
        <v>0</v>
      </c>
      <c r="Y370" s="149">
        <f t="shared" si="170"/>
        <v>0</v>
      </c>
      <c r="Z370" s="149">
        <f t="shared" si="170"/>
        <v>0</v>
      </c>
      <c r="AA370" s="149">
        <f t="shared" si="170"/>
        <v>0</v>
      </c>
    </row>
    <row r="371" spans="1:27" ht="20.100000000000001" hidden="1" customHeight="1">
      <c r="A371" s="300">
        <v>30100012</v>
      </c>
      <c r="B371" s="414" t="s">
        <v>206</v>
      </c>
      <c r="C371" s="126" t="s">
        <v>199</v>
      </c>
      <c r="D371" s="108">
        <v>5.03</v>
      </c>
      <c r="E371" s="108"/>
      <c r="F371" s="127"/>
      <c r="G371" s="128"/>
      <c r="H371" s="423">
        <f t="shared" ref="H371:H427" si="171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" si="172">IF(ISERROR(I371-K371),"",I371-K371)</f>
        <v>0</v>
      </c>
      <c r="N371" s="130">
        <f t="shared" ref="N371" si="173">SUM(O371:U371)</f>
        <v>0</v>
      </c>
      <c r="O371" s="418"/>
      <c r="P371" s="418"/>
      <c r="Q371" s="418"/>
      <c r="R371" s="418"/>
      <c r="S371" s="418"/>
      <c r="T371" s="418"/>
      <c r="U371" s="418"/>
      <c r="V371" s="132">
        <f t="shared" ref="V371" si="174">SUM(X371:AA371)</f>
        <v>0</v>
      </c>
      <c r="W371" s="133" t="str">
        <f t="shared" ref="W371" si="175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30100011</v>
      </c>
      <c r="B372" s="414" t="s">
        <v>425</v>
      </c>
      <c r="C372" s="187" t="s">
        <v>427</v>
      </c>
      <c r="D372" s="108">
        <v>5.03</v>
      </c>
      <c r="E372" s="108"/>
      <c r="F372" s="127"/>
      <c r="G372" s="128"/>
      <c r="H372" s="423">
        <f t="shared" si="171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418"/>
      <c r="P372" s="418"/>
      <c r="Q372" s="418"/>
      <c r="R372" s="418"/>
      <c r="S372" s="418"/>
      <c r="T372" s="418"/>
      <c r="U372" s="418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0">
        <v>30100010</v>
      </c>
      <c r="B373" s="414" t="s">
        <v>206</v>
      </c>
      <c r="C373" s="126" t="s">
        <v>186</v>
      </c>
      <c r="D373" s="108">
        <v>5.03</v>
      </c>
      <c r="E373" s="108"/>
      <c r="F373" s="127"/>
      <c r="G373" s="128"/>
      <c r="H373" s="423">
        <f t="shared" si="171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ref="M373:M408" si="176">IF(ISERROR(I373-K373),"",I373-K373)</f>
        <v>0</v>
      </c>
      <c r="N373" s="130">
        <f t="shared" ref="N373:N375" si="177">SUM(O373:U373)</f>
        <v>0</v>
      </c>
      <c r="O373" s="418"/>
      <c r="P373" s="418"/>
      <c r="Q373" s="418"/>
      <c r="R373" s="418"/>
      <c r="S373" s="418"/>
      <c r="T373" s="418"/>
      <c r="U373" s="418"/>
      <c r="V373" s="132">
        <f t="shared" ref="V373:V375" si="178">SUM(X373:AA373)</f>
        <v>0</v>
      </c>
      <c r="W373" s="133" t="str">
        <f t="shared" ref="W373:W375" si="179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0">
        <v>30100014</v>
      </c>
      <c r="B374" s="414" t="s">
        <v>206</v>
      </c>
      <c r="C374" s="126" t="s">
        <v>203</v>
      </c>
      <c r="D374" s="108">
        <v>5.03</v>
      </c>
      <c r="E374" s="108"/>
      <c r="F374" s="127"/>
      <c r="G374" s="128"/>
      <c r="H374" s="423">
        <f t="shared" si="171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6"/>
        <v>0</v>
      </c>
      <c r="N374" s="130">
        <f t="shared" si="177"/>
        <v>0</v>
      </c>
      <c r="O374" s="418"/>
      <c r="P374" s="418"/>
      <c r="Q374" s="418"/>
      <c r="R374" s="418"/>
      <c r="S374" s="418"/>
      <c r="T374" s="418"/>
      <c r="U374" s="418"/>
      <c r="V374" s="132">
        <f t="shared" si="178"/>
        <v>0</v>
      </c>
      <c r="W374" s="133" t="str">
        <f t="shared" si="179"/>
        <v/>
      </c>
      <c r="X374" s="132"/>
      <c r="Y374" s="132"/>
      <c r="Z374" s="132"/>
      <c r="AA374" s="132"/>
    </row>
    <row r="375" spans="1:27" ht="20.100000000000001" hidden="1" customHeight="1">
      <c r="A375" s="300">
        <v>30100013</v>
      </c>
      <c r="B375" s="414" t="s">
        <v>206</v>
      </c>
      <c r="C375" s="126" t="s">
        <v>207</v>
      </c>
      <c r="D375" s="108">
        <v>5.03</v>
      </c>
      <c r="E375" s="108"/>
      <c r="F375" s="127"/>
      <c r="G375" s="128"/>
      <c r="H375" s="423">
        <f t="shared" si="171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6"/>
        <v>0</v>
      </c>
      <c r="N375" s="130">
        <f t="shared" si="177"/>
        <v>0</v>
      </c>
      <c r="O375" s="418"/>
      <c r="P375" s="418"/>
      <c r="Q375" s="418"/>
      <c r="R375" s="418"/>
      <c r="S375" s="418"/>
      <c r="T375" s="418"/>
      <c r="U375" s="418"/>
      <c r="V375" s="132">
        <f t="shared" si="178"/>
        <v>0</v>
      </c>
      <c r="W375" s="133" t="str">
        <f t="shared" si="179"/>
        <v/>
      </c>
      <c r="X375" s="132"/>
      <c r="Y375" s="132"/>
      <c r="Z375" s="132"/>
      <c r="AA375" s="132"/>
    </row>
    <row r="376" spans="1:27" ht="20.100000000000001" hidden="1" customHeight="1">
      <c r="A376" s="300">
        <v>30100016</v>
      </c>
      <c r="B376" s="414" t="s">
        <v>414</v>
      </c>
      <c r="C376" s="187" t="s">
        <v>415</v>
      </c>
      <c r="D376" s="108"/>
      <c r="E376" s="108"/>
      <c r="F376" s="127"/>
      <c r="G376" s="128"/>
      <c r="H376" s="423">
        <f t="shared" si="171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6"/>
        <v>0</v>
      </c>
      <c r="N376" s="130"/>
      <c r="O376" s="418"/>
      <c r="P376" s="418"/>
      <c r="Q376" s="418"/>
      <c r="R376" s="418"/>
      <c r="S376" s="418"/>
      <c r="T376" s="418"/>
      <c r="U376" s="418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30100017</v>
      </c>
      <c r="B377" s="414" t="s">
        <v>414</v>
      </c>
      <c r="C377" s="187" t="s">
        <v>416</v>
      </c>
      <c r="D377" s="108"/>
      <c r="E377" s="108"/>
      <c r="F377" s="127"/>
      <c r="G377" s="128"/>
      <c r="H377" s="423">
        <f t="shared" si="171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6"/>
        <v>0</v>
      </c>
      <c r="N377" s="130"/>
      <c r="O377" s="418"/>
      <c r="P377" s="418"/>
      <c r="Q377" s="418"/>
      <c r="R377" s="418"/>
      <c r="S377" s="418"/>
      <c r="T377" s="418"/>
      <c r="U377" s="418"/>
      <c r="V377" s="132"/>
      <c r="W377" s="133"/>
      <c r="X377" s="132"/>
      <c r="Y377" s="132"/>
      <c r="Z377" s="132"/>
      <c r="AA377" s="132"/>
    </row>
    <row r="378" spans="1:27" ht="20.100000000000001" hidden="1" customHeight="1">
      <c r="A378" s="300">
        <v>30100015</v>
      </c>
      <c r="B378" s="414" t="s">
        <v>414</v>
      </c>
      <c r="C378" s="187" t="s">
        <v>61</v>
      </c>
      <c r="D378" s="108"/>
      <c r="E378" s="108"/>
      <c r="F378" s="127"/>
      <c r="G378" s="128"/>
      <c r="H378" s="423">
        <f t="shared" si="171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6"/>
        <v>0</v>
      </c>
      <c r="N378" s="130"/>
      <c r="O378" s="418"/>
      <c r="P378" s="418"/>
      <c r="Q378" s="418"/>
      <c r="R378" s="418"/>
      <c r="S378" s="418"/>
      <c r="T378" s="418"/>
      <c r="U378" s="418"/>
      <c r="V378" s="132"/>
      <c r="W378" s="133"/>
      <c r="X378" s="132"/>
      <c r="Y378" s="132"/>
      <c r="Z378" s="132"/>
      <c r="AA378" s="132"/>
    </row>
    <row r="379" spans="1:27" ht="20.100000000000001" hidden="1" customHeight="1">
      <c r="A379" s="300">
        <v>30100027</v>
      </c>
      <c r="B379" s="414" t="s">
        <v>208</v>
      </c>
      <c r="C379" s="126" t="s">
        <v>179</v>
      </c>
      <c r="D379" s="108">
        <v>5.08</v>
      </c>
      <c r="E379" s="108"/>
      <c r="F379" s="127"/>
      <c r="G379" s="128"/>
      <c r="H379" s="423">
        <f t="shared" si="171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6"/>
        <v>0</v>
      </c>
      <c r="N379" s="130">
        <f t="shared" ref="N379:N394" si="180">SUM(O379:U379)</f>
        <v>0</v>
      </c>
      <c r="O379" s="418"/>
      <c r="P379" s="418"/>
      <c r="Q379" s="418"/>
      <c r="R379" s="418"/>
      <c r="S379" s="418"/>
      <c r="T379" s="418"/>
      <c r="U379" s="418"/>
      <c r="V379" s="132">
        <f t="shared" ref="V379:V390" si="181">SUM(X379:AA379)</f>
        <v>0</v>
      </c>
      <c r="W379" s="133" t="str">
        <f t="shared" ref="W379:W390" si="182">IF(ISERROR(V379/G379),"",V379/G379)</f>
        <v/>
      </c>
      <c r="X379" s="132"/>
      <c r="Y379" s="132"/>
      <c r="Z379" s="132"/>
      <c r="AA379" s="132"/>
    </row>
    <row r="380" spans="1:27" ht="20.100000000000001" hidden="1" customHeight="1">
      <c r="A380" s="300">
        <v>30100023</v>
      </c>
      <c r="B380" s="414" t="s">
        <v>208</v>
      </c>
      <c r="C380" s="126" t="s">
        <v>204</v>
      </c>
      <c r="D380" s="108">
        <v>5.08</v>
      </c>
      <c r="E380" s="108"/>
      <c r="F380" s="127"/>
      <c r="G380" s="128"/>
      <c r="H380" s="423">
        <f t="shared" si="171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6"/>
        <v>0</v>
      </c>
      <c r="N380" s="130">
        <f t="shared" si="180"/>
        <v>0</v>
      </c>
      <c r="O380" s="418"/>
      <c r="P380" s="418"/>
      <c r="Q380" s="418"/>
      <c r="R380" s="418"/>
      <c r="S380" s="418"/>
      <c r="T380" s="418"/>
      <c r="U380" s="418"/>
      <c r="V380" s="132">
        <f t="shared" si="181"/>
        <v>0</v>
      </c>
      <c r="W380" s="133" t="str">
        <f t="shared" si="182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30100024</v>
      </c>
      <c r="B381" s="414" t="s">
        <v>208</v>
      </c>
      <c r="C381" s="126" t="s">
        <v>205</v>
      </c>
      <c r="D381" s="108">
        <v>5.08</v>
      </c>
      <c r="E381" s="108"/>
      <c r="F381" s="127"/>
      <c r="G381" s="128"/>
      <c r="H381" s="423">
        <f t="shared" si="171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6"/>
        <v>0</v>
      </c>
      <c r="N381" s="130">
        <f t="shared" si="180"/>
        <v>0</v>
      </c>
      <c r="O381" s="418"/>
      <c r="P381" s="418"/>
      <c r="Q381" s="418"/>
      <c r="R381" s="418"/>
      <c r="S381" s="418"/>
      <c r="T381" s="418"/>
      <c r="U381" s="418"/>
      <c r="V381" s="132">
        <f t="shared" si="181"/>
        <v>0</v>
      </c>
      <c r="W381" s="133" t="str">
        <f t="shared" si="182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30100022</v>
      </c>
      <c r="B382" s="414" t="s">
        <v>208</v>
      </c>
      <c r="C382" s="126" t="s">
        <v>186</v>
      </c>
      <c r="D382" s="108">
        <v>5.08</v>
      </c>
      <c r="E382" s="108"/>
      <c r="F382" s="127"/>
      <c r="G382" s="128"/>
      <c r="H382" s="423">
        <f t="shared" si="171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6"/>
        <v>0</v>
      </c>
      <c r="N382" s="130">
        <f t="shared" si="180"/>
        <v>0</v>
      </c>
      <c r="O382" s="418"/>
      <c r="P382" s="418"/>
      <c r="Q382" s="418"/>
      <c r="R382" s="418"/>
      <c r="S382" s="418"/>
      <c r="T382" s="418"/>
      <c r="U382" s="418"/>
      <c r="V382" s="132">
        <f t="shared" si="181"/>
        <v>0</v>
      </c>
      <c r="W382" s="133" t="str">
        <f t="shared" si="182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30100029</v>
      </c>
      <c r="B383" s="414" t="s">
        <v>208</v>
      </c>
      <c r="C383" s="126" t="s">
        <v>203</v>
      </c>
      <c r="D383" s="108">
        <v>5.08</v>
      </c>
      <c r="E383" s="108"/>
      <c r="F383" s="127"/>
      <c r="G383" s="128"/>
      <c r="H383" s="423">
        <f t="shared" si="171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6"/>
        <v>0</v>
      </c>
      <c r="N383" s="130">
        <f t="shared" si="180"/>
        <v>0</v>
      </c>
      <c r="O383" s="418"/>
      <c r="P383" s="418"/>
      <c r="Q383" s="418"/>
      <c r="R383" s="418"/>
      <c r="S383" s="418"/>
      <c r="T383" s="418"/>
      <c r="U383" s="418"/>
      <c r="V383" s="132">
        <f t="shared" si="181"/>
        <v>0</v>
      </c>
      <c r="W383" s="133" t="str">
        <f t="shared" si="182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30100026</v>
      </c>
      <c r="B384" s="414" t="s">
        <v>208</v>
      </c>
      <c r="C384" s="126" t="s">
        <v>199</v>
      </c>
      <c r="D384" s="108">
        <v>5.08</v>
      </c>
      <c r="E384" s="108"/>
      <c r="F384" s="127"/>
      <c r="G384" s="128"/>
      <c r="H384" s="423">
        <f t="shared" si="171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6"/>
        <v>0</v>
      </c>
      <c r="N384" s="130">
        <f t="shared" si="180"/>
        <v>0</v>
      </c>
      <c r="O384" s="415"/>
      <c r="P384" s="415"/>
      <c r="Q384" s="415"/>
      <c r="R384" s="415"/>
      <c r="S384" s="415"/>
      <c r="T384" s="415"/>
      <c r="U384" s="415"/>
      <c r="V384" s="132">
        <f t="shared" si="181"/>
        <v>0</v>
      </c>
      <c r="W384" s="133" t="str">
        <f t="shared" si="182"/>
        <v/>
      </c>
      <c r="X384" s="132"/>
      <c r="Y384" s="132"/>
      <c r="Z384" s="132"/>
      <c r="AA384" s="132"/>
    </row>
    <row r="385" spans="1:27" ht="20.100000000000001" hidden="1" customHeight="1">
      <c r="A385" s="300">
        <v>30100025</v>
      </c>
      <c r="B385" s="414" t="s">
        <v>208</v>
      </c>
      <c r="C385" s="126" t="s">
        <v>187</v>
      </c>
      <c r="D385" s="108">
        <v>5.08</v>
      </c>
      <c r="E385" s="108"/>
      <c r="F385" s="127"/>
      <c r="G385" s="128"/>
      <c r="H385" s="423">
        <f t="shared" si="171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6"/>
        <v>0</v>
      </c>
      <c r="N385" s="130">
        <f t="shared" si="180"/>
        <v>0</v>
      </c>
      <c r="O385" s="418"/>
      <c r="P385" s="418"/>
      <c r="Q385" s="418"/>
      <c r="R385" s="418"/>
      <c r="S385" s="418"/>
      <c r="T385" s="418"/>
      <c r="U385" s="418"/>
      <c r="V385" s="132">
        <f t="shared" si="181"/>
        <v>0</v>
      </c>
      <c r="W385" s="133" t="str">
        <f t="shared" si="182"/>
        <v/>
      </c>
      <c r="X385" s="132"/>
      <c r="Y385" s="132"/>
      <c r="Z385" s="132"/>
      <c r="AA385" s="132"/>
    </row>
    <row r="386" spans="1:27" ht="20.100000000000001" hidden="1" customHeight="1">
      <c r="A386" s="300">
        <v>30100028</v>
      </c>
      <c r="B386" s="414" t="s">
        <v>208</v>
      </c>
      <c r="C386" s="126" t="s">
        <v>207</v>
      </c>
      <c r="D386" s="108">
        <v>5.08</v>
      </c>
      <c r="E386" s="108"/>
      <c r="F386" s="127"/>
      <c r="G386" s="128"/>
      <c r="H386" s="423">
        <f t="shared" si="171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6"/>
        <v>0</v>
      </c>
      <c r="N386" s="130">
        <f t="shared" si="180"/>
        <v>0</v>
      </c>
      <c r="O386" s="415"/>
      <c r="P386" s="415"/>
      <c r="Q386" s="415"/>
      <c r="R386" s="415"/>
      <c r="S386" s="415"/>
      <c r="T386" s="415"/>
      <c r="U386" s="415"/>
      <c r="V386" s="132">
        <f t="shared" si="181"/>
        <v>0</v>
      </c>
      <c r="W386" s="133" t="str">
        <f t="shared" si="182"/>
        <v/>
      </c>
      <c r="X386" s="132"/>
      <c r="Y386" s="132"/>
      <c r="Z386" s="132"/>
      <c r="AA386" s="132"/>
    </row>
    <row r="387" spans="1:27" ht="20.100000000000001" hidden="1" customHeight="1">
      <c r="A387" s="300">
        <v>30100032</v>
      </c>
      <c r="B387" s="414" t="s">
        <v>209</v>
      </c>
      <c r="C387" s="126" t="s">
        <v>194</v>
      </c>
      <c r="D387" s="108">
        <v>5.03</v>
      </c>
      <c r="E387" s="108"/>
      <c r="F387" s="127"/>
      <c r="G387" s="128"/>
      <c r="H387" s="423">
        <f t="shared" si="171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6"/>
        <v>0</v>
      </c>
      <c r="N387" s="130">
        <f t="shared" si="180"/>
        <v>0</v>
      </c>
      <c r="O387" s="418"/>
      <c r="P387" s="418"/>
      <c r="Q387" s="418"/>
      <c r="R387" s="418"/>
      <c r="S387" s="418"/>
      <c r="T387" s="418"/>
      <c r="U387" s="418"/>
      <c r="V387" s="132">
        <f t="shared" si="181"/>
        <v>0</v>
      </c>
      <c r="W387" s="133" t="str">
        <f t="shared" si="182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30100033</v>
      </c>
      <c r="B388" s="414" t="s">
        <v>209</v>
      </c>
      <c r="C388" s="126" t="s">
        <v>179</v>
      </c>
      <c r="D388" s="108">
        <v>5.03</v>
      </c>
      <c r="E388" s="108"/>
      <c r="F388" s="127"/>
      <c r="G388" s="128"/>
      <c r="H388" s="423">
        <f t="shared" si="171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6"/>
        <v>0</v>
      </c>
      <c r="N388" s="130">
        <f t="shared" si="180"/>
        <v>0</v>
      </c>
      <c r="O388" s="418"/>
      <c r="P388" s="418"/>
      <c r="Q388" s="418"/>
      <c r="R388" s="418"/>
      <c r="S388" s="418"/>
      <c r="T388" s="418"/>
      <c r="U388" s="418"/>
      <c r="V388" s="132">
        <f t="shared" si="181"/>
        <v>0</v>
      </c>
      <c r="W388" s="133" t="str">
        <f t="shared" si="182"/>
        <v/>
      </c>
      <c r="X388" s="132"/>
      <c r="Y388" s="132"/>
      <c r="Z388" s="132"/>
      <c r="AA388" s="132"/>
    </row>
    <row r="389" spans="1:27" ht="20.100000000000001" hidden="1" customHeight="1">
      <c r="A389" s="300">
        <v>30100062</v>
      </c>
      <c r="B389" s="414" t="s">
        <v>209</v>
      </c>
      <c r="C389" s="126" t="s">
        <v>195</v>
      </c>
      <c r="D389" s="108">
        <v>5.03</v>
      </c>
      <c r="E389" s="108"/>
      <c r="F389" s="127"/>
      <c r="G389" s="128"/>
      <c r="H389" s="423">
        <f t="shared" si="171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6"/>
        <v>0</v>
      </c>
      <c r="N389" s="130">
        <f t="shared" si="180"/>
        <v>0</v>
      </c>
      <c r="O389" s="418"/>
      <c r="P389" s="418"/>
      <c r="Q389" s="418"/>
      <c r="R389" s="418"/>
      <c r="S389" s="418"/>
      <c r="T389" s="418"/>
      <c r="U389" s="418"/>
      <c r="V389" s="132">
        <f t="shared" si="181"/>
        <v>0</v>
      </c>
      <c r="W389" s="133" t="str">
        <f t="shared" si="182"/>
        <v/>
      </c>
      <c r="X389" s="132"/>
      <c r="Y389" s="132"/>
      <c r="Z389" s="132"/>
      <c r="AA389" s="132"/>
    </row>
    <row r="390" spans="1:27" ht="20.100000000000001" hidden="1" customHeight="1">
      <c r="A390" s="300">
        <v>30100031</v>
      </c>
      <c r="B390" s="414" t="s">
        <v>209</v>
      </c>
      <c r="C390" s="126" t="s">
        <v>204</v>
      </c>
      <c r="D390" s="108">
        <v>5.03</v>
      </c>
      <c r="E390" s="108"/>
      <c r="F390" s="127"/>
      <c r="G390" s="128"/>
      <c r="H390" s="423">
        <f t="shared" si="171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6"/>
        <v>0</v>
      </c>
      <c r="N390" s="130">
        <f t="shared" si="180"/>
        <v>0</v>
      </c>
      <c r="O390" s="418"/>
      <c r="P390" s="418"/>
      <c r="Q390" s="418"/>
      <c r="R390" s="418"/>
      <c r="S390" s="418"/>
      <c r="T390" s="418"/>
      <c r="U390" s="418"/>
      <c r="V390" s="132">
        <f t="shared" si="181"/>
        <v>0</v>
      </c>
      <c r="W390" s="133" t="str">
        <f t="shared" si="182"/>
        <v/>
      </c>
      <c r="X390" s="132"/>
      <c r="Y390" s="132"/>
      <c r="Z390" s="132"/>
      <c r="AA390" s="132"/>
    </row>
    <row r="391" spans="1:27" ht="20.100000000000001" hidden="1" customHeight="1">
      <c r="A391" s="300">
        <v>30100019</v>
      </c>
      <c r="B391" s="414" t="s">
        <v>382</v>
      </c>
      <c r="C391" s="187" t="s">
        <v>383</v>
      </c>
      <c r="D391" s="108">
        <v>5.03</v>
      </c>
      <c r="E391" s="108"/>
      <c r="F391" s="127"/>
      <c r="G391" s="128"/>
      <c r="H391" s="423">
        <f t="shared" si="171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6"/>
        <v>0</v>
      </c>
      <c r="N391" s="130">
        <f t="shared" si="180"/>
        <v>0</v>
      </c>
      <c r="O391" s="418"/>
      <c r="P391" s="418"/>
      <c r="Q391" s="418"/>
      <c r="R391" s="418"/>
      <c r="S391" s="418"/>
      <c r="T391" s="418"/>
      <c r="U391" s="418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30100020</v>
      </c>
      <c r="B392" s="414" t="s">
        <v>382</v>
      </c>
      <c r="C392" s="187" t="s">
        <v>384</v>
      </c>
      <c r="D392" s="108">
        <v>5.03</v>
      </c>
      <c r="E392" s="108"/>
      <c r="F392" s="127"/>
      <c r="G392" s="128"/>
      <c r="H392" s="423">
        <f t="shared" si="171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6"/>
        <v>0</v>
      </c>
      <c r="N392" s="130">
        <f t="shared" si="180"/>
        <v>0</v>
      </c>
      <c r="O392" s="418"/>
      <c r="P392" s="418"/>
      <c r="Q392" s="418"/>
      <c r="R392" s="418"/>
      <c r="S392" s="418"/>
      <c r="T392" s="418"/>
      <c r="U392" s="418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0">
        <v>30100021</v>
      </c>
      <c r="B393" s="414" t="s">
        <v>382</v>
      </c>
      <c r="C393" s="187" t="s">
        <v>389</v>
      </c>
      <c r="D393" s="108">
        <v>5.03</v>
      </c>
      <c r="E393" s="108"/>
      <c r="F393" s="127"/>
      <c r="G393" s="128"/>
      <c r="H393" s="423">
        <f t="shared" si="171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6"/>
        <v>0</v>
      </c>
      <c r="N393" s="130">
        <f t="shared" si="180"/>
        <v>0</v>
      </c>
      <c r="O393" s="418"/>
      <c r="P393" s="418"/>
      <c r="Q393" s="418"/>
      <c r="R393" s="418"/>
      <c r="S393" s="418"/>
      <c r="T393" s="418"/>
      <c r="U393" s="418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0">
        <v>30100018</v>
      </c>
      <c r="B394" s="414" t="s">
        <v>382</v>
      </c>
      <c r="C394" s="187" t="s">
        <v>391</v>
      </c>
      <c r="D394" s="108">
        <v>5.03</v>
      </c>
      <c r="E394" s="108"/>
      <c r="F394" s="127"/>
      <c r="G394" s="128"/>
      <c r="H394" s="423">
        <f t="shared" si="171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6"/>
        <v>0</v>
      </c>
      <c r="N394" s="130">
        <f t="shared" si="180"/>
        <v>0</v>
      </c>
      <c r="O394" s="418"/>
      <c r="P394" s="418"/>
      <c r="Q394" s="418"/>
      <c r="R394" s="418"/>
      <c r="S394" s="418"/>
      <c r="T394" s="418"/>
      <c r="U394" s="418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30700007</v>
      </c>
      <c r="B395" s="414" t="s">
        <v>418</v>
      </c>
      <c r="C395" s="187" t="s">
        <v>364</v>
      </c>
      <c r="D395" s="108">
        <v>5.03</v>
      </c>
      <c r="E395" s="108"/>
      <c r="F395" s="127"/>
      <c r="G395" s="128"/>
      <c r="H395" s="423">
        <f t="shared" si="171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6"/>
        <v>0</v>
      </c>
      <c r="N395" s="130"/>
      <c r="O395" s="418"/>
      <c r="P395" s="418"/>
      <c r="Q395" s="418"/>
      <c r="R395" s="418"/>
      <c r="S395" s="418"/>
      <c r="T395" s="418"/>
      <c r="U395" s="418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30700006</v>
      </c>
      <c r="B396" s="414" t="s">
        <v>418</v>
      </c>
      <c r="C396" s="187" t="s">
        <v>365</v>
      </c>
      <c r="D396" s="108">
        <v>5.03</v>
      </c>
      <c r="E396" s="108"/>
      <c r="F396" s="127"/>
      <c r="G396" s="128"/>
      <c r="H396" s="423">
        <f t="shared" si="171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6"/>
        <v>0</v>
      </c>
      <c r="N396" s="130"/>
      <c r="O396" s="418"/>
      <c r="P396" s="418"/>
      <c r="Q396" s="418"/>
      <c r="R396" s="418"/>
      <c r="S396" s="418"/>
      <c r="T396" s="418"/>
      <c r="U396" s="418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3">
        <v>30700008</v>
      </c>
      <c r="B397" s="414" t="s">
        <v>418</v>
      </c>
      <c r="C397" s="187" t="s">
        <v>366</v>
      </c>
      <c r="D397" s="108">
        <v>5.03</v>
      </c>
      <c r="E397" s="108"/>
      <c r="F397" s="127"/>
      <c r="G397" s="128"/>
      <c r="H397" s="423">
        <f t="shared" si="171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6"/>
        <v>0</v>
      </c>
      <c r="N397" s="130"/>
      <c r="O397" s="418"/>
      <c r="P397" s="418"/>
      <c r="Q397" s="418"/>
      <c r="R397" s="418"/>
      <c r="S397" s="418"/>
      <c r="T397" s="418"/>
      <c r="U397" s="418"/>
      <c r="V397" s="132"/>
      <c r="W397" s="133"/>
      <c r="X397" s="132"/>
      <c r="Y397" s="132"/>
      <c r="Z397" s="132"/>
      <c r="AA397" s="132"/>
    </row>
    <row r="398" spans="1:27" ht="20.100000000000001" hidden="1" customHeight="1">
      <c r="A398" s="303">
        <v>30700009</v>
      </c>
      <c r="B398" s="414" t="s">
        <v>418</v>
      </c>
      <c r="C398" s="187" t="s">
        <v>367</v>
      </c>
      <c r="D398" s="108">
        <v>5.03</v>
      </c>
      <c r="E398" s="108"/>
      <c r="F398" s="127"/>
      <c r="G398" s="128"/>
      <c r="H398" s="423">
        <f t="shared" si="171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6"/>
        <v>0</v>
      </c>
      <c r="N398" s="130"/>
      <c r="O398" s="418"/>
      <c r="P398" s="418"/>
      <c r="Q398" s="418"/>
      <c r="R398" s="418"/>
      <c r="S398" s="418"/>
      <c r="T398" s="418"/>
      <c r="U398" s="418"/>
      <c r="V398" s="132"/>
      <c r="W398" s="133"/>
      <c r="X398" s="132"/>
      <c r="Y398" s="132"/>
      <c r="Z398" s="132"/>
      <c r="AA398" s="132"/>
    </row>
    <row r="399" spans="1:27" ht="20.100000000000001" hidden="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28"/>
      <c r="H399" s="423">
        <f t="shared" si="171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6"/>
        <v>0</v>
      </c>
      <c r="N399" s="130">
        <f t="shared" ref="N399:N408" si="183">SUM(O399:U399)</f>
        <v>0</v>
      </c>
      <c r="O399" s="415"/>
      <c r="P399" s="415"/>
      <c r="Q399" s="415"/>
      <c r="R399" s="415"/>
      <c r="S399" s="415"/>
      <c r="T399" s="415"/>
      <c r="U399" s="415"/>
      <c r="V399" s="132">
        <f t="shared" ref="V399:V408" si="184">SUM(X399:AA399)</f>
        <v>0</v>
      </c>
      <c r="W399" s="133" t="str">
        <f t="shared" ref="W399:W408" si="185">IF(ISERROR(V399/G399),"",V399/G399)</f>
        <v/>
      </c>
      <c r="X399" s="132"/>
      <c r="Y399" s="132"/>
      <c r="Z399" s="132"/>
      <c r="AA399" s="132"/>
    </row>
    <row r="400" spans="1:27" ht="20.100000000000001" hidden="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28"/>
      <c r="H400" s="423">
        <f t="shared" si="171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76"/>
        <v>0</v>
      </c>
      <c r="N400" s="130">
        <f t="shared" si="183"/>
        <v>0</v>
      </c>
      <c r="O400" s="415"/>
      <c r="P400" s="415"/>
      <c r="Q400" s="415"/>
      <c r="R400" s="415"/>
      <c r="S400" s="415"/>
      <c r="T400" s="415"/>
      <c r="U400" s="415"/>
      <c r="V400" s="132">
        <f t="shared" si="184"/>
        <v>0</v>
      </c>
      <c r="W400" s="133" t="str">
        <f t="shared" si="185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28"/>
      <c r="H401" s="423">
        <f t="shared" si="171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76"/>
        <v>0</v>
      </c>
      <c r="N401" s="130">
        <f t="shared" si="183"/>
        <v>0</v>
      </c>
      <c r="O401" s="415"/>
      <c r="P401" s="415"/>
      <c r="Q401" s="415"/>
      <c r="R401" s="415"/>
      <c r="S401" s="415"/>
      <c r="T401" s="415"/>
      <c r="U401" s="415"/>
      <c r="V401" s="132">
        <f t="shared" si="184"/>
        <v>0</v>
      </c>
      <c r="W401" s="133" t="str">
        <f t="shared" si="185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28"/>
      <c r="H402" s="423">
        <f t="shared" si="171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6"/>
        <v>0</v>
      </c>
      <c r="N402" s="130">
        <f t="shared" si="183"/>
        <v>0</v>
      </c>
      <c r="O402" s="415"/>
      <c r="P402" s="415"/>
      <c r="Q402" s="415"/>
      <c r="R402" s="415"/>
      <c r="S402" s="415"/>
      <c r="T402" s="415"/>
      <c r="U402" s="415"/>
      <c r="V402" s="132">
        <f t="shared" si="184"/>
        <v>0</v>
      </c>
      <c r="W402" s="133" t="str">
        <f t="shared" si="185"/>
        <v/>
      </c>
      <c r="X402" s="132"/>
      <c r="Y402" s="132"/>
      <c r="Z402" s="132"/>
      <c r="AA402" s="132"/>
    </row>
    <row r="403" spans="1:27" ht="20.100000000000001" hidden="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28"/>
      <c r="H403" s="423">
        <f t="shared" si="171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6"/>
        <v>0</v>
      </c>
      <c r="N403" s="130">
        <f t="shared" si="183"/>
        <v>0</v>
      </c>
      <c r="O403" s="415"/>
      <c r="P403" s="415"/>
      <c r="Q403" s="415"/>
      <c r="R403" s="415"/>
      <c r="S403" s="415"/>
      <c r="T403" s="415"/>
      <c r="U403" s="415"/>
      <c r="V403" s="132">
        <f t="shared" si="184"/>
        <v>0</v>
      </c>
      <c r="W403" s="133" t="str">
        <f t="shared" si="185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28"/>
      <c r="H404" s="423">
        <f t="shared" si="171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6"/>
        <v>0</v>
      </c>
      <c r="N404" s="130">
        <f t="shared" si="183"/>
        <v>0</v>
      </c>
      <c r="O404" s="415"/>
      <c r="P404" s="415"/>
      <c r="Q404" s="415"/>
      <c r="R404" s="415"/>
      <c r="S404" s="415"/>
      <c r="T404" s="415"/>
      <c r="U404" s="415"/>
      <c r="V404" s="132">
        <f t="shared" si="184"/>
        <v>0</v>
      </c>
      <c r="W404" s="133" t="str">
        <f t="shared" si="185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28"/>
      <c r="H405" s="423">
        <f t="shared" si="171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6"/>
        <v>0</v>
      </c>
      <c r="N405" s="130">
        <f t="shared" si="183"/>
        <v>0</v>
      </c>
      <c r="O405" s="415"/>
      <c r="P405" s="415"/>
      <c r="Q405" s="415"/>
      <c r="R405" s="415"/>
      <c r="S405" s="415"/>
      <c r="T405" s="415"/>
      <c r="U405" s="415"/>
      <c r="V405" s="132">
        <f t="shared" si="184"/>
        <v>0</v>
      </c>
      <c r="W405" s="133" t="str">
        <f t="shared" si="185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28"/>
      <c r="H406" s="423">
        <f t="shared" si="171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6"/>
        <v>0</v>
      </c>
      <c r="N406" s="130">
        <f t="shared" si="183"/>
        <v>0</v>
      </c>
      <c r="O406" s="415"/>
      <c r="P406" s="415"/>
      <c r="Q406" s="415"/>
      <c r="R406" s="415"/>
      <c r="S406" s="415"/>
      <c r="T406" s="415"/>
      <c r="U406" s="415"/>
      <c r="V406" s="132">
        <f t="shared" si="184"/>
        <v>0</v>
      </c>
      <c r="W406" s="133" t="str">
        <f t="shared" si="185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28"/>
      <c r="H407" s="423">
        <f t="shared" si="171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76"/>
        <v>0</v>
      </c>
      <c r="N407" s="130">
        <f t="shared" si="183"/>
        <v>0</v>
      </c>
      <c r="O407" s="415"/>
      <c r="P407" s="415"/>
      <c r="Q407" s="415"/>
      <c r="R407" s="415"/>
      <c r="S407" s="415"/>
      <c r="T407" s="415"/>
      <c r="U407" s="415"/>
      <c r="V407" s="132">
        <f t="shared" si="184"/>
        <v>0</v>
      </c>
      <c r="W407" s="133" t="str">
        <f t="shared" si="185"/>
        <v/>
      </c>
      <c r="X407" s="132"/>
      <c r="Y407" s="132"/>
      <c r="Z407" s="132"/>
      <c r="AA407" s="132"/>
    </row>
    <row r="408" spans="1:27" ht="20.100000000000001" hidden="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28"/>
      <c r="H408" s="423">
        <f t="shared" si="171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76"/>
        <v>0</v>
      </c>
      <c r="N408" s="130">
        <f t="shared" si="183"/>
        <v>0</v>
      </c>
      <c r="O408" s="415"/>
      <c r="P408" s="415"/>
      <c r="Q408" s="415"/>
      <c r="R408" s="415"/>
      <c r="S408" s="415"/>
      <c r="T408" s="415"/>
      <c r="U408" s="415"/>
      <c r="V408" s="132">
        <f t="shared" si="184"/>
        <v>0</v>
      </c>
      <c r="W408" s="133" t="str">
        <f t="shared" si="185"/>
        <v/>
      </c>
      <c r="X408" s="132"/>
      <c r="Y408" s="132"/>
      <c r="Z408" s="132"/>
      <c r="AA408" s="132"/>
    </row>
    <row r="409" spans="1:27" ht="20.100000000000001" hidden="1" customHeight="1">
      <c r="A409" s="300">
        <v>30100043</v>
      </c>
      <c r="B409" s="134" t="s">
        <v>429</v>
      </c>
      <c r="C409" s="187" t="s">
        <v>427</v>
      </c>
      <c r="D409" s="108">
        <v>50.3</v>
      </c>
      <c r="E409" s="108"/>
      <c r="F409" s="127"/>
      <c r="G409" s="128"/>
      <c r="H409" s="423">
        <f t="shared" si="171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415"/>
      <c r="P409" s="415"/>
      <c r="Q409" s="415"/>
      <c r="R409" s="415"/>
      <c r="S409" s="415"/>
      <c r="T409" s="415"/>
      <c r="U409" s="415"/>
      <c r="V409" s="132"/>
      <c r="W409" s="133"/>
      <c r="X409" s="132"/>
      <c r="Y409" s="132"/>
      <c r="Z409" s="132"/>
      <c r="AA409" s="132"/>
    </row>
    <row r="410" spans="1:27" ht="20.100000000000001" hidden="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28"/>
      <c r="H410" s="423">
        <f t="shared" si="171"/>
        <v>0</v>
      </c>
      <c r="I410" s="129"/>
      <c r="J410" s="130"/>
      <c r="K410" s="131"/>
      <c r="L410" s="129">
        <v>50</v>
      </c>
      <c r="M410" s="109"/>
      <c r="N410" s="130"/>
      <c r="O410" s="415"/>
      <c r="P410" s="415"/>
      <c r="Q410" s="415"/>
      <c r="R410" s="415"/>
      <c r="S410" s="415"/>
      <c r="T410" s="415"/>
      <c r="U410" s="415"/>
      <c r="V410" s="132"/>
      <c r="W410" s="133"/>
      <c r="X410" s="132"/>
      <c r="Y410" s="132"/>
      <c r="Z410" s="132"/>
      <c r="AA410" s="132"/>
    </row>
    <row r="411" spans="1:27" ht="20.100000000000001" hidden="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28"/>
      <c r="H411" s="423">
        <f t="shared" si="171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6">IF(ISERROR(I411-K411),"",I411-K411)</f>
        <v>0</v>
      </c>
      <c r="N411" s="130">
        <f t="shared" ref="N411:N412" si="187">SUM(O411:U411)</f>
        <v>0</v>
      </c>
      <c r="O411" s="415"/>
      <c r="P411" s="415"/>
      <c r="Q411" s="415"/>
      <c r="R411" s="415"/>
      <c r="S411" s="415"/>
      <c r="T411" s="415"/>
      <c r="U411" s="415"/>
      <c r="V411" s="132">
        <f t="shared" ref="V411:V412" si="188">SUM(X411:AA411)</f>
        <v>0</v>
      </c>
      <c r="W411" s="133" t="str">
        <f t="shared" ref="W411:W412" si="189">IF(ISERROR(V411/G411),"",V411/G411)</f>
        <v/>
      </c>
      <c r="X411" s="132"/>
      <c r="Y411" s="132"/>
      <c r="Z411" s="132"/>
      <c r="AA411" s="132"/>
    </row>
    <row r="412" spans="1:27" ht="20.100000000000001" hidden="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28"/>
      <c r="H412" s="423">
        <f t="shared" si="171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6"/>
        <v>0</v>
      </c>
      <c r="N412" s="130">
        <f t="shared" si="187"/>
        <v>0</v>
      </c>
      <c r="O412" s="415"/>
      <c r="P412" s="415"/>
      <c r="Q412" s="415"/>
      <c r="R412" s="415"/>
      <c r="S412" s="415"/>
      <c r="T412" s="415"/>
      <c r="U412" s="415"/>
      <c r="V412" s="132">
        <f t="shared" si="188"/>
        <v>0</v>
      </c>
      <c r="W412" s="133" t="str">
        <f t="shared" si="189"/>
        <v/>
      </c>
      <c r="X412" s="132"/>
      <c r="Y412" s="132"/>
      <c r="Z412" s="132"/>
      <c r="AA412" s="132"/>
    </row>
    <row r="413" spans="1:27" ht="20.100000000000001" hidden="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28"/>
      <c r="H413" s="423">
        <f t="shared" si="171"/>
        <v>0</v>
      </c>
      <c r="I413" s="129"/>
      <c r="J413" s="130"/>
      <c r="K413" s="131"/>
      <c r="L413" s="129"/>
      <c r="M413" s="109"/>
      <c r="N413" s="130"/>
      <c r="O413" s="415"/>
      <c r="P413" s="415"/>
      <c r="Q413" s="415"/>
      <c r="R413" s="415"/>
      <c r="S413" s="415"/>
      <c r="T413" s="415"/>
      <c r="U413" s="415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28"/>
      <c r="H414" s="423">
        <f t="shared" si="171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90">IF(ISERROR(I414-K414),"",I414-K414)</f>
        <v/>
      </c>
      <c r="N414" s="130">
        <f t="shared" ref="N414:N417" si="191">SUM(O414:U414)</f>
        <v>0</v>
      </c>
      <c r="O414" s="415"/>
      <c r="P414" s="415"/>
      <c r="Q414" s="415"/>
      <c r="R414" s="415"/>
      <c r="S414" s="415"/>
      <c r="T414" s="415"/>
      <c r="U414" s="415"/>
      <c r="V414" s="132">
        <f t="shared" ref="V414:V417" si="192">SUM(X414:AA414)</f>
        <v>0</v>
      </c>
      <c r="W414" s="133" t="str">
        <f t="shared" ref="W414:W417" si="193">IF(ISERROR(V414/G414),"",V414/G414)</f>
        <v/>
      </c>
      <c r="X414" s="132"/>
      <c r="Y414" s="132"/>
      <c r="Z414" s="132"/>
      <c r="AA414" s="132"/>
    </row>
    <row r="415" spans="1:27" ht="20.100000000000001" hidden="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28"/>
      <c r="H415" s="423">
        <f t="shared" si="171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0"/>
        <v/>
      </c>
      <c r="N415" s="130">
        <f t="shared" si="191"/>
        <v>0</v>
      </c>
      <c r="O415" s="415"/>
      <c r="P415" s="415"/>
      <c r="Q415" s="415"/>
      <c r="R415" s="415"/>
      <c r="S415" s="415"/>
      <c r="T415" s="415"/>
      <c r="U415" s="415"/>
      <c r="V415" s="132">
        <f t="shared" si="192"/>
        <v>0</v>
      </c>
      <c r="W415" s="133" t="str">
        <f t="shared" si="193"/>
        <v/>
      </c>
      <c r="X415" s="132"/>
      <c r="Y415" s="132"/>
      <c r="Z415" s="132"/>
      <c r="AA415" s="132"/>
    </row>
    <row r="416" spans="1:27" ht="20.100000000000001" hidden="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28"/>
      <c r="H416" s="423">
        <f t="shared" si="171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90"/>
        <v/>
      </c>
      <c r="N416" s="130">
        <f t="shared" si="191"/>
        <v>0</v>
      </c>
      <c r="O416" s="415"/>
      <c r="P416" s="415"/>
      <c r="Q416" s="415"/>
      <c r="R416" s="415"/>
      <c r="S416" s="415"/>
      <c r="T416" s="415"/>
      <c r="U416" s="415"/>
      <c r="V416" s="132">
        <f t="shared" si="192"/>
        <v>0</v>
      </c>
      <c r="W416" s="133" t="str">
        <f t="shared" si="193"/>
        <v/>
      </c>
      <c r="X416" s="132"/>
      <c r="Y416" s="132"/>
      <c r="Z416" s="132"/>
      <c r="AA416" s="132"/>
    </row>
    <row r="417" spans="1:27" ht="20.100000000000001" hidden="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28"/>
      <c r="H417" s="423">
        <f t="shared" si="171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90"/>
        <v/>
      </c>
      <c r="N417" s="130">
        <f t="shared" si="191"/>
        <v>0</v>
      </c>
      <c r="O417" s="415"/>
      <c r="P417" s="415"/>
      <c r="Q417" s="415"/>
      <c r="R417" s="415"/>
      <c r="S417" s="415"/>
      <c r="T417" s="415"/>
      <c r="U417" s="415"/>
      <c r="V417" s="132">
        <f t="shared" si="192"/>
        <v>0</v>
      </c>
      <c r="W417" s="133" t="str">
        <f t="shared" si="193"/>
        <v/>
      </c>
      <c r="X417" s="132"/>
      <c r="Y417" s="132"/>
      <c r="Z417" s="132"/>
      <c r="AA417" s="132"/>
    </row>
    <row r="418" spans="1:27" ht="20.100000000000001" hidden="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28"/>
      <c r="H418" s="423">
        <f t="shared" si="171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0"/>
        <v>0</v>
      </c>
      <c r="N418" s="130"/>
      <c r="O418" s="415"/>
      <c r="P418" s="415"/>
      <c r="Q418" s="415"/>
      <c r="R418" s="415"/>
      <c r="S418" s="415"/>
      <c r="T418" s="415"/>
      <c r="U418" s="415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28"/>
      <c r="H419" s="423">
        <f t="shared" si="171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0"/>
        <v>0</v>
      </c>
      <c r="N419" s="130"/>
      <c r="O419" s="415"/>
      <c r="P419" s="415"/>
      <c r="Q419" s="415"/>
      <c r="R419" s="415"/>
      <c r="S419" s="415"/>
      <c r="T419" s="415"/>
      <c r="U419" s="415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28"/>
      <c r="H420" s="423">
        <f t="shared" si="171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90"/>
        <v>0</v>
      </c>
      <c r="N420" s="130"/>
      <c r="O420" s="415"/>
      <c r="P420" s="415"/>
      <c r="Q420" s="415"/>
      <c r="R420" s="415"/>
      <c r="S420" s="415"/>
      <c r="T420" s="415"/>
      <c r="U420" s="415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28"/>
      <c r="H421" s="423">
        <f t="shared" si="171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90"/>
        <v>0</v>
      </c>
      <c r="N421" s="130"/>
      <c r="O421" s="415"/>
      <c r="P421" s="415"/>
      <c r="Q421" s="415"/>
      <c r="R421" s="415"/>
      <c r="S421" s="415"/>
      <c r="T421" s="415"/>
      <c r="U421" s="415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28"/>
      <c r="H422" s="423">
        <f t="shared" si="171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0"/>
        <v>0</v>
      </c>
      <c r="N422" s="130"/>
      <c r="O422" s="415"/>
      <c r="P422" s="415"/>
      <c r="Q422" s="415"/>
      <c r="R422" s="415"/>
      <c r="S422" s="415"/>
      <c r="T422" s="415"/>
      <c r="U422" s="415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28"/>
      <c r="H423" s="423">
        <f t="shared" si="171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0"/>
        <v>0</v>
      </c>
      <c r="N423" s="130"/>
      <c r="O423" s="415"/>
      <c r="P423" s="415"/>
      <c r="Q423" s="415"/>
      <c r="R423" s="415"/>
      <c r="S423" s="415"/>
      <c r="T423" s="415"/>
      <c r="U423" s="415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28"/>
      <c r="H424" s="423">
        <f t="shared" si="171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0"/>
        <v>0</v>
      </c>
      <c r="N424" s="130"/>
      <c r="O424" s="415"/>
      <c r="P424" s="415"/>
      <c r="Q424" s="415"/>
      <c r="R424" s="415"/>
      <c r="S424" s="415"/>
      <c r="T424" s="415"/>
      <c r="U424" s="415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28"/>
      <c r="H425" s="423">
        <f t="shared" si="171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0"/>
        <v>0</v>
      </c>
      <c r="N425" s="130"/>
      <c r="O425" s="415"/>
      <c r="P425" s="415"/>
      <c r="Q425" s="415"/>
      <c r="R425" s="415"/>
      <c r="S425" s="415"/>
      <c r="T425" s="415"/>
      <c r="U425" s="415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28"/>
      <c r="H426" s="423">
        <f t="shared" si="171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90"/>
        <v>0</v>
      </c>
      <c r="N426" s="130"/>
      <c r="O426" s="415"/>
      <c r="P426" s="415"/>
      <c r="Q426" s="415"/>
      <c r="R426" s="415"/>
      <c r="S426" s="415"/>
      <c r="T426" s="415"/>
      <c r="U426" s="415"/>
      <c r="V426" s="132"/>
      <c r="W426" s="133"/>
      <c r="X426" s="132"/>
      <c r="Y426" s="132"/>
      <c r="Z426" s="132"/>
      <c r="AA426" s="132"/>
    </row>
    <row r="427" spans="1:27" ht="20.100000000000001" hidden="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28"/>
      <c r="H427" s="423">
        <f t="shared" si="171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90"/>
        <v>0</v>
      </c>
      <c r="N427" s="130"/>
      <c r="O427" s="415"/>
      <c r="P427" s="415"/>
      <c r="Q427" s="415"/>
      <c r="R427" s="415"/>
      <c r="S427" s="415"/>
      <c r="T427" s="415"/>
      <c r="U427" s="415"/>
      <c r="V427" s="132"/>
      <c r="W427" s="133"/>
      <c r="X427" s="132"/>
      <c r="Y427" s="132"/>
      <c r="Z427" s="132"/>
      <c r="AA427" s="132"/>
    </row>
    <row r="428" spans="1:27" ht="20.100000000000001" hidden="1" customHeight="1">
      <c r="A428" s="589" t="s">
        <v>216</v>
      </c>
      <c r="B428" s="589"/>
      <c r="C428" s="421" t="s">
        <v>202</v>
      </c>
      <c r="D428" s="143"/>
      <c r="E428" s="143"/>
      <c r="F428" s="144"/>
      <c r="G428" s="145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4">SUM(M371:M427)</f>
        <v>0</v>
      </c>
      <c r="N428" s="146">
        <f t="shared" si="194"/>
        <v>0</v>
      </c>
      <c r="O428" s="148">
        <f t="shared" si="194"/>
        <v>0</v>
      </c>
      <c r="P428" s="148">
        <f t="shared" si="194"/>
        <v>0</v>
      </c>
      <c r="Q428" s="148">
        <f t="shared" si="194"/>
        <v>0</v>
      </c>
      <c r="R428" s="148">
        <f t="shared" si="194"/>
        <v>0</v>
      </c>
      <c r="S428" s="148">
        <f t="shared" si="194"/>
        <v>0</v>
      </c>
      <c r="T428" s="148">
        <f t="shared" si="194"/>
        <v>0</v>
      </c>
      <c r="U428" s="148">
        <f t="shared" si="194"/>
        <v>0</v>
      </c>
      <c r="V428" s="149">
        <f t="shared" si="194"/>
        <v>0</v>
      </c>
      <c r="W428" s="133" t="str">
        <f t="shared" ref="W428:W435" si="195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hidden="1" customHeight="1">
      <c r="A429" s="299">
        <v>30400012</v>
      </c>
      <c r="B429" s="414" t="s">
        <v>217</v>
      </c>
      <c r="C429" s="126" t="s">
        <v>179</v>
      </c>
      <c r="D429" s="108">
        <v>5.03</v>
      </c>
      <c r="E429" s="108"/>
      <c r="F429" s="127"/>
      <c r="G429" s="128"/>
      <c r="H429" s="423">
        <f t="shared" ref="H429:H462" si="196">D429*G429</f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ref="M429:M436" si="197">IF(ISERROR(I429-K429),"",I429-K429)</f>
        <v>0</v>
      </c>
      <c r="N429" s="130">
        <f t="shared" ref="N429:N436" si="198">SUM(O429:U429)</f>
        <v>0</v>
      </c>
      <c r="O429" s="415"/>
      <c r="P429" s="415"/>
      <c r="Q429" s="415"/>
      <c r="R429" s="415"/>
      <c r="S429" s="415"/>
      <c r="T429" s="415"/>
      <c r="U429" s="415"/>
      <c r="V429" s="132">
        <f t="shared" ref="V429:V435" si="199">SUM(X429:AA429)</f>
        <v>0</v>
      </c>
      <c r="W429" s="133" t="str">
        <f t="shared" si="195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30400010</v>
      </c>
      <c r="B430" s="414" t="s">
        <v>217</v>
      </c>
      <c r="C430" s="126" t="s">
        <v>186</v>
      </c>
      <c r="D430" s="108">
        <v>5.03</v>
      </c>
      <c r="E430" s="108"/>
      <c r="F430" s="127"/>
      <c r="G430" s="128"/>
      <c r="H430" s="423">
        <f t="shared" si="196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8.8000000000000007</v>
      </c>
      <c r="M430" s="109">
        <f t="shared" si="197"/>
        <v>0</v>
      </c>
      <c r="N430" s="130">
        <f t="shared" si="198"/>
        <v>0</v>
      </c>
      <c r="O430" s="415"/>
      <c r="P430" s="415"/>
      <c r="Q430" s="415"/>
      <c r="R430" s="415"/>
      <c r="S430" s="415"/>
      <c r="T430" s="415"/>
      <c r="U430" s="415"/>
      <c r="V430" s="132">
        <f t="shared" si="199"/>
        <v>0</v>
      </c>
      <c r="W430" s="133" t="str">
        <f t="shared" si="195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30400011</v>
      </c>
      <c r="B431" s="414" t="s">
        <v>217</v>
      </c>
      <c r="C431" s="126" t="s">
        <v>204</v>
      </c>
      <c r="D431" s="108">
        <v>5.03</v>
      </c>
      <c r="E431" s="108"/>
      <c r="F431" s="127"/>
      <c r="G431" s="128"/>
      <c r="H431" s="423">
        <f t="shared" si="196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8.8000000000000007</v>
      </c>
      <c r="M431" s="109">
        <f t="shared" si="197"/>
        <v>0</v>
      </c>
      <c r="N431" s="130">
        <f t="shared" si="198"/>
        <v>0</v>
      </c>
      <c r="O431" s="415"/>
      <c r="P431" s="415"/>
      <c r="Q431" s="415"/>
      <c r="R431" s="415"/>
      <c r="S431" s="415"/>
      <c r="T431" s="415"/>
      <c r="U431" s="415"/>
      <c r="V431" s="132">
        <f t="shared" si="199"/>
        <v>0</v>
      </c>
      <c r="W431" s="133" t="str">
        <f t="shared" si="195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28"/>
      <c r="H432" s="423">
        <f t="shared" si="196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7"/>
        <v>0</v>
      </c>
      <c r="N432" s="130">
        <f t="shared" si="198"/>
        <v>0</v>
      </c>
      <c r="O432" s="415"/>
      <c r="P432" s="415"/>
      <c r="Q432" s="415"/>
      <c r="R432" s="415"/>
      <c r="S432" s="415"/>
      <c r="T432" s="415"/>
      <c r="U432" s="415"/>
      <c r="V432" s="132">
        <f t="shared" si="199"/>
        <v>0</v>
      </c>
      <c r="W432" s="133" t="str">
        <f t="shared" si="195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/>
      <c r="G433" s="128"/>
      <c r="H433" s="423">
        <f t="shared" si="196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7"/>
        <v>0</v>
      </c>
      <c r="N433" s="130">
        <f t="shared" si="198"/>
        <v>0</v>
      </c>
      <c r="O433" s="415"/>
      <c r="P433" s="415"/>
      <c r="Q433" s="415"/>
      <c r="R433" s="415"/>
      <c r="S433" s="415"/>
      <c r="T433" s="415"/>
      <c r="U433" s="415"/>
      <c r="V433" s="132">
        <f t="shared" si="199"/>
        <v>0</v>
      </c>
      <c r="W433" s="133" t="str">
        <f t="shared" si="195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/>
      <c r="G434" s="128"/>
      <c r="H434" s="423">
        <f t="shared" si="196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9.3000000000000007</v>
      </c>
      <c r="M434" s="109">
        <f t="shared" si="197"/>
        <v>0</v>
      </c>
      <c r="N434" s="130">
        <f t="shared" si="198"/>
        <v>0</v>
      </c>
      <c r="O434" s="415"/>
      <c r="P434" s="415"/>
      <c r="Q434" s="415"/>
      <c r="R434" s="415"/>
      <c r="S434" s="415"/>
      <c r="T434" s="415"/>
      <c r="U434" s="415"/>
      <c r="V434" s="132">
        <f t="shared" si="199"/>
        <v>0</v>
      </c>
      <c r="W434" s="133" t="str">
        <f t="shared" si="195"/>
        <v/>
      </c>
      <c r="X434" s="132"/>
      <c r="Y434" s="132"/>
      <c r="Z434" s="132"/>
      <c r="AA434" s="132"/>
    </row>
    <row r="435" spans="1:27" ht="20.100000000000001" hidden="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/>
      <c r="G435" s="128"/>
      <c r="H435" s="423">
        <f t="shared" si="196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9.3000000000000007</v>
      </c>
      <c r="M435" s="109">
        <f t="shared" si="197"/>
        <v>0</v>
      </c>
      <c r="N435" s="130">
        <f t="shared" si="198"/>
        <v>0</v>
      </c>
      <c r="O435" s="415"/>
      <c r="P435" s="415"/>
      <c r="Q435" s="415"/>
      <c r="R435" s="415"/>
      <c r="S435" s="415"/>
      <c r="T435" s="415"/>
      <c r="U435" s="415"/>
      <c r="V435" s="132">
        <f t="shared" si="199"/>
        <v>0</v>
      </c>
      <c r="W435" s="133" t="str">
        <f t="shared" si="195"/>
        <v/>
      </c>
      <c r="X435" s="132"/>
      <c r="Y435" s="132"/>
      <c r="Z435" s="132"/>
      <c r="AA435" s="132"/>
    </row>
    <row r="436" spans="1:27" ht="20.100000000000001" hidden="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/>
      <c r="G436" s="128"/>
      <c r="H436" s="423">
        <f t="shared" si="196"/>
        <v>0</v>
      </c>
      <c r="I436" s="129"/>
      <c r="J436" s="130"/>
      <c r="K436" s="131">
        <f t="array" ref="K436">IF(ISERROR(G436/L436),"",G436/L436)</f>
        <v>0</v>
      </c>
      <c r="L436" s="129">
        <v>9.3000000000000007</v>
      </c>
      <c r="M436" s="109">
        <f t="shared" si="197"/>
        <v>0</v>
      </c>
      <c r="N436" s="130">
        <f t="shared" si="198"/>
        <v>0</v>
      </c>
      <c r="O436" s="415"/>
      <c r="P436" s="415"/>
      <c r="Q436" s="415"/>
      <c r="R436" s="415"/>
      <c r="S436" s="415"/>
      <c r="T436" s="415"/>
      <c r="U436" s="415"/>
      <c r="V436" s="132"/>
      <c r="W436" s="133"/>
      <c r="X436" s="132"/>
      <c r="Y436" s="132"/>
      <c r="Z436" s="132"/>
      <c r="AA436" s="132"/>
    </row>
    <row r="437" spans="1:27" ht="20.100000000000001" hidden="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28"/>
      <c r="H437" s="423">
        <f t="shared" si="196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415"/>
      <c r="P437" s="415"/>
      <c r="Q437" s="415"/>
      <c r="R437" s="415"/>
      <c r="S437" s="415"/>
      <c r="T437" s="415"/>
      <c r="U437" s="415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28"/>
      <c r="H438" s="423">
        <f t="shared" si="196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415"/>
      <c r="P438" s="415"/>
      <c r="Q438" s="415"/>
      <c r="R438" s="415"/>
      <c r="S438" s="415"/>
      <c r="T438" s="415"/>
      <c r="U438" s="415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28"/>
      <c r="H439" s="423">
        <f t="shared" si="196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415"/>
      <c r="P439" s="415"/>
      <c r="Q439" s="415"/>
      <c r="R439" s="415"/>
      <c r="S439" s="415"/>
      <c r="T439" s="415"/>
      <c r="U439" s="415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28"/>
      <c r="H440" s="423">
        <f t="shared" si="196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415"/>
      <c r="P440" s="415"/>
      <c r="Q440" s="415"/>
      <c r="R440" s="415"/>
      <c r="S440" s="415"/>
      <c r="T440" s="415"/>
      <c r="U440" s="415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hidden="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28"/>
      <c r="H441" s="423">
        <f t="shared" si="196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2" si="200">IF(ISERROR(I441-K441),"",I441-K441)</f>
        <v>0</v>
      </c>
      <c r="N441" s="130">
        <f t="shared" ref="N441:N456" si="201">SUM(O441:U441)</f>
        <v>0</v>
      </c>
      <c r="O441" s="415"/>
      <c r="P441" s="415"/>
      <c r="Q441" s="415"/>
      <c r="R441" s="415"/>
      <c r="S441" s="415"/>
      <c r="T441" s="415"/>
      <c r="U441" s="415"/>
      <c r="V441" s="132">
        <f t="shared" ref="V441:V444" si="202">SUM(X441:AA441)</f>
        <v>0</v>
      </c>
      <c r="W441" s="133" t="str">
        <f t="shared" ref="W441:W448" si="203">IF(ISERROR(V441/G441),"",V441/G441)</f>
        <v/>
      </c>
      <c r="X441" s="132"/>
      <c r="Y441" s="132"/>
      <c r="Z441" s="132"/>
      <c r="AA441" s="132"/>
    </row>
    <row r="442" spans="1:27" ht="20.100000000000001" hidden="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28"/>
      <c r="H442" s="423">
        <f t="shared" si="196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0"/>
        <v/>
      </c>
      <c r="N442" s="130">
        <f t="shared" si="201"/>
        <v>0</v>
      </c>
      <c r="O442" s="415"/>
      <c r="P442" s="415"/>
      <c r="Q442" s="415"/>
      <c r="R442" s="415"/>
      <c r="S442" s="415"/>
      <c r="T442" s="415"/>
      <c r="U442" s="415"/>
      <c r="V442" s="132">
        <f t="shared" si="202"/>
        <v>0</v>
      </c>
      <c r="W442" s="133" t="str">
        <f t="shared" si="203"/>
        <v/>
      </c>
      <c r="X442" s="132"/>
      <c r="Y442" s="132"/>
      <c r="Z442" s="132"/>
      <c r="AA442" s="132"/>
    </row>
    <row r="443" spans="1:27" ht="20.100000000000001" hidden="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28"/>
      <c r="H443" s="423">
        <f t="shared" si="196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200"/>
        <v/>
      </c>
      <c r="N443" s="130">
        <f t="shared" si="201"/>
        <v>0</v>
      </c>
      <c r="O443" s="415"/>
      <c r="P443" s="415"/>
      <c r="Q443" s="415"/>
      <c r="R443" s="415"/>
      <c r="S443" s="415"/>
      <c r="T443" s="415"/>
      <c r="U443" s="415"/>
      <c r="V443" s="132">
        <f t="shared" si="202"/>
        <v>0</v>
      </c>
      <c r="W443" s="133" t="str">
        <f t="shared" si="203"/>
        <v/>
      </c>
      <c r="X443" s="132"/>
      <c r="Y443" s="132"/>
      <c r="Z443" s="132"/>
      <c r="AA443" s="132"/>
    </row>
    <row r="444" spans="1:27" ht="20.100000000000001" hidden="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28"/>
      <c r="H444" s="423">
        <f t="shared" si="196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200"/>
        <v/>
      </c>
      <c r="N444" s="130">
        <f t="shared" si="201"/>
        <v>0</v>
      </c>
      <c r="O444" s="415"/>
      <c r="P444" s="415"/>
      <c r="Q444" s="415"/>
      <c r="R444" s="415"/>
      <c r="S444" s="415"/>
      <c r="T444" s="415"/>
      <c r="U444" s="415"/>
      <c r="V444" s="132">
        <f t="shared" si="202"/>
        <v>0</v>
      </c>
      <c r="W444" s="133" t="str">
        <f t="shared" si="203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30600005</v>
      </c>
      <c r="B445" s="414" t="s">
        <v>222</v>
      </c>
      <c r="C445" s="126" t="s">
        <v>181</v>
      </c>
      <c r="D445" s="108">
        <v>9.36</v>
      </c>
      <c r="E445" s="108"/>
      <c r="F445" s="127"/>
      <c r="G445" s="128"/>
      <c r="H445" s="423">
        <f t="shared" si="196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0"/>
        <v>0</v>
      </c>
      <c r="N445" s="130">
        <f t="shared" si="201"/>
        <v>0</v>
      </c>
      <c r="O445" s="415"/>
      <c r="P445" s="415"/>
      <c r="Q445" s="415"/>
      <c r="R445" s="415"/>
      <c r="S445" s="415"/>
      <c r="T445" s="415"/>
      <c r="U445" s="415"/>
      <c r="V445" s="132">
        <f t="shared" ref="V445:V448" si="204">SUM(X445:AA445)</f>
        <v>0</v>
      </c>
      <c r="W445" s="133" t="str">
        <f t="shared" si="203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30600008</v>
      </c>
      <c r="B446" s="414" t="s">
        <v>222</v>
      </c>
      <c r="C446" s="126" t="s">
        <v>179</v>
      </c>
      <c r="D446" s="108">
        <v>9.36</v>
      </c>
      <c r="E446" s="108"/>
      <c r="F446" s="127"/>
      <c r="G446" s="128"/>
      <c r="H446" s="423">
        <f t="shared" si="196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0"/>
        <v>0</v>
      </c>
      <c r="N446" s="130">
        <f t="shared" si="201"/>
        <v>0</v>
      </c>
      <c r="O446" s="415"/>
      <c r="P446" s="415"/>
      <c r="Q446" s="415"/>
      <c r="R446" s="415"/>
      <c r="S446" s="415"/>
      <c r="T446" s="415"/>
      <c r="U446" s="415"/>
      <c r="V446" s="132">
        <f t="shared" si="204"/>
        <v>0</v>
      </c>
      <c r="W446" s="133" t="str">
        <f t="shared" si="203"/>
        <v/>
      </c>
      <c r="X446" s="132"/>
      <c r="Y446" s="132"/>
      <c r="Z446" s="132"/>
      <c r="AA446" s="132"/>
    </row>
    <row r="447" spans="1:27" ht="20.100000000000001" hidden="1" customHeight="1">
      <c r="A447" s="304">
        <v>30600007</v>
      </c>
      <c r="B447" s="414" t="s">
        <v>222</v>
      </c>
      <c r="C447" s="126" t="s">
        <v>221</v>
      </c>
      <c r="D447" s="108">
        <v>9.36</v>
      </c>
      <c r="E447" s="108"/>
      <c r="F447" s="127"/>
      <c r="G447" s="128"/>
      <c r="H447" s="423">
        <f t="shared" si="196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200"/>
        <v>0</v>
      </c>
      <c r="N447" s="130">
        <f t="shared" si="201"/>
        <v>0</v>
      </c>
      <c r="O447" s="415"/>
      <c r="P447" s="415"/>
      <c r="Q447" s="415"/>
      <c r="R447" s="415"/>
      <c r="S447" s="415"/>
      <c r="T447" s="415"/>
      <c r="U447" s="415"/>
      <c r="V447" s="132">
        <f t="shared" si="204"/>
        <v>0</v>
      </c>
      <c r="W447" s="133" t="str">
        <f t="shared" si="203"/>
        <v/>
      </c>
      <c r="X447" s="132"/>
      <c r="Y447" s="132"/>
      <c r="Z447" s="132"/>
      <c r="AA447" s="132"/>
    </row>
    <row r="448" spans="1:27" ht="20.100000000000001" hidden="1" customHeight="1">
      <c r="A448" s="304">
        <v>30600006</v>
      </c>
      <c r="B448" s="414" t="s">
        <v>222</v>
      </c>
      <c r="C448" s="126" t="s">
        <v>186</v>
      </c>
      <c r="D448" s="108">
        <v>9.36</v>
      </c>
      <c r="E448" s="108"/>
      <c r="F448" s="127"/>
      <c r="G448" s="128"/>
      <c r="H448" s="423">
        <f t="shared" si="196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200"/>
        <v>0</v>
      </c>
      <c r="N448" s="130">
        <f t="shared" si="201"/>
        <v>0</v>
      </c>
      <c r="O448" s="415"/>
      <c r="P448" s="415"/>
      <c r="Q448" s="415"/>
      <c r="R448" s="415"/>
      <c r="S448" s="415"/>
      <c r="T448" s="415"/>
      <c r="U448" s="415"/>
      <c r="V448" s="132">
        <f t="shared" si="204"/>
        <v>0</v>
      </c>
      <c r="W448" s="133" t="str">
        <f t="shared" si="203"/>
        <v/>
      </c>
      <c r="X448" s="132"/>
      <c r="Y448" s="132"/>
      <c r="Z448" s="132"/>
      <c r="AA448" s="132"/>
    </row>
    <row r="449" spans="1:27" ht="20.100000000000001" hidden="1" customHeight="1">
      <c r="A449" s="299">
        <v>30400026</v>
      </c>
      <c r="B449" s="414" t="s">
        <v>393</v>
      </c>
      <c r="C449" s="187" t="s">
        <v>395</v>
      </c>
      <c r="D449" s="108">
        <v>5</v>
      </c>
      <c r="E449" s="108"/>
      <c r="F449" s="127"/>
      <c r="G449" s="128"/>
      <c r="H449" s="423">
        <f t="shared" si="196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0"/>
        <v>0</v>
      </c>
      <c r="N449" s="130">
        <f t="shared" si="201"/>
        <v>0</v>
      </c>
      <c r="O449" s="415"/>
      <c r="P449" s="415"/>
      <c r="Q449" s="415"/>
      <c r="R449" s="415"/>
      <c r="S449" s="415"/>
      <c r="T449" s="415"/>
      <c r="U449" s="415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>
        <v>30400028</v>
      </c>
      <c r="B450" s="414" t="s">
        <v>393</v>
      </c>
      <c r="C450" s="187" t="s">
        <v>402</v>
      </c>
      <c r="D450" s="108">
        <v>5</v>
      </c>
      <c r="E450" s="108"/>
      <c r="F450" s="127"/>
      <c r="G450" s="128"/>
      <c r="H450" s="423">
        <f t="shared" si="196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0"/>
        <v>0</v>
      </c>
      <c r="N450" s="130">
        <f t="shared" si="201"/>
        <v>0</v>
      </c>
      <c r="O450" s="415"/>
      <c r="P450" s="415"/>
      <c r="Q450" s="415"/>
      <c r="R450" s="415"/>
      <c r="S450" s="415"/>
      <c r="T450" s="415"/>
      <c r="U450" s="415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30400027</v>
      </c>
      <c r="B451" s="414" t="s">
        <v>404</v>
      </c>
      <c r="C451" s="187" t="s">
        <v>405</v>
      </c>
      <c r="D451" s="108">
        <v>5</v>
      </c>
      <c r="E451" s="108"/>
      <c r="F451" s="127"/>
      <c r="G451" s="128"/>
      <c r="H451" s="423">
        <f t="shared" si="196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0"/>
        <v>0</v>
      </c>
      <c r="N451" s="130">
        <f t="shared" si="201"/>
        <v>0</v>
      </c>
      <c r="O451" s="415"/>
      <c r="P451" s="415"/>
      <c r="Q451" s="415"/>
      <c r="R451" s="415"/>
      <c r="S451" s="415"/>
      <c r="T451" s="415"/>
      <c r="U451" s="415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/>
      <c r="B452" s="414" t="s">
        <v>342</v>
      </c>
      <c r="C452" s="187" t="s">
        <v>372</v>
      </c>
      <c r="D452" s="108">
        <v>5</v>
      </c>
      <c r="E452" s="108"/>
      <c r="F452" s="127"/>
      <c r="G452" s="128"/>
      <c r="H452" s="423">
        <f t="shared" si="196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0"/>
        <v>0</v>
      </c>
      <c r="N452" s="130">
        <f t="shared" si="201"/>
        <v>0</v>
      </c>
      <c r="O452" s="415"/>
      <c r="P452" s="415"/>
      <c r="Q452" s="415"/>
      <c r="R452" s="415"/>
      <c r="S452" s="415"/>
      <c r="T452" s="415"/>
      <c r="U452" s="415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30600009</v>
      </c>
      <c r="B453" s="414" t="s">
        <v>343</v>
      </c>
      <c r="C453" s="126" t="s">
        <v>345</v>
      </c>
      <c r="D453" s="108">
        <v>5</v>
      </c>
      <c r="E453" s="108"/>
      <c r="F453" s="127"/>
      <c r="G453" s="128"/>
      <c r="H453" s="423">
        <f t="shared" si="196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200"/>
        <v>0</v>
      </c>
      <c r="N453" s="130">
        <f t="shared" si="201"/>
        <v>0</v>
      </c>
      <c r="O453" s="415"/>
      <c r="P453" s="415"/>
      <c r="Q453" s="415"/>
      <c r="R453" s="415"/>
      <c r="S453" s="415"/>
      <c r="T453" s="415"/>
      <c r="U453" s="415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299">
        <v>30600010</v>
      </c>
      <c r="B454" s="414" t="s">
        <v>343</v>
      </c>
      <c r="C454" s="126" t="s">
        <v>347</v>
      </c>
      <c r="D454" s="108">
        <v>5</v>
      </c>
      <c r="E454" s="108"/>
      <c r="F454" s="127"/>
      <c r="G454" s="128"/>
      <c r="H454" s="423">
        <f t="shared" si="196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200"/>
        <v>0</v>
      </c>
      <c r="N454" s="130">
        <f t="shared" si="201"/>
        <v>0</v>
      </c>
      <c r="O454" s="415"/>
      <c r="P454" s="415"/>
      <c r="Q454" s="415"/>
      <c r="R454" s="415"/>
      <c r="S454" s="415"/>
      <c r="T454" s="415"/>
      <c r="U454" s="415"/>
      <c r="V454" s="132"/>
      <c r="W454" s="133"/>
      <c r="X454" s="132"/>
      <c r="Y454" s="132"/>
      <c r="Z454" s="132"/>
      <c r="AA454" s="132"/>
    </row>
    <row r="455" spans="1:27" ht="20.100000000000001" hidden="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/>
      <c r="G455" s="128"/>
      <c r="H455" s="423">
        <f t="shared" si="196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15.5</v>
      </c>
      <c r="M455" s="109">
        <f t="shared" si="200"/>
        <v>0</v>
      </c>
      <c r="N455" s="130">
        <f t="shared" si="201"/>
        <v>0</v>
      </c>
      <c r="O455" s="415"/>
      <c r="P455" s="415"/>
      <c r="Q455" s="415"/>
      <c r="R455" s="415"/>
      <c r="S455" s="415"/>
      <c r="T455" s="415"/>
      <c r="U455" s="415"/>
      <c r="V455" s="132">
        <f t="shared" ref="V455:V456" si="205">SUM(X455:AA455)</f>
        <v>0</v>
      </c>
      <c r="W455" s="133" t="str">
        <f t="shared" ref="W455:W456" si="206">IF(ISERROR(V455/G455),"",V455/G455)</f>
        <v/>
      </c>
      <c r="X455" s="132"/>
      <c r="Y455" s="132"/>
      <c r="Z455" s="132"/>
      <c r="AA455" s="132"/>
    </row>
    <row r="456" spans="1:27" ht="20.100000000000001" hidden="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/>
      <c r="G456" s="128"/>
      <c r="H456" s="423">
        <f t="shared" si="196"/>
        <v>0</v>
      </c>
      <c r="I456" s="129"/>
      <c r="J456" s="130" t="str">
        <f t="array" ref="J456">IF(ISERROR(G456/I456),"",G456/I456)</f>
        <v/>
      </c>
      <c r="K456" s="131">
        <f t="array" ref="K456">IF(ISERROR(G456/L456),"",G456/L456)</f>
        <v>0</v>
      </c>
      <c r="L456" s="129">
        <v>15.5</v>
      </c>
      <c r="M456" s="109">
        <f t="shared" si="200"/>
        <v>0</v>
      </c>
      <c r="N456" s="130">
        <f t="shared" si="201"/>
        <v>0</v>
      </c>
      <c r="O456" s="415"/>
      <c r="P456" s="415"/>
      <c r="Q456" s="415"/>
      <c r="R456" s="415"/>
      <c r="S456" s="415"/>
      <c r="T456" s="415"/>
      <c r="U456" s="415"/>
      <c r="V456" s="132">
        <f t="shared" si="205"/>
        <v>0</v>
      </c>
      <c r="W456" s="133" t="str">
        <f t="shared" si="206"/>
        <v/>
      </c>
      <c r="X456" s="132"/>
      <c r="Y456" s="132"/>
      <c r="Z456" s="132"/>
      <c r="AA456" s="132"/>
    </row>
    <row r="457" spans="1:27" ht="20.100000000000001" hidden="1" customHeight="1">
      <c r="A457" s="299">
        <v>30400004</v>
      </c>
      <c r="B457" s="151" t="s">
        <v>419</v>
      </c>
      <c r="C457" s="187" t="s">
        <v>73</v>
      </c>
      <c r="D457" s="108"/>
      <c r="E457" s="108"/>
      <c r="F457" s="127"/>
      <c r="G457" s="128"/>
      <c r="H457" s="423">
        <f t="shared" si="196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0"/>
        <v>0</v>
      </c>
      <c r="N457" s="130"/>
      <c r="O457" s="415"/>
      <c r="P457" s="415"/>
      <c r="Q457" s="415"/>
      <c r="R457" s="415"/>
      <c r="S457" s="415"/>
      <c r="T457" s="415"/>
      <c r="U457" s="415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28"/>
      <c r="H458" s="423">
        <f t="shared" si="196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200"/>
        <v>0</v>
      </c>
      <c r="N458" s="130"/>
      <c r="O458" s="415"/>
      <c r="P458" s="415"/>
      <c r="Q458" s="415"/>
      <c r="R458" s="415"/>
      <c r="S458" s="415"/>
      <c r="T458" s="415"/>
      <c r="U458" s="415"/>
      <c r="V458" s="132"/>
      <c r="W458" s="133"/>
      <c r="X458" s="132"/>
      <c r="Y458" s="132"/>
      <c r="Z458" s="132"/>
      <c r="AA458" s="132"/>
    </row>
    <row r="459" spans="1:27" ht="20.100000000000001" hidden="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28"/>
      <c r="H459" s="423">
        <f t="shared" si="196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200"/>
        <v>0</v>
      </c>
      <c r="N459" s="130"/>
      <c r="O459" s="415"/>
      <c r="P459" s="415"/>
      <c r="Q459" s="415"/>
      <c r="R459" s="415"/>
      <c r="S459" s="415"/>
      <c r="T459" s="415"/>
      <c r="U459" s="415"/>
      <c r="V459" s="132"/>
      <c r="W459" s="133"/>
      <c r="X459" s="132"/>
      <c r="Y459" s="132"/>
      <c r="Z459" s="132"/>
      <c r="AA459" s="132"/>
    </row>
    <row r="460" spans="1:27" ht="20.100000000000001" hidden="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28"/>
      <c r="H460" s="423">
        <f t="shared" si="196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200"/>
        <v>0</v>
      </c>
      <c r="N460" s="130">
        <f t="shared" ref="N460:N462" si="207">SUM(O460:U460)</f>
        <v>0</v>
      </c>
      <c r="O460" s="415"/>
      <c r="P460" s="415"/>
      <c r="Q460" s="415"/>
      <c r="R460" s="415"/>
      <c r="S460" s="415"/>
      <c r="T460" s="415"/>
      <c r="U460" s="415"/>
      <c r="V460" s="132">
        <f t="shared" ref="V460:V462" si="208">SUM(X460:AA460)</f>
        <v>0</v>
      </c>
      <c r="W460" s="133" t="str">
        <f t="shared" ref="W460:W484" si="209">IF(ISERROR(V460/G460),"",V460/G460)</f>
        <v/>
      </c>
      <c r="X460" s="132"/>
      <c r="Y460" s="132"/>
      <c r="Z460" s="132"/>
      <c r="AA460" s="132"/>
    </row>
    <row r="461" spans="1:27" ht="20.100000000000001" hidden="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28"/>
      <c r="H461" s="423">
        <f t="shared" si="196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si="200"/>
        <v>0</v>
      </c>
      <c r="N461" s="130">
        <f t="shared" si="207"/>
        <v>0</v>
      </c>
      <c r="O461" s="415"/>
      <c r="P461" s="415"/>
      <c r="Q461" s="415"/>
      <c r="R461" s="415"/>
      <c r="S461" s="415"/>
      <c r="T461" s="415"/>
      <c r="U461" s="415"/>
      <c r="V461" s="132">
        <f t="shared" si="208"/>
        <v>0</v>
      </c>
      <c r="W461" s="133" t="str">
        <f t="shared" si="209"/>
        <v/>
      </c>
      <c r="X461" s="132"/>
      <c r="Y461" s="132"/>
      <c r="Z461" s="132"/>
      <c r="AA461" s="132"/>
    </row>
    <row r="462" spans="1:27" ht="20.100000000000001" hidden="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28"/>
      <c r="H462" s="423">
        <f t="shared" si="196"/>
        <v>0</v>
      </c>
      <c r="I462" s="129"/>
      <c r="J462" s="130" t="str">
        <f t="array" ref="J462">IF(ISERROR(G462/I462),"",G462/I462)</f>
        <v/>
      </c>
      <c r="K462" s="423">
        <f t="array" ref="K462">IF(ISERROR(G462/L462),"",G462/L462)</f>
        <v>0</v>
      </c>
      <c r="L462" s="129">
        <v>9</v>
      </c>
      <c r="M462" s="109">
        <f t="shared" si="200"/>
        <v>0</v>
      </c>
      <c r="N462" s="130">
        <f t="shared" si="207"/>
        <v>0</v>
      </c>
      <c r="O462" s="415"/>
      <c r="P462" s="415"/>
      <c r="Q462" s="415"/>
      <c r="R462" s="415"/>
      <c r="S462" s="415"/>
      <c r="T462" s="415"/>
      <c r="U462" s="415"/>
      <c r="V462" s="132">
        <f t="shared" si="208"/>
        <v>0</v>
      </c>
      <c r="W462" s="133" t="str">
        <f t="shared" si="209"/>
        <v/>
      </c>
      <c r="X462" s="132"/>
      <c r="Y462" s="132"/>
      <c r="Z462" s="132"/>
      <c r="AA462" s="132"/>
    </row>
    <row r="463" spans="1:27" ht="20.100000000000001" hidden="1" customHeight="1">
      <c r="A463" s="578" t="s">
        <v>224</v>
      </c>
      <c r="B463" s="579"/>
      <c r="C463" s="421" t="s">
        <v>202</v>
      </c>
      <c r="D463" s="143"/>
      <c r="E463" s="143"/>
      <c r="F463" s="144"/>
      <c r="G463" s="145">
        <f>SUM(G429:G462)</f>
        <v>0</v>
      </c>
      <c r="H463" s="146">
        <f>SUM(H429:H462)</f>
        <v>0</v>
      </c>
      <c r="I463" s="146">
        <f>SUM(I429:I462)</f>
        <v>0</v>
      </c>
      <c r="J463" s="130" t="str">
        <f t="array" ref="J463">IF(ISERROR(G463/I463),"",G463/I463)</f>
        <v/>
      </c>
      <c r="K463" s="146">
        <f>SUM(K429:K462)</f>
        <v>0</v>
      </c>
      <c r="L463" s="147"/>
      <c r="M463" s="150">
        <f t="shared" ref="M463:V463" si="210">SUM(M429:M462)</f>
        <v>0</v>
      </c>
      <c r="N463" s="146">
        <f t="shared" si="210"/>
        <v>0</v>
      </c>
      <c r="O463" s="148">
        <f t="shared" si="210"/>
        <v>0</v>
      </c>
      <c r="P463" s="148">
        <f t="shared" si="210"/>
        <v>0</v>
      </c>
      <c r="Q463" s="148">
        <f t="shared" si="210"/>
        <v>0</v>
      </c>
      <c r="R463" s="148">
        <f t="shared" si="210"/>
        <v>0</v>
      </c>
      <c r="S463" s="148">
        <f t="shared" si="210"/>
        <v>0</v>
      </c>
      <c r="T463" s="148">
        <f t="shared" si="210"/>
        <v>0</v>
      </c>
      <c r="U463" s="148">
        <f t="shared" si="210"/>
        <v>0</v>
      </c>
      <c r="V463" s="149">
        <f t="shared" si="210"/>
        <v>0</v>
      </c>
      <c r="W463" s="133" t="str">
        <f t="shared" si="209"/>
        <v/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hidden="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28"/>
      <c r="H464" s="423">
        <f t="shared" ref="H464:H478" si="211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8" si="212">IF(ISERROR(I464-K464),"",I464-K464)</f>
        <v>0</v>
      </c>
      <c r="N464" s="130">
        <f t="shared" ref="N464:N478" si="213">SUM(O464:U464)</f>
        <v>0</v>
      </c>
      <c r="O464" s="415"/>
      <c r="P464" s="415"/>
      <c r="Q464" s="415"/>
      <c r="R464" s="415"/>
      <c r="S464" s="415"/>
      <c r="T464" s="415"/>
      <c r="U464" s="415"/>
      <c r="V464" s="132">
        <f t="shared" ref="V464:V478" si="214">SUM(X464:AA464)</f>
        <v>0</v>
      </c>
      <c r="W464" s="133" t="str">
        <f t="shared" si="209"/>
        <v/>
      </c>
      <c r="X464" s="132"/>
      <c r="Y464" s="132"/>
      <c r="Z464" s="132"/>
      <c r="AA464" s="132"/>
    </row>
    <row r="465" spans="1:27" ht="20.100000000000001" hidden="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28"/>
      <c r="H465" s="423">
        <f t="shared" si="211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2"/>
        <v>0</v>
      </c>
      <c r="N465" s="130">
        <f t="shared" si="213"/>
        <v>0</v>
      </c>
      <c r="O465" s="415"/>
      <c r="P465" s="415"/>
      <c r="Q465" s="415"/>
      <c r="R465" s="415"/>
      <c r="S465" s="415"/>
      <c r="T465" s="415"/>
      <c r="U465" s="415"/>
      <c r="V465" s="132">
        <f t="shared" si="214"/>
        <v>0</v>
      </c>
      <c r="W465" s="133" t="str">
        <f t="shared" si="209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28"/>
      <c r="H466" s="423">
        <f t="shared" si="211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2"/>
        <v>0</v>
      </c>
      <c r="N466" s="130">
        <f t="shared" si="213"/>
        <v>0</v>
      </c>
      <c r="O466" s="415"/>
      <c r="P466" s="415"/>
      <c r="Q466" s="415"/>
      <c r="R466" s="415"/>
      <c r="S466" s="415"/>
      <c r="T466" s="415"/>
      <c r="U466" s="415"/>
      <c r="V466" s="132">
        <f t="shared" si="214"/>
        <v>0</v>
      </c>
      <c r="W466" s="133" t="str">
        <f t="shared" si="209"/>
        <v/>
      </c>
      <c r="X466" s="132"/>
      <c r="Y466" s="132"/>
      <c r="Z466" s="132"/>
      <c r="AA466" s="132"/>
    </row>
    <row r="467" spans="1:27" ht="20.100000000000001" hidden="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28"/>
      <c r="H467" s="423">
        <f t="shared" si="211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2"/>
        <v>0</v>
      </c>
      <c r="N467" s="130">
        <f t="shared" si="213"/>
        <v>0</v>
      </c>
      <c r="O467" s="415"/>
      <c r="P467" s="415"/>
      <c r="Q467" s="415"/>
      <c r="R467" s="415"/>
      <c r="S467" s="415"/>
      <c r="T467" s="415"/>
      <c r="U467" s="415"/>
      <c r="V467" s="132">
        <f t="shared" si="214"/>
        <v>0</v>
      </c>
      <c r="W467" s="133" t="str">
        <f t="shared" si="209"/>
        <v/>
      </c>
      <c r="X467" s="132"/>
      <c r="Y467" s="132"/>
      <c r="Z467" s="132"/>
      <c r="AA467" s="132"/>
    </row>
    <row r="468" spans="1:27" ht="20.100000000000001" hidden="1" customHeight="1">
      <c r="A468" s="299">
        <v>30100054</v>
      </c>
      <c r="B468" s="140" t="s">
        <v>227</v>
      </c>
      <c r="C468" s="419" t="s">
        <v>203</v>
      </c>
      <c r="D468" s="108">
        <v>5.03</v>
      </c>
      <c r="E468" s="108"/>
      <c r="F468" s="127"/>
      <c r="G468" s="128"/>
      <c r="H468" s="423">
        <f t="shared" si="211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2"/>
        <v>0</v>
      </c>
      <c r="N468" s="130">
        <f t="shared" si="213"/>
        <v>0</v>
      </c>
      <c r="O468" s="415"/>
      <c r="P468" s="415"/>
      <c r="Q468" s="415"/>
      <c r="R468" s="415"/>
      <c r="S468" s="415"/>
      <c r="T468" s="415"/>
      <c r="U468" s="415"/>
      <c r="V468" s="132">
        <f t="shared" si="214"/>
        <v>0</v>
      </c>
      <c r="W468" s="133" t="str">
        <f t="shared" si="209"/>
        <v/>
      </c>
      <c r="X468" s="132"/>
      <c r="Y468" s="132"/>
      <c r="Z468" s="132"/>
      <c r="AA468" s="132"/>
    </row>
    <row r="469" spans="1:27" ht="20.100000000000001" hidden="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28"/>
      <c r="H469" s="423">
        <f t="shared" si="211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2"/>
        <v>0</v>
      </c>
      <c r="N469" s="130">
        <f t="shared" si="213"/>
        <v>0</v>
      </c>
      <c r="O469" s="415"/>
      <c r="P469" s="415"/>
      <c r="Q469" s="415"/>
      <c r="R469" s="415"/>
      <c r="S469" s="415"/>
      <c r="T469" s="415"/>
      <c r="U469" s="415"/>
      <c r="V469" s="132">
        <f t="shared" si="214"/>
        <v>0</v>
      </c>
      <c r="W469" s="133" t="str">
        <f t="shared" si="209"/>
        <v/>
      </c>
      <c r="X469" s="132"/>
      <c r="Y469" s="132"/>
      <c r="Z469" s="132"/>
      <c r="AA469" s="132"/>
    </row>
    <row r="470" spans="1:27" ht="20.100000000000001" hidden="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28"/>
      <c r="H470" s="423">
        <f t="shared" si="211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2"/>
        <v>0</v>
      </c>
      <c r="N470" s="130">
        <f t="shared" si="213"/>
        <v>0</v>
      </c>
      <c r="O470" s="415"/>
      <c r="P470" s="415"/>
      <c r="Q470" s="415"/>
      <c r="R470" s="415"/>
      <c r="S470" s="415"/>
      <c r="T470" s="415"/>
      <c r="U470" s="415"/>
      <c r="V470" s="132">
        <f t="shared" si="214"/>
        <v>0</v>
      </c>
      <c r="W470" s="133" t="str">
        <f t="shared" si="209"/>
        <v/>
      </c>
      <c r="X470" s="132"/>
      <c r="Y470" s="132"/>
      <c r="Z470" s="132"/>
      <c r="AA470" s="132"/>
    </row>
    <row r="471" spans="1:27" ht="20.100000000000001" hidden="1" customHeight="1">
      <c r="A471" s="299"/>
      <c r="B471" s="140" t="s">
        <v>227</v>
      </c>
      <c r="C471" s="419" t="s">
        <v>228</v>
      </c>
      <c r="D471" s="108">
        <v>5.03</v>
      </c>
      <c r="E471" s="108"/>
      <c r="F471" s="127"/>
      <c r="G471" s="128"/>
      <c r="H471" s="423">
        <f t="shared" si="211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2"/>
        <v>0</v>
      </c>
      <c r="N471" s="130">
        <f t="shared" si="213"/>
        <v>0</v>
      </c>
      <c r="O471" s="415"/>
      <c r="P471" s="415"/>
      <c r="Q471" s="415"/>
      <c r="R471" s="415"/>
      <c r="S471" s="415"/>
      <c r="T471" s="415"/>
      <c r="U471" s="415"/>
      <c r="V471" s="132">
        <f t="shared" si="214"/>
        <v>0</v>
      </c>
      <c r="W471" s="133" t="str">
        <f t="shared" si="209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30101067</v>
      </c>
      <c r="B472" s="140" t="s">
        <v>229</v>
      </c>
      <c r="C472" s="419" t="s">
        <v>212</v>
      </c>
      <c r="D472" s="108">
        <v>5.03</v>
      </c>
      <c r="E472" s="108"/>
      <c r="F472" s="127"/>
      <c r="G472" s="128"/>
      <c r="H472" s="423">
        <f t="shared" si="211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2"/>
        <v/>
      </c>
      <c r="N472" s="130">
        <f t="shared" si="213"/>
        <v>0</v>
      </c>
      <c r="O472" s="415"/>
      <c r="P472" s="415"/>
      <c r="Q472" s="415"/>
      <c r="R472" s="415"/>
      <c r="S472" s="415"/>
      <c r="T472" s="415"/>
      <c r="U472" s="415"/>
      <c r="V472" s="132">
        <f t="shared" si="214"/>
        <v>0</v>
      </c>
      <c r="W472" s="133" t="str">
        <f t="shared" si="209"/>
        <v/>
      </c>
      <c r="X472" s="132"/>
      <c r="Y472" s="132"/>
      <c r="Z472" s="132"/>
      <c r="AA472" s="132"/>
    </row>
    <row r="473" spans="1:27" ht="20.100000000000001" hidden="1" customHeight="1">
      <c r="A473" s="299">
        <v>30101068</v>
      </c>
      <c r="B473" s="140" t="s">
        <v>229</v>
      </c>
      <c r="C473" s="419" t="s">
        <v>203</v>
      </c>
      <c r="D473" s="108">
        <v>5.03</v>
      </c>
      <c r="E473" s="108"/>
      <c r="F473" s="127"/>
      <c r="G473" s="128"/>
      <c r="H473" s="423">
        <f t="shared" si="211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2"/>
        <v/>
      </c>
      <c r="N473" s="130">
        <f t="shared" si="213"/>
        <v>0</v>
      </c>
      <c r="O473" s="415"/>
      <c r="P473" s="415"/>
      <c r="Q473" s="415"/>
      <c r="R473" s="415"/>
      <c r="S473" s="415"/>
      <c r="T473" s="415"/>
      <c r="U473" s="415"/>
      <c r="V473" s="132">
        <f t="shared" si="214"/>
        <v>0</v>
      </c>
      <c r="W473" s="133" t="str">
        <f t="shared" si="209"/>
        <v/>
      </c>
      <c r="X473" s="132"/>
      <c r="Y473" s="132"/>
      <c r="Z473" s="132"/>
      <c r="AA473" s="132"/>
    </row>
    <row r="474" spans="1:27" ht="20.100000000000001" hidden="1" customHeight="1">
      <c r="A474" s="299">
        <v>30101069</v>
      </c>
      <c r="B474" s="140" t="s">
        <v>229</v>
      </c>
      <c r="C474" s="419" t="s">
        <v>186</v>
      </c>
      <c r="D474" s="108">
        <v>5.03</v>
      </c>
      <c r="E474" s="108"/>
      <c r="F474" s="127"/>
      <c r="G474" s="128"/>
      <c r="H474" s="423">
        <f t="shared" si="211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2"/>
        <v/>
      </c>
      <c r="N474" s="130">
        <f t="shared" si="213"/>
        <v>0</v>
      </c>
      <c r="O474" s="415"/>
      <c r="P474" s="415"/>
      <c r="Q474" s="415"/>
      <c r="R474" s="415"/>
      <c r="S474" s="415"/>
      <c r="T474" s="415"/>
      <c r="U474" s="415"/>
      <c r="V474" s="132">
        <f t="shared" si="214"/>
        <v>0</v>
      </c>
      <c r="W474" s="133" t="str">
        <f t="shared" si="209"/>
        <v/>
      </c>
      <c r="X474" s="132"/>
      <c r="Y474" s="132"/>
      <c r="Z474" s="132"/>
      <c r="AA474" s="132"/>
    </row>
    <row r="475" spans="1:27" ht="20.100000000000001" hidden="1" customHeight="1">
      <c r="A475" s="299">
        <v>30101070</v>
      </c>
      <c r="B475" s="140" t="s">
        <v>229</v>
      </c>
      <c r="C475" s="419" t="s">
        <v>228</v>
      </c>
      <c r="D475" s="108">
        <v>5.03</v>
      </c>
      <c r="E475" s="108"/>
      <c r="F475" s="127"/>
      <c r="G475" s="128"/>
      <c r="H475" s="423">
        <f t="shared" si="211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2"/>
        <v/>
      </c>
      <c r="N475" s="130">
        <f t="shared" si="213"/>
        <v>0</v>
      </c>
      <c r="O475" s="415"/>
      <c r="P475" s="415"/>
      <c r="Q475" s="415"/>
      <c r="R475" s="415"/>
      <c r="S475" s="415"/>
      <c r="T475" s="415"/>
      <c r="U475" s="415"/>
      <c r="V475" s="132">
        <f t="shared" si="214"/>
        <v>0</v>
      </c>
      <c r="W475" s="133" t="str">
        <f t="shared" si="209"/>
        <v/>
      </c>
      <c r="X475" s="132"/>
      <c r="Y475" s="132"/>
      <c r="Z475" s="132"/>
      <c r="AA475" s="132"/>
    </row>
    <row r="476" spans="1:27" ht="20.100000000000001" hidden="1" customHeight="1">
      <c r="A476" s="299">
        <v>30101071</v>
      </c>
      <c r="B476" s="140" t="s">
        <v>229</v>
      </c>
      <c r="C476" s="419" t="s">
        <v>199</v>
      </c>
      <c r="D476" s="108">
        <v>5.03</v>
      </c>
      <c r="E476" s="108"/>
      <c r="F476" s="127"/>
      <c r="G476" s="128"/>
      <c r="H476" s="423">
        <f t="shared" si="211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2"/>
        <v/>
      </c>
      <c r="N476" s="130">
        <f t="shared" si="213"/>
        <v>0</v>
      </c>
      <c r="O476" s="415"/>
      <c r="P476" s="415"/>
      <c r="Q476" s="415"/>
      <c r="R476" s="415"/>
      <c r="S476" s="415"/>
      <c r="T476" s="415"/>
      <c r="U476" s="415"/>
      <c r="V476" s="132">
        <f t="shared" si="214"/>
        <v>0</v>
      </c>
      <c r="W476" s="133" t="str">
        <f t="shared" si="209"/>
        <v/>
      </c>
      <c r="X476" s="132"/>
      <c r="Y476" s="132"/>
      <c r="Z476" s="132"/>
      <c r="AA476" s="132"/>
    </row>
    <row r="477" spans="1:27" ht="20.100000000000001" hidden="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28"/>
      <c r="H477" s="423">
        <f t="shared" si="211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si="212"/>
        <v>0</v>
      </c>
      <c r="N477" s="130">
        <f t="shared" si="213"/>
        <v>0</v>
      </c>
      <c r="O477" s="415"/>
      <c r="P477" s="415"/>
      <c r="Q477" s="415"/>
      <c r="R477" s="415"/>
      <c r="S477" s="415"/>
      <c r="T477" s="415"/>
      <c r="U477" s="415"/>
      <c r="V477" s="132">
        <f t="shared" si="214"/>
        <v>0</v>
      </c>
      <c r="W477" s="133" t="str">
        <f t="shared" si="209"/>
        <v/>
      </c>
      <c r="X477" s="132"/>
      <c r="Y477" s="132"/>
      <c r="Z477" s="132"/>
      <c r="AA477" s="132"/>
    </row>
    <row r="478" spans="1:27" ht="20.100000000000001" hidden="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28"/>
      <c r="H478" s="423">
        <f t="shared" si="211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2"/>
        <v>0</v>
      </c>
      <c r="N478" s="130">
        <f t="shared" si="213"/>
        <v>0</v>
      </c>
      <c r="O478" s="415"/>
      <c r="P478" s="415"/>
      <c r="Q478" s="415"/>
      <c r="R478" s="415"/>
      <c r="S478" s="415"/>
      <c r="T478" s="415"/>
      <c r="U478" s="415"/>
      <c r="V478" s="132">
        <f t="shared" si="214"/>
        <v>0</v>
      </c>
      <c r="W478" s="133" t="str">
        <f t="shared" si="209"/>
        <v/>
      </c>
      <c r="X478" s="132"/>
      <c r="Y478" s="132"/>
      <c r="Z478" s="132"/>
      <c r="AA478" s="132"/>
    </row>
    <row r="479" spans="1:27" ht="20.100000000000001" hidden="1" customHeight="1">
      <c r="A479" s="578" t="s">
        <v>231</v>
      </c>
      <c r="B479" s="579"/>
      <c r="C479" s="421" t="s">
        <v>202</v>
      </c>
      <c r="D479" s="143"/>
      <c r="E479" s="143"/>
      <c r="F479" s="144"/>
      <c r="G479" s="145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09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hidden="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28"/>
      <c r="H480" s="423">
        <f t="shared" ref="H480:H489" si="215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4" si="216">IF(ISERROR(I480-K480),"",I480-K480)</f>
        <v>0</v>
      </c>
      <c r="N480" s="130">
        <f t="shared" ref="N480:N484" si="217">SUM(O480:U480)</f>
        <v>0</v>
      </c>
      <c r="O480" s="415"/>
      <c r="P480" s="415"/>
      <c r="Q480" s="415"/>
      <c r="R480" s="415"/>
      <c r="S480" s="415"/>
      <c r="T480" s="415"/>
      <c r="U480" s="415"/>
      <c r="V480" s="132">
        <f t="shared" ref="V480:V484" si="218">SUM(X480:AA480)</f>
        <v>0</v>
      </c>
      <c r="W480" s="133" t="str">
        <f t="shared" si="209"/>
        <v/>
      </c>
      <c r="X480" s="132"/>
      <c r="Y480" s="132"/>
      <c r="Z480" s="132"/>
      <c r="AA480" s="132"/>
    </row>
    <row r="481" spans="1:27" ht="20.100000000000001" hidden="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28"/>
      <c r="H481" s="423">
        <f t="shared" si="215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6"/>
        <v>0</v>
      </c>
      <c r="N481" s="130">
        <f t="shared" si="217"/>
        <v>0</v>
      </c>
      <c r="O481" s="415"/>
      <c r="P481" s="415"/>
      <c r="Q481" s="415"/>
      <c r="R481" s="415"/>
      <c r="S481" s="415"/>
      <c r="T481" s="415"/>
      <c r="U481" s="415"/>
      <c r="V481" s="132">
        <f t="shared" si="218"/>
        <v>0</v>
      </c>
      <c r="W481" s="133" t="str">
        <f t="shared" si="209"/>
        <v/>
      </c>
      <c r="X481" s="132"/>
      <c r="Y481" s="132"/>
      <c r="Z481" s="132"/>
      <c r="AA481" s="132"/>
    </row>
    <row r="482" spans="1:27" ht="20.100000000000001" hidden="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28"/>
      <c r="H482" s="423">
        <f t="shared" si="215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6"/>
        <v>0</v>
      </c>
      <c r="N482" s="130">
        <f t="shared" si="217"/>
        <v>0</v>
      </c>
      <c r="O482" s="415"/>
      <c r="P482" s="415"/>
      <c r="Q482" s="415"/>
      <c r="R482" s="415"/>
      <c r="S482" s="415"/>
      <c r="T482" s="415"/>
      <c r="U482" s="415"/>
      <c r="V482" s="132">
        <f t="shared" si="218"/>
        <v>0</v>
      </c>
      <c r="W482" s="133" t="str">
        <f t="shared" si="209"/>
        <v/>
      </c>
      <c r="X482" s="132"/>
      <c r="Y482" s="132"/>
      <c r="Z482" s="132"/>
      <c r="AA482" s="132"/>
    </row>
    <row r="483" spans="1:27" ht="20.100000000000001" hidden="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28"/>
      <c r="H483" s="423">
        <f t="shared" si="215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16"/>
        <v>0</v>
      </c>
      <c r="N483" s="130">
        <f t="shared" si="217"/>
        <v>0</v>
      </c>
      <c r="O483" s="415"/>
      <c r="P483" s="415"/>
      <c r="Q483" s="415"/>
      <c r="R483" s="415"/>
      <c r="S483" s="415"/>
      <c r="T483" s="415"/>
      <c r="U483" s="415"/>
      <c r="V483" s="132">
        <f t="shared" si="218"/>
        <v>0</v>
      </c>
      <c r="W483" s="133" t="str">
        <f t="shared" si="209"/>
        <v/>
      </c>
      <c r="X483" s="132"/>
      <c r="Y483" s="132"/>
      <c r="Z483" s="132"/>
      <c r="AA483" s="132"/>
    </row>
    <row r="484" spans="1:27" ht="20.100000000000001" hidden="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28"/>
      <c r="H484" s="423">
        <f t="shared" si="215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16"/>
        <v>0</v>
      </c>
      <c r="N484" s="130">
        <f t="shared" si="217"/>
        <v>0</v>
      </c>
      <c r="O484" s="415"/>
      <c r="P484" s="415"/>
      <c r="Q484" s="415"/>
      <c r="R484" s="415"/>
      <c r="S484" s="415"/>
      <c r="T484" s="415"/>
      <c r="U484" s="415"/>
      <c r="V484" s="132">
        <f t="shared" si="218"/>
        <v>0</v>
      </c>
      <c r="W484" s="133" t="str">
        <f t="shared" si="209"/>
        <v/>
      </c>
      <c r="X484" s="132"/>
      <c r="Y484" s="132"/>
      <c r="Z484" s="132"/>
      <c r="AA484" s="132"/>
    </row>
    <row r="485" spans="1:27" ht="20.100000000000001" hidden="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28"/>
      <c r="H485" s="423">
        <f t="shared" si="215"/>
        <v>0</v>
      </c>
      <c r="I485" s="129"/>
      <c r="J485" s="130"/>
      <c r="K485" s="131"/>
      <c r="L485" s="129">
        <v>13.5</v>
      </c>
      <c r="M485" s="109"/>
      <c r="N485" s="130"/>
      <c r="O485" s="415"/>
      <c r="P485" s="415"/>
      <c r="Q485" s="415"/>
      <c r="R485" s="415"/>
      <c r="S485" s="415"/>
      <c r="T485" s="415"/>
      <c r="U485" s="415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30400020</v>
      </c>
      <c r="B486" s="134" t="s">
        <v>439</v>
      </c>
      <c r="C486" s="187" t="s">
        <v>74</v>
      </c>
      <c r="D486" s="108">
        <v>5.04</v>
      </c>
      <c r="E486" s="108"/>
      <c r="F486" s="127"/>
      <c r="G486" s="128"/>
      <c r="H486" s="423">
        <f t="shared" si="215"/>
        <v>0</v>
      </c>
      <c r="I486" s="129"/>
      <c r="J486" s="130"/>
      <c r="K486" s="131"/>
      <c r="L486" s="129">
        <v>13.5</v>
      </c>
      <c r="M486" s="109"/>
      <c r="N486" s="130"/>
      <c r="O486" s="415"/>
      <c r="P486" s="415"/>
      <c r="Q486" s="415"/>
      <c r="R486" s="415"/>
      <c r="S486" s="415"/>
      <c r="T486" s="415"/>
      <c r="U486" s="415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0">
        <v>30400021</v>
      </c>
      <c r="B487" s="134" t="s">
        <v>439</v>
      </c>
      <c r="C487" s="187" t="s">
        <v>53</v>
      </c>
      <c r="D487" s="108">
        <v>5.04</v>
      </c>
      <c r="E487" s="108"/>
      <c r="F487" s="127"/>
      <c r="G487" s="128"/>
      <c r="H487" s="423">
        <f t="shared" si="215"/>
        <v>0</v>
      </c>
      <c r="I487" s="129"/>
      <c r="J487" s="130"/>
      <c r="K487" s="131"/>
      <c r="L487" s="129">
        <v>13.5</v>
      </c>
      <c r="M487" s="109"/>
      <c r="N487" s="130"/>
      <c r="O487" s="415"/>
      <c r="P487" s="415"/>
      <c r="Q487" s="415"/>
      <c r="R487" s="415"/>
      <c r="S487" s="415"/>
      <c r="T487" s="415"/>
      <c r="U487" s="415"/>
      <c r="V487" s="132"/>
      <c r="W487" s="133"/>
      <c r="X487" s="132"/>
      <c r="Y487" s="132"/>
      <c r="Z487" s="132"/>
      <c r="AA487" s="132"/>
    </row>
    <row r="488" spans="1:27" ht="20.10000000000000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28"/>
      <c r="H488" s="438">
        <f t="shared" si="215"/>
        <v>0</v>
      </c>
      <c r="I488" s="129"/>
      <c r="J488" s="130"/>
      <c r="K488" s="131"/>
      <c r="L488" s="129">
        <v>13.5</v>
      </c>
      <c r="M488" s="109"/>
      <c r="N488" s="130"/>
      <c r="O488" s="446"/>
      <c r="P488" s="446"/>
      <c r="Q488" s="446"/>
      <c r="R488" s="446"/>
      <c r="S488" s="446"/>
      <c r="T488" s="446"/>
      <c r="U488" s="446"/>
      <c r="V488" s="132"/>
      <c r="W488" s="133"/>
      <c r="X488" s="132"/>
      <c r="Y488" s="132"/>
      <c r="Z488" s="132"/>
      <c r="AA488" s="132"/>
    </row>
    <row r="489" spans="1:27" ht="20.100000000000001" hidden="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28"/>
      <c r="H489" s="423">
        <f t="shared" si="215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ref="M489" si="219">IF(ISERROR(I489-K489),"",I489-K489)</f>
        <v>0</v>
      </c>
      <c r="N489" s="130">
        <f t="shared" ref="N489" si="220">SUM(O489:U489)</f>
        <v>0</v>
      </c>
      <c r="O489" s="415"/>
      <c r="P489" s="415"/>
      <c r="Q489" s="415"/>
      <c r="R489" s="415"/>
      <c r="S489" s="415"/>
      <c r="T489" s="415"/>
      <c r="U489" s="415"/>
      <c r="V489" s="132">
        <f t="shared" ref="V489" si="221">SUM(X489:AA489)</f>
        <v>0</v>
      </c>
      <c r="W489" s="133" t="str">
        <f t="shared" ref="W489:W494" si="222">IF(ISERROR(V489/G489),"",V489/G489)</f>
        <v/>
      </c>
      <c r="X489" s="132"/>
      <c r="Y489" s="132"/>
      <c r="Z489" s="132"/>
      <c r="AA489" s="132"/>
    </row>
    <row r="490" spans="1:27" ht="20.100000000000001" hidden="1" customHeight="1">
      <c r="A490" s="578" t="s">
        <v>234</v>
      </c>
      <c r="B490" s="579"/>
      <c r="C490" s="421" t="s">
        <v>202</v>
      </c>
      <c r="D490" s="143"/>
      <c r="E490" s="143"/>
      <c r="F490" s="144"/>
      <c r="G490" s="145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2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hidden="1" customHeight="1">
      <c r="A491" s="299">
        <v>30700013</v>
      </c>
      <c r="B491" s="141" t="s">
        <v>235</v>
      </c>
      <c r="C491" s="413"/>
      <c r="D491" s="108">
        <v>3.65</v>
      </c>
      <c r="E491" s="108"/>
      <c r="F491" s="153"/>
      <c r="G491" s="128"/>
      <c r="H491" s="423">
        <f t="shared" ref="H491:H505" si="223">D491*G491</f>
        <v>0</v>
      </c>
      <c r="I491" s="129"/>
      <c r="J491" s="130" t="str">
        <f t="array" ref="J491">IF(ISERROR(G491/I491),"",G491/I491)</f>
        <v/>
      </c>
      <c r="K491" s="423">
        <f t="array" ref="K491">IF(ISERROR(G491/L491),"",G491/L491)</f>
        <v>0</v>
      </c>
      <c r="L491" s="129">
        <v>5</v>
      </c>
      <c r="M491" s="109">
        <f t="shared" ref="M491:M494" si="224">IF(ISERROR(I491-K491),"",I491-K491)</f>
        <v>0</v>
      </c>
      <c r="N491" s="130">
        <f t="shared" ref="N491:N494" si="225">SUM(O491:U491)</f>
        <v>0</v>
      </c>
      <c r="O491" s="415"/>
      <c r="P491" s="415"/>
      <c r="Q491" s="415"/>
      <c r="R491" s="415"/>
      <c r="S491" s="415"/>
      <c r="T491" s="415"/>
      <c r="U491" s="415"/>
      <c r="V491" s="132">
        <f t="shared" ref="V491:V494" si="226">SUM(X491:AA491)</f>
        <v>0</v>
      </c>
      <c r="W491" s="133" t="str">
        <f t="shared" si="222"/>
        <v/>
      </c>
      <c r="X491" s="132"/>
      <c r="Y491" s="132"/>
      <c r="Z491" s="132"/>
      <c r="AA491" s="132"/>
    </row>
    <row r="492" spans="1:27" ht="20.100000000000001" hidden="1" customHeight="1">
      <c r="A492" s="299">
        <v>30700014</v>
      </c>
      <c r="B492" s="141" t="s">
        <v>236</v>
      </c>
      <c r="C492" s="413"/>
      <c r="D492" s="108">
        <v>6.58</v>
      </c>
      <c r="E492" s="108"/>
      <c r="F492" s="127"/>
      <c r="G492" s="128"/>
      <c r="H492" s="423">
        <f t="shared" si="223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4"/>
        <v>0</v>
      </c>
      <c r="N492" s="130">
        <f t="shared" si="225"/>
        <v>0</v>
      </c>
      <c r="O492" s="415"/>
      <c r="P492" s="415"/>
      <c r="Q492" s="415"/>
      <c r="R492" s="415"/>
      <c r="S492" s="415"/>
      <c r="T492" s="415"/>
      <c r="U492" s="415"/>
      <c r="V492" s="132">
        <f t="shared" si="226"/>
        <v>0</v>
      </c>
      <c r="W492" s="133" t="str">
        <f t="shared" si="222"/>
        <v/>
      </c>
      <c r="X492" s="132"/>
      <c r="Y492" s="132"/>
      <c r="Z492" s="132"/>
      <c r="AA492" s="132"/>
    </row>
    <row r="493" spans="1:27" ht="20.100000000000001" hidden="1" customHeight="1">
      <c r="A493" s="299">
        <v>30700016</v>
      </c>
      <c r="B493" s="141" t="s">
        <v>237</v>
      </c>
      <c r="C493" s="413"/>
      <c r="D493" s="108">
        <v>7.8</v>
      </c>
      <c r="E493" s="108"/>
      <c r="F493" s="127"/>
      <c r="G493" s="128"/>
      <c r="H493" s="423">
        <f t="shared" si="223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4"/>
        <v>0</v>
      </c>
      <c r="N493" s="130">
        <f t="shared" si="225"/>
        <v>0</v>
      </c>
      <c r="O493" s="415"/>
      <c r="P493" s="415"/>
      <c r="Q493" s="415"/>
      <c r="R493" s="415"/>
      <c r="S493" s="415"/>
      <c r="T493" s="415"/>
      <c r="U493" s="415"/>
      <c r="V493" s="132">
        <f t="shared" si="226"/>
        <v>0</v>
      </c>
      <c r="W493" s="133" t="str">
        <f t="shared" si="222"/>
        <v/>
      </c>
      <c r="X493" s="132"/>
      <c r="Y493" s="132"/>
      <c r="Z493" s="132"/>
      <c r="AA493" s="132"/>
    </row>
    <row r="494" spans="1:27" ht="20.100000000000001" hidden="1" customHeight="1">
      <c r="A494" s="299">
        <v>30700017</v>
      </c>
      <c r="B494" s="141" t="s">
        <v>238</v>
      </c>
      <c r="C494" s="413"/>
      <c r="D494" s="108">
        <v>4.4000000000000004</v>
      </c>
      <c r="E494" s="108"/>
      <c r="F494" s="127"/>
      <c r="G494" s="128"/>
      <c r="H494" s="423">
        <f t="shared" si="223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4"/>
        <v>0</v>
      </c>
      <c r="N494" s="130">
        <f t="shared" si="225"/>
        <v>0</v>
      </c>
      <c r="O494" s="415"/>
      <c r="P494" s="415"/>
      <c r="Q494" s="415"/>
      <c r="R494" s="415"/>
      <c r="S494" s="415"/>
      <c r="T494" s="415"/>
      <c r="U494" s="415"/>
      <c r="V494" s="132">
        <f t="shared" si="226"/>
        <v>0</v>
      </c>
      <c r="W494" s="133" t="str">
        <f t="shared" si="222"/>
        <v/>
      </c>
      <c r="X494" s="132"/>
      <c r="Y494" s="132"/>
      <c r="Z494" s="132"/>
      <c r="AA494" s="132"/>
    </row>
    <row r="495" spans="1:27" ht="20.100000000000001" hidden="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28"/>
      <c r="H495" s="423">
        <f t="shared" si="223"/>
        <v>0</v>
      </c>
      <c r="I495" s="129"/>
      <c r="J495" s="130"/>
      <c r="K495" s="131"/>
      <c r="L495" s="129"/>
      <c r="M495" s="109"/>
      <c r="N495" s="130"/>
      <c r="O495" s="415"/>
      <c r="P495" s="415"/>
      <c r="Q495" s="415"/>
      <c r="R495" s="415"/>
      <c r="S495" s="415"/>
      <c r="T495" s="415"/>
      <c r="U495" s="415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299">
        <v>30700001</v>
      </c>
      <c r="B496" s="127" t="s">
        <v>359</v>
      </c>
      <c r="C496" s="413"/>
      <c r="D496" s="108"/>
      <c r="E496" s="108"/>
      <c r="F496" s="127"/>
      <c r="G496" s="128"/>
      <c r="H496" s="423">
        <f t="shared" si="223"/>
        <v>0</v>
      </c>
      <c r="I496" s="129"/>
      <c r="J496" s="130"/>
      <c r="K496" s="131"/>
      <c r="L496" s="129">
        <v>6</v>
      </c>
      <c r="M496" s="109"/>
      <c r="N496" s="130"/>
      <c r="O496" s="415"/>
      <c r="P496" s="415"/>
      <c r="Q496" s="415"/>
      <c r="R496" s="415"/>
      <c r="S496" s="415"/>
      <c r="T496" s="415"/>
      <c r="U496" s="415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/>
      <c r="B497" s="413" t="s">
        <v>239</v>
      </c>
      <c r="C497" s="413" t="s">
        <v>179</v>
      </c>
      <c r="D497" s="108">
        <v>6.04</v>
      </c>
      <c r="E497" s="108"/>
      <c r="F497" s="127"/>
      <c r="G497" s="128"/>
      <c r="H497" s="423">
        <f t="shared" si="223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498" si="227">IF(ISERROR(I497-K497),"",I497-K497)</f>
        <v>0</v>
      </c>
      <c r="N497" s="130">
        <f t="shared" ref="N497:N498" si="228">SUM(O497:U497)</f>
        <v>0</v>
      </c>
      <c r="O497" s="415"/>
      <c r="P497" s="415"/>
      <c r="Q497" s="415"/>
      <c r="R497" s="415"/>
      <c r="S497" s="415"/>
      <c r="T497" s="415"/>
      <c r="U497" s="415"/>
      <c r="V497" s="132">
        <f t="shared" ref="V497:V498" si="229">SUM(X497:AA497)</f>
        <v>0</v>
      </c>
      <c r="W497" s="133" t="str">
        <f t="shared" ref="W497:W498" si="230">IF(ISERROR(V497/G497),"",V497/G497)</f>
        <v/>
      </c>
      <c r="X497" s="132"/>
      <c r="Y497" s="132"/>
      <c r="Z497" s="132"/>
      <c r="AA497" s="132"/>
    </row>
    <row r="498" spans="1:27" ht="20.100000000000001" hidden="1" customHeight="1">
      <c r="A498" s="305">
        <v>30700019</v>
      </c>
      <c r="B498" s="413" t="s">
        <v>239</v>
      </c>
      <c r="C498" s="413" t="s">
        <v>186</v>
      </c>
      <c r="D498" s="108">
        <v>6.04</v>
      </c>
      <c r="E498" s="108"/>
      <c r="F498" s="127"/>
      <c r="G498" s="128"/>
      <c r="H498" s="423">
        <f t="shared" si="223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7"/>
        <v>0</v>
      </c>
      <c r="N498" s="130">
        <f t="shared" si="228"/>
        <v>0</v>
      </c>
      <c r="O498" s="415"/>
      <c r="P498" s="415"/>
      <c r="Q498" s="415"/>
      <c r="R498" s="415"/>
      <c r="S498" s="415"/>
      <c r="T498" s="415"/>
      <c r="U498" s="415"/>
      <c r="V498" s="132">
        <f t="shared" si="229"/>
        <v>0</v>
      </c>
      <c r="W498" s="133" t="str">
        <f t="shared" si="230"/>
        <v/>
      </c>
      <c r="X498" s="132"/>
      <c r="Y498" s="132"/>
      <c r="Z498" s="132"/>
      <c r="AA498" s="132"/>
    </row>
    <row r="499" spans="1:27" ht="20.100000000000001" hidden="1" customHeight="1">
      <c r="A499" s="305">
        <v>30601015</v>
      </c>
      <c r="B499" s="413" t="s">
        <v>443</v>
      </c>
      <c r="C499" s="413" t="s">
        <v>179</v>
      </c>
      <c r="D499" s="108"/>
      <c r="E499" s="108"/>
      <c r="F499" s="127"/>
      <c r="G499" s="128"/>
      <c r="H499" s="423">
        <f t="shared" si="223"/>
        <v>0</v>
      </c>
      <c r="I499" s="129"/>
      <c r="J499" s="130"/>
      <c r="K499" s="131"/>
      <c r="L499" s="129"/>
      <c r="M499" s="109"/>
      <c r="N499" s="130"/>
      <c r="O499" s="415"/>
      <c r="P499" s="415"/>
      <c r="Q499" s="415"/>
      <c r="R499" s="415"/>
      <c r="S499" s="415"/>
      <c r="T499" s="415"/>
      <c r="U499" s="415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305">
        <v>30101016</v>
      </c>
      <c r="B500" s="413" t="s">
        <v>443</v>
      </c>
      <c r="C500" s="413" t="s">
        <v>186</v>
      </c>
      <c r="D500" s="108"/>
      <c r="E500" s="108"/>
      <c r="F500" s="127"/>
      <c r="G500" s="128"/>
      <c r="H500" s="423">
        <f t="shared" si="223"/>
        <v>0</v>
      </c>
      <c r="I500" s="129"/>
      <c r="J500" s="130"/>
      <c r="K500" s="131"/>
      <c r="L500" s="129"/>
      <c r="M500" s="109"/>
      <c r="N500" s="130"/>
      <c r="O500" s="415"/>
      <c r="P500" s="415"/>
      <c r="Q500" s="415"/>
      <c r="R500" s="415"/>
      <c r="S500" s="415"/>
      <c r="T500" s="415"/>
      <c r="U500" s="415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30700018</v>
      </c>
      <c r="B501" s="414" t="s">
        <v>240</v>
      </c>
      <c r="C501" s="126"/>
      <c r="D501" s="108">
        <v>7.3</v>
      </c>
      <c r="E501" s="108"/>
      <c r="F501" s="127"/>
      <c r="G501" s="128"/>
      <c r="H501" s="423">
        <f t="shared" si="223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ref="M501" si="231">IF(ISERROR(I501-K501),"",I501-K501)</f>
        <v>0</v>
      </c>
      <c r="N501" s="130">
        <f t="shared" ref="N501" si="232">SUM(O501:U501)</f>
        <v>0</v>
      </c>
      <c r="O501" s="415"/>
      <c r="P501" s="415"/>
      <c r="Q501" s="415"/>
      <c r="R501" s="415"/>
      <c r="S501" s="415"/>
      <c r="T501" s="415"/>
      <c r="U501" s="415"/>
      <c r="V501" s="132">
        <f t="shared" ref="V501" si="233">SUM(X501:AA501)</f>
        <v>0</v>
      </c>
      <c r="W501" s="133" t="str">
        <f t="shared" ref="W501" si="234">IF(ISERROR(V501/G501),"",V501/G501)</f>
        <v/>
      </c>
      <c r="X501" s="132"/>
      <c r="Y501" s="132"/>
      <c r="Z501" s="132"/>
      <c r="AA501" s="132"/>
    </row>
    <row r="502" spans="1:27" ht="20.100000000000001" hidden="1" customHeight="1">
      <c r="A502" s="299">
        <v>30700010</v>
      </c>
      <c r="B502" s="414" t="s">
        <v>241</v>
      </c>
      <c r="C502" s="126"/>
      <c r="D502" s="108">
        <f>78*120/1000</f>
        <v>9.36</v>
      </c>
      <c r="E502" s="108"/>
      <c r="F502" s="127"/>
      <c r="G502" s="128"/>
      <c r="H502" s="423">
        <f t="shared" si="223"/>
        <v>0</v>
      </c>
      <c r="I502" s="129"/>
      <c r="J502" s="130"/>
      <c r="K502" s="131"/>
      <c r="L502" s="129"/>
      <c r="M502" s="109"/>
      <c r="N502" s="130"/>
      <c r="O502" s="415"/>
      <c r="P502" s="415"/>
      <c r="Q502" s="415"/>
      <c r="R502" s="415"/>
      <c r="S502" s="415"/>
      <c r="T502" s="415"/>
      <c r="U502" s="415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299">
        <v>30700015</v>
      </c>
      <c r="B503" s="414" t="s">
        <v>242</v>
      </c>
      <c r="C503" s="126"/>
      <c r="D503" s="108">
        <v>4.5</v>
      </c>
      <c r="E503" s="108"/>
      <c r="F503" s="127"/>
      <c r="G503" s="128"/>
      <c r="H503" s="423">
        <f t="shared" si="223"/>
        <v>0</v>
      </c>
      <c r="I503" s="129"/>
      <c r="J503" s="130"/>
      <c r="K503" s="131"/>
      <c r="L503" s="129"/>
      <c r="M503" s="109"/>
      <c r="N503" s="130"/>
      <c r="O503" s="415"/>
      <c r="P503" s="415"/>
      <c r="Q503" s="415"/>
      <c r="R503" s="415"/>
      <c r="S503" s="415"/>
      <c r="T503" s="415"/>
      <c r="U503" s="415"/>
      <c r="V503" s="132"/>
      <c r="W503" s="133"/>
      <c r="X503" s="132"/>
      <c r="Y503" s="132"/>
      <c r="Z503" s="132"/>
      <c r="AA503" s="132"/>
    </row>
    <row r="504" spans="1:27" ht="20.100000000000001" hidden="1" customHeight="1">
      <c r="A504" s="299">
        <v>30700012</v>
      </c>
      <c r="B504" s="414" t="s">
        <v>243</v>
      </c>
      <c r="C504" s="126"/>
      <c r="D504" s="108">
        <v>4.5</v>
      </c>
      <c r="E504" s="108"/>
      <c r="F504" s="127"/>
      <c r="G504" s="128"/>
      <c r="H504" s="423">
        <f t="shared" si="223"/>
        <v>0</v>
      </c>
      <c r="I504" s="129"/>
      <c r="J504" s="130"/>
      <c r="K504" s="131"/>
      <c r="L504" s="129"/>
      <c r="M504" s="109"/>
      <c r="N504" s="130"/>
      <c r="O504" s="415"/>
      <c r="P504" s="415"/>
      <c r="Q504" s="415"/>
      <c r="R504" s="415"/>
      <c r="S504" s="415"/>
      <c r="T504" s="415"/>
      <c r="U504" s="415"/>
      <c r="V504" s="132"/>
      <c r="W504" s="133"/>
      <c r="X504" s="132"/>
      <c r="Y504" s="132"/>
      <c r="Z504" s="132"/>
      <c r="AA504" s="132"/>
    </row>
    <row r="505" spans="1:27" ht="20.100000000000001" hidden="1" customHeight="1">
      <c r="A505" s="299"/>
      <c r="B505" s="414"/>
      <c r="C505" s="126"/>
      <c r="D505" s="108"/>
      <c r="E505" s="108"/>
      <c r="F505" s="127"/>
      <c r="G505" s="128"/>
      <c r="H505" s="423">
        <f t="shared" si="223"/>
        <v>0</v>
      </c>
      <c r="I505" s="129"/>
      <c r="J505" s="130"/>
      <c r="K505" s="131"/>
      <c r="L505" s="129"/>
      <c r="M505" s="109"/>
      <c r="N505" s="130"/>
      <c r="O505" s="415"/>
      <c r="P505" s="415"/>
      <c r="Q505" s="415"/>
      <c r="R505" s="415"/>
      <c r="S505" s="415"/>
      <c r="T505" s="415"/>
      <c r="U505" s="415"/>
      <c r="V505" s="132"/>
      <c r="W505" s="133"/>
      <c r="X505" s="132"/>
      <c r="Y505" s="132"/>
      <c r="Z505" s="132"/>
      <c r="AA505" s="132"/>
    </row>
    <row r="506" spans="1:27" ht="20.100000000000001" hidden="1" customHeight="1">
      <c r="A506" s="578" t="s">
        <v>244</v>
      </c>
      <c r="B506" s="579"/>
      <c r="C506" s="421" t="s">
        <v>202</v>
      </c>
      <c r="D506" s="143"/>
      <c r="E506" s="143"/>
      <c r="F506" s="144"/>
      <c r="G506" s="145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5">SUM(M491:M501)</f>
        <v>0</v>
      </c>
      <c r="N506" s="146">
        <f t="shared" si="235"/>
        <v>0</v>
      </c>
      <c r="O506" s="148">
        <f t="shared" si="235"/>
        <v>0</v>
      </c>
      <c r="P506" s="148">
        <f t="shared" si="235"/>
        <v>0</v>
      </c>
      <c r="Q506" s="148">
        <f t="shared" si="235"/>
        <v>0</v>
      </c>
      <c r="R506" s="148">
        <f t="shared" si="235"/>
        <v>0</v>
      </c>
      <c r="S506" s="148">
        <f t="shared" si="235"/>
        <v>0</v>
      </c>
      <c r="T506" s="148">
        <f t="shared" si="235"/>
        <v>0</v>
      </c>
      <c r="U506" s="148">
        <f t="shared" si="235"/>
        <v>0</v>
      </c>
      <c r="V506" s="149">
        <f t="shared" si="235"/>
        <v>0</v>
      </c>
      <c r="W506" s="133">
        <f t="shared" si="235"/>
        <v>0</v>
      </c>
      <c r="X506" s="149">
        <f t="shared" si="235"/>
        <v>0</v>
      </c>
      <c r="Y506" s="149">
        <f t="shared" si="235"/>
        <v>0</v>
      </c>
      <c r="Z506" s="149">
        <f t="shared" si="235"/>
        <v>0</v>
      </c>
      <c r="AA506" s="149">
        <f t="shared" si="235"/>
        <v>0</v>
      </c>
    </row>
    <row r="507" spans="1:27" ht="20.100000000000001" customHeight="1">
      <c r="A507" s="580" t="s">
        <v>246</v>
      </c>
      <c r="B507" s="581"/>
      <c r="C507" s="581"/>
      <c r="D507" s="581"/>
      <c r="E507" s="581"/>
      <c r="F507" s="582"/>
      <c r="G507" s="154">
        <f>SUM(G370,G428,G463,G479,G490,G506)</f>
        <v>0</v>
      </c>
      <c r="H507" s="154">
        <f>SUM(H370,H428,H463,H479,H490,H506)</f>
        <v>0</v>
      </c>
      <c r="I507" s="154">
        <f>SUM(I370,I428,I463,I479,I490,I506)</f>
        <v>0</v>
      </c>
      <c r="J507" s="155" t="str">
        <f t="array" ref="J507">IF(ISERROR(G507/I507),"",G507/I507)</f>
        <v/>
      </c>
      <c r="K507" s="154">
        <f>SUM(K370,K428,K463,K479,K490,K506)</f>
        <v>0</v>
      </c>
      <c r="L507" s="155" t="str">
        <f>IF(ISERROR(G507/K507),"",G507/K507)</f>
        <v/>
      </c>
      <c r="M507" s="154">
        <f t="shared" ref="M507:V507" si="236">SUM(M370,M428,M463,M479,M490,M506)</f>
        <v>0</v>
      </c>
      <c r="N507" s="154">
        <f t="shared" si="236"/>
        <v>0</v>
      </c>
      <c r="O507" s="154">
        <f t="shared" si="236"/>
        <v>0</v>
      </c>
      <c r="P507" s="154">
        <f t="shared" si="236"/>
        <v>0</v>
      </c>
      <c r="Q507" s="154">
        <f t="shared" si="236"/>
        <v>0</v>
      </c>
      <c r="R507" s="154">
        <f t="shared" si="236"/>
        <v>0</v>
      </c>
      <c r="S507" s="154">
        <f t="shared" si="236"/>
        <v>0</v>
      </c>
      <c r="T507" s="154">
        <f t="shared" si="236"/>
        <v>0</v>
      </c>
      <c r="U507" s="154">
        <f t="shared" si="236"/>
        <v>0</v>
      </c>
      <c r="V507" s="154">
        <f t="shared" si="236"/>
        <v>0</v>
      </c>
      <c r="W507" s="156" t="str">
        <f t="shared" ref="W507" si="237">IF(ISERROR(V507/G507),"",V507/G507)</f>
        <v/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583" t="s">
        <v>476</v>
      </c>
      <c r="B508" s="420" t="s">
        <v>247</v>
      </c>
      <c r="C508" s="586" t="s">
        <v>248</v>
      </c>
      <c r="D508" s="587"/>
      <c r="E508" s="588" t="s">
        <v>249</v>
      </c>
      <c r="F508" s="588"/>
      <c r="G508" s="591" t="s">
        <v>250</v>
      </c>
      <c r="H508" s="591"/>
      <c r="I508" s="588" t="s">
        <v>251</v>
      </c>
      <c r="J508" s="588"/>
      <c r="K508" s="588" t="s">
        <v>252</v>
      </c>
      <c r="L508" s="588"/>
      <c r="M508" s="588" t="s">
        <v>253</v>
      </c>
      <c r="N508" s="588"/>
      <c r="O508" s="588" t="s">
        <v>254</v>
      </c>
      <c r="P508" s="591" t="s">
        <v>255</v>
      </c>
      <c r="Q508" s="591"/>
      <c r="R508" s="591" t="s">
        <v>252</v>
      </c>
      <c r="S508" s="591"/>
      <c r="T508" s="591" t="s">
        <v>256</v>
      </c>
      <c r="U508" s="591"/>
      <c r="V508" s="591" t="s">
        <v>257</v>
      </c>
      <c r="W508" s="591"/>
      <c r="X508" s="591" t="s">
        <v>252</v>
      </c>
      <c r="Y508" s="591"/>
      <c r="Z508" s="591" t="s">
        <v>256</v>
      </c>
      <c r="AA508" s="591"/>
    </row>
    <row r="509" spans="1:27" ht="20.100000000000001" customHeight="1">
      <c r="A509" s="584"/>
      <c r="B509" s="420" t="s">
        <v>258</v>
      </c>
      <c r="C509" s="586">
        <v>0</v>
      </c>
      <c r="D509" s="587"/>
      <c r="E509" s="590">
        <f>C509*11</f>
        <v>0</v>
      </c>
      <c r="F509" s="590"/>
      <c r="G509" s="591">
        <v>0</v>
      </c>
      <c r="H509" s="591"/>
      <c r="I509" s="590">
        <f>G509*11</f>
        <v>0</v>
      </c>
      <c r="J509" s="590"/>
      <c r="K509" s="590">
        <f>E509-I509</f>
        <v>0</v>
      </c>
      <c r="L509" s="590"/>
      <c r="M509" s="592" t="str">
        <f>IF(ISERROR(K509/E509),"",K509/E509)</f>
        <v/>
      </c>
      <c r="N509" s="592"/>
      <c r="O509" s="588"/>
      <c r="P509" s="591" t="s">
        <v>201</v>
      </c>
      <c r="Q509" s="591"/>
      <c r="R509" s="593">
        <f>SUM(O370:U370)</f>
        <v>0</v>
      </c>
      <c r="S509" s="593"/>
      <c r="T509" s="594" t="str">
        <f t="array" ref="T509">IF(ISERROR(R509/R516),"",R509/R516)</f>
        <v/>
      </c>
      <c r="U509" s="594"/>
      <c r="V509" s="591" t="s">
        <v>259</v>
      </c>
      <c r="W509" s="591"/>
      <c r="X509" s="595">
        <f>SUM(O370,O428,O463,O479,O490,O506)</f>
        <v>0</v>
      </c>
      <c r="Y509" s="595"/>
      <c r="Z509" s="594" t="str">
        <f t="array" ref="Z509">IF(ISERROR(X509/X516),"",X509/X516)</f>
        <v/>
      </c>
      <c r="AA509" s="594"/>
    </row>
    <row r="510" spans="1:27" ht="20.100000000000001" customHeight="1">
      <c r="A510" s="584"/>
      <c r="B510" s="420" t="s">
        <v>260</v>
      </c>
      <c r="C510" s="586">
        <v>0</v>
      </c>
      <c r="D510" s="587"/>
      <c r="E510" s="590">
        <f>C510*11</f>
        <v>0</v>
      </c>
      <c r="F510" s="590"/>
      <c r="G510" s="591">
        <v>0</v>
      </c>
      <c r="H510" s="591"/>
      <c r="I510" s="590">
        <f>G510*11</f>
        <v>0</v>
      </c>
      <c r="J510" s="590"/>
      <c r="K510" s="590">
        <f>E510-I510</f>
        <v>0</v>
      </c>
      <c r="L510" s="590"/>
      <c r="M510" s="592" t="str">
        <f>IF(ISERROR(K510/E510),"",K510/E510)</f>
        <v/>
      </c>
      <c r="N510" s="592"/>
      <c r="O510" s="588"/>
      <c r="P510" s="591" t="s">
        <v>216</v>
      </c>
      <c r="Q510" s="591"/>
      <c r="R510" s="593">
        <f>SUM(O428:U428)</f>
        <v>0</v>
      </c>
      <c r="S510" s="593"/>
      <c r="T510" s="594" t="str">
        <f>IF(ISERROR(R510/R516),"",R510/R516)</f>
        <v/>
      </c>
      <c r="U510" s="594"/>
      <c r="V510" s="591" t="s">
        <v>261</v>
      </c>
      <c r="W510" s="591"/>
      <c r="X510" s="595">
        <f>SUM(O371,O429,O464,O480,O491,O507)</f>
        <v>0</v>
      </c>
      <c r="Y510" s="595"/>
      <c r="Z510" s="594" t="str">
        <f>IF(ISERROR(X510/X516),"",X510/X516)</f>
        <v/>
      </c>
      <c r="AA510" s="594"/>
    </row>
    <row r="511" spans="1:27" ht="20.100000000000001" customHeight="1">
      <c r="A511" s="584"/>
      <c r="B511" s="420" t="s">
        <v>262</v>
      </c>
      <c r="C511" s="586">
        <v>0</v>
      </c>
      <c r="D511" s="587"/>
      <c r="E511" s="590">
        <f>C511*11</f>
        <v>0</v>
      </c>
      <c r="F511" s="590"/>
      <c r="G511" s="591">
        <v>0</v>
      </c>
      <c r="H511" s="591"/>
      <c r="I511" s="590">
        <f>G511*11</f>
        <v>0</v>
      </c>
      <c r="J511" s="590"/>
      <c r="K511" s="590">
        <f>E511-I511</f>
        <v>0</v>
      </c>
      <c r="L511" s="590"/>
      <c r="M511" s="592" t="str">
        <f>IF(ISERROR(K511/E511),"",K511/E511)</f>
        <v/>
      </c>
      <c r="N511" s="592"/>
      <c r="O511" s="588"/>
      <c r="P511" s="591" t="s">
        <v>224</v>
      </c>
      <c r="Q511" s="591"/>
      <c r="R511" s="593">
        <f>SUM(O463:U463)</f>
        <v>0</v>
      </c>
      <c r="S511" s="593"/>
      <c r="T511" s="594" t="str">
        <f>IF(ISERROR(R511/R516),"",R511/R516)</f>
        <v/>
      </c>
      <c r="U511" s="594"/>
      <c r="V511" s="591" t="s">
        <v>263</v>
      </c>
      <c r="W511" s="591"/>
      <c r="X511" s="595">
        <f>SUM(O373,O430,O465,O481,O492,O508)</f>
        <v>0</v>
      </c>
      <c r="Y511" s="595"/>
      <c r="Z511" s="594" t="str">
        <f>IF(ISERROR(X511/X516),"",X511/X516)</f>
        <v/>
      </c>
      <c r="AA511" s="594"/>
    </row>
    <row r="512" spans="1:27" ht="20.100000000000001" customHeight="1">
      <c r="A512" s="584"/>
      <c r="B512" s="420" t="s">
        <v>264</v>
      </c>
      <c r="C512" s="586">
        <v>1</v>
      </c>
      <c r="D512" s="587"/>
      <c r="E512" s="590">
        <f>C512*11</f>
        <v>11</v>
      </c>
      <c r="F512" s="590"/>
      <c r="G512" s="591">
        <v>1</v>
      </c>
      <c r="H512" s="591"/>
      <c r="I512" s="590">
        <f>G512*11</f>
        <v>11</v>
      </c>
      <c r="J512" s="590"/>
      <c r="K512" s="590">
        <f>E512-I512</f>
        <v>0</v>
      </c>
      <c r="L512" s="590"/>
      <c r="M512" s="592">
        <f>IF(ISERROR(K512/E512),"",K512/E512)</f>
        <v>0</v>
      </c>
      <c r="N512" s="592"/>
      <c r="O512" s="588"/>
      <c r="P512" s="591" t="s">
        <v>231</v>
      </c>
      <c r="Q512" s="591"/>
      <c r="R512" s="593">
        <f>SUM(O479:U479)</f>
        <v>0</v>
      </c>
      <c r="S512" s="593"/>
      <c r="T512" s="594" t="str">
        <f>IF(ISERROR(R512/R516),"",R512/R516)</f>
        <v/>
      </c>
      <c r="U512" s="594"/>
      <c r="V512" s="591" t="s">
        <v>265</v>
      </c>
      <c r="W512" s="591"/>
      <c r="X512" s="595">
        <f>SUM(O374,O431,O466,O482,O493,O509)</f>
        <v>0</v>
      </c>
      <c r="Y512" s="595"/>
      <c r="Z512" s="594" t="str">
        <f>IF(ISERROR(X512/X516),"",X512/X516)</f>
        <v/>
      </c>
      <c r="AA512" s="594"/>
    </row>
    <row r="513" spans="1:27" ht="20.100000000000001" customHeight="1">
      <c r="A513" s="585"/>
      <c r="B513" s="420" t="s">
        <v>266</v>
      </c>
      <c r="C513" s="596">
        <f>SUM(C509:D512)</f>
        <v>1</v>
      </c>
      <c r="D513" s="597"/>
      <c r="E513" s="590">
        <f>SUM(E509:F512)</f>
        <v>11</v>
      </c>
      <c r="F513" s="590"/>
      <c r="G513" s="591">
        <f>SUM(G509:H512)</f>
        <v>1</v>
      </c>
      <c r="H513" s="591"/>
      <c r="I513" s="590">
        <f>SUM(I509:J512)</f>
        <v>11</v>
      </c>
      <c r="J513" s="590"/>
      <c r="K513" s="590">
        <f>SUM(K509:L512)</f>
        <v>0</v>
      </c>
      <c r="L513" s="590"/>
      <c r="M513" s="592">
        <f>IF(ISERROR(K513/E513),"",K513/E513)</f>
        <v>0</v>
      </c>
      <c r="N513" s="592"/>
      <c r="O513" s="588"/>
      <c r="P513" s="591" t="s">
        <v>234</v>
      </c>
      <c r="Q513" s="591"/>
      <c r="R513" s="593">
        <f>SUM(O490:U490)</f>
        <v>0</v>
      </c>
      <c r="S513" s="593"/>
      <c r="T513" s="594" t="str">
        <f>IF(ISERROR(R513/R516),"",R513/R516)</f>
        <v/>
      </c>
      <c r="U513" s="594"/>
      <c r="V513" s="591" t="s">
        <v>267</v>
      </c>
      <c r="W513" s="591"/>
      <c r="X513" s="595">
        <f>SUM(O375,O432,O467,O483,O494,O510)</f>
        <v>0</v>
      </c>
      <c r="Y513" s="595"/>
      <c r="Z513" s="594" t="str">
        <f>IF(ISERROR(X513/X516),"",X513/X516)</f>
        <v/>
      </c>
      <c r="AA513" s="594"/>
    </row>
    <row r="514" spans="1:27" ht="20.100000000000001" customHeight="1">
      <c r="A514" s="307" t="s">
        <v>477</v>
      </c>
      <c r="B514" s="420">
        <f>G507</f>
        <v>0</v>
      </c>
      <c r="C514" s="598" t="s">
        <v>269</v>
      </c>
      <c r="D514" s="599"/>
      <c r="E514" s="591">
        <f>H507</f>
        <v>0</v>
      </c>
      <c r="F514" s="591"/>
      <c r="G514" s="591" t="s">
        <v>270</v>
      </c>
      <c r="H514" s="591"/>
      <c r="I514" s="600" t="str">
        <f>L507</f>
        <v/>
      </c>
      <c r="J514" s="600"/>
      <c r="K514" s="588" t="s">
        <v>271</v>
      </c>
      <c r="L514" s="588"/>
      <c r="M514" s="600" t="str">
        <f>J507</f>
        <v/>
      </c>
      <c r="N514" s="600"/>
      <c r="O514" s="588"/>
      <c r="P514" s="591" t="s">
        <v>244</v>
      </c>
      <c r="Q514" s="591"/>
      <c r="R514" s="593">
        <f>SUM(O506:U506)</f>
        <v>0</v>
      </c>
      <c r="S514" s="593"/>
      <c r="T514" s="594" t="str">
        <f>IF(ISERROR(R514/R516),"",R514/R516)</f>
        <v/>
      </c>
      <c r="U514" s="594"/>
      <c r="V514" s="591" t="s">
        <v>272</v>
      </c>
      <c r="W514" s="591"/>
      <c r="X514" s="595">
        <f>SUM(O376,O433,O468,O484,O495,O511)</f>
        <v>0</v>
      </c>
      <c r="Y514" s="595"/>
      <c r="Z514" s="594" t="str">
        <f>IF(ISERROR(X514/X516),"",X514/X516)</f>
        <v/>
      </c>
      <c r="AA514" s="594"/>
    </row>
    <row r="515" spans="1:27" ht="20.100000000000001" customHeight="1">
      <c r="A515" s="308" t="s">
        <v>478</v>
      </c>
      <c r="B515" s="420">
        <f>I507+C513</f>
        <v>1</v>
      </c>
      <c r="C515" s="601" t="s">
        <v>251</v>
      </c>
      <c r="D515" s="602"/>
      <c r="E515" s="603">
        <f>K507+I513</f>
        <v>11</v>
      </c>
      <c r="F515" s="603"/>
      <c r="G515" s="591" t="s">
        <v>274</v>
      </c>
      <c r="H515" s="591"/>
      <c r="I515" s="600">
        <f>B515-E515</f>
        <v>-10</v>
      </c>
      <c r="J515" s="600"/>
      <c r="K515" s="588" t="s">
        <v>275</v>
      </c>
      <c r="L515" s="588"/>
      <c r="M515" s="592">
        <f>IF(ISERROR(I515/E515),"",I515/E515)</f>
        <v>-0.90909090909090906</v>
      </c>
      <c r="N515" s="592"/>
      <c r="O515" s="588"/>
      <c r="P515" s="591" t="s">
        <v>245</v>
      </c>
      <c r="Q515" s="591"/>
      <c r="R515" s="593"/>
      <c r="S515" s="593"/>
      <c r="T515" s="594" t="str">
        <f>IF(ISERROR(R515/R516),"",R515/R516)</f>
        <v/>
      </c>
      <c r="U515" s="594"/>
      <c r="V515" s="591" t="s">
        <v>264</v>
      </c>
      <c r="W515" s="591"/>
      <c r="X515" s="595">
        <f>SUM(O377,O434,O469,O489,O496,O512)</f>
        <v>0</v>
      </c>
      <c r="Y515" s="595"/>
      <c r="Z515" s="594" t="str">
        <f>IF(ISERROR(X515/X516),"",X515/X516)</f>
        <v/>
      </c>
      <c r="AA515" s="594"/>
    </row>
    <row r="516" spans="1:27" ht="20.100000000000001" customHeight="1">
      <c r="A516" s="308" t="s">
        <v>479</v>
      </c>
      <c r="B516" s="420">
        <f>N507</f>
        <v>0</v>
      </c>
      <c r="C516" s="601" t="s">
        <v>277</v>
      </c>
      <c r="D516" s="602"/>
      <c r="E516" s="594">
        <f>IF(ISERROR(B516/B515),"",B516/B515)</f>
        <v>0</v>
      </c>
      <c r="F516" s="594"/>
      <c r="G516" s="591" t="s">
        <v>278</v>
      </c>
      <c r="H516" s="591"/>
      <c r="I516" s="588">
        <f>V507</f>
        <v>0</v>
      </c>
      <c r="J516" s="588"/>
      <c r="K516" s="588" t="s">
        <v>279</v>
      </c>
      <c r="L516" s="588"/>
      <c r="M516" s="592" t="str">
        <f t="array" ref="M516">IF(ISERROR(I516/B514),"",I516/B514)</f>
        <v/>
      </c>
      <c r="N516" s="592"/>
      <c r="O516" s="588"/>
      <c r="P516" s="591" t="s">
        <v>266</v>
      </c>
      <c r="Q516" s="591"/>
      <c r="R516" s="593">
        <f>SUM(R509:S515)</f>
        <v>0</v>
      </c>
      <c r="S516" s="593"/>
      <c r="T516" s="594"/>
      <c r="U516" s="594"/>
      <c r="V516" s="591" t="s">
        <v>266</v>
      </c>
      <c r="W516" s="591"/>
      <c r="X516" s="595">
        <f>SUM(X509:Y515)</f>
        <v>0</v>
      </c>
      <c r="Y516" s="595"/>
      <c r="Z516" s="594"/>
      <c r="AA516" s="594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630" t="str">
        <f>IF(ISERROR(#REF!/#REF!),"",#REF!/#REF!)</f>
        <v/>
      </c>
      <c r="H517" s="630"/>
      <c r="I517" s="630"/>
      <c r="J517" s="125"/>
      <c r="K517" s="160"/>
      <c r="L517" s="122"/>
      <c r="M517" s="122"/>
      <c r="N517" s="630" t="str">
        <f>IF(ISERROR(G517/#REF!),"",G517/#REF!)</f>
        <v/>
      </c>
      <c r="O517" s="630"/>
      <c r="P517" s="630"/>
      <c r="Q517" s="630"/>
      <c r="R517" s="630"/>
      <c r="S517" s="422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6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633" t="s">
        <v>268</v>
      </c>
      <c r="B519" s="633"/>
      <c r="C519" s="586">
        <f>SUM(B171,B342,B514)</f>
        <v>10972</v>
      </c>
      <c r="D519" s="587"/>
      <c r="E519" s="633" t="s">
        <v>269</v>
      </c>
      <c r="F519" s="633"/>
      <c r="G519" s="603">
        <f>SUM(E171,E342,E514)</f>
        <v>55282</v>
      </c>
      <c r="H519" s="603"/>
      <c r="I519" s="591" t="s">
        <v>270</v>
      </c>
      <c r="J519" s="633"/>
      <c r="K519" s="586">
        <f>IF(ISERROR(C519/G520),"",C519/G520)</f>
        <v>15.348176790277762</v>
      </c>
      <c r="L519" s="587"/>
      <c r="M519" s="591" t="s">
        <v>271</v>
      </c>
      <c r="N519" s="591"/>
      <c r="O519" s="628">
        <f t="array" ref="O519">IF(ISERROR(C519/C520),"",C519/C520)</f>
        <v>16.32300871790294</v>
      </c>
      <c r="P519" s="629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591" t="s">
        <v>273</v>
      </c>
      <c r="B520" s="591"/>
      <c r="C520" s="586">
        <f>SUM(B172,B343,B515)</f>
        <v>672.18000000000006</v>
      </c>
      <c r="D520" s="587"/>
      <c r="E520" s="591" t="s">
        <v>251</v>
      </c>
      <c r="F520" s="591"/>
      <c r="G520" s="603">
        <f>SUM(E172,E343,E515)</f>
        <v>714.87318330540518</v>
      </c>
      <c r="H520" s="603"/>
      <c r="I520" s="601" t="s">
        <v>274</v>
      </c>
      <c r="J520" s="602"/>
      <c r="K520" s="598">
        <f>C520-G520</f>
        <v>-42.693183305405114</v>
      </c>
      <c r="L520" s="599"/>
      <c r="M520" s="598" t="s">
        <v>275</v>
      </c>
      <c r="N520" s="599"/>
      <c r="O520" s="631">
        <f>IF(ISERROR(K520/C520),"",K520/C520)</f>
        <v>-6.3514509960732407E-2</v>
      </c>
      <c r="P520" s="632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601" t="s">
        <v>276</v>
      </c>
      <c r="B521" s="602"/>
      <c r="C521" s="586">
        <f>SUM(B173,B344,B516)</f>
        <v>0</v>
      </c>
      <c r="D521" s="587"/>
      <c r="E521" s="601" t="s">
        <v>277</v>
      </c>
      <c r="F521" s="602"/>
      <c r="G521" s="594">
        <f>IF(ISERROR(C521/C520),"",C521/C520)</f>
        <v>0</v>
      </c>
      <c r="H521" s="594"/>
      <c r="I521" s="591" t="s">
        <v>278</v>
      </c>
      <c r="J521" s="633"/>
      <c r="K521" s="603">
        <f>SUM(I173,I344,I516)</f>
        <v>0</v>
      </c>
      <c r="L521" s="603"/>
      <c r="M521" s="633" t="s">
        <v>279</v>
      </c>
      <c r="N521" s="633"/>
      <c r="O521" s="631">
        <f t="array" ref="O521">IF(ISERROR(K521/C519),"",K521/C519)</f>
        <v>0</v>
      </c>
      <c r="P521" s="632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347"/>
      <c r="H522" s="168"/>
      <c r="I522" s="422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601" t="s">
        <v>298</v>
      </c>
      <c r="B523" s="602"/>
      <c r="C523" s="601" t="s">
        <v>299</v>
      </c>
      <c r="D523" s="602"/>
      <c r="E523" s="601" t="s">
        <v>256</v>
      </c>
      <c r="F523" s="602"/>
      <c r="G523" s="634" t="s">
        <v>254</v>
      </c>
      <c r="H523" s="635"/>
      <c r="I523" s="601" t="s">
        <v>255</v>
      </c>
      <c r="J523" s="599"/>
      <c r="K523" s="601" t="s">
        <v>300</v>
      </c>
      <c r="L523" s="602"/>
      <c r="M523" s="601" t="s">
        <v>256</v>
      </c>
      <c r="N523" s="602"/>
      <c r="O523" s="591" t="s">
        <v>257</v>
      </c>
      <c r="P523" s="591"/>
      <c r="Q523" s="601" t="s">
        <v>300</v>
      </c>
      <c r="R523" s="602"/>
      <c r="S523" s="601" t="s">
        <v>256</v>
      </c>
      <c r="T523" s="602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640" t="s">
        <v>201</v>
      </c>
      <c r="B524" s="602"/>
      <c r="C524" s="601">
        <f>SUM(G28,G199,G370)</f>
        <v>3491</v>
      </c>
      <c r="D524" s="602"/>
      <c r="E524" s="641">
        <f>IF(ISERROR(C524/C530),"",C524/C530)</f>
        <v>0.31817353262850895</v>
      </c>
      <c r="F524" s="642"/>
      <c r="G524" s="636"/>
      <c r="H524" s="637"/>
      <c r="I524" s="643" t="s">
        <v>301</v>
      </c>
      <c r="J524" s="644"/>
      <c r="K524" s="598">
        <f t="shared" ref="K524:K529" si="238">SUM(R166,U337,U509)</f>
        <v>0</v>
      </c>
      <c r="L524" s="599"/>
      <c r="M524" s="641" t="str">
        <f t="array" ref="M524">IF(ISERROR(K524/K530),"",K524/K530)</f>
        <v/>
      </c>
      <c r="N524" s="642"/>
      <c r="O524" s="591" t="s">
        <v>259</v>
      </c>
      <c r="P524" s="591"/>
      <c r="Q524" s="628">
        <f t="shared" ref="Q524:Q529" si="239">SUM(X166,AA337,AA509)</f>
        <v>0</v>
      </c>
      <c r="R524" s="629"/>
      <c r="S524" s="641" t="str">
        <f t="array" ref="S524">IF(ISERROR(Q524/Q530),"",Q524/Q530)</f>
        <v/>
      </c>
      <c r="T524" s="642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640" t="s">
        <v>216</v>
      </c>
      <c r="B525" s="602"/>
      <c r="C525" s="601">
        <f>SUM(G86,G257,G428)</f>
        <v>3775</v>
      </c>
      <c r="D525" s="602"/>
      <c r="E525" s="641">
        <f>IF(ISERROR(C525/C530),"",C525/C530)</f>
        <v>0.34405760116660589</v>
      </c>
      <c r="F525" s="642"/>
      <c r="G525" s="636"/>
      <c r="H525" s="637"/>
      <c r="I525" s="643" t="s">
        <v>302</v>
      </c>
      <c r="J525" s="644"/>
      <c r="K525" s="598">
        <f t="shared" si="238"/>
        <v>0</v>
      </c>
      <c r="L525" s="599"/>
      <c r="M525" s="641" t="str">
        <f>IF(ISERROR(K525/K530),"",K525/K530)</f>
        <v/>
      </c>
      <c r="N525" s="642"/>
      <c r="O525" s="591" t="s">
        <v>261</v>
      </c>
      <c r="P525" s="591"/>
      <c r="Q525" s="628">
        <f t="shared" si="239"/>
        <v>0</v>
      </c>
      <c r="R525" s="629"/>
      <c r="S525" s="641" t="str">
        <f>IF(ISERROR(Q525/Q530),"",Q525/Q530)</f>
        <v/>
      </c>
      <c r="T525" s="642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640" t="s">
        <v>224</v>
      </c>
      <c r="B526" s="602"/>
      <c r="C526" s="601">
        <f>SUM(G121,G292,G463)</f>
        <v>1555</v>
      </c>
      <c r="D526" s="602"/>
      <c r="E526" s="641">
        <f>IF(ISERROR(C526/C530),"",C526/C530)</f>
        <v>0.14172438935472112</v>
      </c>
      <c r="F526" s="642"/>
      <c r="G526" s="636"/>
      <c r="H526" s="637"/>
      <c r="I526" s="643" t="s">
        <v>303</v>
      </c>
      <c r="J526" s="644"/>
      <c r="K526" s="598">
        <f t="shared" si="238"/>
        <v>0</v>
      </c>
      <c r="L526" s="599"/>
      <c r="M526" s="641" t="str">
        <f>IF(ISERROR(K526/K530),"",K526/K530)</f>
        <v/>
      </c>
      <c r="N526" s="642"/>
      <c r="O526" s="591" t="s">
        <v>263</v>
      </c>
      <c r="P526" s="591"/>
      <c r="Q526" s="628">
        <f t="shared" si="239"/>
        <v>0</v>
      </c>
      <c r="R526" s="629"/>
      <c r="S526" s="641" t="str">
        <f>IF(ISERROR(Q526/Q530),"",Q526/Q530)</f>
        <v/>
      </c>
      <c r="T526" s="642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640" t="s">
        <v>231</v>
      </c>
      <c r="B527" s="602"/>
      <c r="C527" s="601">
        <f>SUM(G137,G308,G479)</f>
        <v>975</v>
      </c>
      <c r="D527" s="602"/>
      <c r="E527" s="641">
        <f>IF(ISERROR(C527/C530),"",C527/C530)</f>
        <v>8.8862559241706163E-2</v>
      </c>
      <c r="F527" s="642"/>
      <c r="G527" s="636"/>
      <c r="H527" s="637"/>
      <c r="I527" s="643" t="s">
        <v>304</v>
      </c>
      <c r="J527" s="644"/>
      <c r="K527" s="598">
        <f t="shared" si="238"/>
        <v>0</v>
      </c>
      <c r="L527" s="599"/>
      <c r="M527" s="641" t="str">
        <f>IF(ISERROR(K527/K530),"",K527/K530)</f>
        <v/>
      </c>
      <c r="N527" s="642"/>
      <c r="O527" s="591" t="s">
        <v>305</v>
      </c>
      <c r="P527" s="591"/>
      <c r="Q527" s="628">
        <f t="shared" si="239"/>
        <v>0</v>
      </c>
      <c r="R527" s="629"/>
      <c r="S527" s="641" t="str">
        <f>IF(ISERROR(Q527/Q530),"",Q527/Q530)</f>
        <v/>
      </c>
      <c r="T527" s="642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640" t="s">
        <v>234</v>
      </c>
      <c r="B528" s="602"/>
      <c r="C528" s="601">
        <f>SUM(G148,G319,G490)</f>
        <v>1176</v>
      </c>
      <c r="D528" s="602"/>
      <c r="E528" s="641">
        <f>IF(ISERROR(C528/C530),"",C528/C530)</f>
        <v>0.1071819176084579</v>
      </c>
      <c r="F528" s="642"/>
      <c r="G528" s="636"/>
      <c r="H528" s="637"/>
      <c r="I528" s="643" t="s">
        <v>306</v>
      </c>
      <c r="J528" s="644"/>
      <c r="K528" s="598">
        <f t="shared" si="238"/>
        <v>0</v>
      </c>
      <c r="L528" s="599"/>
      <c r="M528" s="641" t="str">
        <f>IF(ISERROR(K528/K530),"",K528/K530)</f>
        <v/>
      </c>
      <c r="N528" s="642"/>
      <c r="O528" s="591" t="s">
        <v>267</v>
      </c>
      <c r="P528" s="591"/>
      <c r="Q528" s="628">
        <f t="shared" si="239"/>
        <v>0</v>
      </c>
      <c r="R528" s="629"/>
      <c r="S528" s="641" t="str">
        <f>IF(ISERROR(Q528/Q530),"",Q528/Q530)</f>
        <v/>
      </c>
      <c r="T528" s="642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640" t="s">
        <v>244</v>
      </c>
      <c r="B529" s="602"/>
      <c r="C529" s="601">
        <f>SUM(G163,G334,G506)</f>
        <v>0</v>
      </c>
      <c r="D529" s="602"/>
      <c r="E529" s="641">
        <f>IF(ISERROR(C529/C530),"",C529/C530)</f>
        <v>0</v>
      </c>
      <c r="F529" s="642"/>
      <c r="G529" s="636"/>
      <c r="H529" s="637"/>
      <c r="I529" s="643" t="s">
        <v>307</v>
      </c>
      <c r="J529" s="644"/>
      <c r="K529" s="598">
        <f t="shared" si="238"/>
        <v>0</v>
      </c>
      <c r="L529" s="599"/>
      <c r="M529" s="641" t="str">
        <f>IF(ISERROR(K529/K530),"",K529/K530)</f>
        <v/>
      </c>
      <c r="N529" s="642"/>
      <c r="O529" s="591" t="s">
        <v>272</v>
      </c>
      <c r="P529" s="591"/>
      <c r="Q529" s="628">
        <f t="shared" si="239"/>
        <v>0</v>
      </c>
      <c r="R529" s="629"/>
      <c r="S529" s="641" t="str">
        <f>IF(ISERROR(Q529/Q530),"",Q529/Q530)</f>
        <v/>
      </c>
      <c r="T529" s="642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601" t="s">
        <v>266</v>
      </c>
      <c r="B530" s="602"/>
      <c r="C530" s="601">
        <f>SUM(C524:C529)</f>
        <v>10972</v>
      </c>
      <c r="D530" s="602"/>
      <c r="E530" s="641">
        <f>SUM(E524:F529)</f>
        <v>0.99999999999999989</v>
      </c>
      <c r="F530" s="642"/>
      <c r="G530" s="638"/>
      <c r="H530" s="639"/>
      <c r="I530" s="601" t="s">
        <v>266</v>
      </c>
      <c r="J530" s="599"/>
      <c r="K530" s="598">
        <f>SUM(R173,U344,U516)</f>
        <v>0</v>
      </c>
      <c r="L530" s="599"/>
      <c r="M530" s="641"/>
      <c r="N530" s="642"/>
      <c r="O530" s="591" t="s">
        <v>266</v>
      </c>
      <c r="P530" s="591"/>
      <c r="Q530" s="628">
        <f>SUM(Q524:R529)</f>
        <v>0</v>
      </c>
      <c r="R530" s="629"/>
      <c r="S530" s="641">
        <f>SUM(S524:T529)</f>
        <v>0</v>
      </c>
      <c r="T530" s="642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172"/>
      <c r="D531" s="172"/>
      <c r="E531" s="172"/>
      <c r="F531" s="172"/>
      <c r="G531" s="173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643" t="s">
        <v>308</v>
      </c>
      <c r="B532" s="597"/>
      <c r="C532" s="413" t="s">
        <v>309</v>
      </c>
      <c r="D532" s="413" t="s">
        <v>310</v>
      </c>
      <c r="E532" s="413" t="s">
        <v>311</v>
      </c>
      <c r="F532" s="413" t="s">
        <v>312</v>
      </c>
      <c r="G532" s="348" t="s">
        <v>313</v>
      </c>
      <c r="H532" s="129" t="s">
        <v>314</v>
      </c>
      <c r="I532" s="129" t="s">
        <v>315</v>
      </c>
      <c r="J532" s="129" t="s">
        <v>316</v>
      </c>
      <c r="K532" s="415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423" t="s">
        <v>322</v>
      </c>
      <c r="Q532" s="129" t="s">
        <v>323</v>
      </c>
      <c r="R532" s="109" t="s">
        <v>324</v>
      </c>
      <c r="S532" s="413" t="s">
        <v>325</v>
      </c>
      <c r="T532" s="413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645" t="s">
        <v>327</v>
      </c>
      <c r="B533" s="646"/>
      <c r="C533" s="106">
        <f>D533+E533+F533-G533-O533-P533</f>
        <v>42</v>
      </c>
      <c r="D533" s="106">
        <f>+'2'!C533</f>
        <v>38</v>
      </c>
      <c r="E533" s="106">
        <v>4</v>
      </c>
      <c r="F533" s="106"/>
      <c r="G533" s="107"/>
      <c r="H533" s="106"/>
      <c r="I533" s="106"/>
      <c r="J533" s="106">
        <f>C533-H533-I533</f>
        <v>42</v>
      </c>
      <c r="K533" s="106"/>
      <c r="L533" s="106"/>
      <c r="M533" s="106"/>
      <c r="N533" s="106"/>
      <c r="O533" s="106"/>
      <c r="P533" s="108"/>
      <c r="Q533" s="106">
        <f>J533-K533-L533</f>
        <v>42</v>
      </c>
      <c r="R533" s="109">
        <f>Q533*11-M533-N533</f>
        <v>462</v>
      </c>
      <c r="S533" s="416">
        <f t="array" ref="S533">IF(ISERROR(Q533/J533),"",Q533/J533)</f>
        <v>1</v>
      </c>
      <c r="T533" s="416">
        <f t="array" ref="T533">IF(ISERROR((O533:P533)/C533),"",SUM(O533:P533)/C533)</f>
        <v>0</v>
      </c>
      <c r="X533" s="116"/>
      <c r="Y533" s="116"/>
      <c r="Z533" s="159"/>
      <c r="AA533" s="159"/>
    </row>
    <row r="534" spans="1:27" ht="20.100000000000001" customHeight="1">
      <c r="A534" s="645" t="s">
        <v>328</v>
      </c>
      <c r="B534" s="646"/>
      <c r="C534" s="106">
        <f>D534+E534+F534-G534-O534-P534</f>
        <v>45</v>
      </c>
      <c r="D534" s="106">
        <f>+'2'!C534</f>
        <v>44</v>
      </c>
      <c r="E534" s="110">
        <v>1</v>
      </c>
      <c r="F534" s="110"/>
      <c r="G534" s="107"/>
      <c r="H534" s="106"/>
      <c r="I534" s="106"/>
      <c r="J534" s="106">
        <f>C534-H534-I534</f>
        <v>45</v>
      </c>
      <c r="K534" s="106">
        <v>2</v>
      </c>
      <c r="L534" s="106"/>
      <c r="M534" s="106"/>
      <c r="N534" s="106"/>
      <c r="O534" s="110"/>
      <c r="P534" s="111"/>
      <c r="Q534" s="106">
        <f>J534-K534-L534</f>
        <v>43</v>
      </c>
      <c r="R534" s="109">
        <f>Q534*11-M534-N534</f>
        <v>473</v>
      </c>
      <c r="S534" s="416">
        <f t="array" ref="S534">IF(ISERROR(Q534/J534),"",Q534/J534)</f>
        <v>0.9555555555555556</v>
      </c>
      <c r="T534" s="416">
        <f t="array" ref="T534">IF(ISERROR((O534:P534)/C534),"",SUM(O534:P534)/C534)</f>
        <v>0</v>
      </c>
      <c r="X534" s="116"/>
      <c r="Y534" s="116"/>
      <c r="Z534" s="159"/>
      <c r="AA534" s="159"/>
    </row>
    <row r="535" spans="1:27" ht="20.100000000000001" customHeight="1">
      <c r="A535" s="645" t="s">
        <v>329</v>
      </c>
      <c r="B535" s="646"/>
      <c r="C535" s="106">
        <f>D535+E535+F535-G535-O535-P535</f>
        <v>10</v>
      </c>
      <c r="D535" s="106">
        <f>+'2'!C535</f>
        <v>10</v>
      </c>
      <c r="E535" s="110"/>
      <c r="F535" s="110"/>
      <c r="G535" s="107"/>
      <c r="H535" s="106"/>
      <c r="I535" s="106"/>
      <c r="J535" s="106">
        <f>C535-H535-I535</f>
        <v>10</v>
      </c>
      <c r="K535" s="106">
        <v>1</v>
      </c>
      <c r="L535" s="106"/>
      <c r="M535" s="106"/>
      <c r="N535" s="106"/>
      <c r="O535" s="110"/>
      <c r="P535" s="111"/>
      <c r="Q535" s="106">
        <f>J535-K535-L535</f>
        <v>9</v>
      </c>
      <c r="R535" s="109">
        <f>Q535*11-M535-N535</f>
        <v>99</v>
      </c>
      <c r="S535" s="416">
        <f t="array" ref="S535">IF(ISERROR(Q535/J535),"",Q535/J535)</f>
        <v>0.9</v>
      </c>
      <c r="T535" s="416">
        <f t="array" ref="T535">IF(ISERROR((O535:P535)/C535),"",SUM(O535:P535)/C535)</f>
        <v>0</v>
      </c>
      <c r="V535" s="179"/>
      <c r="X535" s="116"/>
      <c r="Y535" s="116"/>
      <c r="Z535" s="159"/>
      <c r="AA535" s="159"/>
    </row>
    <row r="536" spans="1:27" ht="20.100000000000001" customHeight="1">
      <c r="A536" s="647" t="s">
        <v>330</v>
      </c>
      <c r="B536" s="648"/>
      <c r="C536" s="112">
        <f>SUM(C533:C535)</f>
        <v>97</v>
      </c>
      <c r="D536" s="112">
        <f t="shared" ref="D536:N536" si="240">SUM(D533:D535)</f>
        <v>92</v>
      </c>
      <c r="E536" s="112">
        <f t="shared" si="240"/>
        <v>5</v>
      </c>
      <c r="F536" s="112">
        <f t="shared" si="240"/>
        <v>0</v>
      </c>
      <c r="G536" s="113">
        <f t="shared" si="240"/>
        <v>0</v>
      </c>
      <c r="H536" s="112">
        <f t="shared" si="240"/>
        <v>0</v>
      </c>
      <c r="I536" s="112">
        <f t="shared" si="240"/>
        <v>0</v>
      </c>
      <c r="J536" s="112">
        <f t="shared" si="240"/>
        <v>97</v>
      </c>
      <c r="K536" s="112">
        <f t="shared" si="240"/>
        <v>3</v>
      </c>
      <c r="L536" s="112">
        <f t="shared" si="240"/>
        <v>0</v>
      </c>
      <c r="M536" s="112">
        <f t="shared" si="240"/>
        <v>0</v>
      </c>
      <c r="N536" s="112">
        <f t="shared" si="240"/>
        <v>0</v>
      </c>
      <c r="O536" s="112">
        <f>SUM(O533:O535)</f>
        <v>0</v>
      </c>
      <c r="P536" s="112">
        <f>SUM(P533:P535)</f>
        <v>0</v>
      </c>
      <c r="Q536" s="112">
        <f>SUM(Q533:Q535)</f>
        <v>94</v>
      </c>
      <c r="R536" s="114">
        <f>SUM(R533:R535)</f>
        <v>1034</v>
      </c>
      <c r="S536" s="115">
        <f t="array" ref="S536">IF(ISERROR(Q536/J536),"",Q536/J536)</f>
        <v>0.96907216494845361</v>
      </c>
      <c r="T536" s="115">
        <f t="array" ref="T536">IF(ISERROR((O536:P536)/C536),"",SUM(O536:P536)/C536)</f>
        <v>0</v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7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7"/>
      <c r="H538" s="116"/>
      <c r="I538" s="118" t="s">
        <v>332</v>
      </c>
      <c r="J538" s="198" t="s">
        <v>447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39" spans="1:27">
      <c r="E539" s="121">
        <f>11596-624</f>
        <v>10972</v>
      </c>
    </row>
    <row r="554" spans="2:2">
      <c r="B554" s="121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531" activePane="bottomRight" state="frozen"/>
      <selection activeCell="E487" sqref="E487"/>
      <selection pane="topRight" activeCell="E487" sqref="E487"/>
      <selection pane="bottomLeft" activeCell="E487" sqref="E487"/>
      <selection pane="bottomRight" activeCell="G30" sqref="G30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55" t="s">
        <v>413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55"/>
      <c r="M1" s="555"/>
      <c r="N1" s="555"/>
      <c r="O1" s="555"/>
      <c r="P1" s="555"/>
      <c r="Q1" s="555"/>
      <c r="R1" s="555"/>
      <c r="S1" s="555"/>
      <c r="T1" s="555"/>
      <c r="U1" s="555"/>
      <c r="V1" s="555"/>
      <c r="W1" s="555"/>
      <c r="X1" s="555"/>
      <c r="Y1" s="555"/>
      <c r="Z1" s="555"/>
      <c r="AA1" s="555"/>
    </row>
    <row r="2" spans="1:27" ht="18.75">
      <c r="A2" s="556"/>
      <c r="B2" s="556"/>
      <c r="C2" s="556"/>
      <c r="D2" s="556"/>
      <c r="E2" s="556"/>
      <c r="F2" s="556"/>
      <c r="G2" s="556"/>
      <c r="H2" s="556"/>
      <c r="I2" s="556"/>
      <c r="J2" s="556"/>
      <c r="K2" s="556"/>
      <c r="L2" s="556"/>
      <c r="M2" s="556"/>
      <c r="N2" s="556"/>
      <c r="O2" s="556"/>
      <c r="P2" s="556"/>
      <c r="Q2" s="556"/>
      <c r="R2" s="556"/>
      <c r="S2" s="556"/>
      <c r="T2" s="556"/>
      <c r="U2" s="556"/>
      <c r="V2" s="556"/>
      <c r="W2" s="556"/>
      <c r="X2" s="556"/>
      <c r="Y2" s="556"/>
      <c r="Z2" s="556"/>
      <c r="AA2" s="556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57" t="s">
        <v>12</v>
      </c>
      <c r="B4" s="557" t="s">
        <v>25</v>
      </c>
      <c r="C4" s="557" t="s">
        <v>26</v>
      </c>
      <c r="D4" s="557" t="s">
        <v>27</v>
      </c>
      <c r="E4" s="560" t="s">
        <v>28</v>
      </c>
      <c r="F4" s="563" t="s">
        <v>29</v>
      </c>
      <c r="G4" s="566" t="s">
        <v>30</v>
      </c>
      <c r="H4" s="566"/>
      <c r="I4" s="557" t="s">
        <v>31</v>
      </c>
      <c r="J4" s="569" t="s">
        <v>32</v>
      </c>
      <c r="K4" s="572" t="s">
        <v>33</v>
      </c>
      <c r="L4" s="557" t="s">
        <v>34</v>
      </c>
      <c r="M4" s="575" t="s">
        <v>35</v>
      </c>
      <c r="N4" s="577" t="s">
        <v>36</v>
      </c>
      <c r="O4" s="566" t="s">
        <v>37</v>
      </c>
      <c r="P4" s="566"/>
      <c r="Q4" s="566"/>
      <c r="R4" s="566"/>
      <c r="S4" s="566"/>
      <c r="T4" s="566"/>
      <c r="U4" s="566"/>
      <c r="V4" s="566" t="s">
        <v>38</v>
      </c>
      <c r="W4" s="577" t="s">
        <v>39</v>
      </c>
      <c r="X4" s="566" t="s">
        <v>40</v>
      </c>
      <c r="Y4" s="566"/>
      <c r="Z4" s="566"/>
      <c r="AA4" s="566"/>
    </row>
    <row r="5" spans="1:27" s="104" customFormat="1" ht="15" customHeight="1">
      <c r="A5" s="558"/>
      <c r="B5" s="558"/>
      <c r="C5" s="558"/>
      <c r="D5" s="558"/>
      <c r="E5" s="561"/>
      <c r="F5" s="564"/>
      <c r="G5" s="566"/>
      <c r="H5" s="566"/>
      <c r="I5" s="558"/>
      <c r="J5" s="570"/>
      <c r="K5" s="573"/>
      <c r="L5" s="558"/>
      <c r="M5" s="576"/>
      <c r="N5" s="577"/>
      <c r="O5" s="566" t="s">
        <v>41</v>
      </c>
      <c r="P5" s="566" t="s">
        <v>42</v>
      </c>
      <c r="Q5" s="566" t="s">
        <v>43</v>
      </c>
      <c r="R5" s="567" t="s">
        <v>44</v>
      </c>
      <c r="S5" s="568" t="s">
        <v>45</v>
      </c>
      <c r="T5" s="566" t="s">
        <v>46</v>
      </c>
      <c r="U5" s="566" t="s">
        <v>47</v>
      </c>
      <c r="V5" s="566"/>
      <c r="W5" s="577"/>
      <c r="X5" s="566" t="s">
        <v>13</v>
      </c>
      <c r="Y5" s="566" t="s">
        <v>48</v>
      </c>
      <c r="Z5" s="566" t="s">
        <v>49</v>
      </c>
      <c r="AA5" s="566" t="s">
        <v>47</v>
      </c>
    </row>
    <row r="6" spans="1:27" s="104" customFormat="1" ht="27.75" customHeight="1">
      <c r="A6" s="559"/>
      <c r="B6" s="559"/>
      <c r="C6" s="559"/>
      <c r="D6" s="559"/>
      <c r="E6" s="562"/>
      <c r="F6" s="565"/>
      <c r="G6" s="350" t="s">
        <v>50</v>
      </c>
      <c r="H6" s="435" t="s">
        <v>51</v>
      </c>
      <c r="I6" s="559"/>
      <c r="J6" s="571"/>
      <c r="K6" s="574"/>
      <c r="L6" s="559"/>
      <c r="M6" s="576"/>
      <c r="N6" s="577"/>
      <c r="O6" s="566"/>
      <c r="P6" s="566"/>
      <c r="Q6" s="566"/>
      <c r="R6" s="567"/>
      <c r="S6" s="568"/>
      <c r="T6" s="566"/>
      <c r="U6" s="566"/>
      <c r="V6" s="566"/>
      <c r="W6" s="577"/>
      <c r="X6" s="566"/>
      <c r="Y6" s="566"/>
      <c r="Z6" s="566"/>
      <c r="AA6" s="566"/>
    </row>
    <row r="7" spans="1:27" ht="20.100000000000001" hidden="1" customHeight="1">
      <c r="A7" s="299">
        <v>30100030</v>
      </c>
      <c r="B7" s="424" t="s">
        <v>178</v>
      </c>
      <c r="C7" s="126" t="s">
        <v>179</v>
      </c>
      <c r="D7" s="108">
        <v>5.03</v>
      </c>
      <c r="E7" s="108"/>
      <c r="F7" s="127"/>
      <c r="G7" s="128"/>
      <c r="H7" s="425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433"/>
      <c r="P7" s="433"/>
      <c r="Q7" s="433"/>
      <c r="R7" s="433"/>
      <c r="S7" s="433"/>
      <c r="T7" s="433"/>
      <c r="U7" s="433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25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433"/>
      <c r="Q8" s="433"/>
      <c r="R8" s="433"/>
      <c r="S8" s="433"/>
      <c r="T8" s="433"/>
      <c r="U8" s="433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25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33"/>
      <c r="P9" s="433"/>
      <c r="Q9" s="433"/>
      <c r="R9" s="433"/>
      <c r="S9" s="433"/>
      <c r="T9" s="433"/>
      <c r="U9" s="433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425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433"/>
      <c r="P10" s="433"/>
      <c r="Q10" s="433"/>
      <c r="R10" s="433"/>
      <c r="S10" s="433"/>
      <c r="T10" s="433"/>
      <c r="U10" s="433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>
        <v>42736</v>
      </c>
      <c r="G11" s="128">
        <v>28</v>
      </c>
      <c r="H11" s="425">
        <f t="shared" si="0"/>
        <v>140.84</v>
      </c>
      <c r="I11" s="129">
        <f>4*2</f>
        <v>8</v>
      </c>
      <c r="J11" s="130">
        <f t="array" ref="J11">IF(ISERROR(G11/I11),"",G11/I11)</f>
        <v>3.5</v>
      </c>
      <c r="K11" s="131">
        <f t="array" ref="K11">IF(ISERROR(G11/L11),"",G11/L11)</f>
        <v>1.4</v>
      </c>
      <c r="L11" s="129">
        <v>20</v>
      </c>
      <c r="M11" s="109">
        <f t="shared" si="1"/>
        <v>6.6</v>
      </c>
      <c r="N11" s="130">
        <f t="shared" si="4"/>
        <v>0</v>
      </c>
      <c r="O11" s="433"/>
      <c r="P11" s="433"/>
      <c r="Q11" s="433"/>
      <c r="R11" s="433"/>
      <c r="S11" s="433"/>
      <c r="T11" s="433"/>
      <c r="U11" s="433"/>
      <c r="V11" s="132">
        <f t="shared" si="2"/>
        <v>0</v>
      </c>
      <c r="W11" s="133">
        <f t="shared" si="3"/>
        <v>0</v>
      </c>
      <c r="X11" s="132"/>
      <c r="Y11" s="132"/>
      <c r="Z11" s="132"/>
      <c r="AA11" s="132"/>
    </row>
    <row r="12" spans="1:27" ht="20.10000000000000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27">
        <v>42739</v>
      </c>
      <c r="G12" s="128">
        <f>100*5+70-10</f>
        <v>560</v>
      </c>
      <c r="H12" s="425">
        <f t="shared" si="0"/>
        <v>2822.4</v>
      </c>
      <c r="I12" s="138">
        <f>11*3</f>
        <v>33</v>
      </c>
      <c r="J12" s="130">
        <f t="array" ref="J12">IF(ISERROR(G12/I12),"",G12/I12)</f>
        <v>16.969696969696969</v>
      </c>
      <c r="K12" s="131">
        <f t="array" ref="K12">IF(ISERROR(G12/L12),"",G12/L12)</f>
        <v>29.473684210526315</v>
      </c>
      <c r="L12" s="129">
        <v>19</v>
      </c>
      <c r="M12" s="109">
        <f t="shared" si="1"/>
        <v>3.526315789473685</v>
      </c>
      <c r="N12" s="130">
        <f t="shared" si="4"/>
        <v>0</v>
      </c>
      <c r="O12" s="433"/>
      <c r="P12" s="433"/>
      <c r="Q12" s="433"/>
      <c r="R12" s="433"/>
      <c r="S12" s="433"/>
      <c r="T12" s="433"/>
      <c r="U12" s="433"/>
      <c r="V12" s="132">
        <f t="shared" si="2"/>
        <v>0</v>
      </c>
      <c r="W12" s="133">
        <f t="shared" si="3"/>
        <v>0</v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25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33"/>
      <c r="P13" s="433"/>
      <c r="Q13" s="433"/>
      <c r="R13" s="433"/>
      <c r="S13" s="433"/>
      <c r="T13" s="433"/>
      <c r="U13" s="433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25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33"/>
      <c r="P14" s="433"/>
      <c r="Q14" s="433"/>
      <c r="R14" s="433"/>
      <c r="S14" s="433"/>
      <c r="T14" s="433"/>
      <c r="U14" s="433"/>
      <c r="V14" s="132"/>
      <c r="W14" s="133"/>
      <c r="X14" s="132"/>
      <c r="Y14" s="132"/>
      <c r="Z14" s="132"/>
      <c r="AA14" s="132"/>
    </row>
    <row r="15" spans="1:27" ht="20.10000000000000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27">
        <v>42739</v>
      </c>
      <c r="G15" s="128">
        <f>100*4+82</f>
        <v>482</v>
      </c>
      <c r="H15" s="425">
        <f t="shared" si="0"/>
        <v>2429.2800000000002</v>
      </c>
      <c r="I15" s="129">
        <f>6.5*5</f>
        <v>32.5</v>
      </c>
      <c r="J15" s="130">
        <f t="array" ref="J15">IF(ISERROR(G15/I15),"",G15/I15)</f>
        <v>14.830769230769231</v>
      </c>
      <c r="K15" s="131">
        <f t="array" ref="K15">IF(ISERROR(G15/L15),"",G15/L15)</f>
        <v>28.352941176470587</v>
      </c>
      <c r="L15" s="129">
        <v>17</v>
      </c>
      <c r="M15" s="109">
        <f t="shared" si="1"/>
        <v>4.147058823529413</v>
      </c>
      <c r="N15" s="130">
        <f t="shared" si="4"/>
        <v>0</v>
      </c>
      <c r="O15" s="433"/>
      <c r="P15" s="433"/>
      <c r="Q15" s="433"/>
      <c r="R15" s="433"/>
      <c r="S15" s="433"/>
      <c r="T15" s="433"/>
      <c r="U15" s="433"/>
      <c r="V15" s="132">
        <f>SUM(X15:AA15)</f>
        <v>0</v>
      </c>
      <c r="W15" s="133">
        <f>IF(ISERROR(V15/G15),"",V15/G15)</f>
        <v>0</v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425">
        <f t="shared" si="0"/>
        <v>0</v>
      </c>
      <c r="I16" s="425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33"/>
      <c r="P16" s="433"/>
      <c r="Q16" s="433"/>
      <c r="R16" s="433"/>
      <c r="S16" s="433"/>
      <c r="T16" s="433"/>
      <c r="U16" s="433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425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33"/>
      <c r="P17" s="433"/>
      <c r="Q17" s="433"/>
      <c r="R17" s="433"/>
      <c r="S17" s="433"/>
      <c r="T17" s="433"/>
      <c r="U17" s="433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425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33"/>
      <c r="P18" s="433"/>
      <c r="Q18" s="433"/>
      <c r="R18" s="433"/>
      <c r="S18" s="433"/>
      <c r="T18" s="433"/>
      <c r="U18" s="433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425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433"/>
      <c r="P19" s="433"/>
      <c r="Q19" s="433"/>
      <c r="R19" s="433"/>
      <c r="S19" s="433"/>
      <c r="T19" s="433"/>
      <c r="U19" s="433"/>
      <c r="V19" s="132">
        <f t="shared" ref="V19:V21" si="5">SUM(X19:AA19)</f>
        <v>0</v>
      </c>
      <c r="W19" s="426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425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433"/>
      <c r="P20" s="433"/>
      <c r="Q20" s="433"/>
      <c r="R20" s="433"/>
      <c r="S20" s="433"/>
      <c r="T20" s="433"/>
      <c r="U20" s="433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25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33"/>
      <c r="P21" s="433"/>
      <c r="Q21" s="433"/>
      <c r="R21" s="433"/>
      <c r="S21" s="433"/>
      <c r="T21" s="433"/>
      <c r="U21" s="433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431" t="s">
        <v>190</v>
      </c>
      <c r="D22" s="108">
        <v>4.8</v>
      </c>
      <c r="E22" s="108"/>
      <c r="F22" s="127"/>
      <c r="G22" s="128"/>
      <c r="H22" s="425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33"/>
      <c r="P22" s="433"/>
      <c r="Q22" s="433"/>
      <c r="R22" s="433"/>
      <c r="S22" s="433"/>
      <c r="T22" s="433"/>
      <c r="U22" s="433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431" t="s">
        <v>187</v>
      </c>
      <c r="D23" s="108">
        <v>4.8</v>
      </c>
      <c r="E23" s="108"/>
      <c r="F23" s="127"/>
      <c r="G23" s="128"/>
      <c r="H23" s="425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33"/>
      <c r="P23" s="433"/>
      <c r="Q23" s="433"/>
      <c r="R23" s="433"/>
      <c r="S23" s="433"/>
      <c r="T23" s="433"/>
      <c r="U23" s="433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431" t="s">
        <v>179</v>
      </c>
      <c r="D24" s="108">
        <v>4.8</v>
      </c>
      <c r="E24" s="108"/>
      <c r="F24" s="127"/>
      <c r="G24" s="128"/>
      <c r="H24" s="425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33"/>
      <c r="P24" s="433"/>
      <c r="Q24" s="433"/>
      <c r="R24" s="433"/>
      <c r="S24" s="433"/>
      <c r="T24" s="433"/>
      <c r="U24" s="433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431" t="s">
        <v>199</v>
      </c>
      <c r="D25" s="108">
        <v>4.8</v>
      </c>
      <c r="E25" s="108"/>
      <c r="F25" s="127"/>
      <c r="G25" s="128"/>
      <c r="H25" s="425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33"/>
      <c r="P25" s="433"/>
      <c r="Q25" s="433"/>
      <c r="R25" s="433"/>
      <c r="S25" s="433"/>
      <c r="T25" s="433"/>
      <c r="U25" s="433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25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33"/>
      <c r="P26" s="433"/>
      <c r="Q26" s="433"/>
      <c r="R26" s="433"/>
      <c r="S26" s="433"/>
      <c r="T26" s="433"/>
      <c r="U26" s="433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27">
        <v>42738</v>
      </c>
      <c r="G27" s="128">
        <f>100+29+100</f>
        <v>229</v>
      </c>
      <c r="H27" s="425">
        <f t="shared" si="0"/>
        <v>1142.71</v>
      </c>
      <c r="I27" s="129">
        <f>2.5*5</f>
        <v>12.5</v>
      </c>
      <c r="J27" s="130">
        <f t="array" ref="J27">IF(ISERROR(G27/I27),"",G27/I27)</f>
        <v>18.32</v>
      </c>
      <c r="K27" s="131">
        <f t="array" ref="K27">IF(ISERROR(G27/L27),"",G27/L27)</f>
        <v>9.7446808510638299</v>
      </c>
      <c r="L27" s="129">
        <v>23.5</v>
      </c>
      <c r="M27" s="109">
        <f t="shared" si="1"/>
        <v>2.7553191489361701</v>
      </c>
      <c r="N27" s="130">
        <f t="shared" si="7"/>
        <v>0</v>
      </c>
      <c r="O27" s="433"/>
      <c r="P27" s="433"/>
      <c r="Q27" s="433"/>
      <c r="R27" s="433"/>
      <c r="S27" s="433"/>
      <c r="T27" s="433"/>
      <c r="U27" s="433"/>
      <c r="V27" s="132">
        <f t="shared" si="8"/>
        <v>0</v>
      </c>
      <c r="W27" s="133">
        <f t="shared" si="9"/>
        <v>0</v>
      </c>
      <c r="X27" s="132"/>
      <c r="Y27" s="132"/>
      <c r="Z27" s="132"/>
      <c r="AA27" s="132"/>
    </row>
    <row r="28" spans="1:27" ht="20.100000000000001" customHeight="1">
      <c r="A28" s="578" t="s">
        <v>201</v>
      </c>
      <c r="B28" s="579"/>
      <c r="C28" s="434" t="s">
        <v>202</v>
      </c>
      <c r="D28" s="143"/>
      <c r="E28" s="143"/>
      <c r="F28" s="144"/>
      <c r="G28" s="145">
        <f>SUM(G7:G27)</f>
        <v>1299</v>
      </c>
      <c r="H28" s="146">
        <f>SUM(H7:H27)</f>
        <v>6535.2300000000005</v>
      </c>
      <c r="I28" s="146">
        <f>SUM(I7:I27)</f>
        <v>86</v>
      </c>
      <c r="J28" s="130">
        <f t="array" ref="J28">IF(ISERROR(G28/I28),"",G28/I28)</f>
        <v>15.104651162790697</v>
      </c>
      <c r="K28" s="146">
        <f>SUM(K7:K27)</f>
        <v>68.971306238060734</v>
      </c>
      <c r="L28" s="147"/>
      <c r="M28" s="146">
        <f t="shared" ref="M28:V28" si="10">SUM(M7:M27)</f>
        <v>17.028693761939266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424" t="s">
        <v>206</v>
      </c>
      <c r="C29" s="126" t="s">
        <v>199</v>
      </c>
      <c r="D29" s="108">
        <v>5.03</v>
      </c>
      <c r="E29" s="108"/>
      <c r="F29" s="127"/>
      <c r="G29" s="128"/>
      <c r="H29" s="425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:M30" si="12">IF(ISERROR(I29-K29),"",I29-K29)</f>
        <v>0</v>
      </c>
      <c r="N29" s="130">
        <f t="shared" ref="N29" si="13">SUM(O29:U29)</f>
        <v>0</v>
      </c>
      <c r="O29" s="429"/>
      <c r="P29" s="429"/>
      <c r="Q29" s="429"/>
      <c r="R29" s="429"/>
      <c r="S29" s="429"/>
      <c r="T29" s="429"/>
      <c r="U29" s="429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customHeight="1">
      <c r="A30" s="300">
        <v>30100011</v>
      </c>
      <c r="B30" s="424" t="s">
        <v>425</v>
      </c>
      <c r="C30" s="187" t="s">
        <v>427</v>
      </c>
      <c r="D30" s="108">
        <v>5.03</v>
      </c>
      <c r="E30" s="108"/>
      <c r="F30" s="127">
        <v>42739</v>
      </c>
      <c r="G30" s="128">
        <f>62+108*5+85+43</f>
        <v>730</v>
      </c>
      <c r="H30" s="425">
        <f t="shared" si="11"/>
        <v>3671.9</v>
      </c>
      <c r="I30" s="129">
        <f>2.5*2</f>
        <v>5</v>
      </c>
      <c r="J30" s="130">
        <f t="array" ref="J30">IF(ISERROR(G30/I30),"",G30/I30)</f>
        <v>146</v>
      </c>
      <c r="K30" s="131">
        <f t="array" ref="K30">IF(ISERROR(G30/L30),"",G30/L30)</f>
        <v>14.038461538461538</v>
      </c>
      <c r="L30" s="129">
        <v>52</v>
      </c>
      <c r="M30" s="109">
        <f t="shared" si="12"/>
        <v>-9.0384615384615383</v>
      </c>
      <c r="N30" s="130"/>
      <c r="O30" s="429"/>
      <c r="P30" s="429"/>
      <c r="Q30" s="429"/>
      <c r="R30" s="429"/>
      <c r="S30" s="429"/>
      <c r="T30" s="429"/>
      <c r="U30" s="429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424" t="s">
        <v>206</v>
      </c>
      <c r="C31" s="126" t="s">
        <v>186</v>
      </c>
      <c r="D31" s="108">
        <v>5.03</v>
      </c>
      <c r="E31" s="108"/>
      <c r="F31" s="127"/>
      <c r="G31" s="128"/>
      <c r="H31" s="425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429"/>
      <c r="P31" s="429"/>
      <c r="Q31" s="429"/>
      <c r="R31" s="429"/>
      <c r="S31" s="429"/>
      <c r="T31" s="429"/>
      <c r="U31" s="429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customHeight="1">
      <c r="A32" s="300">
        <v>30100014</v>
      </c>
      <c r="B32" s="424" t="s">
        <v>206</v>
      </c>
      <c r="C32" s="126" t="s">
        <v>203</v>
      </c>
      <c r="D32" s="108">
        <v>5.03</v>
      </c>
      <c r="E32" s="108"/>
      <c r="F32" s="127">
        <v>42739</v>
      </c>
      <c r="G32" s="128">
        <f>108*7+66</f>
        <v>822</v>
      </c>
      <c r="H32" s="425">
        <f t="shared" si="11"/>
        <v>4134.66</v>
      </c>
      <c r="I32" s="129">
        <f>5.5*2</f>
        <v>11</v>
      </c>
      <c r="J32" s="130">
        <f t="array" ref="J32">IF(ISERROR(G32/I32),"",G32/I32)</f>
        <v>74.727272727272734</v>
      </c>
      <c r="K32" s="131">
        <f t="array" ref="K32">IF(ISERROR(G32/L32),"",G32/L32)</f>
        <v>15.807692307692308</v>
      </c>
      <c r="L32" s="129">
        <v>52</v>
      </c>
      <c r="M32" s="109">
        <f t="shared" si="15"/>
        <v>-4.8076923076923084</v>
      </c>
      <c r="N32" s="130">
        <f t="shared" si="16"/>
        <v>0</v>
      </c>
      <c r="O32" s="429"/>
      <c r="P32" s="429"/>
      <c r="Q32" s="429"/>
      <c r="R32" s="429"/>
      <c r="S32" s="429"/>
      <c r="T32" s="429"/>
      <c r="U32" s="429"/>
      <c r="V32" s="132">
        <f t="shared" si="17"/>
        <v>0</v>
      </c>
      <c r="W32" s="133">
        <f t="shared" si="18"/>
        <v>0</v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424" t="s">
        <v>206</v>
      </c>
      <c r="C33" s="126" t="s">
        <v>207</v>
      </c>
      <c r="D33" s="108">
        <v>5.03</v>
      </c>
      <c r="E33" s="108"/>
      <c r="F33" s="127"/>
      <c r="G33" s="128"/>
      <c r="H33" s="425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429"/>
      <c r="P33" s="429"/>
      <c r="Q33" s="429"/>
      <c r="R33" s="429"/>
      <c r="S33" s="429"/>
      <c r="T33" s="429"/>
      <c r="U33" s="429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424" t="s">
        <v>414</v>
      </c>
      <c r="C34" s="187" t="s">
        <v>415</v>
      </c>
      <c r="D34" s="108">
        <v>5.03</v>
      </c>
      <c r="E34" s="108"/>
      <c r="F34" s="127"/>
      <c r="G34" s="128"/>
      <c r="H34" s="425">
        <f t="shared" si="11"/>
        <v>0</v>
      </c>
      <c r="I34" s="129"/>
      <c r="J34" s="130"/>
      <c r="K34" s="131"/>
      <c r="L34" s="129">
        <v>52</v>
      </c>
      <c r="M34" s="109"/>
      <c r="N34" s="130"/>
      <c r="O34" s="429"/>
      <c r="P34" s="429"/>
      <c r="Q34" s="429"/>
      <c r="R34" s="429"/>
      <c r="S34" s="429"/>
      <c r="T34" s="429"/>
      <c r="U34" s="429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424" t="s">
        <v>414</v>
      </c>
      <c r="C35" s="187" t="s">
        <v>416</v>
      </c>
      <c r="D35" s="108">
        <v>5.03</v>
      </c>
      <c r="E35" s="108"/>
      <c r="F35" s="127"/>
      <c r="G35" s="128"/>
      <c r="H35" s="425">
        <f t="shared" si="11"/>
        <v>0</v>
      </c>
      <c r="I35" s="129"/>
      <c r="J35" s="130"/>
      <c r="K35" s="131"/>
      <c r="L35" s="129">
        <v>52</v>
      </c>
      <c r="M35" s="109"/>
      <c r="N35" s="130"/>
      <c r="O35" s="429"/>
      <c r="P35" s="429"/>
      <c r="Q35" s="429"/>
      <c r="R35" s="429"/>
      <c r="S35" s="429"/>
      <c r="T35" s="429"/>
      <c r="U35" s="429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424" t="s">
        <v>414</v>
      </c>
      <c r="C36" s="187" t="s">
        <v>61</v>
      </c>
      <c r="D36" s="108">
        <v>5.03</v>
      </c>
      <c r="E36" s="108"/>
      <c r="F36" s="127"/>
      <c r="G36" s="128"/>
      <c r="H36" s="425">
        <f t="shared" si="11"/>
        <v>0</v>
      </c>
      <c r="I36" s="129"/>
      <c r="J36" s="130"/>
      <c r="K36" s="131"/>
      <c r="L36" s="129">
        <v>52</v>
      </c>
      <c r="M36" s="109"/>
      <c r="N36" s="130"/>
      <c r="O36" s="429"/>
      <c r="P36" s="429"/>
      <c r="Q36" s="429"/>
      <c r="R36" s="429"/>
      <c r="S36" s="429"/>
      <c r="T36" s="429"/>
      <c r="U36" s="429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424" t="s">
        <v>208</v>
      </c>
      <c r="C37" s="126" t="s">
        <v>179</v>
      </c>
      <c r="D37" s="108">
        <v>5.08</v>
      </c>
      <c r="E37" s="108"/>
      <c r="F37" s="127"/>
      <c r="G37" s="128"/>
      <c r="H37" s="425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429"/>
      <c r="P37" s="429"/>
      <c r="Q37" s="429"/>
      <c r="R37" s="429"/>
      <c r="S37" s="429"/>
      <c r="T37" s="429"/>
      <c r="U37" s="429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424" t="s">
        <v>208</v>
      </c>
      <c r="C38" s="126" t="s">
        <v>204</v>
      </c>
      <c r="D38" s="108">
        <v>5.08</v>
      </c>
      <c r="E38" s="108"/>
      <c r="F38" s="127"/>
      <c r="G38" s="128"/>
      <c r="H38" s="425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429"/>
      <c r="P38" s="429"/>
      <c r="Q38" s="429"/>
      <c r="R38" s="429"/>
      <c r="S38" s="429"/>
      <c r="T38" s="429"/>
      <c r="U38" s="429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424" t="s">
        <v>208</v>
      </c>
      <c r="C39" s="126" t="s">
        <v>205</v>
      </c>
      <c r="D39" s="108">
        <v>5.08</v>
      </c>
      <c r="E39" s="108"/>
      <c r="F39" s="127"/>
      <c r="G39" s="128"/>
      <c r="H39" s="425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429"/>
      <c r="P39" s="429"/>
      <c r="Q39" s="429"/>
      <c r="R39" s="429"/>
      <c r="S39" s="429"/>
      <c r="T39" s="429"/>
      <c r="U39" s="429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424" t="s">
        <v>208</v>
      </c>
      <c r="C40" s="126" t="s">
        <v>186</v>
      </c>
      <c r="D40" s="108">
        <v>5.08</v>
      </c>
      <c r="E40" s="108"/>
      <c r="F40" s="127"/>
      <c r="G40" s="128"/>
      <c r="H40" s="425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429"/>
      <c r="P40" s="429"/>
      <c r="Q40" s="429"/>
      <c r="R40" s="429"/>
      <c r="S40" s="429"/>
      <c r="T40" s="429"/>
      <c r="U40" s="429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424" t="s">
        <v>208</v>
      </c>
      <c r="C41" s="126" t="s">
        <v>203</v>
      </c>
      <c r="D41" s="108">
        <v>5.08</v>
      </c>
      <c r="E41" s="108"/>
      <c r="F41" s="127"/>
      <c r="G41" s="128"/>
      <c r="H41" s="425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429"/>
      <c r="P41" s="429"/>
      <c r="Q41" s="429"/>
      <c r="R41" s="429"/>
      <c r="S41" s="429"/>
      <c r="T41" s="429"/>
      <c r="U41" s="429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424" t="s">
        <v>208</v>
      </c>
      <c r="C42" s="126" t="s">
        <v>199</v>
      </c>
      <c r="D42" s="108">
        <v>5.08</v>
      </c>
      <c r="E42" s="108"/>
      <c r="F42" s="127"/>
      <c r="G42" s="128"/>
      <c r="H42" s="425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433"/>
      <c r="P42" s="433"/>
      <c r="Q42" s="433"/>
      <c r="R42" s="433"/>
      <c r="S42" s="433"/>
      <c r="T42" s="433"/>
      <c r="U42" s="433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424" t="s">
        <v>208</v>
      </c>
      <c r="C43" s="126" t="s">
        <v>187</v>
      </c>
      <c r="D43" s="108">
        <v>5.08</v>
      </c>
      <c r="E43" s="108"/>
      <c r="F43" s="127"/>
      <c r="G43" s="128"/>
      <c r="H43" s="425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429"/>
      <c r="P43" s="429"/>
      <c r="Q43" s="429"/>
      <c r="R43" s="429"/>
      <c r="S43" s="429"/>
      <c r="T43" s="429"/>
      <c r="U43" s="429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customHeight="1">
      <c r="A44" s="300">
        <v>30100028</v>
      </c>
      <c r="B44" s="424" t="s">
        <v>208</v>
      </c>
      <c r="C44" s="126" t="s">
        <v>207</v>
      </c>
      <c r="D44" s="108">
        <v>5.08</v>
      </c>
      <c r="E44" s="108"/>
      <c r="F44" s="127">
        <v>42738</v>
      </c>
      <c r="G44" s="128">
        <f>108*4+48+108*3</f>
        <v>804</v>
      </c>
      <c r="H44" s="425">
        <f t="shared" si="11"/>
        <v>4084.32</v>
      </c>
      <c r="I44" s="129">
        <f>11*3</f>
        <v>33</v>
      </c>
      <c r="J44" s="130">
        <f t="array" ref="J44">IF(ISERROR(G44/I44),"",G44/I44)</f>
        <v>24.363636363636363</v>
      </c>
      <c r="K44" s="131">
        <f t="array" ref="K44">IF(ISERROR(G44/L44),"",G44/L44)</f>
        <v>38.285714285714285</v>
      </c>
      <c r="L44" s="129">
        <v>21</v>
      </c>
      <c r="M44" s="109">
        <f t="shared" si="19"/>
        <v>-5.2857142857142847</v>
      </c>
      <c r="N44" s="130">
        <f t="shared" si="20"/>
        <v>0</v>
      </c>
      <c r="O44" s="433"/>
      <c r="P44" s="433"/>
      <c r="Q44" s="433"/>
      <c r="R44" s="433"/>
      <c r="S44" s="433"/>
      <c r="T44" s="433"/>
      <c r="U44" s="433"/>
      <c r="V44" s="132">
        <f t="shared" si="21"/>
        <v>0</v>
      </c>
      <c r="W44" s="133">
        <f t="shared" si="22"/>
        <v>0</v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424" t="s">
        <v>209</v>
      </c>
      <c r="C45" s="126" t="s">
        <v>194</v>
      </c>
      <c r="D45" s="108">
        <v>5.03</v>
      </c>
      <c r="E45" s="108"/>
      <c r="F45" s="127"/>
      <c r="G45" s="128"/>
      <c r="H45" s="425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429"/>
      <c r="P45" s="429"/>
      <c r="Q45" s="429"/>
      <c r="R45" s="429"/>
      <c r="S45" s="429"/>
      <c r="T45" s="429"/>
      <c r="U45" s="429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424" t="s">
        <v>209</v>
      </c>
      <c r="C46" s="126" t="s">
        <v>179</v>
      </c>
      <c r="D46" s="108">
        <v>5.03</v>
      </c>
      <c r="E46" s="108"/>
      <c r="F46" s="127"/>
      <c r="G46" s="128"/>
      <c r="H46" s="425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429"/>
      <c r="P46" s="429"/>
      <c r="Q46" s="429"/>
      <c r="R46" s="429"/>
      <c r="S46" s="429"/>
      <c r="T46" s="429"/>
      <c r="U46" s="429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424" t="s">
        <v>209</v>
      </c>
      <c r="C47" s="126" t="s">
        <v>195</v>
      </c>
      <c r="D47" s="108">
        <v>5.03</v>
      </c>
      <c r="E47" s="108"/>
      <c r="F47" s="127"/>
      <c r="G47" s="128"/>
      <c r="H47" s="425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429"/>
      <c r="P47" s="429"/>
      <c r="Q47" s="429"/>
      <c r="R47" s="429"/>
      <c r="S47" s="429"/>
      <c r="T47" s="429"/>
      <c r="U47" s="429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424" t="s">
        <v>209</v>
      </c>
      <c r="C48" s="126" t="s">
        <v>204</v>
      </c>
      <c r="D48" s="108">
        <v>5.03</v>
      </c>
      <c r="E48" s="108"/>
      <c r="F48" s="127"/>
      <c r="G48" s="128"/>
      <c r="H48" s="425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429"/>
      <c r="P48" s="429"/>
      <c r="Q48" s="429"/>
      <c r="R48" s="429"/>
      <c r="S48" s="429"/>
      <c r="T48" s="429"/>
      <c r="U48" s="429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424" t="s">
        <v>382</v>
      </c>
      <c r="C49" s="187" t="s">
        <v>383</v>
      </c>
      <c r="D49" s="108">
        <v>5.03</v>
      </c>
      <c r="E49" s="108"/>
      <c r="F49" s="127"/>
      <c r="G49" s="128"/>
      <c r="H49" s="425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429"/>
      <c r="P49" s="429"/>
      <c r="Q49" s="429"/>
      <c r="R49" s="429"/>
      <c r="S49" s="429"/>
      <c r="T49" s="429"/>
      <c r="U49" s="429"/>
      <c r="V49" s="132"/>
      <c r="W49" s="133"/>
      <c r="X49" s="132"/>
      <c r="Y49" s="132"/>
      <c r="Z49" s="132"/>
      <c r="AA49" s="132"/>
    </row>
    <row r="50" spans="1:27" ht="20.100000000000001" customHeight="1">
      <c r="A50" s="300">
        <v>30100020</v>
      </c>
      <c r="B50" s="424" t="s">
        <v>382</v>
      </c>
      <c r="C50" s="187" t="s">
        <v>384</v>
      </c>
      <c r="D50" s="108">
        <v>5.03</v>
      </c>
      <c r="E50" s="108"/>
      <c r="F50" s="127">
        <v>42739</v>
      </c>
      <c r="G50" s="128">
        <f>90+41</f>
        <v>131</v>
      </c>
      <c r="H50" s="425">
        <f t="shared" si="11"/>
        <v>658.93000000000006</v>
      </c>
      <c r="I50" s="129">
        <v>2</v>
      </c>
      <c r="J50" s="130">
        <f t="array" ref="J50">IF(ISERROR(G50/I50),"",G50/I50)</f>
        <v>65.5</v>
      </c>
      <c r="K50" s="131">
        <f t="array" ref="K50">IF(ISERROR(G50/L50),"",G50/L50)</f>
        <v>2.425925925925926</v>
      </c>
      <c r="L50" s="129">
        <v>54</v>
      </c>
      <c r="M50" s="109">
        <f t="shared" si="19"/>
        <v>-0.42592592592592604</v>
      </c>
      <c r="N50" s="130">
        <f t="shared" si="20"/>
        <v>0</v>
      </c>
      <c r="O50" s="429"/>
      <c r="P50" s="429"/>
      <c r="Q50" s="429"/>
      <c r="R50" s="429"/>
      <c r="S50" s="429"/>
      <c r="T50" s="429"/>
      <c r="U50" s="429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424" t="s">
        <v>382</v>
      </c>
      <c r="C51" s="187" t="s">
        <v>389</v>
      </c>
      <c r="D51" s="108">
        <v>5.03</v>
      </c>
      <c r="E51" s="108"/>
      <c r="F51" s="127"/>
      <c r="G51" s="128"/>
      <c r="H51" s="425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429"/>
      <c r="P51" s="429"/>
      <c r="Q51" s="429"/>
      <c r="R51" s="429"/>
      <c r="S51" s="429"/>
      <c r="T51" s="429"/>
      <c r="U51" s="429"/>
      <c r="V51" s="132"/>
      <c r="W51" s="133"/>
      <c r="X51" s="132"/>
      <c r="Y51" s="132"/>
      <c r="Z51" s="132"/>
      <c r="AA51" s="132"/>
    </row>
    <row r="52" spans="1:27" ht="20.100000000000001" customHeight="1">
      <c r="A52" s="300">
        <v>30100018</v>
      </c>
      <c r="B52" s="424" t="s">
        <v>382</v>
      </c>
      <c r="C52" s="187" t="s">
        <v>391</v>
      </c>
      <c r="D52" s="108">
        <v>5.03</v>
      </c>
      <c r="E52" s="108"/>
      <c r="F52" s="127">
        <v>42739</v>
      </c>
      <c r="G52" s="128">
        <f>90*3+17+90*3</f>
        <v>557</v>
      </c>
      <c r="H52" s="425">
        <f t="shared" si="11"/>
        <v>2801.71</v>
      </c>
      <c r="I52" s="129">
        <v>9</v>
      </c>
      <c r="J52" s="130">
        <f t="array" ref="J52">IF(ISERROR(G52/I52),"",G52/I52)</f>
        <v>61.888888888888886</v>
      </c>
      <c r="K52" s="131">
        <f t="array" ref="K52">IF(ISERROR(G52/L52),"",G52/L52)</f>
        <v>10.314814814814815</v>
      </c>
      <c r="L52" s="129">
        <v>54</v>
      </c>
      <c r="M52" s="109">
        <f t="shared" si="19"/>
        <v>-1.3148148148148149</v>
      </c>
      <c r="N52" s="130">
        <f t="shared" si="20"/>
        <v>0</v>
      </c>
      <c r="O52" s="429"/>
      <c r="P52" s="429"/>
      <c r="Q52" s="429"/>
      <c r="R52" s="429"/>
      <c r="S52" s="429"/>
      <c r="T52" s="429"/>
      <c r="U52" s="429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424" t="s">
        <v>418</v>
      </c>
      <c r="C53" s="187" t="s">
        <v>364</v>
      </c>
      <c r="D53" s="108">
        <v>5.03</v>
      </c>
      <c r="E53" s="108"/>
      <c r="F53" s="127"/>
      <c r="G53" s="128"/>
      <c r="H53" s="425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429"/>
      <c r="P53" s="429"/>
      <c r="Q53" s="429"/>
      <c r="R53" s="429"/>
      <c r="S53" s="429"/>
      <c r="T53" s="429"/>
      <c r="U53" s="429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424" t="s">
        <v>418</v>
      </c>
      <c r="C54" s="187" t="s">
        <v>365</v>
      </c>
      <c r="D54" s="108">
        <v>5.03</v>
      </c>
      <c r="E54" s="108"/>
      <c r="F54" s="127"/>
      <c r="G54" s="128"/>
      <c r="H54" s="425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429"/>
      <c r="P54" s="429"/>
      <c r="Q54" s="429"/>
      <c r="R54" s="429"/>
      <c r="S54" s="429"/>
      <c r="T54" s="429"/>
      <c r="U54" s="429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424" t="s">
        <v>418</v>
      </c>
      <c r="C55" s="187" t="s">
        <v>366</v>
      </c>
      <c r="D55" s="108">
        <v>5.03</v>
      </c>
      <c r="E55" s="108"/>
      <c r="F55" s="127"/>
      <c r="G55" s="128"/>
      <c r="H55" s="425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429"/>
      <c r="P55" s="429"/>
      <c r="Q55" s="429"/>
      <c r="R55" s="429"/>
      <c r="S55" s="429"/>
      <c r="T55" s="429"/>
      <c r="U55" s="429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424" t="s">
        <v>418</v>
      </c>
      <c r="C56" s="187" t="s">
        <v>367</v>
      </c>
      <c r="D56" s="108">
        <v>5.03</v>
      </c>
      <c r="E56" s="108"/>
      <c r="F56" s="127"/>
      <c r="G56" s="128"/>
      <c r="H56" s="425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429"/>
      <c r="P56" s="429"/>
      <c r="Q56" s="429"/>
      <c r="R56" s="429"/>
      <c r="S56" s="429"/>
      <c r="T56" s="429"/>
      <c r="U56" s="429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25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433"/>
      <c r="P57" s="433"/>
      <c r="Q57" s="433"/>
      <c r="R57" s="433"/>
      <c r="S57" s="433"/>
      <c r="T57" s="433"/>
      <c r="U57" s="433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25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433"/>
      <c r="P58" s="433"/>
      <c r="Q58" s="433"/>
      <c r="R58" s="433"/>
      <c r="S58" s="433"/>
      <c r="T58" s="433"/>
      <c r="U58" s="433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425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433"/>
      <c r="P59" s="433"/>
      <c r="Q59" s="433"/>
      <c r="R59" s="433"/>
      <c r="S59" s="433"/>
      <c r="T59" s="433"/>
      <c r="U59" s="433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25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433"/>
      <c r="P60" s="433"/>
      <c r="Q60" s="433"/>
      <c r="R60" s="433"/>
      <c r="S60" s="433"/>
      <c r="T60" s="433"/>
      <c r="U60" s="433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25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433"/>
      <c r="P61" s="433"/>
      <c r="Q61" s="433"/>
      <c r="R61" s="433"/>
      <c r="S61" s="433"/>
      <c r="T61" s="433"/>
      <c r="U61" s="433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25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433"/>
      <c r="P62" s="433"/>
      <c r="Q62" s="433"/>
      <c r="R62" s="433"/>
      <c r="S62" s="433"/>
      <c r="T62" s="433"/>
      <c r="U62" s="433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25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433"/>
      <c r="P63" s="433"/>
      <c r="Q63" s="433"/>
      <c r="R63" s="433"/>
      <c r="S63" s="433"/>
      <c r="T63" s="433"/>
      <c r="U63" s="433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25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433"/>
      <c r="P64" s="433"/>
      <c r="Q64" s="433"/>
      <c r="R64" s="433"/>
      <c r="S64" s="433"/>
      <c r="T64" s="433"/>
      <c r="U64" s="433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25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433"/>
      <c r="P65" s="433"/>
      <c r="Q65" s="433"/>
      <c r="R65" s="433"/>
      <c r="S65" s="433"/>
      <c r="T65" s="433"/>
      <c r="U65" s="433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25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433"/>
      <c r="P66" s="433"/>
      <c r="Q66" s="433"/>
      <c r="R66" s="433"/>
      <c r="S66" s="433"/>
      <c r="T66" s="433"/>
      <c r="U66" s="433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425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33"/>
      <c r="P67" s="433"/>
      <c r="Q67" s="433"/>
      <c r="R67" s="433"/>
      <c r="S67" s="433"/>
      <c r="T67" s="433"/>
      <c r="U67" s="433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25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33"/>
      <c r="P68" s="433"/>
      <c r="Q68" s="433"/>
      <c r="R68" s="433"/>
      <c r="S68" s="433"/>
      <c r="T68" s="433"/>
      <c r="U68" s="433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425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433"/>
      <c r="P69" s="433"/>
      <c r="Q69" s="433"/>
      <c r="R69" s="433"/>
      <c r="S69" s="433"/>
      <c r="T69" s="433"/>
      <c r="U69" s="433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425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433"/>
      <c r="P70" s="433"/>
      <c r="Q70" s="433"/>
      <c r="R70" s="433"/>
      <c r="S70" s="433"/>
      <c r="T70" s="433"/>
      <c r="U70" s="433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25">
        <f t="shared" si="11"/>
        <v>0</v>
      </c>
      <c r="I71" s="129"/>
      <c r="J71" s="130"/>
      <c r="K71" s="131"/>
      <c r="L71" s="129"/>
      <c r="M71" s="109"/>
      <c r="N71" s="130"/>
      <c r="O71" s="433"/>
      <c r="P71" s="433"/>
      <c r="Q71" s="433"/>
      <c r="R71" s="433"/>
      <c r="S71" s="433"/>
      <c r="T71" s="433"/>
      <c r="U71" s="433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25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433"/>
      <c r="P72" s="433"/>
      <c r="Q72" s="433"/>
      <c r="R72" s="433"/>
      <c r="S72" s="433"/>
      <c r="T72" s="433"/>
      <c r="U72" s="433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25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433"/>
      <c r="P73" s="433"/>
      <c r="Q73" s="433"/>
      <c r="R73" s="433"/>
      <c r="S73" s="433"/>
      <c r="T73" s="433"/>
      <c r="U73" s="433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25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433"/>
      <c r="P74" s="433"/>
      <c r="Q74" s="433"/>
      <c r="R74" s="433"/>
      <c r="S74" s="433"/>
      <c r="T74" s="433"/>
      <c r="U74" s="433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25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433"/>
      <c r="P75" s="433"/>
      <c r="Q75" s="433"/>
      <c r="R75" s="433"/>
      <c r="S75" s="433"/>
      <c r="T75" s="433"/>
      <c r="U75" s="433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25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433"/>
      <c r="P76" s="433"/>
      <c r="Q76" s="433"/>
      <c r="R76" s="433"/>
      <c r="S76" s="433"/>
      <c r="T76" s="433"/>
      <c r="U76" s="433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25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433"/>
      <c r="P77" s="433"/>
      <c r="Q77" s="433"/>
      <c r="R77" s="433"/>
      <c r="S77" s="433"/>
      <c r="T77" s="433"/>
      <c r="U77" s="433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25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433"/>
      <c r="P78" s="433"/>
      <c r="Q78" s="433"/>
      <c r="R78" s="433"/>
      <c r="S78" s="433"/>
      <c r="T78" s="433"/>
      <c r="U78" s="433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25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433"/>
      <c r="P79" s="433"/>
      <c r="Q79" s="433"/>
      <c r="R79" s="433"/>
      <c r="S79" s="433"/>
      <c r="T79" s="433"/>
      <c r="U79" s="433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25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33"/>
      <c r="P80" s="433"/>
      <c r="Q80" s="433"/>
      <c r="R80" s="433"/>
      <c r="S80" s="433"/>
      <c r="T80" s="433"/>
      <c r="U80" s="433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25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33"/>
      <c r="P81" s="433"/>
      <c r="Q81" s="433"/>
      <c r="R81" s="433"/>
      <c r="S81" s="433"/>
      <c r="T81" s="433"/>
      <c r="U81" s="433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25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33"/>
      <c r="P82" s="433"/>
      <c r="Q82" s="433"/>
      <c r="R82" s="433"/>
      <c r="S82" s="433"/>
      <c r="T82" s="433"/>
      <c r="U82" s="433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25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33"/>
      <c r="P83" s="433"/>
      <c r="Q83" s="433"/>
      <c r="R83" s="433"/>
      <c r="S83" s="433"/>
      <c r="T83" s="433"/>
      <c r="U83" s="433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25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33"/>
      <c r="P84" s="433"/>
      <c r="Q84" s="433"/>
      <c r="R84" s="433"/>
      <c r="S84" s="433"/>
      <c r="T84" s="433"/>
      <c r="U84" s="433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25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33"/>
      <c r="P85" s="433"/>
      <c r="Q85" s="433"/>
      <c r="R85" s="433"/>
      <c r="S85" s="433"/>
      <c r="T85" s="433"/>
      <c r="U85" s="433"/>
      <c r="V85" s="132"/>
      <c r="W85" s="133"/>
      <c r="X85" s="132"/>
      <c r="Y85" s="132"/>
      <c r="Z85" s="132"/>
      <c r="AA85" s="132"/>
    </row>
    <row r="86" spans="1:27" ht="20.100000000000001" customHeight="1">
      <c r="A86" s="589" t="s">
        <v>216</v>
      </c>
      <c r="B86" s="589"/>
      <c r="C86" s="434" t="s">
        <v>202</v>
      </c>
      <c r="D86" s="143"/>
      <c r="E86" s="143"/>
      <c r="F86" s="144"/>
      <c r="G86" s="145">
        <f>SUM(G29:G85)</f>
        <v>3044</v>
      </c>
      <c r="H86" s="146">
        <f>SUM(H29:H85)</f>
        <v>15351.52</v>
      </c>
      <c r="I86" s="146">
        <f>SUM(I29:I85)</f>
        <v>60</v>
      </c>
      <c r="J86" s="130">
        <f t="array" ref="J86">IF(ISERROR(G86/I86),"",G86/I86)</f>
        <v>50.733333333333334</v>
      </c>
      <c r="K86" s="146">
        <f>SUM(K29:K85)</f>
        <v>80.872608872608865</v>
      </c>
      <c r="L86" s="147"/>
      <c r="M86" s="150">
        <f t="shared" ref="M86:V86" si="34">SUM(M29:M85)</f>
        <v>-20.872608872608872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424" t="s">
        <v>217</v>
      </c>
      <c r="C87" s="126" t="s">
        <v>179</v>
      </c>
      <c r="D87" s="108">
        <v>5.03</v>
      </c>
      <c r="E87" s="108"/>
      <c r="F87" s="127"/>
      <c r="G87" s="128"/>
      <c r="H87" s="425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7" si="37">IF(ISERROR(I87-K87),"",I87-K87)</f>
        <v>0</v>
      </c>
      <c r="N87" s="130">
        <f t="shared" ref="N87:N93" si="38">SUM(O87:U87)</f>
        <v>0</v>
      </c>
      <c r="O87" s="433"/>
      <c r="P87" s="433"/>
      <c r="Q87" s="433"/>
      <c r="R87" s="433"/>
      <c r="S87" s="433"/>
      <c r="T87" s="433"/>
      <c r="U87" s="433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424" t="s">
        <v>217</v>
      </c>
      <c r="C88" s="126" t="s">
        <v>186</v>
      </c>
      <c r="D88" s="108">
        <v>5.03</v>
      </c>
      <c r="E88" s="108"/>
      <c r="F88" s="127"/>
      <c r="G88" s="128"/>
      <c r="H88" s="425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433"/>
      <c r="P88" s="433"/>
      <c r="Q88" s="433"/>
      <c r="R88" s="433"/>
      <c r="S88" s="433"/>
      <c r="T88" s="433"/>
      <c r="U88" s="433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424" t="s">
        <v>217</v>
      </c>
      <c r="C89" s="126" t="s">
        <v>204</v>
      </c>
      <c r="D89" s="108">
        <v>5.03</v>
      </c>
      <c r="E89" s="108"/>
      <c r="F89" s="127"/>
      <c r="G89" s="128"/>
      <c r="H89" s="425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433"/>
      <c r="P89" s="433"/>
      <c r="Q89" s="433"/>
      <c r="R89" s="433"/>
      <c r="S89" s="433"/>
      <c r="T89" s="433"/>
      <c r="U89" s="433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25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433"/>
      <c r="P90" s="433"/>
      <c r="Q90" s="433"/>
      <c r="R90" s="433"/>
      <c r="S90" s="433"/>
      <c r="T90" s="433"/>
      <c r="U90" s="433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425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433"/>
      <c r="P91" s="433"/>
      <c r="Q91" s="433"/>
      <c r="R91" s="433"/>
      <c r="S91" s="433"/>
      <c r="T91" s="433"/>
      <c r="U91" s="433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425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433"/>
      <c r="P92" s="433"/>
      <c r="Q92" s="433"/>
      <c r="R92" s="433"/>
      <c r="S92" s="433"/>
      <c r="T92" s="433"/>
      <c r="U92" s="433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>
        <v>42738</v>
      </c>
      <c r="G93" s="128">
        <f>108*2+73</f>
        <v>289</v>
      </c>
      <c r="H93" s="425">
        <f t="shared" si="36"/>
        <v>1453.67</v>
      </c>
      <c r="I93" s="129">
        <f>11*4</f>
        <v>44</v>
      </c>
      <c r="J93" s="130">
        <f t="array" ref="J93">IF(ISERROR(G93/I93),"",G93/I93)</f>
        <v>6.5681818181818183</v>
      </c>
      <c r="K93" s="131">
        <f t="array" ref="K93">IF(ISERROR(G93/L93),"",G93/L93)</f>
        <v>31.0752688172043</v>
      </c>
      <c r="L93" s="129">
        <v>9.3000000000000007</v>
      </c>
      <c r="M93" s="109">
        <f t="shared" si="37"/>
        <v>12.9247311827957</v>
      </c>
      <c r="N93" s="130">
        <f t="shared" si="38"/>
        <v>0</v>
      </c>
      <c r="O93" s="433"/>
      <c r="P93" s="433"/>
      <c r="Q93" s="433"/>
      <c r="R93" s="433"/>
      <c r="S93" s="433"/>
      <c r="T93" s="433"/>
      <c r="U93" s="433"/>
      <c r="V93" s="132">
        <f t="shared" si="39"/>
        <v>0</v>
      </c>
      <c r="W93" s="133">
        <f t="shared" si="35"/>
        <v>0</v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425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433"/>
      <c r="P94" s="433"/>
      <c r="Q94" s="433"/>
      <c r="R94" s="433"/>
      <c r="S94" s="433"/>
      <c r="T94" s="433"/>
      <c r="U94" s="433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25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433"/>
      <c r="P95" s="433"/>
      <c r="Q95" s="433"/>
      <c r="R95" s="433"/>
      <c r="S95" s="433"/>
      <c r="T95" s="433"/>
      <c r="U95" s="433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25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433"/>
      <c r="P96" s="433"/>
      <c r="Q96" s="433"/>
      <c r="R96" s="433"/>
      <c r="S96" s="433"/>
      <c r="T96" s="433"/>
      <c r="U96" s="433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25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433"/>
      <c r="P97" s="433"/>
      <c r="Q97" s="433"/>
      <c r="R97" s="433"/>
      <c r="S97" s="433"/>
      <c r="T97" s="433"/>
      <c r="U97" s="433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25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433"/>
      <c r="P98" s="433"/>
      <c r="Q98" s="433"/>
      <c r="R98" s="433"/>
      <c r="S98" s="433"/>
      <c r="T98" s="433"/>
      <c r="U98" s="433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425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433"/>
      <c r="P99" s="433"/>
      <c r="Q99" s="433"/>
      <c r="R99" s="433"/>
      <c r="S99" s="433"/>
      <c r="T99" s="433"/>
      <c r="U99" s="433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25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433"/>
      <c r="P100" s="433"/>
      <c r="Q100" s="433"/>
      <c r="R100" s="433"/>
      <c r="S100" s="433"/>
      <c r="T100" s="433"/>
      <c r="U100" s="433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25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433"/>
      <c r="P101" s="433"/>
      <c r="Q101" s="433"/>
      <c r="R101" s="433"/>
      <c r="S101" s="433"/>
      <c r="T101" s="433"/>
      <c r="U101" s="433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25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433"/>
      <c r="P102" s="433"/>
      <c r="Q102" s="433"/>
      <c r="R102" s="433"/>
      <c r="S102" s="433"/>
      <c r="T102" s="433"/>
      <c r="U102" s="433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424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25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433"/>
      <c r="P103" s="433"/>
      <c r="Q103" s="433"/>
      <c r="R103" s="433"/>
      <c r="S103" s="433"/>
      <c r="T103" s="433"/>
      <c r="U103" s="433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424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25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433"/>
      <c r="P104" s="433"/>
      <c r="Q104" s="433"/>
      <c r="R104" s="433"/>
      <c r="S104" s="433"/>
      <c r="T104" s="433"/>
      <c r="U104" s="433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424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25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433"/>
      <c r="P105" s="433"/>
      <c r="Q105" s="433"/>
      <c r="R105" s="433"/>
      <c r="S105" s="433"/>
      <c r="T105" s="433"/>
      <c r="U105" s="433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424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25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433"/>
      <c r="P106" s="433"/>
      <c r="Q106" s="433"/>
      <c r="R106" s="433"/>
      <c r="S106" s="433"/>
      <c r="T106" s="433"/>
      <c r="U106" s="433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424" t="s">
        <v>393</v>
      </c>
      <c r="C107" s="187" t="s">
        <v>395</v>
      </c>
      <c r="D107" s="108">
        <v>5</v>
      </c>
      <c r="E107" s="108"/>
      <c r="F107" s="127"/>
      <c r="G107" s="128"/>
      <c r="H107" s="425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433"/>
      <c r="P107" s="433"/>
      <c r="Q107" s="433"/>
      <c r="R107" s="433"/>
      <c r="S107" s="433"/>
      <c r="T107" s="433"/>
      <c r="U107" s="433"/>
      <c r="V107" s="132"/>
      <c r="W107" s="133"/>
      <c r="X107" s="132"/>
      <c r="Y107" s="132"/>
      <c r="Z107" s="132"/>
      <c r="AA107" s="132"/>
    </row>
    <row r="108" spans="1:27" ht="20.100000000000001" customHeight="1">
      <c r="A108" s="299">
        <v>30400028</v>
      </c>
      <c r="B108" s="424" t="s">
        <v>393</v>
      </c>
      <c r="C108" s="187" t="s">
        <v>402</v>
      </c>
      <c r="D108" s="108">
        <v>5</v>
      </c>
      <c r="E108" s="108"/>
      <c r="F108" s="127">
        <v>42738</v>
      </c>
      <c r="G108" s="128">
        <f>9+39</f>
        <v>48</v>
      </c>
      <c r="H108" s="425">
        <f t="shared" si="36"/>
        <v>240</v>
      </c>
      <c r="I108" s="129">
        <v>10</v>
      </c>
      <c r="J108" s="130">
        <f t="array" ref="J108">IF(ISERROR(G108/I108),"",G108/I108)</f>
        <v>4.8</v>
      </c>
      <c r="K108" s="131">
        <f t="array" ref="K108">IF(ISERROR(G108/L108),"",G108/L108)</f>
        <v>9.6</v>
      </c>
      <c r="L108" s="129">
        <v>5</v>
      </c>
      <c r="M108" s="109">
        <f t="shared" si="37"/>
        <v>0.40000000000000036</v>
      </c>
      <c r="N108" s="130">
        <f t="shared" si="40"/>
        <v>0</v>
      </c>
      <c r="O108" s="433"/>
      <c r="P108" s="433"/>
      <c r="Q108" s="433"/>
      <c r="R108" s="433"/>
      <c r="S108" s="433"/>
      <c r="T108" s="433"/>
      <c r="U108" s="433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424" t="s">
        <v>404</v>
      </c>
      <c r="C109" s="187" t="s">
        <v>405</v>
      </c>
      <c r="D109" s="108">
        <v>5</v>
      </c>
      <c r="E109" s="108"/>
      <c r="F109" s="127"/>
      <c r="G109" s="128"/>
      <c r="H109" s="425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433"/>
      <c r="P109" s="433"/>
      <c r="Q109" s="433"/>
      <c r="R109" s="433"/>
      <c r="S109" s="433"/>
      <c r="T109" s="433"/>
      <c r="U109" s="433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424" t="s">
        <v>492</v>
      </c>
      <c r="C110" s="187" t="s">
        <v>372</v>
      </c>
      <c r="D110" s="108">
        <v>5</v>
      </c>
      <c r="E110" s="108"/>
      <c r="F110" s="127"/>
      <c r="G110" s="128"/>
      <c r="H110" s="425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433"/>
      <c r="P110" s="433"/>
      <c r="Q110" s="433"/>
      <c r="R110" s="433"/>
      <c r="S110" s="433"/>
      <c r="T110" s="433"/>
      <c r="U110" s="433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424" t="s">
        <v>343</v>
      </c>
      <c r="C111" s="126" t="s">
        <v>345</v>
      </c>
      <c r="D111" s="108">
        <v>5</v>
      </c>
      <c r="E111" s="108"/>
      <c r="F111" s="127"/>
      <c r="G111" s="128"/>
      <c r="H111" s="425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433"/>
      <c r="P111" s="433"/>
      <c r="Q111" s="433"/>
      <c r="R111" s="433"/>
      <c r="S111" s="433"/>
      <c r="T111" s="433"/>
      <c r="U111" s="433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424" t="s">
        <v>343</v>
      </c>
      <c r="C112" s="126" t="s">
        <v>347</v>
      </c>
      <c r="D112" s="108">
        <v>5</v>
      </c>
      <c r="E112" s="108"/>
      <c r="F112" s="127"/>
      <c r="G112" s="128"/>
      <c r="H112" s="425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433"/>
      <c r="P112" s="433"/>
      <c r="Q112" s="433"/>
      <c r="R112" s="433"/>
      <c r="S112" s="433"/>
      <c r="T112" s="433"/>
      <c r="U112" s="433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25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433"/>
      <c r="P113" s="433"/>
      <c r="Q113" s="433"/>
      <c r="R113" s="433"/>
      <c r="S113" s="433"/>
      <c r="T113" s="433"/>
      <c r="U113" s="433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25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433"/>
      <c r="P114" s="433"/>
      <c r="Q114" s="433"/>
      <c r="R114" s="433"/>
      <c r="S114" s="433"/>
      <c r="T114" s="433"/>
      <c r="U114" s="433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>
        <v>42736</v>
      </c>
      <c r="G115" s="128">
        <v>10</v>
      </c>
      <c r="H115" s="425">
        <f t="shared" si="36"/>
        <v>50</v>
      </c>
      <c r="I115" s="129">
        <v>1</v>
      </c>
      <c r="J115" s="130">
        <f t="array" ref="J115">IF(ISERROR(G115/I115),"",G115/I115)</f>
        <v>10</v>
      </c>
      <c r="K115" s="131">
        <f t="array" ref="K115">IF(ISERROR(G115/L115),"",G115/L115)</f>
        <v>0.41666666666666669</v>
      </c>
      <c r="L115" s="129">
        <v>24</v>
      </c>
      <c r="M115" s="109">
        <f t="shared" si="37"/>
        <v>0.58333333333333326</v>
      </c>
      <c r="N115" s="130"/>
      <c r="O115" s="433"/>
      <c r="P115" s="433"/>
      <c r="Q115" s="433"/>
      <c r="R115" s="433"/>
      <c r="S115" s="433"/>
      <c r="T115" s="433"/>
      <c r="U115" s="433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25">
        <f t="shared" si="36"/>
        <v>0</v>
      </c>
      <c r="I116" s="129"/>
      <c r="J116" s="130" t="str">
        <f t="array" ref="J116">IF(ISERROR(G116/I116),"",G116/I116)</f>
        <v/>
      </c>
      <c r="K116" s="131">
        <f t="array" ref="K116">IF(ISERROR(G116/L116),"",G116/L116)</f>
        <v>0</v>
      </c>
      <c r="L116" s="129">
        <v>24</v>
      </c>
      <c r="M116" s="109">
        <f t="shared" si="37"/>
        <v>0</v>
      </c>
      <c r="N116" s="130"/>
      <c r="O116" s="433"/>
      <c r="P116" s="433"/>
      <c r="Q116" s="433"/>
      <c r="R116" s="433"/>
      <c r="S116" s="433"/>
      <c r="T116" s="433"/>
      <c r="U116" s="433"/>
      <c r="V116" s="132"/>
      <c r="W116" s="133"/>
      <c r="X116" s="132"/>
      <c r="Y116" s="132"/>
      <c r="Z116" s="132"/>
      <c r="AA116" s="132"/>
    </row>
    <row r="117" spans="1:27" ht="20.10000000000000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>
        <v>42736</v>
      </c>
      <c r="G117" s="128">
        <f>42+6</f>
        <v>48</v>
      </c>
      <c r="H117" s="425">
        <f t="shared" si="36"/>
        <v>240</v>
      </c>
      <c r="I117" s="129">
        <v>1.5</v>
      </c>
      <c r="J117" s="130">
        <f t="array" ref="J117">IF(ISERROR(G117/I117),"",G117/I117)</f>
        <v>32</v>
      </c>
      <c r="K117" s="131">
        <f t="array" ref="K117">IF(ISERROR(G117/L117),"",G117/L117)</f>
        <v>2</v>
      </c>
      <c r="L117" s="129">
        <v>24</v>
      </c>
      <c r="M117" s="109">
        <f t="shared" si="37"/>
        <v>-0.5</v>
      </c>
      <c r="N117" s="130"/>
      <c r="O117" s="433"/>
      <c r="P117" s="433"/>
      <c r="Q117" s="433"/>
      <c r="R117" s="433"/>
      <c r="S117" s="433"/>
      <c r="T117" s="433"/>
      <c r="U117" s="433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425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433"/>
      <c r="P118" s="433"/>
      <c r="Q118" s="433"/>
      <c r="R118" s="433"/>
      <c r="S118" s="433"/>
      <c r="T118" s="433"/>
      <c r="U118" s="433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25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433"/>
      <c r="P119" s="433"/>
      <c r="Q119" s="433"/>
      <c r="R119" s="433"/>
      <c r="S119" s="433"/>
      <c r="T119" s="433"/>
      <c r="U119" s="433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425">
        <f t="shared" si="36"/>
        <v>0</v>
      </c>
      <c r="I120" s="129"/>
      <c r="J120" s="130" t="str">
        <f t="array" ref="J120">IF(ISERROR(G120/I120),"",G120/I120)</f>
        <v/>
      </c>
      <c r="K120" s="425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433"/>
      <c r="P120" s="433"/>
      <c r="Q120" s="433"/>
      <c r="R120" s="433"/>
      <c r="S120" s="433"/>
      <c r="T120" s="433"/>
      <c r="U120" s="433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578" t="s">
        <v>224</v>
      </c>
      <c r="B121" s="579"/>
      <c r="C121" s="434" t="s">
        <v>202</v>
      </c>
      <c r="D121" s="143"/>
      <c r="E121" s="143"/>
      <c r="F121" s="144"/>
      <c r="G121" s="145">
        <f>SUM(G87:G120)</f>
        <v>395</v>
      </c>
      <c r="H121" s="146">
        <f>SUM(H87:H120)</f>
        <v>1983.67</v>
      </c>
      <c r="I121" s="146">
        <f>SUM(I87:I120)</f>
        <v>56.5</v>
      </c>
      <c r="J121" s="130">
        <f t="array" ref="J121">IF(ISERROR(G121/I121),"",G121/I121)</f>
        <v>6.9911504424778759</v>
      </c>
      <c r="K121" s="146">
        <f>SUM(K87:K120)</f>
        <v>43.091935483870962</v>
      </c>
      <c r="L121" s="147"/>
      <c r="M121" s="150">
        <f t="shared" ref="M121:V121" si="50">SUM(M87:M120)</f>
        <v>13.408064516129034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25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433"/>
      <c r="P122" s="433"/>
      <c r="Q122" s="433"/>
      <c r="R122" s="433"/>
      <c r="S122" s="433"/>
      <c r="T122" s="433"/>
      <c r="U122" s="433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25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433"/>
      <c r="P123" s="433"/>
      <c r="Q123" s="433"/>
      <c r="R123" s="433"/>
      <c r="S123" s="433"/>
      <c r="T123" s="433"/>
      <c r="U123" s="433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425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433"/>
      <c r="P124" s="433"/>
      <c r="Q124" s="433"/>
      <c r="R124" s="433"/>
      <c r="S124" s="433"/>
      <c r="T124" s="433"/>
      <c r="U124" s="433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425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433"/>
      <c r="P125" s="433"/>
      <c r="Q125" s="433"/>
      <c r="R125" s="433"/>
      <c r="S125" s="433"/>
      <c r="T125" s="433"/>
      <c r="U125" s="433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430" t="s">
        <v>203</v>
      </c>
      <c r="D126" s="108">
        <v>5.03</v>
      </c>
      <c r="E126" s="108"/>
      <c r="F126" s="127"/>
      <c r="G126" s="128"/>
      <c r="H126" s="425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433"/>
      <c r="P126" s="433"/>
      <c r="Q126" s="433"/>
      <c r="R126" s="433"/>
      <c r="S126" s="433"/>
      <c r="T126" s="433"/>
      <c r="U126" s="433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25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433"/>
      <c r="P127" s="433"/>
      <c r="Q127" s="433"/>
      <c r="R127" s="433"/>
      <c r="S127" s="433"/>
      <c r="T127" s="433"/>
      <c r="U127" s="433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25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433"/>
      <c r="P128" s="433"/>
      <c r="Q128" s="433"/>
      <c r="R128" s="433"/>
      <c r="S128" s="433"/>
      <c r="T128" s="433"/>
      <c r="U128" s="433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430" t="s">
        <v>228</v>
      </c>
      <c r="D129" s="108">
        <v>5.03</v>
      </c>
      <c r="E129" s="108"/>
      <c r="F129" s="127"/>
      <c r="G129" s="128"/>
      <c r="H129" s="425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433"/>
      <c r="P129" s="433"/>
      <c r="Q129" s="433"/>
      <c r="R129" s="433"/>
      <c r="S129" s="433"/>
      <c r="T129" s="433"/>
      <c r="U129" s="433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430" t="s">
        <v>212</v>
      </c>
      <c r="D130" s="108">
        <v>5.03</v>
      </c>
      <c r="E130" s="108"/>
      <c r="F130" s="127"/>
      <c r="G130" s="128"/>
      <c r="H130" s="425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433"/>
      <c r="P130" s="433"/>
      <c r="Q130" s="433"/>
      <c r="R130" s="433"/>
      <c r="S130" s="433"/>
      <c r="T130" s="433"/>
      <c r="U130" s="433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430" t="s">
        <v>203</v>
      </c>
      <c r="D131" s="108">
        <v>5.03</v>
      </c>
      <c r="E131" s="108"/>
      <c r="F131" s="127"/>
      <c r="G131" s="128"/>
      <c r="H131" s="425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433"/>
      <c r="P131" s="433"/>
      <c r="Q131" s="433"/>
      <c r="R131" s="433"/>
      <c r="S131" s="433"/>
      <c r="T131" s="433"/>
      <c r="U131" s="433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430" t="s">
        <v>186</v>
      </c>
      <c r="D132" s="108">
        <v>5.03</v>
      </c>
      <c r="E132" s="108"/>
      <c r="F132" s="127"/>
      <c r="G132" s="128"/>
      <c r="H132" s="425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433"/>
      <c r="P132" s="433"/>
      <c r="Q132" s="433"/>
      <c r="R132" s="433"/>
      <c r="S132" s="433"/>
      <c r="T132" s="433"/>
      <c r="U132" s="433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430" t="s">
        <v>228</v>
      </c>
      <c r="D133" s="108">
        <v>5.03</v>
      </c>
      <c r="E133" s="108"/>
      <c r="F133" s="127"/>
      <c r="G133" s="128"/>
      <c r="H133" s="425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433"/>
      <c r="P133" s="433"/>
      <c r="Q133" s="433"/>
      <c r="R133" s="433"/>
      <c r="S133" s="433"/>
      <c r="T133" s="433"/>
      <c r="U133" s="433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430" t="s">
        <v>199</v>
      </c>
      <c r="D134" s="108">
        <v>5.03</v>
      </c>
      <c r="E134" s="108"/>
      <c r="F134" s="127"/>
      <c r="G134" s="128"/>
      <c r="H134" s="425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433"/>
      <c r="P134" s="433"/>
      <c r="Q134" s="433"/>
      <c r="R134" s="433"/>
      <c r="S134" s="433"/>
      <c r="T134" s="433"/>
      <c r="U134" s="433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25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433"/>
      <c r="P135" s="433"/>
      <c r="Q135" s="433"/>
      <c r="R135" s="433"/>
      <c r="S135" s="433"/>
      <c r="T135" s="433"/>
      <c r="U135" s="433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425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433"/>
      <c r="P136" s="433"/>
      <c r="Q136" s="433"/>
      <c r="R136" s="433"/>
      <c r="S136" s="433"/>
      <c r="T136" s="433"/>
      <c r="U136" s="433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hidden="1" customHeight="1">
      <c r="A137" s="578" t="s">
        <v>231</v>
      </c>
      <c r="B137" s="579"/>
      <c r="C137" s="434" t="s">
        <v>202</v>
      </c>
      <c r="D137" s="143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49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25">
        <f t="shared" ref="H138:H147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433"/>
      <c r="P138" s="433"/>
      <c r="Q138" s="433"/>
      <c r="R138" s="433"/>
      <c r="S138" s="433"/>
      <c r="T138" s="433"/>
      <c r="U138" s="433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25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433"/>
      <c r="P139" s="433"/>
      <c r="Q139" s="433"/>
      <c r="R139" s="433"/>
      <c r="S139" s="433"/>
      <c r="T139" s="433"/>
      <c r="U139" s="433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25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433"/>
      <c r="P140" s="433"/>
      <c r="Q140" s="433"/>
      <c r="R140" s="433"/>
      <c r="S140" s="433"/>
      <c r="T140" s="433"/>
      <c r="U140" s="433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425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433"/>
      <c r="P141" s="433"/>
      <c r="Q141" s="433"/>
      <c r="R141" s="433"/>
      <c r="S141" s="433"/>
      <c r="T141" s="433"/>
      <c r="U141" s="433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25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433"/>
      <c r="P142" s="433"/>
      <c r="Q142" s="433"/>
      <c r="R142" s="433"/>
      <c r="S142" s="433"/>
      <c r="T142" s="433"/>
      <c r="U142" s="433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425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433"/>
      <c r="P143" s="433"/>
      <c r="Q143" s="433"/>
      <c r="R143" s="433"/>
      <c r="S143" s="433"/>
      <c r="T143" s="433"/>
      <c r="U143" s="433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>
        <v>42737</v>
      </c>
      <c r="G144" s="128">
        <f>90*5+58</f>
        <v>508</v>
      </c>
      <c r="H144" s="425">
        <f t="shared" si="55"/>
        <v>2560.3200000000002</v>
      </c>
      <c r="I144" s="129">
        <f>11*4</f>
        <v>44</v>
      </c>
      <c r="J144" s="130">
        <f t="array" ref="J144">IF(ISERROR(G144/I144),"",G144/I144)</f>
        <v>11.545454545454545</v>
      </c>
      <c r="K144" s="131">
        <f t="array" ref="K144">IF(ISERROR(G144/L144),"",G144/L144)</f>
        <v>37.629629629629626</v>
      </c>
      <c r="L144" s="129">
        <v>13.5</v>
      </c>
      <c r="M144" s="109">
        <f t="shared" ref="M144" si="59">IF(ISERROR(I144-K144),"",I144-K144)</f>
        <v>6.3703703703703738</v>
      </c>
      <c r="N144" s="130"/>
      <c r="O144" s="433"/>
      <c r="P144" s="433"/>
      <c r="Q144" s="433"/>
      <c r="R144" s="433"/>
      <c r="S144" s="433"/>
      <c r="T144" s="433"/>
      <c r="U144" s="433"/>
      <c r="V144" s="132"/>
      <c r="W144" s="133"/>
      <c r="X144" s="132"/>
      <c r="Y144" s="132"/>
      <c r="Z144" s="132"/>
      <c r="AA144" s="132"/>
    </row>
    <row r="145" spans="1:27" ht="20.100000000000001" hidden="1" customHeight="1">
      <c r="A145" s="300">
        <v>30400021</v>
      </c>
      <c r="B145" s="134" t="s">
        <v>439</v>
      </c>
      <c r="C145" s="187" t="s">
        <v>53</v>
      </c>
      <c r="D145" s="108">
        <v>5.04</v>
      </c>
      <c r="E145" s="108"/>
      <c r="F145" s="127"/>
      <c r="G145" s="128"/>
      <c r="H145" s="425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433"/>
      <c r="P145" s="433"/>
      <c r="Q145" s="433"/>
      <c r="R145" s="433"/>
      <c r="S145" s="433"/>
      <c r="T145" s="433"/>
      <c r="U145" s="433"/>
      <c r="V145" s="132"/>
      <c r="W145" s="133"/>
      <c r="X145" s="132"/>
      <c r="Y145" s="132"/>
      <c r="Z145" s="132"/>
      <c r="AA145" s="132"/>
    </row>
    <row r="146" spans="1:27" ht="20.10000000000000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/>
      <c r="G146" s="128"/>
      <c r="H146" s="438">
        <f t="shared" si="55"/>
        <v>0</v>
      </c>
      <c r="I146" s="129"/>
      <c r="J146" s="130"/>
      <c r="K146" s="131">
        <f t="array" ref="K146">IF(ISERROR(G146/L146),"",G146/L146)</f>
        <v>0</v>
      </c>
      <c r="L146" s="129">
        <v>13.5</v>
      </c>
      <c r="M146" s="109"/>
      <c r="N146" s="130"/>
      <c r="O146" s="446"/>
      <c r="P146" s="446"/>
      <c r="Q146" s="446"/>
      <c r="R146" s="446"/>
      <c r="S146" s="446"/>
      <c r="T146" s="446"/>
      <c r="U146" s="446"/>
      <c r="V146" s="132"/>
      <c r="W146" s="133"/>
      <c r="X146" s="132"/>
      <c r="Y146" s="132"/>
      <c r="Z146" s="132"/>
      <c r="AA146" s="132"/>
    </row>
    <row r="147" spans="1:27" ht="20.100000000000001" hidden="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28"/>
      <c r="H147" s="425">
        <f t="shared" si="55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ref="M147" si="60">IF(ISERROR(I147-K147),"",I147-K147)</f>
        <v>0</v>
      </c>
      <c r="N147" s="130">
        <f t="shared" ref="N147" si="61">SUM(O147:U147)</f>
        <v>0</v>
      </c>
      <c r="O147" s="433"/>
      <c r="P147" s="433"/>
      <c r="Q147" s="433"/>
      <c r="R147" s="433"/>
      <c r="S147" s="433"/>
      <c r="T147" s="433"/>
      <c r="U147" s="433"/>
      <c r="V147" s="132">
        <f t="shared" ref="V147" si="62">SUM(X147:AA147)</f>
        <v>0</v>
      </c>
      <c r="W147" s="133" t="str">
        <f t="shared" ref="W147:W152" si="63">IF(ISERROR(V147/G147),"",V147/G147)</f>
        <v/>
      </c>
      <c r="X147" s="132"/>
      <c r="Y147" s="132"/>
      <c r="Z147" s="132"/>
      <c r="AA147" s="132"/>
    </row>
    <row r="148" spans="1:27" ht="20.100000000000001" customHeight="1">
      <c r="A148" s="578" t="s">
        <v>234</v>
      </c>
      <c r="B148" s="579"/>
      <c r="C148" s="434" t="s">
        <v>202</v>
      </c>
      <c r="D148" s="143"/>
      <c r="E148" s="143"/>
      <c r="F148" s="144"/>
      <c r="G148" s="145">
        <f>SUM(G138:G147)</f>
        <v>508</v>
      </c>
      <c r="H148" s="146">
        <f>SUM(H138:H147)</f>
        <v>2560.3200000000002</v>
      </c>
      <c r="I148" s="146">
        <f>SUM(I138:I147)</f>
        <v>44</v>
      </c>
      <c r="J148" s="130">
        <f t="array" ref="J148">IF(ISERROR(G148/I148),"",G148/I148)</f>
        <v>11.545454545454545</v>
      </c>
      <c r="K148" s="146">
        <f>SUM(K138:K147)</f>
        <v>37.629629629629626</v>
      </c>
      <c r="L148" s="147"/>
      <c r="M148" s="150">
        <f>SUM(M138:M147)</f>
        <v>6.3703703703703738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>
        <f t="shared" si="63"/>
        <v>0</v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hidden="1" customHeight="1">
      <c r="A149" s="299">
        <v>30700013</v>
      </c>
      <c r="B149" s="298" t="s">
        <v>103</v>
      </c>
      <c r="C149" s="431"/>
      <c r="D149" s="108">
        <v>3.65</v>
      </c>
      <c r="E149" s="108"/>
      <c r="F149" s="153"/>
      <c r="G149" s="128"/>
      <c r="H149" s="425">
        <f t="shared" ref="H149:H162" si="64">D149*G149</f>
        <v>0</v>
      </c>
      <c r="I149" s="129"/>
      <c r="J149" s="130" t="str">
        <f t="array" ref="J149">IF(ISERROR(G149/I149),"",G149/I149)</f>
        <v/>
      </c>
      <c r="K149" s="425">
        <f t="array" ref="K149">IF(ISERROR(G149/L149),"",G149/L149)</f>
        <v>0</v>
      </c>
      <c r="L149" s="129">
        <v>5</v>
      </c>
      <c r="M149" s="109">
        <f t="shared" ref="M149:M152" si="65">IF(ISERROR(I149-K149),"",I149-K149)</f>
        <v>0</v>
      </c>
      <c r="N149" s="130">
        <f t="shared" ref="N149:N152" si="66">SUM(O149:U149)</f>
        <v>0</v>
      </c>
      <c r="O149" s="433"/>
      <c r="P149" s="433"/>
      <c r="Q149" s="433"/>
      <c r="R149" s="433"/>
      <c r="S149" s="433"/>
      <c r="T149" s="433"/>
      <c r="U149" s="433"/>
      <c r="V149" s="132">
        <f t="shared" ref="V149:V152" si="67">SUM(X149:AA149)</f>
        <v>0</v>
      </c>
      <c r="W149" s="133" t="str">
        <f t="shared" si="63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30700014</v>
      </c>
      <c r="B150" s="141" t="s">
        <v>236</v>
      </c>
      <c r="C150" s="431"/>
      <c r="D150" s="108">
        <v>6.58</v>
      </c>
      <c r="E150" s="108"/>
      <c r="F150" s="127"/>
      <c r="G150" s="128"/>
      <c r="H150" s="425">
        <f t="shared" si="64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5</v>
      </c>
      <c r="M150" s="109">
        <f t="shared" si="65"/>
        <v>0</v>
      </c>
      <c r="N150" s="130">
        <f t="shared" si="66"/>
        <v>0</v>
      </c>
      <c r="O150" s="433"/>
      <c r="P150" s="433"/>
      <c r="Q150" s="433"/>
      <c r="R150" s="433"/>
      <c r="S150" s="433"/>
      <c r="T150" s="433"/>
      <c r="U150" s="433"/>
      <c r="V150" s="132">
        <f t="shared" si="67"/>
        <v>0</v>
      </c>
      <c r="W150" s="133" t="str">
        <f t="shared" si="63"/>
        <v/>
      </c>
      <c r="X150" s="132"/>
      <c r="Y150" s="132"/>
      <c r="Z150" s="132"/>
      <c r="AA150" s="132"/>
    </row>
    <row r="151" spans="1:27" ht="20.100000000000001" customHeight="1">
      <c r="A151" s="299">
        <v>30700016</v>
      </c>
      <c r="B151" s="141" t="s">
        <v>237</v>
      </c>
      <c r="C151" s="431"/>
      <c r="D151" s="108">
        <v>7.8</v>
      </c>
      <c r="E151" s="108"/>
      <c r="F151" s="127">
        <v>42737</v>
      </c>
      <c r="G151" s="128">
        <v>33</v>
      </c>
      <c r="H151" s="425">
        <f t="shared" si="64"/>
        <v>257.39999999999998</v>
      </c>
      <c r="I151" s="129">
        <v>8</v>
      </c>
      <c r="J151" s="130">
        <f t="array" ref="J151">IF(ISERROR(G151/I151),"",G151/I151)</f>
        <v>4.125</v>
      </c>
      <c r="K151" s="131">
        <f t="array" ref="K151">IF(ISERROR(G151/L151),"",G151/L151)</f>
        <v>7.1739130434782616</v>
      </c>
      <c r="L151" s="129">
        <v>4.5999999999999996</v>
      </c>
      <c r="M151" s="109">
        <f t="shared" si="65"/>
        <v>0.82608695652173836</v>
      </c>
      <c r="N151" s="130">
        <f t="shared" si="66"/>
        <v>0</v>
      </c>
      <c r="O151" s="433"/>
      <c r="P151" s="433"/>
      <c r="Q151" s="433"/>
      <c r="R151" s="433"/>
      <c r="S151" s="433"/>
      <c r="T151" s="433"/>
      <c r="U151" s="433"/>
      <c r="V151" s="132">
        <f t="shared" si="67"/>
        <v>0</v>
      </c>
      <c r="W151" s="133">
        <f t="shared" si="63"/>
        <v>0</v>
      </c>
      <c r="X151" s="132"/>
      <c r="Y151" s="132"/>
      <c r="Z151" s="132"/>
      <c r="AA151" s="132"/>
    </row>
    <row r="152" spans="1:27" ht="20.100000000000001" customHeight="1">
      <c r="A152" s="299">
        <v>30700017</v>
      </c>
      <c r="B152" s="141" t="s">
        <v>238</v>
      </c>
      <c r="C152" s="431"/>
      <c r="D152" s="108">
        <v>4.4000000000000004</v>
      </c>
      <c r="E152" s="108"/>
      <c r="F152" s="127">
        <v>42737</v>
      </c>
      <c r="G152" s="128">
        <v>56</v>
      </c>
      <c r="H152" s="425">
        <f t="shared" si="64"/>
        <v>246.40000000000003</v>
      </c>
      <c r="I152" s="129">
        <f>11*2</f>
        <v>22</v>
      </c>
      <c r="J152" s="130">
        <f t="array" ref="J152">IF(ISERROR(G152/I152),"",G152/I152)</f>
        <v>2.5454545454545454</v>
      </c>
      <c r="K152" s="131">
        <f t="array" ref="K152">IF(ISERROR(G152/L152),"",G152/L152)</f>
        <v>9.6551724137931032</v>
      </c>
      <c r="L152" s="129">
        <v>5.8</v>
      </c>
      <c r="M152" s="109">
        <f t="shared" si="65"/>
        <v>12.344827586206897</v>
      </c>
      <c r="N152" s="130">
        <f t="shared" si="66"/>
        <v>0</v>
      </c>
      <c r="O152" s="433"/>
      <c r="P152" s="433"/>
      <c r="Q152" s="433"/>
      <c r="R152" s="433"/>
      <c r="S152" s="433"/>
      <c r="T152" s="433"/>
      <c r="U152" s="433"/>
      <c r="V152" s="132">
        <f t="shared" si="67"/>
        <v>0</v>
      </c>
      <c r="W152" s="133">
        <f t="shared" si="63"/>
        <v>0</v>
      </c>
      <c r="X152" s="132"/>
      <c r="Y152" s="132"/>
      <c r="Z152" s="132"/>
      <c r="AA152" s="132"/>
    </row>
    <row r="153" spans="1:27" ht="20.100000000000001" hidden="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28"/>
      <c r="H153" s="425">
        <f t="shared" si="64"/>
        <v>0</v>
      </c>
      <c r="I153" s="129"/>
      <c r="J153" s="130"/>
      <c r="K153" s="131"/>
      <c r="L153" s="129">
        <v>6</v>
      </c>
      <c r="M153" s="109"/>
      <c r="N153" s="130"/>
      <c r="O153" s="433"/>
      <c r="P153" s="433"/>
      <c r="Q153" s="433"/>
      <c r="R153" s="433"/>
      <c r="S153" s="433"/>
      <c r="T153" s="433"/>
      <c r="U153" s="433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5"/>
      <c r="B154" s="431" t="s">
        <v>239</v>
      </c>
      <c r="C154" s="431" t="s">
        <v>179</v>
      </c>
      <c r="D154" s="108">
        <v>6.04</v>
      </c>
      <c r="E154" s="108"/>
      <c r="F154" s="127"/>
      <c r="G154" s="128"/>
      <c r="H154" s="425">
        <f t="shared" si="64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5" si="68">IF(ISERROR(I154-K154),"",I154-K154)</f>
        <v>0</v>
      </c>
      <c r="N154" s="130">
        <f t="shared" ref="N154:N155" si="69">SUM(O154:U154)</f>
        <v>0</v>
      </c>
      <c r="O154" s="433"/>
      <c r="P154" s="433"/>
      <c r="Q154" s="433"/>
      <c r="R154" s="433"/>
      <c r="S154" s="433"/>
      <c r="T154" s="433"/>
      <c r="U154" s="433"/>
      <c r="V154" s="132">
        <f t="shared" ref="V154:V155" si="70">SUM(X154:AA154)</f>
        <v>0</v>
      </c>
      <c r="W154" s="133" t="str">
        <f t="shared" ref="W154:W155" si="71">IF(ISERROR(V154/G154),"",V154/G154)</f>
        <v/>
      </c>
      <c r="X154" s="132"/>
      <c r="Y154" s="132"/>
      <c r="Z154" s="132"/>
      <c r="AA154" s="132"/>
    </row>
    <row r="155" spans="1:27" ht="20.100000000000001" hidden="1" customHeight="1">
      <c r="A155" s="305">
        <v>30700019</v>
      </c>
      <c r="B155" s="431" t="s">
        <v>239</v>
      </c>
      <c r="C155" s="431" t="s">
        <v>186</v>
      </c>
      <c r="D155" s="108">
        <v>6.04</v>
      </c>
      <c r="E155" s="108"/>
      <c r="F155" s="127"/>
      <c r="G155" s="128"/>
      <c r="H155" s="425">
        <f t="shared" si="64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8"/>
        <v>0</v>
      </c>
      <c r="N155" s="130">
        <f t="shared" si="69"/>
        <v>0</v>
      </c>
      <c r="O155" s="433"/>
      <c r="P155" s="433"/>
      <c r="Q155" s="433"/>
      <c r="R155" s="433"/>
      <c r="S155" s="433"/>
      <c r="T155" s="433"/>
      <c r="U155" s="433"/>
      <c r="V155" s="132">
        <f t="shared" si="70"/>
        <v>0</v>
      </c>
      <c r="W155" s="133" t="str">
        <f t="shared" si="71"/>
        <v/>
      </c>
      <c r="X155" s="132"/>
      <c r="Y155" s="132"/>
      <c r="Z155" s="132"/>
      <c r="AA155" s="132"/>
    </row>
    <row r="156" spans="1:27" ht="20.100000000000001" hidden="1" customHeight="1">
      <c r="A156" s="305">
        <v>30601015</v>
      </c>
      <c r="B156" s="431" t="s">
        <v>443</v>
      </c>
      <c r="C156" s="431" t="s">
        <v>179</v>
      </c>
      <c r="D156" s="108">
        <v>6</v>
      </c>
      <c r="E156" s="108"/>
      <c r="F156" s="127"/>
      <c r="G156" s="128"/>
      <c r="H156" s="425">
        <f t="shared" si="64"/>
        <v>0</v>
      </c>
      <c r="I156" s="129"/>
      <c r="J156" s="130"/>
      <c r="K156" s="131"/>
      <c r="L156" s="129"/>
      <c r="M156" s="109"/>
      <c r="N156" s="130"/>
      <c r="O156" s="433"/>
      <c r="P156" s="433"/>
      <c r="Q156" s="433"/>
      <c r="R156" s="433"/>
      <c r="S156" s="433"/>
      <c r="T156" s="433"/>
      <c r="U156" s="433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305">
        <v>30101016</v>
      </c>
      <c r="B157" s="431" t="s">
        <v>443</v>
      </c>
      <c r="C157" s="431" t="s">
        <v>60</v>
      </c>
      <c r="D157" s="108">
        <v>6</v>
      </c>
      <c r="E157" s="108"/>
      <c r="F157" s="127"/>
      <c r="G157" s="128"/>
      <c r="H157" s="425">
        <f t="shared" si="64"/>
        <v>0</v>
      </c>
      <c r="I157" s="129"/>
      <c r="J157" s="130"/>
      <c r="K157" s="131"/>
      <c r="L157" s="129">
        <v>6</v>
      </c>
      <c r="M157" s="109"/>
      <c r="N157" s="130"/>
      <c r="O157" s="433"/>
      <c r="P157" s="433"/>
      <c r="Q157" s="433"/>
      <c r="R157" s="433"/>
      <c r="S157" s="433"/>
      <c r="T157" s="433"/>
      <c r="U157" s="433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299">
        <v>30700018</v>
      </c>
      <c r="B158" s="424" t="s">
        <v>240</v>
      </c>
      <c r="C158" s="126"/>
      <c r="D158" s="108">
        <v>7.3</v>
      </c>
      <c r="E158" s="108"/>
      <c r="F158" s="127"/>
      <c r="G158" s="128"/>
      <c r="H158" s="425">
        <f t="shared" si="64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2">IF(ISERROR(I158-K158),"",I158-K158)</f>
        <v/>
      </c>
      <c r="N158" s="130">
        <f t="shared" ref="N158:N159" si="73">SUM(O158:U158)</f>
        <v>0</v>
      </c>
      <c r="O158" s="433"/>
      <c r="P158" s="433"/>
      <c r="Q158" s="433"/>
      <c r="R158" s="433"/>
      <c r="S158" s="433"/>
      <c r="T158" s="433"/>
      <c r="U158" s="433"/>
      <c r="V158" s="132">
        <f t="shared" ref="V158:V159" si="74">SUM(X158:AA158)</f>
        <v>0</v>
      </c>
      <c r="W158" s="133" t="str">
        <f t="shared" ref="W158:W159" si="75">IF(ISERROR(V158/G158),"",V158/G158)</f>
        <v/>
      </c>
      <c r="X158" s="132"/>
      <c r="Y158" s="132"/>
      <c r="Z158" s="132"/>
      <c r="AA158" s="132"/>
    </row>
    <row r="159" spans="1:27" ht="20.100000000000001" hidden="1" customHeight="1">
      <c r="A159" s="299">
        <v>30700010</v>
      </c>
      <c r="B159" s="424" t="s">
        <v>241</v>
      </c>
      <c r="C159" s="126"/>
      <c r="D159" s="108">
        <f>78*120/1000</f>
        <v>9.36</v>
      </c>
      <c r="E159" s="108"/>
      <c r="F159" s="127"/>
      <c r="G159" s="128"/>
      <c r="H159" s="425">
        <f t="shared" si="64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3"/>
        <v>0</v>
      </c>
      <c r="O159" s="433"/>
      <c r="P159" s="433"/>
      <c r="Q159" s="433"/>
      <c r="R159" s="433"/>
      <c r="S159" s="433"/>
      <c r="T159" s="433"/>
      <c r="U159" s="433"/>
      <c r="V159" s="132">
        <f t="shared" si="74"/>
        <v>0</v>
      </c>
      <c r="W159" s="133" t="str">
        <f t="shared" si="75"/>
        <v/>
      </c>
      <c r="X159" s="132"/>
      <c r="Y159" s="132"/>
      <c r="Z159" s="132"/>
      <c r="AA159" s="132"/>
    </row>
    <row r="160" spans="1:27" ht="20.100000000000001" hidden="1" customHeight="1">
      <c r="A160" s="299">
        <v>30700015</v>
      </c>
      <c r="B160" s="424" t="s">
        <v>242</v>
      </c>
      <c r="C160" s="126"/>
      <c r="D160" s="108">
        <v>4.5</v>
      </c>
      <c r="E160" s="108"/>
      <c r="F160" s="127"/>
      <c r="G160" s="128"/>
      <c r="H160" s="425">
        <f t="shared" si="64"/>
        <v>0</v>
      </c>
      <c r="I160" s="129"/>
      <c r="J160" s="130"/>
      <c r="K160" s="131"/>
      <c r="L160" s="129"/>
      <c r="M160" s="109"/>
      <c r="N160" s="130"/>
      <c r="O160" s="433"/>
      <c r="P160" s="433"/>
      <c r="Q160" s="433"/>
      <c r="R160" s="433"/>
      <c r="S160" s="433"/>
      <c r="T160" s="433"/>
      <c r="U160" s="433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299">
        <v>30700012</v>
      </c>
      <c r="B161" s="424" t="s">
        <v>243</v>
      </c>
      <c r="C161" s="126"/>
      <c r="D161" s="108">
        <v>4.5</v>
      </c>
      <c r="E161" s="108"/>
      <c r="F161" s="127"/>
      <c r="G161" s="128"/>
      <c r="H161" s="425">
        <f t="shared" si="64"/>
        <v>0</v>
      </c>
      <c r="I161" s="129"/>
      <c r="J161" s="130"/>
      <c r="K161" s="131"/>
      <c r="L161" s="129"/>
      <c r="M161" s="109"/>
      <c r="N161" s="130"/>
      <c r="O161" s="433"/>
      <c r="P161" s="433"/>
      <c r="Q161" s="433"/>
      <c r="R161" s="433"/>
      <c r="S161" s="433"/>
      <c r="T161" s="433"/>
      <c r="U161" s="433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306">
        <v>30101063</v>
      </c>
      <c r="B162" s="254" t="s">
        <v>436</v>
      </c>
      <c r="C162" s="126"/>
      <c r="D162" s="108">
        <v>5.03</v>
      </c>
      <c r="E162" s="108"/>
      <c r="F162" s="127"/>
      <c r="G162" s="128"/>
      <c r="H162" s="425">
        <f t="shared" si="64"/>
        <v>0</v>
      </c>
      <c r="I162" s="129"/>
      <c r="J162" s="130"/>
      <c r="K162" s="131"/>
      <c r="L162" s="129"/>
      <c r="M162" s="109"/>
      <c r="N162" s="130"/>
      <c r="O162" s="433"/>
      <c r="P162" s="433"/>
      <c r="Q162" s="433"/>
      <c r="R162" s="433"/>
      <c r="S162" s="433"/>
      <c r="T162" s="433"/>
      <c r="U162" s="433"/>
      <c r="V162" s="132"/>
      <c r="W162" s="133"/>
      <c r="X162" s="132"/>
      <c r="Y162" s="132"/>
      <c r="Z162" s="132"/>
      <c r="AA162" s="132"/>
    </row>
    <row r="163" spans="1:27" ht="20.100000000000001" customHeight="1">
      <c r="A163" s="578" t="s">
        <v>244</v>
      </c>
      <c r="B163" s="579"/>
      <c r="C163" s="434" t="s">
        <v>202</v>
      </c>
      <c r="D163" s="143"/>
      <c r="E163" s="143"/>
      <c r="F163" s="144"/>
      <c r="G163" s="145">
        <f>SUM(G149:G161)</f>
        <v>89</v>
      </c>
      <c r="H163" s="146">
        <f>SUM(H149:H159)</f>
        <v>503.8</v>
      </c>
      <c r="I163" s="146">
        <f>SUM(I149:I161)</f>
        <v>30</v>
      </c>
      <c r="J163" s="130">
        <f t="array" ref="J163">IF(ISERROR(G163/I163),"",G163/I163)</f>
        <v>2.9666666666666668</v>
      </c>
      <c r="K163" s="146">
        <f>SUM(K149:K159)</f>
        <v>16.829085457271365</v>
      </c>
      <c r="L163" s="147"/>
      <c r="M163" s="150">
        <f t="shared" ref="M163:V163" si="76">SUM(M149:M159)</f>
        <v>13.170914542728635</v>
      </c>
      <c r="N163" s="146">
        <f t="shared" si="76"/>
        <v>0</v>
      </c>
      <c r="O163" s="148">
        <f t="shared" si="76"/>
        <v>0</v>
      </c>
      <c r="P163" s="148">
        <f t="shared" si="76"/>
        <v>0</v>
      </c>
      <c r="Q163" s="148">
        <f t="shared" si="76"/>
        <v>0</v>
      </c>
      <c r="R163" s="148">
        <f t="shared" si="76"/>
        <v>0</v>
      </c>
      <c r="S163" s="148">
        <f t="shared" si="76"/>
        <v>0</v>
      </c>
      <c r="T163" s="148">
        <f t="shared" si="76"/>
        <v>0</v>
      </c>
      <c r="U163" s="148">
        <f t="shared" si="76"/>
        <v>0</v>
      </c>
      <c r="V163" s="149">
        <f t="shared" si="76"/>
        <v>0</v>
      </c>
      <c r="W163" s="133">
        <f>IF(ISERROR(V163/G163),"",V163/G163)</f>
        <v>0</v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580" t="s">
        <v>246</v>
      </c>
      <c r="B164" s="581"/>
      <c r="C164" s="581"/>
      <c r="D164" s="581"/>
      <c r="E164" s="581"/>
      <c r="F164" s="582"/>
      <c r="G164" s="154">
        <f>SUM(G28,G86,G121,G137,G148,G163)</f>
        <v>5335</v>
      </c>
      <c r="H164" s="154">
        <f>SUM(H28,H86,H121,H137,H148,H163)</f>
        <v>26934.539999999997</v>
      </c>
      <c r="I164" s="154">
        <f>SUM(I28,I86,I121,I137,I148,I163)</f>
        <v>276.5</v>
      </c>
      <c r="J164" s="155">
        <f t="array" ref="J164">IF(ISERROR(G164/I164),"",G164/I164)</f>
        <v>19.294755877034358</v>
      </c>
      <c r="K164" s="154">
        <f>SUM(K28,K86,K121,K137,K148,K163)</f>
        <v>247.39456568144155</v>
      </c>
      <c r="L164" s="155">
        <f>IF(ISERROR(G164/K164),"",G164/K164)</f>
        <v>21.564742076305876</v>
      </c>
      <c r="M164" s="154">
        <f t="shared" ref="M164:AA164" si="77">SUM(M28,M86,M121,M137,M148,M163)</f>
        <v>29.105434318558437</v>
      </c>
      <c r="N164" s="154">
        <f t="shared" si="77"/>
        <v>0</v>
      </c>
      <c r="O164" s="154">
        <f t="shared" si="77"/>
        <v>0</v>
      </c>
      <c r="P164" s="154">
        <f t="shared" si="77"/>
        <v>0</v>
      </c>
      <c r="Q164" s="154">
        <f t="shared" si="77"/>
        <v>0</v>
      </c>
      <c r="R164" s="154">
        <f t="shared" si="77"/>
        <v>0</v>
      </c>
      <c r="S164" s="154">
        <f t="shared" si="77"/>
        <v>0</v>
      </c>
      <c r="T164" s="154">
        <f t="shared" si="77"/>
        <v>0</v>
      </c>
      <c r="U164" s="154">
        <f t="shared" si="77"/>
        <v>0</v>
      </c>
      <c r="V164" s="154">
        <f t="shared" si="77"/>
        <v>0</v>
      </c>
      <c r="W164" s="154">
        <f t="shared" si="77"/>
        <v>0</v>
      </c>
      <c r="X164" s="154">
        <f t="shared" si="77"/>
        <v>0</v>
      </c>
      <c r="Y164" s="154">
        <f t="shared" si="77"/>
        <v>0</v>
      </c>
      <c r="Z164" s="154">
        <f t="shared" si="77"/>
        <v>0</v>
      </c>
      <c r="AA164" s="154">
        <f t="shared" si="77"/>
        <v>0</v>
      </c>
    </row>
    <row r="165" spans="1:27" ht="20.100000000000001" customHeight="1">
      <c r="A165" s="583" t="s">
        <v>476</v>
      </c>
      <c r="B165" s="427" t="s">
        <v>247</v>
      </c>
      <c r="C165" s="586" t="s">
        <v>248</v>
      </c>
      <c r="D165" s="587"/>
      <c r="E165" s="588" t="s">
        <v>249</v>
      </c>
      <c r="F165" s="588"/>
      <c r="G165" s="591" t="s">
        <v>250</v>
      </c>
      <c r="H165" s="591"/>
      <c r="I165" s="588" t="s">
        <v>251</v>
      </c>
      <c r="J165" s="588"/>
      <c r="K165" s="588" t="s">
        <v>252</v>
      </c>
      <c r="L165" s="588"/>
      <c r="M165" s="588" t="s">
        <v>253</v>
      </c>
      <c r="N165" s="588"/>
      <c r="O165" s="588" t="s">
        <v>254</v>
      </c>
      <c r="P165" s="591" t="s">
        <v>255</v>
      </c>
      <c r="Q165" s="591"/>
      <c r="R165" s="591" t="s">
        <v>252</v>
      </c>
      <c r="S165" s="591"/>
      <c r="T165" s="591" t="s">
        <v>256</v>
      </c>
      <c r="U165" s="591"/>
      <c r="V165" s="591" t="s">
        <v>257</v>
      </c>
      <c r="W165" s="591"/>
      <c r="X165" s="591" t="s">
        <v>252</v>
      </c>
      <c r="Y165" s="591"/>
      <c r="Z165" s="591" t="s">
        <v>256</v>
      </c>
      <c r="AA165" s="591"/>
    </row>
    <row r="166" spans="1:27" ht="20.100000000000001" customHeight="1">
      <c r="A166" s="584"/>
      <c r="B166" s="427" t="s">
        <v>258</v>
      </c>
      <c r="C166" s="586">
        <v>1</v>
      </c>
      <c r="D166" s="587"/>
      <c r="E166" s="590">
        <f>C166*11</f>
        <v>11</v>
      </c>
      <c r="F166" s="590"/>
      <c r="G166" s="591">
        <v>1</v>
      </c>
      <c r="H166" s="591"/>
      <c r="I166" s="590">
        <f>G166*11</f>
        <v>11</v>
      </c>
      <c r="J166" s="590"/>
      <c r="K166" s="590">
        <f>E166-I166</f>
        <v>0</v>
      </c>
      <c r="L166" s="590"/>
      <c r="M166" s="592">
        <f>IF(ISERROR(K166/E166),"",K166/E166)</f>
        <v>0</v>
      </c>
      <c r="N166" s="592"/>
      <c r="O166" s="588"/>
      <c r="P166" s="591" t="s">
        <v>201</v>
      </c>
      <c r="Q166" s="591"/>
      <c r="R166" s="593">
        <f>SUM(O28:U28)</f>
        <v>0</v>
      </c>
      <c r="S166" s="593"/>
      <c r="T166" s="594" t="str">
        <f t="array" ref="T166">IF(ISERROR(R166/R173),"",R166/R173)</f>
        <v/>
      </c>
      <c r="U166" s="594"/>
      <c r="V166" s="591" t="s">
        <v>259</v>
      </c>
      <c r="W166" s="591"/>
      <c r="X166" s="595">
        <f>SUM(P27,P85,P120,P136,P147,P161)</f>
        <v>0</v>
      </c>
      <c r="Y166" s="595"/>
      <c r="Z166" s="594" t="str">
        <f t="array" ref="Z166">IF(ISERROR(X166/X173),"",X166/X173)</f>
        <v/>
      </c>
      <c r="AA166" s="594"/>
    </row>
    <row r="167" spans="1:27" ht="20.100000000000001" customHeight="1">
      <c r="A167" s="584"/>
      <c r="B167" s="427" t="s">
        <v>260</v>
      </c>
      <c r="C167" s="586">
        <v>1</v>
      </c>
      <c r="D167" s="587"/>
      <c r="E167" s="590">
        <f>C167*11</f>
        <v>11</v>
      </c>
      <c r="F167" s="590"/>
      <c r="G167" s="591">
        <v>1</v>
      </c>
      <c r="H167" s="591"/>
      <c r="I167" s="590">
        <f>G167*11</f>
        <v>11</v>
      </c>
      <c r="J167" s="590"/>
      <c r="K167" s="590">
        <f>E167-I167</f>
        <v>0</v>
      </c>
      <c r="L167" s="590"/>
      <c r="M167" s="592">
        <f>IF(ISERROR(K167/E167),"",K167/E167)</f>
        <v>0</v>
      </c>
      <c r="N167" s="592"/>
      <c r="O167" s="588"/>
      <c r="P167" s="591" t="s">
        <v>216</v>
      </c>
      <c r="Q167" s="591"/>
      <c r="R167" s="593">
        <f>SUM(O86:U86)</f>
        <v>0</v>
      </c>
      <c r="S167" s="593"/>
      <c r="T167" s="594" t="str">
        <f>IF(ISERROR(R167/R173),"",R167/R173)</f>
        <v/>
      </c>
      <c r="U167" s="594"/>
      <c r="V167" s="591" t="s">
        <v>261</v>
      </c>
      <c r="W167" s="591"/>
      <c r="X167" s="595">
        <f>SUM(P28,P86,P121,P137,P148,P163)</f>
        <v>0</v>
      </c>
      <c r="Y167" s="595"/>
      <c r="Z167" s="594" t="str">
        <f>IF(ISERROR(X167/X173),"",X167/X173)</f>
        <v/>
      </c>
      <c r="AA167" s="594"/>
    </row>
    <row r="168" spans="1:27" ht="20.100000000000001" customHeight="1">
      <c r="A168" s="584"/>
      <c r="B168" s="427" t="s">
        <v>262</v>
      </c>
      <c r="C168" s="586">
        <v>1</v>
      </c>
      <c r="D168" s="587"/>
      <c r="E168" s="590">
        <f>C168*8</f>
        <v>8</v>
      </c>
      <c r="F168" s="590"/>
      <c r="G168" s="591">
        <v>1</v>
      </c>
      <c r="H168" s="591"/>
      <c r="I168" s="590">
        <f>G168*8</f>
        <v>8</v>
      </c>
      <c r="J168" s="590"/>
      <c r="K168" s="590">
        <f>E168-I168</f>
        <v>0</v>
      </c>
      <c r="L168" s="590"/>
      <c r="M168" s="592">
        <f>IF(ISERROR(K168/E168),"",K168/E168)</f>
        <v>0</v>
      </c>
      <c r="N168" s="592"/>
      <c r="O168" s="588"/>
      <c r="P168" s="591" t="s">
        <v>224</v>
      </c>
      <c r="Q168" s="591"/>
      <c r="R168" s="593">
        <f>SUM(O121:U121)</f>
        <v>0</v>
      </c>
      <c r="S168" s="593"/>
      <c r="T168" s="594" t="str">
        <f>IF(ISERROR(R168/R173),"",R168/R173)</f>
        <v/>
      </c>
      <c r="U168" s="594"/>
      <c r="V168" s="591" t="s">
        <v>263</v>
      </c>
      <c r="W168" s="591"/>
      <c r="X168" s="595">
        <f>SUM(P29,P87,P122,P138,P149,P164)</f>
        <v>0</v>
      </c>
      <c r="Y168" s="595"/>
      <c r="Z168" s="594" t="str">
        <f>IF(ISERROR(X168/X173),"",X168/X173)</f>
        <v/>
      </c>
      <c r="AA168" s="594"/>
    </row>
    <row r="169" spans="1:27" ht="20.100000000000001" customHeight="1">
      <c r="A169" s="584"/>
      <c r="B169" s="427" t="s">
        <v>264</v>
      </c>
      <c r="C169" s="586">
        <v>1</v>
      </c>
      <c r="D169" s="587"/>
      <c r="E169" s="590">
        <f>C169*11</f>
        <v>11</v>
      </c>
      <c r="F169" s="590"/>
      <c r="G169" s="591">
        <v>1</v>
      </c>
      <c r="H169" s="591"/>
      <c r="I169" s="590">
        <f>G169*11</f>
        <v>11</v>
      </c>
      <c r="J169" s="590"/>
      <c r="K169" s="590">
        <f>E169-I169</f>
        <v>0</v>
      </c>
      <c r="L169" s="590"/>
      <c r="M169" s="592">
        <f>IF(ISERROR(K169/E169),"",K169/E169)</f>
        <v>0</v>
      </c>
      <c r="N169" s="592"/>
      <c r="O169" s="588"/>
      <c r="P169" s="591" t="s">
        <v>231</v>
      </c>
      <c r="Q169" s="591"/>
      <c r="R169" s="593">
        <f>SUM(O137:U137)</f>
        <v>0</v>
      </c>
      <c r="S169" s="593"/>
      <c r="T169" s="594" t="str">
        <f>IF(ISERROR(R169/R173),"",R169/R173)</f>
        <v/>
      </c>
      <c r="U169" s="594"/>
      <c r="V169" s="591" t="s">
        <v>265</v>
      </c>
      <c r="W169" s="591"/>
      <c r="X169" s="595">
        <f>SUM(P31,P88,P123,P139,P150,P165)</f>
        <v>0</v>
      </c>
      <c r="Y169" s="595"/>
      <c r="Z169" s="594" t="str">
        <f>IF(ISERROR(X169/X173),"",X169/X173)</f>
        <v/>
      </c>
      <c r="AA169" s="594"/>
    </row>
    <row r="170" spans="1:27" ht="20.100000000000001" customHeight="1">
      <c r="A170" s="585"/>
      <c r="B170" s="427" t="s">
        <v>266</v>
      </c>
      <c r="C170" s="596">
        <f>SUM(C166:D169)</f>
        <v>4</v>
      </c>
      <c r="D170" s="597"/>
      <c r="E170" s="590">
        <f>SUM(E166:F169)</f>
        <v>41</v>
      </c>
      <c r="F170" s="590"/>
      <c r="G170" s="591">
        <f>SUM(G166:H169)</f>
        <v>4</v>
      </c>
      <c r="H170" s="591"/>
      <c r="I170" s="590">
        <f>SUM(I166:J169)</f>
        <v>41</v>
      </c>
      <c r="J170" s="590"/>
      <c r="K170" s="590">
        <f>SUM(K166:L169)</f>
        <v>0</v>
      </c>
      <c r="L170" s="590"/>
      <c r="M170" s="592">
        <f>IF(ISERROR(K170/E170),"",K170/E170)</f>
        <v>0</v>
      </c>
      <c r="N170" s="592"/>
      <c r="O170" s="588"/>
      <c r="P170" s="591" t="s">
        <v>234</v>
      </c>
      <c r="Q170" s="591"/>
      <c r="R170" s="593">
        <f>SUM(O148:U148)</f>
        <v>0</v>
      </c>
      <c r="S170" s="593"/>
      <c r="T170" s="594" t="str">
        <f>IF(ISERROR(R170/R173),"",R170/R173)</f>
        <v/>
      </c>
      <c r="U170" s="594"/>
      <c r="V170" s="591" t="s">
        <v>267</v>
      </c>
      <c r="W170" s="591"/>
      <c r="X170" s="595">
        <f>SUM(P32,P89,P124,P140,P151,P166)</f>
        <v>0</v>
      </c>
      <c r="Y170" s="595"/>
      <c r="Z170" s="594" t="str">
        <f>IF(ISERROR(X170/X173),"",X170/X173)</f>
        <v/>
      </c>
      <c r="AA170" s="594"/>
    </row>
    <row r="171" spans="1:27" ht="20.100000000000001" customHeight="1">
      <c r="A171" s="307" t="s">
        <v>477</v>
      </c>
      <c r="B171" s="427">
        <f>G164</f>
        <v>5335</v>
      </c>
      <c r="C171" s="598" t="s">
        <v>269</v>
      </c>
      <c r="D171" s="599"/>
      <c r="E171" s="591">
        <f>H164</f>
        <v>26934.539999999997</v>
      </c>
      <c r="F171" s="591"/>
      <c r="G171" s="591" t="s">
        <v>270</v>
      </c>
      <c r="H171" s="591"/>
      <c r="I171" s="600">
        <f>L164</f>
        <v>21.564742076305876</v>
      </c>
      <c r="J171" s="600"/>
      <c r="K171" s="588" t="s">
        <v>271</v>
      </c>
      <c r="L171" s="588"/>
      <c r="M171" s="600">
        <f>J164</f>
        <v>19.294755877034358</v>
      </c>
      <c r="N171" s="600"/>
      <c r="O171" s="588"/>
      <c r="P171" s="591" t="s">
        <v>244</v>
      </c>
      <c r="Q171" s="591"/>
      <c r="R171" s="593">
        <f>SUM(O163:U163)</f>
        <v>0</v>
      </c>
      <c r="S171" s="593"/>
      <c r="T171" s="594" t="str">
        <f>IF(ISERROR(R171/R173),"",R171/R173)</f>
        <v/>
      </c>
      <c r="U171" s="594"/>
      <c r="V171" s="591" t="s">
        <v>272</v>
      </c>
      <c r="W171" s="591"/>
      <c r="X171" s="595">
        <f>SUM(P33,P90,P125,P141,P152,P167)</f>
        <v>0</v>
      </c>
      <c r="Y171" s="595"/>
      <c r="Z171" s="594" t="str">
        <f>IF(ISERROR(X171/X173),"",X171/X173)</f>
        <v/>
      </c>
      <c r="AA171" s="594"/>
    </row>
    <row r="172" spans="1:27" ht="20.100000000000001" customHeight="1">
      <c r="A172" s="308" t="s">
        <v>478</v>
      </c>
      <c r="B172" s="427">
        <f>I164+C170</f>
        <v>280.5</v>
      </c>
      <c r="C172" s="601" t="s">
        <v>251</v>
      </c>
      <c r="D172" s="602"/>
      <c r="E172" s="603">
        <f>K164+I170</f>
        <v>288.39456568144158</v>
      </c>
      <c r="F172" s="603"/>
      <c r="G172" s="591" t="s">
        <v>274</v>
      </c>
      <c r="H172" s="591"/>
      <c r="I172" s="600">
        <f>B172-E172</f>
        <v>-7.894565681441577</v>
      </c>
      <c r="J172" s="600"/>
      <c r="K172" s="588" t="s">
        <v>275</v>
      </c>
      <c r="L172" s="588"/>
      <c r="M172" s="592">
        <f>IF(ISERROR(I172/E172),"",I172/E172)</f>
        <v>-2.7374183222862298E-2</v>
      </c>
      <c r="N172" s="592"/>
      <c r="O172" s="588"/>
      <c r="P172" s="591" t="s">
        <v>245</v>
      </c>
      <c r="Q172" s="591"/>
      <c r="R172" s="593"/>
      <c r="S172" s="593"/>
      <c r="T172" s="594" t="str">
        <f>IF(ISERROR(R172/R173),"",R172/R173)</f>
        <v/>
      </c>
      <c r="U172" s="594"/>
      <c r="V172" s="591" t="s">
        <v>264</v>
      </c>
      <c r="W172" s="591"/>
      <c r="X172" s="595"/>
      <c r="Y172" s="595"/>
      <c r="Z172" s="594" t="str">
        <f>IF(ISERROR(X172/X173),"",X172/X173)</f>
        <v/>
      </c>
      <c r="AA172" s="594"/>
    </row>
    <row r="173" spans="1:27" ht="20.100000000000001" customHeight="1">
      <c r="A173" s="308" t="s">
        <v>479</v>
      </c>
      <c r="B173" s="427">
        <f>N164</f>
        <v>0</v>
      </c>
      <c r="C173" s="601" t="s">
        <v>277</v>
      </c>
      <c r="D173" s="602"/>
      <c r="E173" s="594">
        <f>IF(ISERROR(B173/B172),"",B173/B172)</f>
        <v>0</v>
      </c>
      <c r="F173" s="594"/>
      <c r="G173" s="591" t="s">
        <v>278</v>
      </c>
      <c r="H173" s="591"/>
      <c r="I173" s="588">
        <f>V164</f>
        <v>0</v>
      </c>
      <c r="J173" s="588"/>
      <c r="K173" s="588" t="s">
        <v>279</v>
      </c>
      <c r="L173" s="588"/>
      <c r="M173" s="592">
        <f t="array" ref="M173">IF(ISERROR(I173/B171),"",I173/B171)</f>
        <v>0</v>
      </c>
      <c r="N173" s="592"/>
      <c r="O173" s="588"/>
      <c r="P173" s="591" t="s">
        <v>266</v>
      </c>
      <c r="Q173" s="591"/>
      <c r="R173" s="593">
        <f>SUM(R166:S172)</f>
        <v>0</v>
      </c>
      <c r="S173" s="593"/>
      <c r="T173" s="594"/>
      <c r="U173" s="594"/>
      <c r="V173" s="591" t="s">
        <v>266</v>
      </c>
      <c r="W173" s="591"/>
      <c r="X173" s="595">
        <f>SUM(X166:Y172)</f>
        <v>0</v>
      </c>
      <c r="Y173" s="595"/>
      <c r="Z173" s="594"/>
      <c r="AA173" s="594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4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604" t="s">
        <v>480</v>
      </c>
      <c r="B175" s="607" t="s">
        <v>280</v>
      </c>
      <c r="C175" s="607" t="s">
        <v>281</v>
      </c>
      <c r="D175" s="607" t="s">
        <v>282</v>
      </c>
      <c r="E175" s="610" t="s">
        <v>283</v>
      </c>
      <c r="F175" s="623" t="s">
        <v>284</v>
      </c>
      <c r="G175" s="588" t="s">
        <v>285</v>
      </c>
      <c r="H175" s="588"/>
      <c r="I175" s="607" t="s">
        <v>286</v>
      </c>
      <c r="J175" s="613" t="s">
        <v>271</v>
      </c>
      <c r="K175" s="616" t="s">
        <v>287</v>
      </c>
      <c r="L175" s="607" t="s">
        <v>270</v>
      </c>
      <c r="M175" s="619" t="s">
        <v>288</v>
      </c>
      <c r="N175" s="621" t="s">
        <v>252</v>
      </c>
      <c r="O175" s="588" t="s">
        <v>289</v>
      </c>
      <c r="P175" s="588"/>
      <c r="Q175" s="588"/>
      <c r="R175" s="588"/>
      <c r="S175" s="588"/>
      <c r="T175" s="588"/>
      <c r="U175" s="588"/>
      <c r="V175" s="588" t="s">
        <v>290</v>
      </c>
      <c r="W175" s="621" t="s">
        <v>291</v>
      </c>
      <c r="X175" s="588" t="s">
        <v>292</v>
      </c>
      <c r="Y175" s="588"/>
      <c r="Z175" s="588"/>
      <c r="AA175" s="588"/>
    </row>
    <row r="176" spans="1:27" ht="21.95" customHeight="1">
      <c r="A176" s="605"/>
      <c r="B176" s="608"/>
      <c r="C176" s="608"/>
      <c r="D176" s="608"/>
      <c r="E176" s="611"/>
      <c r="F176" s="624"/>
      <c r="G176" s="588"/>
      <c r="H176" s="588"/>
      <c r="I176" s="608"/>
      <c r="J176" s="614"/>
      <c r="K176" s="617"/>
      <c r="L176" s="608"/>
      <c r="M176" s="620"/>
      <c r="N176" s="621"/>
      <c r="O176" s="588" t="s">
        <v>259</v>
      </c>
      <c r="P176" s="588" t="s">
        <v>261</v>
      </c>
      <c r="Q176" s="588" t="s">
        <v>263</v>
      </c>
      <c r="R176" s="622" t="s">
        <v>265</v>
      </c>
      <c r="S176" s="591" t="s">
        <v>267</v>
      </c>
      <c r="T176" s="588" t="s">
        <v>272</v>
      </c>
      <c r="U176" s="588" t="s">
        <v>264</v>
      </c>
      <c r="V176" s="588"/>
      <c r="W176" s="621"/>
      <c r="X176" s="588" t="s">
        <v>293</v>
      </c>
      <c r="Y176" s="588" t="s">
        <v>294</v>
      </c>
      <c r="Z176" s="588" t="s">
        <v>295</v>
      </c>
      <c r="AA176" s="588" t="s">
        <v>264</v>
      </c>
    </row>
    <row r="177" spans="1:27" ht="21.95" customHeight="1">
      <c r="A177" s="606"/>
      <c r="B177" s="609"/>
      <c r="C177" s="609"/>
      <c r="D177" s="609"/>
      <c r="E177" s="612"/>
      <c r="F177" s="625"/>
      <c r="G177" s="348" t="s">
        <v>541</v>
      </c>
      <c r="H177" s="431" t="s">
        <v>297</v>
      </c>
      <c r="I177" s="609"/>
      <c r="J177" s="615"/>
      <c r="K177" s="618"/>
      <c r="L177" s="609"/>
      <c r="M177" s="620"/>
      <c r="N177" s="621"/>
      <c r="O177" s="588"/>
      <c r="P177" s="588"/>
      <c r="Q177" s="588"/>
      <c r="R177" s="622"/>
      <c r="S177" s="591"/>
      <c r="T177" s="588"/>
      <c r="U177" s="588"/>
      <c r="V177" s="588"/>
      <c r="W177" s="621"/>
      <c r="X177" s="588"/>
      <c r="Y177" s="588"/>
      <c r="Z177" s="588"/>
      <c r="AA177" s="588"/>
    </row>
    <row r="178" spans="1:27" ht="20.100000000000001" hidden="1" customHeight="1">
      <c r="A178" s="299">
        <v>30100030</v>
      </c>
      <c r="B178" s="424" t="s">
        <v>178</v>
      </c>
      <c r="C178" s="126" t="s">
        <v>179</v>
      </c>
      <c r="D178" s="108">
        <v>5.03</v>
      </c>
      <c r="E178" s="108"/>
      <c r="F178" s="127"/>
      <c r="G178" s="128"/>
      <c r="H178" s="425">
        <f t="shared" ref="H178:H187" si="78">D178*G178</f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16</v>
      </c>
      <c r="M178" s="109">
        <f t="shared" ref="M178:M187" si="79">IF(ISERROR(I178-K178),"",I178-K178)</f>
        <v>0</v>
      </c>
      <c r="N178" s="130">
        <f>SUM(O178:U178)</f>
        <v>0</v>
      </c>
      <c r="O178" s="433"/>
      <c r="P178" s="433"/>
      <c r="Q178" s="433"/>
      <c r="R178" s="433"/>
      <c r="S178" s="433"/>
      <c r="T178" s="433"/>
      <c r="U178" s="433"/>
      <c r="V178" s="132">
        <f t="shared" ref="V178:V183" si="80">SUM(X178:AA178)</f>
        <v>0</v>
      </c>
      <c r="W178" s="133" t="str">
        <f t="shared" ref="W178:W183" si="81">IF(ISERROR(V178/G178),"",V178/G178)</f>
        <v/>
      </c>
      <c r="X178" s="132"/>
      <c r="Y178" s="132"/>
      <c r="Z178" s="132"/>
      <c r="AA178" s="132"/>
    </row>
    <row r="179" spans="1:27" ht="20.100000000000001" hidden="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28"/>
      <c r="H179" s="425">
        <f t="shared" si="78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9"/>
        <v>0</v>
      </c>
      <c r="N179" s="130">
        <f t="shared" ref="N179:N187" si="82">SUM(O179:U179)</f>
        <v>0</v>
      </c>
      <c r="O179" s="433"/>
      <c r="P179" s="433"/>
      <c r="Q179" s="433"/>
      <c r="R179" s="433"/>
      <c r="S179" s="433"/>
      <c r="T179" s="433"/>
      <c r="U179" s="433"/>
      <c r="V179" s="132">
        <f t="shared" si="80"/>
        <v>0</v>
      </c>
      <c r="W179" s="133" t="str">
        <f t="shared" si="81"/>
        <v/>
      </c>
      <c r="X179" s="132"/>
      <c r="Y179" s="132"/>
      <c r="Z179" s="132"/>
      <c r="AA179" s="132"/>
    </row>
    <row r="180" spans="1:27" ht="20.100000000000001" hidden="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28"/>
      <c r="H180" s="425">
        <f t="shared" si="78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9"/>
        <v>0</v>
      </c>
      <c r="N180" s="130">
        <f t="shared" si="82"/>
        <v>0</v>
      </c>
      <c r="O180" s="433"/>
      <c r="P180" s="433"/>
      <c r="Q180" s="433"/>
      <c r="R180" s="433"/>
      <c r="S180" s="433"/>
      <c r="T180" s="433"/>
      <c r="U180" s="433"/>
      <c r="V180" s="132">
        <f t="shared" si="80"/>
        <v>0</v>
      </c>
      <c r="W180" s="133" t="str">
        <f t="shared" si="81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/>
      <c r="G181" s="128"/>
      <c r="H181" s="425">
        <f t="shared" si="78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19</v>
      </c>
      <c r="M181" s="109">
        <f t="shared" si="79"/>
        <v>0</v>
      </c>
      <c r="N181" s="130">
        <f t="shared" si="82"/>
        <v>0</v>
      </c>
      <c r="O181" s="433"/>
      <c r="P181" s="433"/>
      <c r="Q181" s="433"/>
      <c r="R181" s="433"/>
      <c r="S181" s="433"/>
      <c r="T181" s="433"/>
      <c r="U181" s="433"/>
      <c r="V181" s="132">
        <f t="shared" si="80"/>
        <v>0</v>
      </c>
      <c r="W181" s="133" t="str">
        <f t="shared" si="81"/>
        <v/>
      </c>
      <c r="X181" s="132"/>
      <c r="Y181" s="132"/>
      <c r="Z181" s="132"/>
      <c r="AA181" s="132"/>
    </row>
    <row r="182" spans="1:27" ht="20.100000000000001" hidden="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/>
      <c r="G182" s="128"/>
      <c r="H182" s="425">
        <f t="shared" si="78"/>
        <v>0</v>
      </c>
      <c r="I182" s="129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20</v>
      </c>
      <c r="M182" s="109">
        <f t="shared" si="79"/>
        <v>0</v>
      </c>
      <c r="N182" s="130">
        <f t="shared" si="82"/>
        <v>0</v>
      </c>
      <c r="O182" s="433"/>
      <c r="P182" s="433"/>
      <c r="Q182" s="433"/>
      <c r="R182" s="433"/>
      <c r="S182" s="433"/>
      <c r="T182" s="433"/>
      <c r="U182" s="433"/>
      <c r="V182" s="132">
        <f t="shared" si="80"/>
        <v>0</v>
      </c>
      <c r="W182" s="133" t="str">
        <f t="shared" si="81"/>
        <v/>
      </c>
      <c r="X182" s="132"/>
      <c r="Y182" s="132"/>
      <c r="Z182" s="132"/>
      <c r="AA182" s="132"/>
    </row>
    <row r="183" spans="1:27" ht="20.10000000000000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39">
        <v>42739</v>
      </c>
      <c r="G183" s="128">
        <f>100*2+83</f>
        <v>283</v>
      </c>
      <c r="H183" s="425">
        <f t="shared" si="78"/>
        <v>1426.32</v>
      </c>
      <c r="I183" s="436">
        <f>5.5*3</f>
        <v>16.5</v>
      </c>
      <c r="J183" s="130">
        <f t="array" ref="J183">IF(ISERROR(G183/I183),"",G183/I183)</f>
        <v>17.151515151515152</v>
      </c>
      <c r="K183" s="131">
        <f t="array" ref="K183">IF(ISERROR(G183/L183),"",G183/L183)</f>
        <v>14.894736842105264</v>
      </c>
      <c r="L183" s="129">
        <v>19</v>
      </c>
      <c r="M183" s="109">
        <f t="shared" si="79"/>
        <v>1.6052631578947363</v>
      </c>
      <c r="N183" s="130">
        <f t="shared" si="82"/>
        <v>0</v>
      </c>
      <c r="O183" s="433"/>
      <c r="P183" s="433"/>
      <c r="Q183" s="433"/>
      <c r="R183" s="433"/>
      <c r="S183" s="433"/>
      <c r="T183" s="433"/>
      <c r="U183" s="433"/>
      <c r="V183" s="132">
        <f t="shared" si="80"/>
        <v>0</v>
      </c>
      <c r="W183" s="133">
        <f t="shared" si="81"/>
        <v>0</v>
      </c>
      <c r="X183" s="132"/>
      <c r="Y183" s="132"/>
      <c r="Z183" s="132"/>
      <c r="AA183" s="132"/>
    </row>
    <row r="184" spans="1:27" ht="20.100000000000001" hidden="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/>
      <c r="G184" s="128"/>
      <c r="H184" s="425">
        <f t="shared" si="78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9"/>
        <v>0</v>
      </c>
      <c r="N184" s="130">
        <f t="shared" si="82"/>
        <v>0</v>
      </c>
      <c r="O184" s="433"/>
      <c r="P184" s="433"/>
      <c r="Q184" s="433"/>
      <c r="R184" s="433"/>
      <c r="S184" s="433"/>
      <c r="T184" s="433"/>
      <c r="U184" s="433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28"/>
      <c r="H185" s="425">
        <f t="shared" si="78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79"/>
        <v>0</v>
      </c>
      <c r="N185" s="130">
        <f t="shared" si="82"/>
        <v>0</v>
      </c>
      <c r="O185" s="433"/>
      <c r="P185" s="433"/>
      <c r="Q185" s="433"/>
      <c r="R185" s="433"/>
      <c r="S185" s="433"/>
      <c r="T185" s="433"/>
      <c r="U185" s="433"/>
      <c r="V185" s="132"/>
      <c r="W185" s="133"/>
      <c r="X185" s="132"/>
      <c r="Y185" s="132"/>
      <c r="Z185" s="132"/>
      <c r="AA185" s="132"/>
    </row>
    <row r="186" spans="1:27" ht="20.10000000000000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>
        <v>42739</v>
      </c>
      <c r="G186" s="128">
        <f>100*7+61</f>
        <v>761</v>
      </c>
      <c r="H186" s="425">
        <f t="shared" si="78"/>
        <v>3835.44</v>
      </c>
      <c r="I186" s="425">
        <f>11.5*5</f>
        <v>57.5</v>
      </c>
      <c r="J186" s="130">
        <f t="array" ref="J186">IF(ISERROR(G186/I186),"",G186/I186)</f>
        <v>13.234782608695653</v>
      </c>
      <c r="K186" s="131">
        <f t="array" ref="K186">IF(ISERROR(G186/L186),"",G186/L186)</f>
        <v>44.764705882352942</v>
      </c>
      <c r="L186" s="129">
        <v>17</v>
      </c>
      <c r="M186" s="109">
        <f t="shared" si="79"/>
        <v>12.735294117647058</v>
      </c>
      <c r="N186" s="130">
        <f t="shared" si="82"/>
        <v>0</v>
      </c>
      <c r="O186" s="433"/>
      <c r="P186" s="433"/>
      <c r="Q186" s="433"/>
      <c r="R186" s="433"/>
      <c r="S186" s="433"/>
      <c r="T186" s="433"/>
      <c r="U186" s="433"/>
      <c r="V186" s="132">
        <f>SUM(X186:AA186)</f>
        <v>0</v>
      </c>
      <c r="W186" s="133">
        <f>IF(ISERROR(V186/G186),"",V186/G186)</f>
        <v>0</v>
      </c>
      <c r="X186" s="132"/>
      <c r="Y186" s="132"/>
      <c r="Z186" s="132"/>
      <c r="AA186" s="132"/>
    </row>
    <row r="187" spans="1:27" ht="20.100000000000001" hidden="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/>
      <c r="G187" s="128"/>
      <c r="H187" s="425">
        <f t="shared" si="78"/>
        <v>0</v>
      </c>
      <c r="I187" s="425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 t="shared" si="79"/>
        <v>0</v>
      </c>
      <c r="N187" s="130">
        <f t="shared" si="82"/>
        <v>0</v>
      </c>
      <c r="O187" s="433"/>
      <c r="P187" s="433"/>
      <c r="Q187" s="433"/>
      <c r="R187" s="433"/>
      <c r="S187" s="433"/>
      <c r="T187" s="433"/>
      <c r="U187" s="433"/>
      <c r="V187" s="132">
        <f>SUM(X187:AA187)</f>
        <v>0</v>
      </c>
      <c r="W187" s="133" t="str">
        <f>IF(ISERROR(V187/G187),"",V187/G187)</f>
        <v/>
      </c>
      <c r="X187" s="132"/>
      <c r="Y187" s="132"/>
      <c r="Z187" s="132"/>
      <c r="AA187" s="132"/>
    </row>
    <row r="188" spans="1:27" ht="20.100000000000001" hidden="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28"/>
      <c r="H188" s="425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433"/>
      <c r="P188" s="433"/>
      <c r="Q188" s="433"/>
      <c r="R188" s="433"/>
      <c r="S188" s="433"/>
      <c r="T188" s="433"/>
      <c r="U188" s="433"/>
      <c r="V188" s="132"/>
      <c r="W188" s="133"/>
      <c r="X188" s="132"/>
      <c r="Y188" s="132"/>
      <c r="Z188" s="132"/>
      <c r="AA188" s="132"/>
    </row>
    <row r="189" spans="1:27" ht="19.5" hidden="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28"/>
      <c r="H189" s="425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433"/>
      <c r="P189" s="433"/>
      <c r="Q189" s="433"/>
      <c r="R189" s="433"/>
      <c r="S189" s="433"/>
      <c r="T189" s="433"/>
      <c r="U189" s="433"/>
      <c r="V189" s="132"/>
      <c r="W189" s="133"/>
      <c r="X189" s="132"/>
      <c r="Y189" s="132"/>
      <c r="Z189" s="132"/>
      <c r="AA189" s="132"/>
    </row>
    <row r="190" spans="1:27" ht="19.5" hidden="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E190" s="108"/>
      <c r="F190" s="127"/>
      <c r="G190" s="128"/>
      <c r="H190" s="425">
        <f t="shared" ref="H190:H198" si="83">D190*G190</f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19</v>
      </c>
      <c r="M190" s="109">
        <f t="shared" ref="M190:M198" si="84">IF(ISERROR(I190-K190),"",I190-K190)</f>
        <v>0</v>
      </c>
      <c r="N190" s="130">
        <f t="shared" ref="N190:N192" si="85">SUM(O190:U190)</f>
        <v>0</v>
      </c>
      <c r="O190" s="433"/>
      <c r="P190" s="433"/>
      <c r="Q190" s="433"/>
      <c r="R190" s="433"/>
      <c r="S190" s="433"/>
      <c r="T190" s="433"/>
      <c r="U190" s="433"/>
      <c r="V190" s="132">
        <f t="shared" ref="V190:V192" si="86">SUM(X190:AA190)</f>
        <v>0</v>
      </c>
      <c r="W190" s="133" t="str">
        <f t="shared" ref="W190:W192" si="87">IF(ISERROR(V190/G190),"",V190/G190)</f>
        <v/>
      </c>
      <c r="X190" s="132"/>
      <c r="Y190" s="132"/>
      <c r="Z190" s="132"/>
      <c r="AA190" s="132"/>
    </row>
    <row r="191" spans="1:27" ht="19.5" hidden="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27"/>
      <c r="G191" s="128"/>
      <c r="H191" s="425">
        <f t="shared" si="83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4"/>
        <v>0</v>
      </c>
      <c r="N191" s="130">
        <f t="shared" si="85"/>
        <v>0</v>
      </c>
      <c r="O191" s="433"/>
      <c r="P191" s="433"/>
      <c r="Q191" s="433"/>
      <c r="R191" s="433"/>
      <c r="S191" s="433"/>
      <c r="T191" s="433"/>
      <c r="U191" s="433"/>
      <c r="V191" s="132">
        <f t="shared" si="86"/>
        <v>0</v>
      </c>
      <c r="W191" s="133" t="str">
        <f t="shared" si="87"/>
        <v/>
      </c>
      <c r="X191" s="132"/>
      <c r="Y191" s="132"/>
      <c r="Z191" s="132"/>
      <c r="AA191" s="132"/>
    </row>
    <row r="192" spans="1:27" ht="19.5" hidden="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/>
      <c r="G192" s="128"/>
      <c r="H192" s="425">
        <f t="shared" si="83"/>
        <v>0</v>
      </c>
      <c r="I192" s="129"/>
      <c r="J192" s="130" t="str">
        <f t="array" ref="J192">IF(ISERROR(G192/I192),"",G192/I192)</f>
        <v/>
      </c>
      <c r="K192" s="131">
        <f t="array" ref="K192">IF(ISERROR(G192/L192),"",G192/L192)</f>
        <v>0</v>
      </c>
      <c r="L192" s="129">
        <v>23</v>
      </c>
      <c r="M192" s="109">
        <f t="shared" si="84"/>
        <v>0</v>
      </c>
      <c r="N192" s="130">
        <f t="shared" si="85"/>
        <v>0</v>
      </c>
      <c r="O192" s="433"/>
      <c r="P192" s="433"/>
      <c r="Q192" s="433"/>
      <c r="R192" s="433"/>
      <c r="S192" s="433"/>
      <c r="T192" s="433"/>
      <c r="U192" s="433"/>
      <c r="V192" s="132">
        <f t="shared" si="86"/>
        <v>0</v>
      </c>
      <c r="W192" s="133" t="str">
        <f t="shared" si="87"/>
        <v/>
      </c>
      <c r="X192" s="132"/>
      <c r="Y192" s="132"/>
      <c r="Z192" s="132"/>
      <c r="AA192" s="132"/>
    </row>
    <row r="193" spans="1:27" ht="19.5" hidden="1" customHeight="1">
      <c r="A193" s="300">
        <v>30100003</v>
      </c>
      <c r="B193" s="141" t="s">
        <v>198</v>
      </c>
      <c r="C193" s="431" t="s">
        <v>190</v>
      </c>
      <c r="D193" s="108">
        <v>4.8</v>
      </c>
      <c r="E193" s="108"/>
      <c r="F193" s="127"/>
      <c r="G193" s="128"/>
      <c r="H193" s="425">
        <f t="shared" si="83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4"/>
        <v>0</v>
      </c>
      <c r="N193" s="130"/>
      <c r="O193" s="433"/>
      <c r="P193" s="433"/>
      <c r="Q193" s="433"/>
      <c r="R193" s="433"/>
      <c r="S193" s="433"/>
      <c r="T193" s="433"/>
      <c r="U193" s="433"/>
      <c r="V193" s="132"/>
      <c r="W193" s="133"/>
      <c r="X193" s="132"/>
      <c r="Y193" s="132"/>
      <c r="Z193" s="132"/>
      <c r="AA193" s="132"/>
    </row>
    <row r="194" spans="1:27" ht="19.5" hidden="1" customHeight="1">
      <c r="A194" s="300">
        <v>30100004</v>
      </c>
      <c r="B194" s="141" t="s">
        <v>198</v>
      </c>
      <c r="C194" s="431" t="s">
        <v>187</v>
      </c>
      <c r="D194" s="108">
        <v>4.8</v>
      </c>
      <c r="E194" s="108"/>
      <c r="F194" s="127"/>
      <c r="G194" s="128"/>
      <c r="H194" s="425">
        <f t="shared" si="83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4"/>
        <v>0</v>
      </c>
      <c r="N194" s="130"/>
      <c r="O194" s="433"/>
      <c r="P194" s="433"/>
      <c r="Q194" s="433"/>
      <c r="R194" s="433"/>
      <c r="S194" s="433"/>
      <c r="T194" s="433"/>
      <c r="U194" s="433"/>
      <c r="V194" s="132"/>
      <c r="W194" s="133"/>
      <c r="X194" s="132"/>
      <c r="Y194" s="132"/>
      <c r="Z194" s="132"/>
      <c r="AA194" s="132"/>
    </row>
    <row r="195" spans="1:27" ht="19.5" hidden="1" customHeight="1">
      <c r="A195" s="300">
        <v>30100006</v>
      </c>
      <c r="B195" s="141" t="s">
        <v>198</v>
      </c>
      <c r="C195" s="431" t="s">
        <v>179</v>
      </c>
      <c r="D195" s="108">
        <v>4.8</v>
      </c>
      <c r="E195" s="108"/>
      <c r="F195" s="127"/>
      <c r="G195" s="128"/>
      <c r="H195" s="425">
        <f t="shared" si="83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4"/>
        <v>0</v>
      </c>
      <c r="N195" s="130"/>
      <c r="O195" s="433"/>
      <c r="P195" s="433"/>
      <c r="Q195" s="433"/>
      <c r="R195" s="433"/>
      <c r="S195" s="433"/>
      <c r="T195" s="433"/>
      <c r="U195" s="433"/>
      <c r="V195" s="132"/>
      <c r="W195" s="133"/>
      <c r="X195" s="132"/>
      <c r="Y195" s="132"/>
      <c r="Z195" s="132"/>
      <c r="AA195" s="132"/>
    </row>
    <row r="196" spans="1:27" ht="19.5" hidden="1" customHeight="1">
      <c r="A196" s="300">
        <v>30100005</v>
      </c>
      <c r="B196" s="141" t="s">
        <v>198</v>
      </c>
      <c r="C196" s="431" t="s">
        <v>199</v>
      </c>
      <c r="D196" s="108">
        <v>4.8</v>
      </c>
      <c r="E196" s="108"/>
      <c r="F196" s="127"/>
      <c r="G196" s="128"/>
      <c r="H196" s="425">
        <f t="shared" si="83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4"/>
        <v>0</v>
      </c>
      <c r="N196" s="130"/>
      <c r="O196" s="433"/>
      <c r="P196" s="433"/>
      <c r="Q196" s="433"/>
      <c r="R196" s="433"/>
      <c r="S196" s="433"/>
      <c r="T196" s="433"/>
      <c r="U196" s="433"/>
      <c r="V196" s="132"/>
      <c r="W196" s="133"/>
      <c r="X196" s="132"/>
      <c r="Y196" s="132"/>
      <c r="Z196" s="132"/>
      <c r="AA196" s="132"/>
    </row>
    <row r="197" spans="1:27" ht="20.100000000000001" hidden="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/>
      <c r="G197" s="128"/>
      <c r="H197" s="425">
        <f t="shared" si="83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4"/>
        <v>0</v>
      </c>
      <c r="N197" s="130">
        <f t="shared" ref="N197:N198" si="88">SUM(O197:U197)</f>
        <v>0</v>
      </c>
      <c r="O197" s="433"/>
      <c r="P197" s="433"/>
      <c r="Q197" s="433"/>
      <c r="R197" s="433"/>
      <c r="S197" s="433"/>
      <c r="T197" s="433"/>
      <c r="U197" s="433"/>
      <c r="V197" s="132">
        <f t="shared" ref="V197:V198" si="89">SUM(X197:AA197)</f>
        <v>0</v>
      </c>
      <c r="W197" s="133" t="str">
        <f t="shared" ref="W197:W198" si="90">IF(ISERROR(V197/G197),"",V197/G197)</f>
        <v/>
      </c>
      <c r="X197" s="132"/>
      <c r="Y197" s="132"/>
      <c r="Z197" s="132"/>
      <c r="AA197" s="132"/>
    </row>
    <row r="198" spans="1:27" ht="20.10000000000000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39">
        <v>42738</v>
      </c>
      <c r="G198" s="128">
        <f>14+86</f>
        <v>100</v>
      </c>
      <c r="H198" s="425">
        <f t="shared" si="83"/>
        <v>499</v>
      </c>
      <c r="I198" s="129">
        <v>5</v>
      </c>
      <c r="J198" s="130">
        <f t="array" ref="J198">IF(ISERROR(G198/I198),"",G198/I198)</f>
        <v>20</v>
      </c>
      <c r="K198" s="131">
        <f t="array" ref="K198">IF(ISERROR(G198/L198),"",G198/L198)</f>
        <v>4.2553191489361701</v>
      </c>
      <c r="L198" s="129">
        <v>23.5</v>
      </c>
      <c r="M198" s="109">
        <f t="shared" si="84"/>
        <v>0.74468085106382986</v>
      </c>
      <c r="N198" s="130">
        <f t="shared" si="88"/>
        <v>0</v>
      </c>
      <c r="O198" s="433"/>
      <c r="P198" s="433"/>
      <c r="Q198" s="433"/>
      <c r="R198" s="433"/>
      <c r="S198" s="433"/>
      <c r="T198" s="433"/>
      <c r="U198" s="433"/>
      <c r="V198" s="132">
        <f t="shared" si="89"/>
        <v>0</v>
      </c>
      <c r="W198" s="133">
        <f t="shared" si="90"/>
        <v>0</v>
      </c>
      <c r="X198" s="132"/>
      <c r="Y198" s="132"/>
      <c r="Z198" s="132"/>
      <c r="AA198" s="132"/>
    </row>
    <row r="199" spans="1:27" ht="20.100000000000001" customHeight="1">
      <c r="A199" s="578" t="s">
        <v>201</v>
      </c>
      <c r="B199" s="579"/>
      <c r="C199" s="434" t="s">
        <v>202</v>
      </c>
      <c r="D199" s="143"/>
      <c r="E199" s="143"/>
      <c r="F199" s="144"/>
      <c r="G199" s="145">
        <f>SUM(G178:G198)</f>
        <v>1144</v>
      </c>
      <c r="H199" s="146">
        <f>SUM(H178:H198)</f>
        <v>5760.76</v>
      </c>
      <c r="I199" s="146">
        <f>SUM(I178:I198)</f>
        <v>79</v>
      </c>
      <c r="J199" s="130">
        <f t="array" ref="J199">IF(ISERROR(G199/I199),"",G199/I199)</f>
        <v>14.481012658227849</v>
      </c>
      <c r="K199" s="146">
        <f>SUM(K178:K198)</f>
        <v>63.914761873394369</v>
      </c>
      <c r="L199" s="147"/>
      <c r="M199" s="150">
        <f t="shared" ref="M199:AA199" si="91">SUM(M178:M198)</f>
        <v>15.085238126605624</v>
      </c>
      <c r="N199" s="146">
        <f t="shared" si="91"/>
        <v>0</v>
      </c>
      <c r="O199" s="148">
        <f t="shared" si="91"/>
        <v>0</v>
      </c>
      <c r="P199" s="148">
        <f t="shared" si="91"/>
        <v>0</v>
      </c>
      <c r="Q199" s="148">
        <f t="shared" si="91"/>
        <v>0</v>
      </c>
      <c r="R199" s="148">
        <f t="shared" si="91"/>
        <v>0</v>
      </c>
      <c r="S199" s="148">
        <f t="shared" si="91"/>
        <v>0</v>
      </c>
      <c r="T199" s="148">
        <f t="shared" si="91"/>
        <v>0</v>
      </c>
      <c r="U199" s="148">
        <f t="shared" si="91"/>
        <v>0</v>
      </c>
      <c r="V199" s="149">
        <f t="shared" si="91"/>
        <v>0</v>
      </c>
      <c r="W199" s="133">
        <f t="shared" si="91"/>
        <v>0</v>
      </c>
      <c r="X199" s="149">
        <f t="shared" si="91"/>
        <v>0</v>
      </c>
      <c r="Y199" s="149">
        <f t="shared" si="91"/>
        <v>0</v>
      </c>
      <c r="Z199" s="149">
        <f t="shared" si="91"/>
        <v>0</v>
      </c>
      <c r="AA199" s="149">
        <f t="shared" si="91"/>
        <v>0</v>
      </c>
    </row>
    <row r="200" spans="1:27" ht="20.100000000000001" customHeight="1">
      <c r="A200" s="300">
        <v>30100012</v>
      </c>
      <c r="B200" s="424" t="s">
        <v>206</v>
      </c>
      <c r="C200" s="126" t="s">
        <v>199</v>
      </c>
      <c r="D200" s="108">
        <v>5.03</v>
      </c>
      <c r="E200" s="108"/>
      <c r="F200" s="127">
        <v>42739</v>
      </c>
      <c r="G200" s="128">
        <f>108*3+90</f>
        <v>414</v>
      </c>
      <c r="H200" s="425">
        <f t="shared" ref="H200:H256" si="92">D200*G200</f>
        <v>2082.42</v>
      </c>
      <c r="I200" s="129">
        <f>5*2</f>
        <v>10</v>
      </c>
      <c r="J200" s="130">
        <f t="array" ref="J200">IF(ISERROR(G200/I200),"",G200/I200)</f>
        <v>41.4</v>
      </c>
      <c r="K200" s="131">
        <f t="array" ref="K200">IF(ISERROR(G200/L200),"",G200/L200)</f>
        <v>7.9615384615384617</v>
      </c>
      <c r="L200" s="129">
        <v>52</v>
      </c>
      <c r="M200" s="109">
        <f t="shared" ref="M200" si="93">IF(ISERROR(I200-K200),"",I200-K200)</f>
        <v>2.0384615384615383</v>
      </c>
      <c r="N200" s="130">
        <f t="shared" ref="N200" si="94">SUM(O200:U200)</f>
        <v>0</v>
      </c>
      <c r="O200" s="429"/>
      <c r="P200" s="429"/>
      <c r="Q200" s="429"/>
      <c r="R200" s="429"/>
      <c r="S200" s="429"/>
      <c r="T200" s="429"/>
      <c r="U200" s="429"/>
      <c r="V200" s="132">
        <f t="shared" ref="V200" si="95">SUM(X200:AA200)</f>
        <v>0</v>
      </c>
      <c r="W200" s="133">
        <f t="shared" ref="W200" si="96">IF(ISERROR(V200/G200),"",V200/G200)</f>
        <v>0</v>
      </c>
      <c r="X200" s="132"/>
      <c r="Y200" s="132"/>
      <c r="Z200" s="132"/>
      <c r="AA200" s="132"/>
    </row>
    <row r="201" spans="1:27" ht="20.100000000000001" hidden="1" customHeight="1">
      <c r="A201" s="300">
        <v>30100011</v>
      </c>
      <c r="B201" s="424" t="s">
        <v>425</v>
      </c>
      <c r="C201" s="187" t="s">
        <v>427</v>
      </c>
      <c r="D201" s="108">
        <v>5.03</v>
      </c>
      <c r="E201" s="108"/>
      <c r="F201" s="127"/>
      <c r="G201" s="128"/>
      <c r="H201" s="425">
        <f t="shared" si="92"/>
        <v>0</v>
      </c>
      <c r="I201" s="129"/>
      <c r="J201" s="130"/>
      <c r="K201" s="131"/>
      <c r="L201" s="129">
        <v>52</v>
      </c>
      <c r="M201" s="109"/>
      <c r="N201" s="130"/>
      <c r="O201" s="429"/>
      <c r="P201" s="429"/>
      <c r="Q201" s="429"/>
      <c r="R201" s="429"/>
      <c r="S201" s="429"/>
      <c r="T201" s="429"/>
      <c r="U201" s="429"/>
      <c r="V201" s="132"/>
      <c r="W201" s="133"/>
      <c r="X201" s="132"/>
      <c r="Y201" s="132"/>
      <c r="Z201" s="132"/>
      <c r="AA201" s="132"/>
    </row>
    <row r="202" spans="1:27" ht="20.100000000000001" hidden="1" customHeight="1">
      <c r="A202" s="300">
        <v>30100010</v>
      </c>
      <c r="B202" s="424" t="s">
        <v>206</v>
      </c>
      <c r="C202" s="126" t="s">
        <v>186</v>
      </c>
      <c r="D202" s="108">
        <v>5.03</v>
      </c>
      <c r="E202" s="108"/>
      <c r="F202" s="127"/>
      <c r="G202" s="128"/>
      <c r="H202" s="425">
        <f t="shared" si="92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 t="shared" ref="M202" si="97">IF(ISERROR(I202-K202),"",I202-K202)</f>
        <v>0</v>
      </c>
      <c r="N202" s="130">
        <f t="shared" ref="N202:N204" si="98">SUM(O202:U202)</f>
        <v>0</v>
      </c>
      <c r="O202" s="429"/>
      <c r="P202" s="429"/>
      <c r="Q202" s="429"/>
      <c r="R202" s="429"/>
      <c r="S202" s="429"/>
      <c r="T202" s="429"/>
      <c r="U202" s="429"/>
      <c r="V202" s="132">
        <f t="shared" ref="V202:V204" si="99">SUM(X202:AA202)</f>
        <v>0</v>
      </c>
      <c r="W202" s="133" t="str">
        <f t="shared" ref="W202:W204" si="100">IF(ISERROR(V202/G202),"",V202/G202)</f>
        <v/>
      </c>
      <c r="X202" s="132"/>
      <c r="Y202" s="132"/>
      <c r="Z202" s="132"/>
      <c r="AA202" s="132"/>
    </row>
    <row r="203" spans="1:27" ht="20.100000000000001" customHeight="1">
      <c r="A203" s="300">
        <v>30100014</v>
      </c>
      <c r="B203" s="424" t="s">
        <v>206</v>
      </c>
      <c r="C203" s="126" t="s">
        <v>203</v>
      </c>
      <c r="D203" s="108">
        <v>5.03</v>
      </c>
      <c r="E203" s="108"/>
      <c r="F203" s="127">
        <v>42739</v>
      </c>
      <c r="G203" s="128">
        <f>108*9+34+108+1</f>
        <v>1115</v>
      </c>
      <c r="H203" s="425">
        <f t="shared" si="92"/>
        <v>5608.4500000000007</v>
      </c>
      <c r="I203" s="129">
        <f>6.5*2</f>
        <v>13</v>
      </c>
      <c r="J203" s="130">
        <f t="array" ref="J203">IF(ISERROR(G203/I203),"",G203/I203)</f>
        <v>85.769230769230774</v>
      </c>
      <c r="K203" s="131">
        <f t="array" ref="K203">IF(ISERROR(G203/L203),"",G203/L203)</f>
        <v>21.442307692307693</v>
      </c>
      <c r="L203" s="129">
        <v>52</v>
      </c>
      <c r="M203" s="109">
        <f>IF(ISERROR(I203-K203),"",I203-K203)</f>
        <v>-8.4423076923076934</v>
      </c>
      <c r="N203" s="130">
        <f t="shared" si="98"/>
        <v>0</v>
      </c>
      <c r="O203" s="429"/>
      <c r="P203" s="429"/>
      <c r="Q203" s="429"/>
      <c r="R203" s="429"/>
      <c r="S203" s="429"/>
      <c r="T203" s="429"/>
      <c r="U203" s="429"/>
      <c r="V203" s="132">
        <f t="shared" si="99"/>
        <v>0</v>
      </c>
      <c r="W203" s="133">
        <f t="shared" si="100"/>
        <v>0</v>
      </c>
      <c r="X203" s="132"/>
      <c r="Y203" s="132"/>
      <c r="Z203" s="132"/>
      <c r="AA203" s="132"/>
    </row>
    <row r="204" spans="1:27" ht="20.100000000000001" hidden="1" customHeight="1">
      <c r="A204" s="300">
        <v>30100013</v>
      </c>
      <c r="B204" s="424" t="s">
        <v>206</v>
      </c>
      <c r="C204" s="126" t="s">
        <v>207</v>
      </c>
      <c r="D204" s="108">
        <v>5.03</v>
      </c>
      <c r="E204" s="108"/>
      <c r="F204" s="127"/>
      <c r="G204" s="128"/>
      <c r="H204" s="425">
        <f t="shared" si="92"/>
        <v>0</v>
      </c>
      <c r="I204" s="129"/>
      <c r="J204" s="130" t="str">
        <f t="array" ref="J204">IF(ISERROR(G204/I204),"",G204/I204)</f>
        <v/>
      </c>
      <c r="K204" s="131">
        <f t="array" ref="K204">IF(ISERROR(G204/L204),"",G204/L204)</f>
        <v>0</v>
      </c>
      <c r="L204" s="129">
        <v>52</v>
      </c>
      <c r="M204" s="109">
        <f t="shared" ref="M204" si="101">IF(ISERROR(I204-K204),"",I204-K204)</f>
        <v>0</v>
      </c>
      <c r="N204" s="130">
        <f t="shared" si="98"/>
        <v>0</v>
      </c>
      <c r="O204" s="429"/>
      <c r="P204" s="429"/>
      <c r="Q204" s="429"/>
      <c r="R204" s="429"/>
      <c r="S204" s="429"/>
      <c r="T204" s="429"/>
      <c r="U204" s="429"/>
      <c r="V204" s="132">
        <f t="shared" si="99"/>
        <v>0</v>
      </c>
      <c r="W204" s="133" t="str">
        <f t="shared" si="100"/>
        <v/>
      </c>
      <c r="X204" s="132"/>
      <c r="Y204" s="132"/>
      <c r="Z204" s="132"/>
      <c r="AA204" s="132"/>
    </row>
    <row r="205" spans="1:27" ht="20.100000000000001" hidden="1" customHeight="1">
      <c r="A205" s="300">
        <v>30100016</v>
      </c>
      <c r="B205" s="424" t="s">
        <v>414</v>
      </c>
      <c r="C205" s="187" t="s">
        <v>415</v>
      </c>
      <c r="D205" s="108">
        <v>5.03</v>
      </c>
      <c r="E205" s="108"/>
      <c r="F205" s="127"/>
      <c r="G205" s="128"/>
      <c r="H205" s="425">
        <f t="shared" si="92"/>
        <v>0</v>
      </c>
      <c r="I205" s="129"/>
      <c r="J205" s="130"/>
      <c r="K205" s="131"/>
      <c r="L205" s="129">
        <v>52</v>
      </c>
      <c r="M205" s="109"/>
      <c r="N205" s="130"/>
      <c r="O205" s="429"/>
      <c r="P205" s="429"/>
      <c r="Q205" s="429"/>
      <c r="R205" s="429"/>
      <c r="S205" s="429"/>
      <c r="T205" s="429"/>
      <c r="U205" s="429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30100017</v>
      </c>
      <c r="B206" s="424" t="s">
        <v>414</v>
      </c>
      <c r="C206" s="187" t="s">
        <v>416</v>
      </c>
      <c r="D206" s="108">
        <v>5.03</v>
      </c>
      <c r="E206" s="108"/>
      <c r="F206" s="127"/>
      <c r="G206" s="128"/>
      <c r="H206" s="425">
        <f t="shared" si="92"/>
        <v>0</v>
      </c>
      <c r="I206" s="129"/>
      <c r="J206" s="130"/>
      <c r="K206" s="131"/>
      <c r="L206" s="129">
        <v>52</v>
      </c>
      <c r="M206" s="109"/>
      <c r="N206" s="130"/>
      <c r="O206" s="429"/>
      <c r="P206" s="429"/>
      <c r="Q206" s="429"/>
      <c r="R206" s="429"/>
      <c r="S206" s="429"/>
      <c r="T206" s="429"/>
      <c r="U206" s="429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30100015</v>
      </c>
      <c r="B207" s="424" t="s">
        <v>414</v>
      </c>
      <c r="C207" s="187" t="s">
        <v>61</v>
      </c>
      <c r="D207" s="108">
        <v>5.03</v>
      </c>
      <c r="E207" s="108"/>
      <c r="F207" s="127"/>
      <c r="G207" s="128"/>
      <c r="H207" s="425">
        <f t="shared" si="92"/>
        <v>0</v>
      </c>
      <c r="I207" s="129"/>
      <c r="J207" s="130"/>
      <c r="K207" s="131"/>
      <c r="L207" s="129">
        <v>52</v>
      </c>
      <c r="M207" s="109"/>
      <c r="N207" s="130"/>
      <c r="O207" s="429"/>
      <c r="P207" s="429"/>
      <c r="Q207" s="429"/>
      <c r="R207" s="429"/>
      <c r="S207" s="429"/>
      <c r="T207" s="429"/>
      <c r="U207" s="429"/>
      <c r="V207" s="132"/>
      <c r="W207" s="133"/>
      <c r="X207" s="132"/>
      <c r="Y207" s="132"/>
      <c r="Z207" s="132"/>
      <c r="AA207" s="132"/>
    </row>
    <row r="208" spans="1:27" ht="20.100000000000001" hidden="1" customHeight="1">
      <c r="A208" s="300">
        <v>30100027</v>
      </c>
      <c r="B208" s="424" t="s">
        <v>208</v>
      </c>
      <c r="C208" s="126" t="s">
        <v>179</v>
      </c>
      <c r="D208" s="108">
        <v>5.08</v>
      </c>
      <c r="E208" s="108"/>
      <c r="F208" s="127"/>
      <c r="G208" s="128"/>
      <c r="H208" s="425">
        <f t="shared" si="92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ref="M208:M237" si="102">IF(ISERROR(I208-K208),"",I208-K208)</f>
        <v>0</v>
      </c>
      <c r="N208" s="130">
        <f t="shared" ref="N208:N237" si="103">SUM(O208:U208)</f>
        <v>0</v>
      </c>
      <c r="O208" s="429"/>
      <c r="P208" s="429"/>
      <c r="Q208" s="429"/>
      <c r="R208" s="429"/>
      <c r="S208" s="429"/>
      <c r="T208" s="429"/>
      <c r="U208" s="429"/>
      <c r="V208" s="132">
        <f t="shared" ref="V208:V219" si="104">SUM(X208:AA208)</f>
        <v>0</v>
      </c>
      <c r="W208" s="133" t="str">
        <f t="shared" ref="W208:W219" si="105">IF(ISERROR(V208/G208),"",V208/G208)</f>
        <v/>
      </c>
      <c r="X208" s="132"/>
      <c r="Y208" s="132"/>
      <c r="Z208" s="132"/>
      <c r="AA208" s="132"/>
    </row>
    <row r="209" spans="1:27" ht="20.100000000000001" hidden="1" customHeight="1">
      <c r="A209" s="300">
        <v>30100023</v>
      </c>
      <c r="B209" s="424" t="s">
        <v>208</v>
      </c>
      <c r="C209" s="126" t="s">
        <v>204</v>
      </c>
      <c r="D209" s="108">
        <v>5.08</v>
      </c>
      <c r="E209" s="108"/>
      <c r="F209" s="127"/>
      <c r="G209" s="128"/>
      <c r="H209" s="425">
        <f t="shared" si="92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2"/>
        <v>0</v>
      </c>
      <c r="N209" s="130">
        <f t="shared" si="103"/>
        <v>0</v>
      </c>
      <c r="O209" s="429"/>
      <c r="P209" s="429"/>
      <c r="Q209" s="429"/>
      <c r="R209" s="429"/>
      <c r="S209" s="429"/>
      <c r="T209" s="429"/>
      <c r="U209" s="429"/>
      <c r="V209" s="132">
        <f t="shared" si="104"/>
        <v>0</v>
      </c>
      <c r="W209" s="133" t="str">
        <f t="shared" si="105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30100024</v>
      </c>
      <c r="B210" s="424" t="s">
        <v>208</v>
      </c>
      <c r="C210" s="126" t="s">
        <v>205</v>
      </c>
      <c r="D210" s="108">
        <v>5.08</v>
      </c>
      <c r="E210" s="108"/>
      <c r="F210" s="127"/>
      <c r="G210" s="128"/>
      <c r="H210" s="425">
        <f t="shared" si="92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2"/>
        <v>0</v>
      </c>
      <c r="N210" s="130">
        <f t="shared" si="103"/>
        <v>0</v>
      </c>
      <c r="O210" s="429"/>
      <c r="P210" s="429"/>
      <c r="Q210" s="429"/>
      <c r="R210" s="429"/>
      <c r="S210" s="429"/>
      <c r="T210" s="429"/>
      <c r="U210" s="429"/>
      <c r="V210" s="132">
        <f t="shared" si="104"/>
        <v>0</v>
      </c>
      <c r="W210" s="133" t="str">
        <f t="shared" si="105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30100022</v>
      </c>
      <c r="B211" s="424" t="s">
        <v>208</v>
      </c>
      <c r="C211" s="126" t="s">
        <v>186</v>
      </c>
      <c r="D211" s="108">
        <v>5.08</v>
      </c>
      <c r="E211" s="108"/>
      <c r="F211" s="127"/>
      <c r="G211" s="128"/>
      <c r="H211" s="425">
        <f t="shared" si="92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2"/>
        <v>0</v>
      </c>
      <c r="N211" s="130">
        <f t="shared" si="103"/>
        <v>0</v>
      </c>
      <c r="O211" s="429"/>
      <c r="P211" s="429"/>
      <c r="Q211" s="429"/>
      <c r="R211" s="429"/>
      <c r="S211" s="429"/>
      <c r="T211" s="429"/>
      <c r="U211" s="429"/>
      <c r="V211" s="132">
        <f t="shared" si="104"/>
        <v>0</v>
      </c>
      <c r="W211" s="133" t="str">
        <f t="shared" si="105"/>
        <v/>
      </c>
      <c r="X211" s="132"/>
      <c r="Y211" s="132"/>
      <c r="Z211" s="132"/>
      <c r="AA211" s="132"/>
    </row>
    <row r="212" spans="1:27" ht="20.100000000000001" customHeight="1">
      <c r="A212" s="300">
        <v>30100029</v>
      </c>
      <c r="B212" s="424" t="s">
        <v>208</v>
      </c>
      <c r="C212" s="126" t="s">
        <v>203</v>
      </c>
      <c r="D212" s="108">
        <v>5.08</v>
      </c>
      <c r="E212" s="108"/>
      <c r="F212" s="127">
        <v>42740</v>
      </c>
      <c r="G212" s="128">
        <f>108*2+85</f>
        <v>301</v>
      </c>
      <c r="H212" s="425">
        <f t="shared" si="92"/>
        <v>1529.08</v>
      </c>
      <c r="I212" s="129">
        <f>5*3</f>
        <v>15</v>
      </c>
      <c r="J212" s="130">
        <f t="array" ref="J212">IF(ISERROR(G212/I212),"",G212/I212)</f>
        <v>20.066666666666666</v>
      </c>
      <c r="K212" s="131">
        <f t="array" ref="K212">IF(ISERROR(G212/L212),"",G212/L212)</f>
        <v>14.333333333333334</v>
      </c>
      <c r="L212" s="129">
        <v>21</v>
      </c>
      <c r="M212" s="109">
        <f t="shared" si="102"/>
        <v>0.66666666666666607</v>
      </c>
      <c r="N212" s="130">
        <f t="shared" si="103"/>
        <v>0</v>
      </c>
      <c r="O212" s="429"/>
      <c r="P212" s="429"/>
      <c r="Q212" s="429"/>
      <c r="R212" s="429"/>
      <c r="S212" s="429"/>
      <c r="T212" s="429"/>
      <c r="U212" s="429"/>
      <c r="V212" s="132">
        <f t="shared" si="104"/>
        <v>0</v>
      </c>
      <c r="W212" s="133">
        <f t="shared" si="105"/>
        <v>0</v>
      </c>
      <c r="X212" s="132"/>
      <c r="Y212" s="132"/>
      <c r="Z212" s="132"/>
      <c r="AA212" s="132"/>
    </row>
    <row r="213" spans="1:27" ht="20.100000000000001" hidden="1" customHeight="1">
      <c r="A213" s="300">
        <v>30100026</v>
      </c>
      <c r="B213" s="424" t="s">
        <v>208</v>
      </c>
      <c r="C213" s="126" t="s">
        <v>199</v>
      </c>
      <c r="D213" s="108">
        <v>5.08</v>
      </c>
      <c r="E213" s="108"/>
      <c r="F213" s="127"/>
      <c r="G213" s="128"/>
      <c r="H213" s="425">
        <f t="shared" si="92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2"/>
        <v>0</v>
      </c>
      <c r="N213" s="130">
        <f t="shared" si="103"/>
        <v>0</v>
      </c>
      <c r="O213" s="433"/>
      <c r="P213" s="433"/>
      <c r="Q213" s="433"/>
      <c r="R213" s="433"/>
      <c r="S213" s="433"/>
      <c r="T213" s="433"/>
      <c r="U213" s="433"/>
      <c r="V213" s="132">
        <f t="shared" si="104"/>
        <v>0</v>
      </c>
      <c r="W213" s="133" t="str">
        <f t="shared" si="105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30100025</v>
      </c>
      <c r="B214" s="424" t="s">
        <v>208</v>
      </c>
      <c r="C214" s="126" t="s">
        <v>187</v>
      </c>
      <c r="D214" s="108">
        <v>5.08</v>
      </c>
      <c r="E214" s="108"/>
      <c r="F214" s="127"/>
      <c r="G214" s="128"/>
      <c r="H214" s="425">
        <f t="shared" si="92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2"/>
        <v>0</v>
      </c>
      <c r="N214" s="130">
        <f t="shared" si="103"/>
        <v>0</v>
      </c>
      <c r="O214" s="429"/>
      <c r="P214" s="429"/>
      <c r="Q214" s="429"/>
      <c r="R214" s="429"/>
      <c r="S214" s="429"/>
      <c r="T214" s="429"/>
      <c r="U214" s="429"/>
      <c r="V214" s="132">
        <f t="shared" si="104"/>
        <v>0</v>
      </c>
      <c r="W214" s="133" t="str">
        <f t="shared" si="105"/>
        <v/>
      </c>
      <c r="X214" s="132"/>
      <c r="Y214" s="132"/>
      <c r="Z214" s="132"/>
      <c r="AA214" s="132"/>
    </row>
    <row r="215" spans="1:27" ht="20.100000000000001" customHeight="1">
      <c r="A215" s="300">
        <v>30100028</v>
      </c>
      <c r="B215" s="424" t="s">
        <v>208</v>
      </c>
      <c r="C215" s="126" t="s">
        <v>207</v>
      </c>
      <c r="D215" s="108">
        <v>5.08</v>
      </c>
      <c r="E215" s="108"/>
      <c r="F215" s="127">
        <v>42738</v>
      </c>
      <c r="G215" s="128">
        <f>108*3+88</f>
        <v>412</v>
      </c>
      <c r="H215" s="425">
        <f t="shared" si="92"/>
        <v>2092.96</v>
      </c>
      <c r="I215" s="129">
        <f>6.5*3</f>
        <v>19.5</v>
      </c>
      <c r="J215" s="130">
        <f t="array" ref="J215">IF(ISERROR(G215/I215),"",G215/I215)</f>
        <v>21.128205128205128</v>
      </c>
      <c r="K215" s="131">
        <f t="array" ref="K215">IF(ISERROR(G215/L215),"",G215/L215)</f>
        <v>19.61904761904762</v>
      </c>
      <c r="L215" s="129">
        <v>21</v>
      </c>
      <c r="M215" s="109">
        <f t="shared" si="102"/>
        <v>-0.1190476190476204</v>
      </c>
      <c r="N215" s="130">
        <f t="shared" si="103"/>
        <v>0</v>
      </c>
      <c r="O215" s="433"/>
      <c r="P215" s="433"/>
      <c r="Q215" s="433"/>
      <c r="R215" s="433"/>
      <c r="S215" s="433"/>
      <c r="T215" s="433"/>
      <c r="U215" s="433"/>
      <c r="V215" s="132">
        <f t="shared" si="104"/>
        <v>0</v>
      </c>
      <c r="W215" s="133">
        <f t="shared" si="105"/>
        <v>0</v>
      </c>
      <c r="X215" s="132"/>
      <c r="Y215" s="132"/>
      <c r="Z215" s="132"/>
      <c r="AA215" s="132"/>
    </row>
    <row r="216" spans="1:27" ht="20.100000000000001" hidden="1" customHeight="1">
      <c r="A216" s="300">
        <v>30100032</v>
      </c>
      <c r="B216" s="424" t="s">
        <v>209</v>
      </c>
      <c r="C216" s="126" t="s">
        <v>194</v>
      </c>
      <c r="D216" s="108">
        <v>5.03</v>
      </c>
      <c r="E216" s="108"/>
      <c r="F216" s="127"/>
      <c r="G216" s="128"/>
      <c r="H216" s="425">
        <f t="shared" si="92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2"/>
        <v>0</v>
      </c>
      <c r="N216" s="130">
        <f t="shared" si="103"/>
        <v>0</v>
      </c>
      <c r="O216" s="429"/>
      <c r="P216" s="429"/>
      <c r="Q216" s="429"/>
      <c r="R216" s="429"/>
      <c r="S216" s="429"/>
      <c r="T216" s="429"/>
      <c r="U216" s="429"/>
      <c r="V216" s="132">
        <f t="shared" si="104"/>
        <v>0</v>
      </c>
      <c r="W216" s="133" t="str">
        <f t="shared" si="105"/>
        <v/>
      </c>
      <c r="X216" s="132"/>
      <c r="Y216" s="132"/>
      <c r="Z216" s="132"/>
      <c r="AA216" s="132"/>
    </row>
    <row r="217" spans="1:27" ht="20.100000000000001" hidden="1" customHeight="1">
      <c r="A217" s="300">
        <v>30100033</v>
      </c>
      <c r="B217" s="424" t="s">
        <v>209</v>
      </c>
      <c r="C217" s="126" t="s">
        <v>179</v>
      </c>
      <c r="D217" s="108">
        <v>5.03</v>
      </c>
      <c r="E217" s="108"/>
      <c r="F217" s="127"/>
      <c r="G217" s="128"/>
      <c r="H217" s="425">
        <f t="shared" si="92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2"/>
        <v>0</v>
      </c>
      <c r="N217" s="130">
        <f t="shared" si="103"/>
        <v>0</v>
      </c>
      <c r="O217" s="429"/>
      <c r="P217" s="429"/>
      <c r="Q217" s="429"/>
      <c r="R217" s="429"/>
      <c r="S217" s="429"/>
      <c r="T217" s="429"/>
      <c r="U217" s="429"/>
      <c r="V217" s="132">
        <f t="shared" si="104"/>
        <v>0</v>
      </c>
      <c r="W217" s="133" t="str">
        <f t="shared" si="105"/>
        <v/>
      </c>
      <c r="X217" s="132"/>
      <c r="Y217" s="132"/>
      <c r="Z217" s="132"/>
      <c r="AA217" s="132"/>
    </row>
    <row r="218" spans="1:27" ht="20.100000000000001" hidden="1" customHeight="1">
      <c r="A218" s="300">
        <v>30100062</v>
      </c>
      <c r="B218" s="424" t="s">
        <v>209</v>
      </c>
      <c r="C218" s="126" t="s">
        <v>195</v>
      </c>
      <c r="D218" s="108">
        <v>5.03</v>
      </c>
      <c r="E218" s="108"/>
      <c r="F218" s="127"/>
      <c r="G218" s="128"/>
      <c r="H218" s="425">
        <f t="shared" si="92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2"/>
        <v>0</v>
      </c>
      <c r="N218" s="130">
        <f t="shared" si="103"/>
        <v>0</v>
      </c>
      <c r="O218" s="429"/>
      <c r="P218" s="429"/>
      <c r="Q218" s="429"/>
      <c r="R218" s="429"/>
      <c r="S218" s="429"/>
      <c r="T218" s="429"/>
      <c r="U218" s="429"/>
      <c r="V218" s="132">
        <f t="shared" si="104"/>
        <v>0</v>
      </c>
      <c r="W218" s="133" t="str">
        <f t="shared" si="105"/>
        <v/>
      </c>
      <c r="X218" s="132"/>
      <c r="Y218" s="132"/>
      <c r="Z218" s="132"/>
      <c r="AA218" s="132"/>
    </row>
    <row r="219" spans="1:27" ht="20.100000000000001" hidden="1" customHeight="1">
      <c r="A219" s="300">
        <v>30100031</v>
      </c>
      <c r="B219" s="424" t="s">
        <v>209</v>
      </c>
      <c r="C219" s="126" t="s">
        <v>204</v>
      </c>
      <c r="D219" s="108">
        <v>5.03</v>
      </c>
      <c r="E219" s="108"/>
      <c r="F219" s="127"/>
      <c r="G219" s="128"/>
      <c r="H219" s="425">
        <f t="shared" si="92"/>
        <v>0</v>
      </c>
      <c r="I219" s="129"/>
      <c r="J219" s="130" t="str">
        <f t="array" ref="J219">IF(ISERROR(G219/I219),"",G219/I219)</f>
        <v/>
      </c>
      <c r="K219" s="131">
        <f t="array" ref="K219">IF(ISERROR(G219/L219),"",G219/L219)</f>
        <v>0</v>
      </c>
      <c r="L219" s="129">
        <v>56</v>
      </c>
      <c r="M219" s="109">
        <f t="shared" si="102"/>
        <v>0</v>
      </c>
      <c r="N219" s="130">
        <f t="shared" si="103"/>
        <v>0</v>
      </c>
      <c r="O219" s="429"/>
      <c r="P219" s="429"/>
      <c r="Q219" s="429"/>
      <c r="R219" s="429"/>
      <c r="S219" s="429"/>
      <c r="T219" s="429"/>
      <c r="U219" s="429"/>
      <c r="V219" s="132">
        <f t="shared" si="104"/>
        <v>0</v>
      </c>
      <c r="W219" s="133" t="str">
        <f t="shared" si="105"/>
        <v/>
      </c>
      <c r="X219" s="132"/>
      <c r="Y219" s="132"/>
      <c r="Z219" s="132"/>
      <c r="AA219" s="132"/>
    </row>
    <row r="220" spans="1:27" ht="20.100000000000001" hidden="1" customHeight="1">
      <c r="A220" s="300">
        <v>30100019</v>
      </c>
      <c r="B220" s="424" t="s">
        <v>382</v>
      </c>
      <c r="C220" s="187" t="s">
        <v>383</v>
      </c>
      <c r="D220" s="108">
        <v>5.03</v>
      </c>
      <c r="E220" s="108"/>
      <c r="F220" s="127"/>
      <c r="G220" s="128"/>
      <c r="H220" s="425">
        <f t="shared" si="92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2"/>
        <v>0</v>
      </c>
      <c r="N220" s="130">
        <f t="shared" si="103"/>
        <v>0</v>
      </c>
      <c r="O220" s="429"/>
      <c r="P220" s="429"/>
      <c r="Q220" s="429"/>
      <c r="R220" s="429"/>
      <c r="S220" s="429"/>
      <c r="T220" s="429"/>
      <c r="U220" s="429"/>
      <c r="V220" s="132"/>
      <c r="W220" s="133"/>
      <c r="X220" s="132"/>
      <c r="Y220" s="132"/>
      <c r="Z220" s="132"/>
      <c r="AA220" s="132"/>
    </row>
    <row r="221" spans="1:27" ht="20.100000000000001" customHeight="1">
      <c r="A221" s="300">
        <v>30100020</v>
      </c>
      <c r="B221" s="424" t="s">
        <v>382</v>
      </c>
      <c r="C221" s="187" t="s">
        <v>384</v>
      </c>
      <c r="D221" s="108">
        <v>5.03</v>
      </c>
      <c r="E221" s="108"/>
      <c r="F221" s="127">
        <v>42739</v>
      </c>
      <c r="G221" s="128">
        <f>90*5+77</f>
        <v>527</v>
      </c>
      <c r="H221" s="425">
        <f t="shared" si="92"/>
        <v>2650.81</v>
      </c>
      <c r="I221" s="129">
        <f>9.5*2</f>
        <v>19</v>
      </c>
      <c r="J221" s="130">
        <f t="array" ref="J221">IF(ISERROR(G221/I221),"",G221/I221)</f>
        <v>27.736842105263158</v>
      </c>
      <c r="K221" s="131">
        <f t="array" ref="K221">IF(ISERROR(G221/L221),"",G221/L221)</f>
        <v>9.7592592592592595</v>
      </c>
      <c r="L221" s="129">
        <v>54</v>
      </c>
      <c r="M221" s="109">
        <f t="shared" si="102"/>
        <v>9.2407407407407405</v>
      </c>
      <c r="N221" s="130">
        <f t="shared" si="103"/>
        <v>0</v>
      </c>
      <c r="O221" s="429"/>
      <c r="P221" s="429"/>
      <c r="Q221" s="429"/>
      <c r="R221" s="429"/>
      <c r="S221" s="429"/>
      <c r="T221" s="429"/>
      <c r="U221" s="429"/>
      <c r="V221" s="132"/>
      <c r="W221" s="133"/>
      <c r="X221" s="132"/>
      <c r="Y221" s="132"/>
      <c r="Z221" s="132"/>
      <c r="AA221" s="132"/>
    </row>
    <row r="222" spans="1:27" ht="20.100000000000001" customHeight="1">
      <c r="A222" s="300">
        <v>30100021</v>
      </c>
      <c r="B222" s="424" t="s">
        <v>382</v>
      </c>
      <c r="C222" s="187" t="s">
        <v>389</v>
      </c>
      <c r="D222" s="108">
        <v>5.03</v>
      </c>
      <c r="E222" s="108"/>
      <c r="F222" s="127">
        <v>42739</v>
      </c>
      <c r="G222" s="128">
        <v>90</v>
      </c>
      <c r="H222" s="425">
        <f t="shared" si="92"/>
        <v>452.70000000000005</v>
      </c>
      <c r="I222" s="129">
        <f>2*3</f>
        <v>6</v>
      </c>
      <c r="J222" s="130">
        <f t="array" ref="J222">IF(ISERROR(G222/I222),"",G222/I222)</f>
        <v>15</v>
      </c>
      <c r="K222" s="131">
        <f t="array" ref="K222">IF(ISERROR(G222/L222),"",G222/L222)</f>
        <v>1.6666666666666667</v>
      </c>
      <c r="L222" s="129">
        <v>54</v>
      </c>
      <c r="M222" s="109">
        <f t="shared" si="102"/>
        <v>4.333333333333333</v>
      </c>
      <c r="N222" s="130">
        <f t="shared" si="103"/>
        <v>0</v>
      </c>
      <c r="O222" s="429"/>
      <c r="P222" s="429"/>
      <c r="Q222" s="429"/>
      <c r="R222" s="429"/>
      <c r="S222" s="429"/>
      <c r="T222" s="429"/>
      <c r="U222" s="429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0">
        <v>30100018</v>
      </c>
      <c r="B223" s="424" t="s">
        <v>382</v>
      </c>
      <c r="C223" s="187" t="s">
        <v>391</v>
      </c>
      <c r="D223" s="108">
        <v>5.03</v>
      </c>
      <c r="E223" s="108"/>
      <c r="F223" s="127"/>
      <c r="G223" s="128"/>
      <c r="H223" s="425">
        <f t="shared" si="92"/>
        <v>0</v>
      </c>
      <c r="I223" s="129"/>
      <c r="J223" s="130"/>
      <c r="K223" s="131">
        <f t="array" ref="K223">IF(ISERROR(G223/L223),"",G223/L223)</f>
        <v>0</v>
      </c>
      <c r="L223" s="129">
        <v>54</v>
      </c>
      <c r="M223" s="109">
        <f t="shared" si="102"/>
        <v>0</v>
      </c>
      <c r="N223" s="130">
        <f t="shared" si="103"/>
        <v>0</v>
      </c>
      <c r="O223" s="429"/>
      <c r="P223" s="429"/>
      <c r="Q223" s="429"/>
      <c r="R223" s="429"/>
      <c r="S223" s="429"/>
      <c r="T223" s="429"/>
      <c r="U223" s="429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30700007</v>
      </c>
      <c r="B224" s="424" t="s">
        <v>418</v>
      </c>
      <c r="C224" s="187" t="s">
        <v>364</v>
      </c>
      <c r="D224" s="108">
        <v>5.03</v>
      </c>
      <c r="E224" s="108"/>
      <c r="F224" s="127"/>
      <c r="G224" s="128"/>
      <c r="H224" s="425">
        <f t="shared" si="92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2"/>
        <v>0</v>
      </c>
      <c r="N224" s="130">
        <f t="shared" si="103"/>
        <v>0</v>
      </c>
      <c r="O224" s="429"/>
      <c r="P224" s="429"/>
      <c r="Q224" s="429"/>
      <c r="R224" s="429"/>
      <c r="S224" s="429"/>
      <c r="T224" s="429"/>
      <c r="U224" s="429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30700006</v>
      </c>
      <c r="B225" s="424" t="s">
        <v>418</v>
      </c>
      <c r="C225" s="187" t="s">
        <v>365</v>
      </c>
      <c r="D225" s="108">
        <v>5.03</v>
      </c>
      <c r="E225" s="108"/>
      <c r="F225" s="127"/>
      <c r="G225" s="128"/>
      <c r="H225" s="425">
        <f t="shared" si="92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2"/>
        <v>0</v>
      </c>
      <c r="N225" s="130">
        <f t="shared" si="103"/>
        <v>0</v>
      </c>
      <c r="O225" s="429"/>
      <c r="P225" s="429"/>
      <c r="Q225" s="429"/>
      <c r="R225" s="429"/>
      <c r="S225" s="429"/>
      <c r="T225" s="429"/>
      <c r="U225" s="429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30700008</v>
      </c>
      <c r="B226" s="424" t="s">
        <v>418</v>
      </c>
      <c r="C226" s="187" t="s">
        <v>366</v>
      </c>
      <c r="D226" s="108">
        <v>5.03</v>
      </c>
      <c r="E226" s="108"/>
      <c r="F226" s="127"/>
      <c r="G226" s="128"/>
      <c r="H226" s="425">
        <f t="shared" si="92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2"/>
        <v>0</v>
      </c>
      <c r="N226" s="130">
        <f t="shared" si="103"/>
        <v>0</v>
      </c>
      <c r="O226" s="429"/>
      <c r="P226" s="429"/>
      <c r="Q226" s="429"/>
      <c r="R226" s="429"/>
      <c r="S226" s="429"/>
      <c r="T226" s="429"/>
      <c r="U226" s="429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3">
        <v>30700009</v>
      </c>
      <c r="B227" s="424" t="s">
        <v>418</v>
      </c>
      <c r="C227" s="187" t="s">
        <v>367</v>
      </c>
      <c r="D227" s="108">
        <v>5.03</v>
      </c>
      <c r="E227" s="108"/>
      <c r="F227" s="127"/>
      <c r="G227" s="128"/>
      <c r="H227" s="425">
        <f t="shared" si="92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102"/>
        <v>0</v>
      </c>
      <c r="N227" s="130">
        <f t="shared" si="103"/>
        <v>0</v>
      </c>
      <c r="O227" s="429"/>
      <c r="P227" s="429"/>
      <c r="Q227" s="429"/>
      <c r="R227" s="429"/>
      <c r="S227" s="429"/>
      <c r="T227" s="429"/>
      <c r="U227" s="429"/>
      <c r="V227" s="132"/>
      <c r="W227" s="133"/>
      <c r="X227" s="132"/>
      <c r="Y227" s="132"/>
      <c r="Z227" s="132"/>
      <c r="AA227" s="132"/>
    </row>
    <row r="228" spans="1:27" ht="20.100000000000001" hidden="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/>
      <c r="G228" s="128"/>
      <c r="H228" s="425">
        <f t="shared" si="92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2"/>
        <v>0</v>
      </c>
      <c r="N228" s="130">
        <f t="shared" si="103"/>
        <v>0</v>
      </c>
      <c r="O228" s="433"/>
      <c r="P228" s="433"/>
      <c r="Q228" s="433"/>
      <c r="R228" s="433"/>
      <c r="S228" s="433"/>
      <c r="T228" s="433"/>
      <c r="U228" s="433"/>
      <c r="V228" s="132">
        <f t="shared" ref="V228:V237" si="106">SUM(X228:AA228)</f>
        <v>0</v>
      </c>
      <c r="W228" s="133" t="str">
        <f t="shared" ref="W228:W237" si="107">IF(ISERROR(V228/G228),"",V228/G228)</f>
        <v/>
      </c>
      <c r="X228" s="132"/>
      <c r="Y228" s="132"/>
      <c r="Z228" s="132"/>
      <c r="AA228" s="132"/>
    </row>
    <row r="229" spans="1:27" ht="20.100000000000001" hidden="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/>
      <c r="G229" s="128"/>
      <c r="H229" s="425">
        <f t="shared" si="92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2"/>
        <v>0</v>
      </c>
      <c r="N229" s="130">
        <f t="shared" si="103"/>
        <v>0</v>
      </c>
      <c r="O229" s="433"/>
      <c r="P229" s="433"/>
      <c r="Q229" s="433"/>
      <c r="R229" s="433"/>
      <c r="S229" s="433"/>
      <c r="T229" s="433"/>
      <c r="U229" s="433"/>
      <c r="V229" s="132">
        <f t="shared" si="106"/>
        <v>0</v>
      </c>
      <c r="W229" s="133" t="str">
        <f t="shared" si="107"/>
        <v/>
      </c>
      <c r="X229" s="132"/>
      <c r="Y229" s="132"/>
      <c r="Z229" s="132"/>
      <c r="AA229" s="132"/>
    </row>
    <row r="230" spans="1:27" ht="20.100000000000001" hidden="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/>
      <c r="G230" s="128"/>
      <c r="H230" s="425">
        <f t="shared" si="92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40</v>
      </c>
      <c r="M230" s="109">
        <f t="shared" si="102"/>
        <v>0</v>
      </c>
      <c r="N230" s="130">
        <f t="shared" si="103"/>
        <v>0</v>
      </c>
      <c r="O230" s="433"/>
      <c r="P230" s="433"/>
      <c r="Q230" s="433"/>
      <c r="R230" s="433"/>
      <c r="S230" s="433"/>
      <c r="T230" s="433"/>
      <c r="U230" s="433"/>
      <c r="V230" s="132">
        <f t="shared" si="106"/>
        <v>0</v>
      </c>
      <c r="W230" s="133" t="str">
        <f t="shared" si="107"/>
        <v/>
      </c>
      <c r="X230" s="132"/>
      <c r="Y230" s="132"/>
      <c r="Z230" s="132"/>
      <c r="AA230" s="132"/>
    </row>
    <row r="231" spans="1:27" ht="20.100000000000001" hidden="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28"/>
      <c r="H231" s="425">
        <f t="shared" si="92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2"/>
        <v>0</v>
      </c>
      <c r="N231" s="130">
        <f t="shared" si="103"/>
        <v>0</v>
      </c>
      <c r="O231" s="433"/>
      <c r="P231" s="433"/>
      <c r="Q231" s="433"/>
      <c r="R231" s="433"/>
      <c r="S231" s="433"/>
      <c r="T231" s="433"/>
      <c r="U231" s="433"/>
      <c r="V231" s="132">
        <f t="shared" si="106"/>
        <v>0</v>
      </c>
      <c r="W231" s="133" t="str">
        <f t="shared" si="107"/>
        <v/>
      </c>
      <c r="X231" s="132"/>
      <c r="Y231" s="132"/>
      <c r="Z231" s="132"/>
      <c r="AA231" s="132"/>
    </row>
    <row r="232" spans="1:27" ht="20.100000000000001" hidden="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28"/>
      <c r="H232" s="425">
        <f t="shared" si="92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2"/>
        <v>0</v>
      </c>
      <c r="N232" s="130">
        <f t="shared" si="103"/>
        <v>0</v>
      </c>
      <c r="O232" s="433"/>
      <c r="P232" s="433"/>
      <c r="Q232" s="433"/>
      <c r="R232" s="433"/>
      <c r="S232" s="433"/>
      <c r="T232" s="433"/>
      <c r="U232" s="433"/>
      <c r="V232" s="132">
        <f t="shared" si="106"/>
        <v>0</v>
      </c>
      <c r="W232" s="133" t="str">
        <f t="shared" si="107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28"/>
      <c r="H233" s="425">
        <f t="shared" si="92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2"/>
        <v>0</v>
      </c>
      <c r="N233" s="130">
        <f t="shared" si="103"/>
        <v>0</v>
      </c>
      <c r="O233" s="433"/>
      <c r="P233" s="433"/>
      <c r="Q233" s="433"/>
      <c r="R233" s="433"/>
      <c r="S233" s="433"/>
      <c r="T233" s="433"/>
      <c r="U233" s="433"/>
      <c r="V233" s="132">
        <f t="shared" si="106"/>
        <v>0</v>
      </c>
      <c r="W233" s="133" t="str">
        <f t="shared" si="107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28"/>
      <c r="H234" s="425">
        <f t="shared" si="92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2"/>
        <v>0</v>
      </c>
      <c r="N234" s="130">
        <f t="shared" si="103"/>
        <v>0</v>
      </c>
      <c r="O234" s="433"/>
      <c r="P234" s="433"/>
      <c r="Q234" s="433"/>
      <c r="R234" s="433"/>
      <c r="S234" s="433"/>
      <c r="T234" s="433"/>
      <c r="U234" s="433"/>
      <c r="V234" s="132">
        <f t="shared" si="106"/>
        <v>0</v>
      </c>
      <c r="W234" s="133" t="str">
        <f t="shared" si="107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/>
      <c r="G235" s="128"/>
      <c r="H235" s="425">
        <f t="shared" si="92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2"/>
        <v>0</v>
      </c>
      <c r="N235" s="130">
        <f t="shared" si="103"/>
        <v>0</v>
      </c>
      <c r="O235" s="433"/>
      <c r="P235" s="433"/>
      <c r="Q235" s="433"/>
      <c r="R235" s="433"/>
      <c r="S235" s="433"/>
      <c r="T235" s="433"/>
      <c r="U235" s="433"/>
      <c r="V235" s="132">
        <f t="shared" si="106"/>
        <v>0</v>
      </c>
      <c r="W235" s="133" t="str">
        <f t="shared" si="107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/>
      <c r="G236" s="128"/>
      <c r="H236" s="425">
        <f t="shared" si="92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2"/>
        <v>0</v>
      </c>
      <c r="N236" s="130">
        <f t="shared" si="103"/>
        <v>0</v>
      </c>
      <c r="O236" s="433"/>
      <c r="P236" s="433"/>
      <c r="Q236" s="433"/>
      <c r="R236" s="433"/>
      <c r="S236" s="433"/>
      <c r="T236" s="433"/>
      <c r="U236" s="433"/>
      <c r="V236" s="132">
        <f t="shared" si="106"/>
        <v>0</v>
      </c>
      <c r="W236" s="133" t="str">
        <f t="shared" si="107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/>
      <c r="G237" s="128"/>
      <c r="H237" s="425">
        <f t="shared" si="92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50</v>
      </c>
      <c r="M237" s="109">
        <f t="shared" si="102"/>
        <v>0</v>
      </c>
      <c r="N237" s="130">
        <f t="shared" si="103"/>
        <v>0</v>
      </c>
      <c r="O237" s="433"/>
      <c r="P237" s="433"/>
      <c r="Q237" s="433"/>
      <c r="R237" s="433"/>
      <c r="S237" s="433"/>
      <c r="T237" s="433"/>
      <c r="U237" s="433"/>
      <c r="V237" s="132">
        <f t="shared" si="106"/>
        <v>0</v>
      </c>
      <c r="W237" s="133" t="str">
        <f t="shared" si="107"/>
        <v/>
      </c>
      <c r="X237" s="132"/>
      <c r="Y237" s="132"/>
      <c r="Z237" s="132"/>
      <c r="AA237" s="132"/>
    </row>
    <row r="238" spans="1:27" ht="20.100000000000001" hidden="1" customHeight="1">
      <c r="A238" s="300">
        <v>30100043</v>
      </c>
      <c r="B238" s="134" t="s">
        <v>429</v>
      </c>
      <c r="C238" s="187" t="s">
        <v>427</v>
      </c>
      <c r="D238" s="108">
        <v>5.03</v>
      </c>
      <c r="E238" s="108"/>
      <c r="F238" s="127"/>
      <c r="G238" s="128"/>
      <c r="H238" s="425">
        <f t="shared" si="92"/>
        <v>0</v>
      </c>
      <c r="I238" s="129"/>
      <c r="J238" s="130"/>
      <c r="K238" s="131"/>
      <c r="L238" s="129">
        <v>50</v>
      </c>
      <c r="M238" s="109"/>
      <c r="N238" s="130"/>
      <c r="O238" s="433"/>
      <c r="P238" s="433"/>
      <c r="Q238" s="433"/>
      <c r="R238" s="433"/>
      <c r="S238" s="433"/>
      <c r="T238" s="433"/>
      <c r="U238" s="433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/>
      <c r="G239" s="128"/>
      <c r="H239" s="425">
        <f t="shared" si="92"/>
        <v>0</v>
      </c>
      <c r="I239" s="129"/>
      <c r="J239" s="130"/>
      <c r="K239" s="131">
        <f t="array" ref="K239">IF(ISERROR(G239/L239),"",G239/L239)</f>
        <v>0</v>
      </c>
      <c r="L239" s="129">
        <v>50</v>
      </c>
      <c r="M239" s="109">
        <f t="shared" ref="M239:M250" si="108">IF(ISERROR(I239-K239),"",I239-K239)</f>
        <v>0</v>
      </c>
      <c r="N239" s="130"/>
      <c r="O239" s="433"/>
      <c r="P239" s="433"/>
      <c r="Q239" s="433"/>
      <c r="R239" s="433"/>
      <c r="S239" s="433"/>
      <c r="T239" s="433"/>
      <c r="U239" s="433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/>
      <c r="G240" s="128"/>
      <c r="H240" s="425">
        <f t="shared" si="92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8"/>
        <v>0</v>
      </c>
      <c r="N240" s="130">
        <f t="shared" ref="N240:N241" si="109">SUM(O240:U240)</f>
        <v>0</v>
      </c>
      <c r="O240" s="433"/>
      <c r="P240" s="433"/>
      <c r="Q240" s="433"/>
      <c r="R240" s="433"/>
      <c r="S240" s="433"/>
      <c r="T240" s="433"/>
      <c r="U240" s="433"/>
      <c r="V240" s="132">
        <f t="shared" ref="V240:V241" si="110">SUM(X240:AA240)</f>
        <v>0</v>
      </c>
      <c r="W240" s="133" t="str">
        <f t="shared" ref="W240:W241" si="111">IF(ISERROR(V240/G240),"",V240/G240)</f>
        <v/>
      </c>
      <c r="X240" s="132"/>
      <c r="Y240" s="132"/>
      <c r="Z240" s="132"/>
      <c r="AA240" s="132"/>
    </row>
    <row r="241" spans="1:27" ht="20.100000000000001" hidden="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/>
      <c r="G241" s="128"/>
      <c r="H241" s="425">
        <f t="shared" si="92"/>
        <v>0</v>
      </c>
      <c r="I241" s="129"/>
      <c r="J241" s="130" t="str">
        <f t="array" ref="J241">IF(ISERROR(G241/I241),"",G241/I241)</f>
        <v/>
      </c>
      <c r="K241" s="131">
        <f t="array" ref="K241">IF(ISERROR(G241/L241),"",G241/L241)</f>
        <v>0</v>
      </c>
      <c r="L241" s="129">
        <v>21.5</v>
      </c>
      <c r="M241" s="109">
        <f t="shared" si="108"/>
        <v>0</v>
      </c>
      <c r="N241" s="130">
        <f t="shared" si="109"/>
        <v>0</v>
      </c>
      <c r="O241" s="433"/>
      <c r="P241" s="433"/>
      <c r="Q241" s="433"/>
      <c r="R241" s="433"/>
      <c r="S241" s="433"/>
      <c r="T241" s="433"/>
      <c r="U241" s="433"/>
      <c r="V241" s="132">
        <f t="shared" si="110"/>
        <v>0</v>
      </c>
      <c r="W241" s="133" t="str">
        <f t="shared" si="111"/>
        <v/>
      </c>
      <c r="X241" s="132"/>
      <c r="Y241" s="132"/>
      <c r="Z241" s="132"/>
      <c r="AA241" s="132"/>
    </row>
    <row r="242" spans="1:27" ht="20.100000000000001" hidden="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28"/>
      <c r="H242" s="425">
        <f t="shared" si="92"/>
        <v>0</v>
      </c>
      <c r="I242" s="129"/>
      <c r="J242" s="130"/>
      <c r="K242" s="131"/>
      <c r="L242" s="129"/>
      <c r="M242" s="109">
        <f t="shared" si="108"/>
        <v>0</v>
      </c>
      <c r="N242" s="130"/>
      <c r="O242" s="433"/>
      <c r="P242" s="433"/>
      <c r="Q242" s="433"/>
      <c r="R242" s="433"/>
      <c r="S242" s="433"/>
      <c r="T242" s="433"/>
      <c r="U242" s="433"/>
      <c r="V242" s="132"/>
      <c r="W242" s="133"/>
      <c r="X242" s="132"/>
      <c r="Y242" s="132"/>
      <c r="Z242" s="132"/>
      <c r="AA242" s="132"/>
    </row>
    <row r="243" spans="1:27" ht="20.100000000000001" hidden="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28"/>
      <c r="H243" s="425">
        <f t="shared" si="92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8"/>
        <v/>
      </c>
      <c r="N243" s="130">
        <f t="shared" ref="N243:N246" si="112">SUM(O243:U243)</f>
        <v>0</v>
      </c>
      <c r="O243" s="433"/>
      <c r="P243" s="433"/>
      <c r="Q243" s="433"/>
      <c r="R243" s="433"/>
      <c r="S243" s="433"/>
      <c r="T243" s="433"/>
      <c r="U243" s="433"/>
      <c r="V243" s="132">
        <f t="shared" ref="V243:V246" si="113">SUM(X243:AA243)</f>
        <v>0</v>
      </c>
      <c r="W243" s="133" t="str">
        <f t="shared" ref="W243:W246" si="114">IF(ISERROR(V243/G243),"",V243/G243)</f>
        <v/>
      </c>
      <c r="X243" s="132"/>
      <c r="Y243" s="132"/>
      <c r="Z243" s="132"/>
      <c r="AA243" s="132"/>
    </row>
    <row r="244" spans="1:27" ht="20.100000000000001" hidden="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28"/>
      <c r="H244" s="425">
        <f t="shared" si="92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8"/>
        <v/>
      </c>
      <c r="N244" s="130">
        <f t="shared" si="112"/>
        <v>0</v>
      </c>
      <c r="O244" s="433"/>
      <c r="P244" s="433"/>
      <c r="Q244" s="433"/>
      <c r="R244" s="433"/>
      <c r="S244" s="433"/>
      <c r="T244" s="433"/>
      <c r="U244" s="433"/>
      <c r="V244" s="132">
        <f t="shared" si="113"/>
        <v>0</v>
      </c>
      <c r="W244" s="133" t="str">
        <f t="shared" si="114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28"/>
      <c r="H245" s="425">
        <f t="shared" si="92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8"/>
        <v/>
      </c>
      <c r="N245" s="130">
        <f t="shared" si="112"/>
        <v>0</v>
      </c>
      <c r="O245" s="433"/>
      <c r="P245" s="433"/>
      <c r="Q245" s="433"/>
      <c r="R245" s="433"/>
      <c r="S245" s="433"/>
      <c r="T245" s="433"/>
      <c r="U245" s="433"/>
      <c r="V245" s="132">
        <f t="shared" si="113"/>
        <v>0</v>
      </c>
      <c r="W245" s="133" t="str">
        <f t="shared" si="114"/>
        <v/>
      </c>
      <c r="X245" s="132"/>
      <c r="Y245" s="132"/>
      <c r="Z245" s="132"/>
      <c r="AA245" s="132"/>
    </row>
    <row r="246" spans="1:27" ht="20.100000000000001" hidden="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28"/>
      <c r="H246" s="425">
        <f t="shared" si="92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8"/>
        <v/>
      </c>
      <c r="N246" s="130">
        <f t="shared" si="112"/>
        <v>0</v>
      </c>
      <c r="O246" s="433"/>
      <c r="P246" s="433"/>
      <c r="Q246" s="433"/>
      <c r="R246" s="433"/>
      <c r="S246" s="433"/>
      <c r="T246" s="433"/>
      <c r="U246" s="433"/>
      <c r="V246" s="132">
        <f t="shared" si="113"/>
        <v>0</v>
      </c>
      <c r="W246" s="133" t="str">
        <f t="shared" si="114"/>
        <v/>
      </c>
      <c r="X246" s="132"/>
      <c r="Y246" s="132"/>
      <c r="Z246" s="132"/>
      <c r="AA246" s="132"/>
    </row>
    <row r="247" spans="1:27" ht="20.100000000000001" hidden="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28"/>
      <c r="H247" s="425">
        <f t="shared" si="92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8"/>
        <v>0</v>
      </c>
      <c r="N247" s="130"/>
      <c r="O247" s="433"/>
      <c r="P247" s="433"/>
      <c r="Q247" s="433"/>
      <c r="R247" s="433"/>
      <c r="S247" s="433"/>
      <c r="T247" s="433"/>
      <c r="U247" s="433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28"/>
      <c r="H248" s="425">
        <f t="shared" si="92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8"/>
        <v>0</v>
      </c>
      <c r="N248" s="130"/>
      <c r="O248" s="433"/>
      <c r="P248" s="433"/>
      <c r="Q248" s="433"/>
      <c r="R248" s="433"/>
      <c r="S248" s="433"/>
      <c r="T248" s="433"/>
      <c r="U248" s="433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28"/>
      <c r="H249" s="425">
        <f t="shared" si="92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8"/>
        <v>0</v>
      </c>
      <c r="N249" s="130"/>
      <c r="O249" s="433"/>
      <c r="P249" s="433"/>
      <c r="Q249" s="433"/>
      <c r="R249" s="433"/>
      <c r="S249" s="433"/>
      <c r="T249" s="433"/>
      <c r="U249" s="433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28"/>
      <c r="H250" s="425">
        <f t="shared" si="92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8"/>
        <v>0</v>
      </c>
      <c r="N250" s="130"/>
      <c r="O250" s="433"/>
      <c r="P250" s="433"/>
      <c r="Q250" s="433"/>
      <c r="R250" s="433"/>
      <c r="S250" s="433"/>
      <c r="T250" s="433"/>
      <c r="U250" s="433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28"/>
      <c r="H251" s="425">
        <f t="shared" si="92"/>
        <v>0</v>
      </c>
      <c r="I251" s="129"/>
      <c r="J251" s="130"/>
      <c r="K251" s="131"/>
      <c r="L251" s="129">
        <v>4</v>
      </c>
      <c r="M251" s="109"/>
      <c r="N251" s="130"/>
      <c r="O251" s="433"/>
      <c r="P251" s="433"/>
      <c r="Q251" s="433"/>
      <c r="R251" s="433"/>
      <c r="S251" s="433"/>
      <c r="T251" s="433"/>
      <c r="U251" s="433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28"/>
      <c r="H252" s="425">
        <f t="shared" si="92"/>
        <v>0</v>
      </c>
      <c r="I252" s="129"/>
      <c r="J252" s="130"/>
      <c r="K252" s="131"/>
      <c r="L252" s="129">
        <v>4</v>
      </c>
      <c r="M252" s="109"/>
      <c r="N252" s="130"/>
      <c r="O252" s="433"/>
      <c r="P252" s="433"/>
      <c r="Q252" s="433"/>
      <c r="R252" s="433"/>
      <c r="S252" s="433"/>
      <c r="T252" s="433"/>
      <c r="U252" s="433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28"/>
      <c r="H253" s="425">
        <f t="shared" si="92"/>
        <v>0</v>
      </c>
      <c r="I253" s="129"/>
      <c r="J253" s="130"/>
      <c r="K253" s="131"/>
      <c r="L253" s="129">
        <v>4</v>
      </c>
      <c r="M253" s="109"/>
      <c r="N253" s="130"/>
      <c r="O253" s="433"/>
      <c r="P253" s="433"/>
      <c r="Q253" s="433"/>
      <c r="R253" s="433"/>
      <c r="S253" s="433"/>
      <c r="T253" s="433"/>
      <c r="U253" s="433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28"/>
      <c r="H254" s="425">
        <f t="shared" si="92"/>
        <v>0</v>
      </c>
      <c r="I254" s="129"/>
      <c r="J254" s="130"/>
      <c r="K254" s="131"/>
      <c r="L254" s="129">
        <v>4</v>
      </c>
      <c r="M254" s="109"/>
      <c r="N254" s="130"/>
      <c r="O254" s="433"/>
      <c r="P254" s="433"/>
      <c r="Q254" s="433"/>
      <c r="R254" s="433"/>
      <c r="S254" s="433"/>
      <c r="T254" s="433"/>
      <c r="U254" s="433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28"/>
      <c r="H255" s="425">
        <f t="shared" si="92"/>
        <v>0</v>
      </c>
      <c r="I255" s="129"/>
      <c r="J255" s="130"/>
      <c r="K255" s="131"/>
      <c r="L255" s="129">
        <v>4</v>
      </c>
      <c r="M255" s="109"/>
      <c r="N255" s="130"/>
      <c r="O255" s="433"/>
      <c r="P255" s="433"/>
      <c r="Q255" s="433"/>
      <c r="R255" s="433"/>
      <c r="S255" s="433"/>
      <c r="T255" s="433"/>
      <c r="U255" s="433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28"/>
      <c r="H256" s="425">
        <f t="shared" si="92"/>
        <v>0</v>
      </c>
      <c r="I256" s="129"/>
      <c r="J256" s="130"/>
      <c r="K256" s="131"/>
      <c r="L256" s="129">
        <v>4</v>
      </c>
      <c r="M256" s="109"/>
      <c r="N256" s="130"/>
      <c r="O256" s="433"/>
      <c r="P256" s="433"/>
      <c r="Q256" s="433"/>
      <c r="R256" s="433"/>
      <c r="S256" s="433"/>
      <c r="T256" s="433"/>
      <c r="U256" s="433"/>
      <c r="V256" s="132"/>
      <c r="W256" s="133"/>
      <c r="X256" s="132"/>
      <c r="Y256" s="132"/>
      <c r="Z256" s="132"/>
      <c r="AA256" s="132"/>
    </row>
    <row r="257" spans="1:27" ht="20.100000000000001" customHeight="1">
      <c r="A257" s="589" t="s">
        <v>216</v>
      </c>
      <c r="B257" s="589"/>
      <c r="C257" s="434" t="s">
        <v>202</v>
      </c>
      <c r="D257" s="143"/>
      <c r="E257" s="143"/>
      <c r="F257" s="144"/>
      <c r="G257" s="145">
        <f>SUM(G200:G256)</f>
        <v>2859</v>
      </c>
      <c r="H257" s="146">
        <f>SUM(H200:H256)</f>
        <v>14416.42</v>
      </c>
      <c r="I257" s="146">
        <f>SUM(I200:I256)</f>
        <v>82.5</v>
      </c>
      <c r="J257" s="130">
        <f t="array" ref="J257">IF(ISERROR(G257/I257),"",G257/I257)</f>
        <v>34.654545454545456</v>
      </c>
      <c r="K257" s="146">
        <f>SUM(K200:K256)</f>
        <v>74.782153032153033</v>
      </c>
      <c r="L257" s="147"/>
      <c r="M257" s="150">
        <f t="shared" ref="M257:V257" si="115">SUM(M200:M256)</f>
        <v>7.7178469678469641</v>
      </c>
      <c r="N257" s="146">
        <f t="shared" si="115"/>
        <v>0</v>
      </c>
      <c r="O257" s="148">
        <f t="shared" si="115"/>
        <v>0</v>
      </c>
      <c r="P257" s="148">
        <f t="shared" si="115"/>
        <v>0</v>
      </c>
      <c r="Q257" s="148">
        <f t="shared" si="115"/>
        <v>0</v>
      </c>
      <c r="R257" s="148">
        <f t="shared" si="115"/>
        <v>0</v>
      </c>
      <c r="S257" s="148">
        <f t="shared" si="115"/>
        <v>0</v>
      </c>
      <c r="T257" s="148">
        <f t="shared" si="115"/>
        <v>0</v>
      </c>
      <c r="U257" s="148">
        <f t="shared" si="115"/>
        <v>0</v>
      </c>
      <c r="V257" s="149">
        <f t="shared" si="115"/>
        <v>0</v>
      </c>
      <c r="W257" s="133">
        <f t="shared" ref="W257:W264" si="116">IF(ISERROR(V257/G257),"",V257/G257)</f>
        <v>0</v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hidden="1" customHeight="1">
      <c r="A258" s="299">
        <v>30400012</v>
      </c>
      <c r="B258" s="424" t="s">
        <v>217</v>
      </c>
      <c r="C258" s="126" t="s">
        <v>179</v>
      </c>
      <c r="D258" s="108">
        <v>5.03</v>
      </c>
      <c r="E258" s="108"/>
      <c r="F258" s="127"/>
      <c r="G258" s="128"/>
      <c r="H258" s="425">
        <f t="shared" ref="H258:H291" si="117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8">IF(ISERROR(I258-K258),"",I258-K258)</f>
        <v>0</v>
      </c>
      <c r="N258" s="130">
        <f t="shared" ref="N258:N265" si="119">SUM(O258:U258)</f>
        <v>0</v>
      </c>
      <c r="O258" s="433"/>
      <c r="P258" s="433"/>
      <c r="Q258" s="433"/>
      <c r="R258" s="433"/>
      <c r="S258" s="433"/>
      <c r="T258" s="433"/>
      <c r="U258" s="433"/>
      <c r="V258" s="132">
        <f t="shared" ref="V258:V264" si="120">SUM(X258:AA258)</f>
        <v>0</v>
      </c>
      <c r="W258" s="133" t="str">
        <f t="shared" si="116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30400010</v>
      </c>
      <c r="B259" s="424" t="s">
        <v>217</v>
      </c>
      <c r="C259" s="126" t="s">
        <v>186</v>
      </c>
      <c r="D259" s="108">
        <v>5.03</v>
      </c>
      <c r="E259" s="108"/>
      <c r="F259" s="127"/>
      <c r="G259" s="128"/>
      <c r="H259" s="425">
        <f t="shared" si="117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8"/>
        <v>0</v>
      </c>
      <c r="N259" s="130">
        <f t="shared" si="119"/>
        <v>0</v>
      </c>
      <c r="O259" s="433"/>
      <c r="P259" s="433"/>
      <c r="Q259" s="433"/>
      <c r="R259" s="433"/>
      <c r="S259" s="433"/>
      <c r="T259" s="433"/>
      <c r="U259" s="433"/>
      <c r="V259" s="132">
        <f t="shared" si="120"/>
        <v>0</v>
      </c>
      <c r="W259" s="133" t="str">
        <f t="shared" si="116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30400011</v>
      </c>
      <c r="B260" s="424" t="s">
        <v>217</v>
      </c>
      <c r="C260" s="126" t="s">
        <v>204</v>
      </c>
      <c r="D260" s="108">
        <v>5.03</v>
      </c>
      <c r="E260" s="108"/>
      <c r="F260" s="127"/>
      <c r="G260" s="128"/>
      <c r="H260" s="425">
        <f t="shared" si="117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8.8000000000000007</v>
      </c>
      <c r="M260" s="109">
        <f t="shared" si="118"/>
        <v>0</v>
      </c>
      <c r="N260" s="130">
        <f t="shared" si="119"/>
        <v>0</v>
      </c>
      <c r="O260" s="433"/>
      <c r="P260" s="433"/>
      <c r="Q260" s="433"/>
      <c r="R260" s="433"/>
      <c r="S260" s="433"/>
      <c r="T260" s="433"/>
      <c r="U260" s="433"/>
      <c r="V260" s="132">
        <f t="shared" si="120"/>
        <v>0</v>
      </c>
      <c r="W260" s="133" t="str">
        <f t="shared" si="116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28"/>
      <c r="H261" s="425">
        <f t="shared" si="117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8"/>
        <v>0</v>
      </c>
      <c r="N261" s="130">
        <f t="shared" si="119"/>
        <v>0</v>
      </c>
      <c r="O261" s="433"/>
      <c r="P261" s="433"/>
      <c r="Q261" s="433"/>
      <c r="R261" s="433"/>
      <c r="S261" s="433"/>
      <c r="T261" s="433"/>
      <c r="U261" s="433"/>
      <c r="V261" s="132">
        <f t="shared" si="120"/>
        <v>0</v>
      </c>
      <c r="W261" s="133" t="str">
        <f t="shared" si="116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/>
      <c r="G262" s="128"/>
      <c r="H262" s="425">
        <f t="shared" si="117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8"/>
        <v>0</v>
      </c>
      <c r="N262" s="130">
        <f t="shared" si="119"/>
        <v>0</v>
      </c>
      <c r="O262" s="433"/>
      <c r="P262" s="433"/>
      <c r="Q262" s="433"/>
      <c r="R262" s="433"/>
      <c r="S262" s="433"/>
      <c r="T262" s="433"/>
      <c r="U262" s="433"/>
      <c r="V262" s="132">
        <f t="shared" si="120"/>
        <v>0</v>
      </c>
      <c r="W262" s="133" t="str">
        <f t="shared" si="116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/>
      <c r="G263" s="128"/>
      <c r="H263" s="425">
        <f t="shared" si="117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8"/>
        <v>0</v>
      </c>
      <c r="N263" s="130">
        <f t="shared" si="119"/>
        <v>0</v>
      </c>
      <c r="O263" s="433"/>
      <c r="P263" s="433"/>
      <c r="Q263" s="433"/>
      <c r="R263" s="433"/>
      <c r="S263" s="433"/>
      <c r="T263" s="433"/>
      <c r="U263" s="433"/>
      <c r="V263" s="132">
        <f t="shared" si="120"/>
        <v>0</v>
      </c>
      <c r="W263" s="133" t="str">
        <f t="shared" si="116"/>
        <v/>
      </c>
      <c r="X263" s="132"/>
      <c r="Y263" s="132"/>
      <c r="Z263" s="132"/>
      <c r="AA263" s="132"/>
    </row>
    <row r="264" spans="1:27" ht="20.10000000000000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>
        <v>42738</v>
      </c>
      <c r="G264" s="128">
        <f>108+102</f>
        <v>210</v>
      </c>
      <c r="H264" s="425">
        <f t="shared" si="117"/>
        <v>1056.3</v>
      </c>
      <c r="I264" s="129">
        <f>11*3</f>
        <v>33</v>
      </c>
      <c r="J264" s="130">
        <f t="array" ref="J264">IF(ISERROR(G264/I264),"",G264/I264)</f>
        <v>6.3636363636363633</v>
      </c>
      <c r="K264" s="131">
        <f t="array" ref="K264">IF(ISERROR(G264/L264),"",G264/L264)</f>
        <v>22.58064516129032</v>
      </c>
      <c r="L264" s="129">
        <v>9.3000000000000007</v>
      </c>
      <c r="M264" s="109">
        <f t="shared" si="118"/>
        <v>10.41935483870968</v>
      </c>
      <c r="N264" s="130">
        <f t="shared" si="119"/>
        <v>0</v>
      </c>
      <c r="O264" s="433"/>
      <c r="P264" s="433"/>
      <c r="Q264" s="433"/>
      <c r="R264" s="433"/>
      <c r="S264" s="433"/>
      <c r="T264" s="433"/>
      <c r="U264" s="433"/>
      <c r="V264" s="132">
        <f t="shared" si="120"/>
        <v>0</v>
      </c>
      <c r="W264" s="133">
        <f t="shared" si="116"/>
        <v>0</v>
      </c>
      <c r="X264" s="132"/>
      <c r="Y264" s="132"/>
      <c r="Z264" s="132"/>
      <c r="AA264" s="132"/>
    </row>
    <row r="265" spans="1:27" ht="20.100000000000001" hidden="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/>
      <c r="G265" s="128"/>
      <c r="H265" s="425">
        <f t="shared" si="117"/>
        <v>0</v>
      </c>
      <c r="I265" s="129"/>
      <c r="J265" s="130"/>
      <c r="K265" s="131">
        <f t="array" ref="K265">IF(ISERROR(G265/L265),"",G265/L265)</f>
        <v>0</v>
      </c>
      <c r="L265" s="129">
        <v>9.3000000000000007</v>
      </c>
      <c r="M265" s="109">
        <f t="shared" si="118"/>
        <v>0</v>
      </c>
      <c r="N265" s="130">
        <f t="shared" si="119"/>
        <v>0</v>
      </c>
      <c r="O265" s="433"/>
      <c r="P265" s="433"/>
      <c r="Q265" s="433"/>
      <c r="R265" s="433"/>
      <c r="S265" s="433"/>
      <c r="T265" s="433"/>
      <c r="U265" s="433"/>
      <c r="V265" s="132"/>
      <c r="W265" s="133"/>
      <c r="X265" s="132"/>
      <c r="Y265" s="132"/>
      <c r="Z265" s="132"/>
      <c r="AA265" s="132"/>
    </row>
    <row r="266" spans="1:27" ht="20.100000000000001" hidden="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28"/>
      <c r="H266" s="425">
        <f t="shared" si="117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33"/>
      <c r="P266" s="433"/>
      <c r="Q266" s="433"/>
      <c r="R266" s="433"/>
      <c r="S266" s="433"/>
      <c r="T266" s="433"/>
      <c r="U266" s="433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28"/>
      <c r="H267" s="425">
        <f t="shared" si="117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433"/>
      <c r="P267" s="433"/>
      <c r="Q267" s="433"/>
      <c r="R267" s="433"/>
      <c r="S267" s="433"/>
      <c r="T267" s="433"/>
      <c r="U267" s="433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28"/>
      <c r="H268" s="425">
        <f t="shared" si="117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433"/>
      <c r="P268" s="433"/>
      <c r="Q268" s="433"/>
      <c r="R268" s="433"/>
      <c r="S268" s="433"/>
      <c r="T268" s="433"/>
      <c r="U268" s="433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28"/>
      <c r="H269" s="425">
        <f t="shared" si="117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433"/>
      <c r="P269" s="433"/>
      <c r="Q269" s="433"/>
      <c r="R269" s="433"/>
      <c r="S269" s="433"/>
      <c r="T269" s="433"/>
      <c r="U269" s="433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28"/>
      <c r="H270" s="425">
        <f t="shared" si="117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5" si="121">IF(ISERROR(I270-K270),"",I270-K270)</f>
        <v>0</v>
      </c>
      <c r="N270" s="130">
        <f t="shared" ref="N270:N285" si="122">SUM(O270:U270)</f>
        <v>0</v>
      </c>
      <c r="O270" s="433"/>
      <c r="P270" s="433"/>
      <c r="Q270" s="433"/>
      <c r="R270" s="433"/>
      <c r="S270" s="433"/>
      <c r="T270" s="433"/>
      <c r="U270" s="433"/>
      <c r="V270" s="132">
        <f t="shared" ref="V270:V273" si="123">SUM(X270:AA270)</f>
        <v>0</v>
      </c>
      <c r="W270" s="133" t="str">
        <f t="shared" ref="W270:W277" si="124">IF(ISERROR(V270/G270),"",V270/G270)</f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28"/>
      <c r="H271" s="425">
        <f t="shared" si="117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1"/>
        <v/>
      </c>
      <c r="N271" s="130">
        <f t="shared" si="122"/>
        <v>0</v>
      </c>
      <c r="O271" s="433"/>
      <c r="P271" s="433"/>
      <c r="Q271" s="433"/>
      <c r="R271" s="433"/>
      <c r="S271" s="433"/>
      <c r="T271" s="433"/>
      <c r="U271" s="433"/>
      <c r="V271" s="132">
        <f t="shared" si="123"/>
        <v>0</v>
      </c>
      <c r="W271" s="133" t="str">
        <f t="shared" si="124"/>
        <v/>
      </c>
      <c r="X271" s="132"/>
      <c r="Y271" s="132"/>
      <c r="Z271" s="132"/>
      <c r="AA271" s="132"/>
    </row>
    <row r="272" spans="1:27" ht="20.100000000000001" hidden="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28"/>
      <c r="H272" s="425">
        <f t="shared" si="117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1"/>
        <v/>
      </c>
      <c r="N272" s="130">
        <f t="shared" si="122"/>
        <v>0</v>
      </c>
      <c r="O272" s="433"/>
      <c r="P272" s="433"/>
      <c r="Q272" s="433"/>
      <c r="R272" s="433"/>
      <c r="S272" s="433"/>
      <c r="T272" s="433"/>
      <c r="U272" s="433"/>
      <c r="V272" s="132">
        <f t="shared" si="123"/>
        <v>0</v>
      </c>
      <c r="W272" s="133" t="str">
        <f t="shared" si="124"/>
        <v/>
      </c>
      <c r="X272" s="132"/>
      <c r="Y272" s="132"/>
      <c r="Z272" s="132"/>
      <c r="AA272" s="132"/>
    </row>
    <row r="273" spans="1:27" ht="20.100000000000001" hidden="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28"/>
      <c r="H273" s="425">
        <f t="shared" si="117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21"/>
        <v/>
      </c>
      <c r="N273" s="130">
        <f t="shared" si="122"/>
        <v>0</v>
      </c>
      <c r="O273" s="433"/>
      <c r="P273" s="433"/>
      <c r="Q273" s="433"/>
      <c r="R273" s="433"/>
      <c r="S273" s="433"/>
      <c r="T273" s="433"/>
      <c r="U273" s="433"/>
      <c r="V273" s="132">
        <f t="shared" si="123"/>
        <v>0</v>
      </c>
      <c r="W273" s="133" t="str">
        <f t="shared" si="124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30600005</v>
      </c>
      <c r="B274" s="424" t="s">
        <v>222</v>
      </c>
      <c r="C274" s="126" t="s">
        <v>181</v>
      </c>
      <c r="D274" s="108">
        <v>9.36</v>
      </c>
      <c r="E274" s="108"/>
      <c r="F274" s="127"/>
      <c r="G274" s="128"/>
      <c r="H274" s="425">
        <f t="shared" si="117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1"/>
        <v>0</v>
      </c>
      <c r="N274" s="130">
        <f t="shared" si="122"/>
        <v>0</v>
      </c>
      <c r="O274" s="433"/>
      <c r="P274" s="433"/>
      <c r="Q274" s="433"/>
      <c r="R274" s="433"/>
      <c r="S274" s="433"/>
      <c r="T274" s="433"/>
      <c r="U274" s="433"/>
      <c r="V274" s="132">
        <f t="shared" ref="V274:V277" si="125">SUM(X274:AA274)</f>
        <v>0</v>
      </c>
      <c r="W274" s="133" t="str">
        <f t="shared" si="124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30600008</v>
      </c>
      <c r="B275" s="424" t="s">
        <v>222</v>
      </c>
      <c r="C275" s="126" t="s">
        <v>179</v>
      </c>
      <c r="D275" s="108">
        <v>9.36</v>
      </c>
      <c r="E275" s="108"/>
      <c r="F275" s="127"/>
      <c r="G275" s="128"/>
      <c r="H275" s="425">
        <f t="shared" si="117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1"/>
        <v>0</v>
      </c>
      <c r="N275" s="130">
        <f t="shared" si="122"/>
        <v>0</v>
      </c>
      <c r="O275" s="433"/>
      <c r="P275" s="433"/>
      <c r="Q275" s="433"/>
      <c r="R275" s="433"/>
      <c r="S275" s="433"/>
      <c r="T275" s="433"/>
      <c r="U275" s="433"/>
      <c r="V275" s="132">
        <f t="shared" si="125"/>
        <v>0</v>
      </c>
      <c r="W275" s="133" t="str">
        <f t="shared" si="124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30600007</v>
      </c>
      <c r="B276" s="424" t="s">
        <v>222</v>
      </c>
      <c r="C276" s="126" t="s">
        <v>221</v>
      </c>
      <c r="D276" s="108">
        <v>9.36</v>
      </c>
      <c r="E276" s="108"/>
      <c r="F276" s="127"/>
      <c r="G276" s="128"/>
      <c r="H276" s="425">
        <f t="shared" si="117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1"/>
        <v>0</v>
      </c>
      <c r="N276" s="130">
        <f t="shared" si="122"/>
        <v>0</v>
      </c>
      <c r="O276" s="433"/>
      <c r="P276" s="433"/>
      <c r="Q276" s="433"/>
      <c r="R276" s="433"/>
      <c r="S276" s="433"/>
      <c r="T276" s="433"/>
      <c r="U276" s="433"/>
      <c r="V276" s="132">
        <f t="shared" si="125"/>
        <v>0</v>
      </c>
      <c r="W276" s="133" t="str">
        <f t="shared" si="124"/>
        <v/>
      </c>
      <c r="X276" s="132"/>
      <c r="Y276" s="132"/>
      <c r="Z276" s="132"/>
      <c r="AA276" s="132"/>
    </row>
    <row r="277" spans="1:27" ht="20.100000000000001" hidden="1" customHeight="1">
      <c r="A277" s="304">
        <v>30600006</v>
      </c>
      <c r="B277" s="424" t="s">
        <v>222</v>
      </c>
      <c r="C277" s="126" t="s">
        <v>186</v>
      </c>
      <c r="D277" s="108">
        <v>9.36</v>
      </c>
      <c r="E277" s="108"/>
      <c r="F277" s="127"/>
      <c r="G277" s="128"/>
      <c r="H277" s="425">
        <f t="shared" si="117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21"/>
        <v>0</v>
      </c>
      <c r="N277" s="130">
        <f t="shared" si="122"/>
        <v>0</v>
      </c>
      <c r="O277" s="433"/>
      <c r="P277" s="433"/>
      <c r="Q277" s="433"/>
      <c r="R277" s="433"/>
      <c r="S277" s="433"/>
      <c r="T277" s="433"/>
      <c r="U277" s="433"/>
      <c r="V277" s="132">
        <f t="shared" si="125"/>
        <v>0</v>
      </c>
      <c r="W277" s="133" t="str">
        <f t="shared" si="124"/>
        <v/>
      </c>
      <c r="X277" s="132"/>
      <c r="Y277" s="132"/>
      <c r="Z277" s="132"/>
      <c r="AA277" s="132"/>
    </row>
    <row r="278" spans="1:27" ht="20.100000000000001" hidden="1" customHeight="1">
      <c r="A278" s="299">
        <v>30400026</v>
      </c>
      <c r="B278" s="424" t="s">
        <v>393</v>
      </c>
      <c r="C278" s="187" t="s">
        <v>395</v>
      </c>
      <c r="D278" s="108">
        <v>5</v>
      </c>
      <c r="E278" s="108"/>
      <c r="F278" s="127"/>
      <c r="G278" s="128"/>
      <c r="H278" s="425">
        <f t="shared" si="117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1"/>
        <v>0</v>
      </c>
      <c r="N278" s="130">
        <f t="shared" si="122"/>
        <v>0</v>
      </c>
      <c r="O278" s="433"/>
      <c r="P278" s="433"/>
      <c r="Q278" s="433"/>
      <c r="R278" s="433"/>
      <c r="S278" s="433"/>
      <c r="T278" s="433"/>
      <c r="U278" s="433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30400028</v>
      </c>
      <c r="B279" s="424" t="s">
        <v>393</v>
      </c>
      <c r="C279" s="187" t="s">
        <v>402</v>
      </c>
      <c r="D279" s="108">
        <v>5</v>
      </c>
      <c r="E279" s="108"/>
      <c r="F279" s="127"/>
      <c r="G279" s="128"/>
      <c r="H279" s="425">
        <f t="shared" si="117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1"/>
        <v>0</v>
      </c>
      <c r="N279" s="130">
        <f t="shared" si="122"/>
        <v>0</v>
      </c>
      <c r="O279" s="433"/>
      <c r="P279" s="433"/>
      <c r="Q279" s="433"/>
      <c r="R279" s="433"/>
      <c r="S279" s="433"/>
      <c r="T279" s="433"/>
      <c r="U279" s="433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>
        <v>30400027</v>
      </c>
      <c r="B280" s="424" t="s">
        <v>404</v>
      </c>
      <c r="C280" s="187" t="s">
        <v>405</v>
      </c>
      <c r="D280" s="108">
        <v>5</v>
      </c>
      <c r="E280" s="108"/>
      <c r="F280" s="127"/>
      <c r="G280" s="128"/>
      <c r="H280" s="425">
        <f t="shared" si="117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1"/>
        <v>0</v>
      </c>
      <c r="N280" s="130">
        <f t="shared" si="122"/>
        <v>0</v>
      </c>
      <c r="O280" s="433"/>
      <c r="P280" s="433"/>
      <c r="Q280" s="433"/>
      <c r="R280" s="433"/>
      <c r="S280" s="433"/>
      <c r="T280" s="433"/>
      <c r="U280" s="433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/>
      <c r="B281" s="424" t="s">
        <v>342</v>
      </c>
      <c r="C281" s="187" t="s">
        <v>372</v>
      </c>
      <c r="D281" s="108">
        <v>5</v>
      </c>
      <c r="E281" s="108"/>
      <c r="F281" s="127"/>
      <c r="G281" s="128"/>
      <c r="H281" s="425">
        <f t="shared" si="117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1"/>
        <v>0</v>
      </c>
      <c r="N281" s="130">
        <f t="shared" si="122"/>
        <v>0</v>
      </c>
      <c r="O281" s="433"/>
      <c r="P281" s="433"/>
      <c r="Q281" s="433"/>
      <c r="R281" s="433"/>
      <c r="S281" s="433"/>
      <c r="T281" s="433"/>
      <c r="U281" s="433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30600009</v>
      </c>
      <c r="B282" s="424" t="s">
        <v>343</v>
      </c>
      <c r="C282" s="126" t="s">
        <v>345</v>
      </c>
      <c r="D282" s="108">
        <v>5</v>
      </c>
      <c r="E282" s="108"/>
      <c r="F282" s="127"/>
      <c r="G282" s="128"/>
      <c r="H282" s="425">
        <f t="shared" si="117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1"/>
        <v>0</v>
      </c>
      <c r="N282" s="130">
        <f t="shared" si="122"/>
        <v>0</v>
      </c>
      <c r="O282" s="433"/>
      <c r="P282" s="433"/>
      <c r="Q282" s="433"/>
      <c r="R282" s="433"/>
      <c r="S282" s="433"/>
      <c r="T282" s="433"/>
      <c r="U282" s="433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30600010</v>
      </c>
      <c r="B283" s="424" t="s">
        <v>343</v>
      </c>
      <c r="C283" s="126" t="s">
        <v>347</v>
      </c>
      <c r="D283" s="108">
        <v>5</v>
      </c>
      <c r="E283" s="108"/>
      <c r="F283" s="127"/>
      <c r="G283" s="128"/>
      <c r="H283" s="425">
        <f t="shared" si="117"/>
        <v>0</v>
      </c>
      <c r="I283" s="129"/>
      <c r="J283" s="130"/>
      <c r="K283" s="131">
        <f t="array" ref="K283">IF(ISERROR(G283/L283),"",G283/L283)</f>
        <v>0</v>
      </c>
      <c r="L283" s="129">
        <v>5</v>
      </c>
      <c r="M283" s="109">
        <f t="shared" si="121"/>
        <v>0</v>
      </c>
      <c r="N283" s="130">
        <f t="shared" si="122"/>
        <v>0</v>
      </c>
      <c r="O283" s="433"/>
      <c r="P283" s="433"/>
      <c r="Q283" s="433"/>
      <c r="R283" s="433"/>
      <c r="S283" s="433"/>
      <c r="T283" s="433"/>
      <c r="U283" s="433"/>
      <c r="V283" s="132"/>
      <c r="W283" s="133"/>
      <c r="X283" s="132"/>
      <c r="Y283" s="132"/>
      <c r="Z283" s="132"/>
      <c r="AA283" s="132"/>
    </row>
    <row r="284" spans="1:27" ht="20.100000000000001" hidden="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/>
      <c r="G284" s="128"/>
      <c r="H284" s="425">
        <f t="shared" si="117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1"/>
        <v>0</v>
      </c>
      <c r="N284" s="130">
        <f t="shared" si="122"/>
        <v>0</v>
      </c>
      <c r="O284" s="433"/>
      <c r="P284" s="433"/>
      <c r="Q284" s="433"/>
      <c r="R284" s="433"/>
      <c r="S284" s="433"/>
      <c r="T284" s="433"/>
      <c r="U284" s="433"/>
      <c r="V284" s="132">
        <f t="shared" ref="V284:V285" si="126">SUM(X284:AA284)</f>
        <v>0</v>
      </c>
      <c r="W284" s="133" t="str">
        <f t="shared" ref="W284:W285" si="127">IF(ISERROR(V284/G284),"",V284/G284)</f>
        <v/>
      </c>
      <c r="X284" s="132"/>
      <c r="Y284" s="132"/>
      <c r="Z284" s="132"/>
      <c r="AA284" s="132"/>
    </row>
    <row r="285" spans="1:27" ht="20.100000000000001" hidden="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28"/>
      <c r="H285" s="425">
        <f t="shared" si="117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21"/>
        <v>0</v>
      </c>
      <c r="N285" s="130">
        <f t="shared" si="122"/>
        <v>0</v>
      </c>
      <c r="O285" s="433"/>
      <c r="P285" s="433"/>
      <c r="Q285" s="433"/>
      <c r="R285" s="433"/>
      <c r="S285" s="433"/>
      <c r="T285" s="433"/>
      <c r="U285" s="433"/>
      <c r="V285" s="132">
        <f t="shared" si="126"/>
        <v>0</v>
      </c>
      <c r="W285" s="133" t="str">
        <f t="shared" si="127"/>
        <v/>
      </c>
      <c r="X285" s="132"/>
      <c r="Y285" s="132"/>
      <c r="Z285" s="132"/>
      <c r="AA285" s="132"/>
    </row>
    <row r="286" spans="1:27" ht="20.100000000000001" hidden="1" customHeight="1">
      <c r="A286" s="299">
        <v>30400004</v>
      </c>
      <c r="B286" s="151" t="s">
        <v>419</v>
      </c>
      <c r="C286" s="187" t="s">
        <v>73</v>
      </c>
      <c r="D286" s="108">
        <v>5.03</v>
      </c>
      <c r="E286" s="108"/>
      <c r="F286" s="127"/>
      <c r="G286" s="128"/>
      <c r="H286" s="425">
        <f t="shared" si="117"/>
        <v>0</v>
      </c>
      <c r="I286" s="129"/>
      <c r="J286" s="130"/>
      <c r="K286" s="131"/>
      <c r="L286" s="129">
        <v>24</v>
      </c>
      <c r="M286" s="109"/>
      <c r="N286" s="130"/>
      <c r="O286" s="433"/>
      <c r="P286" s="433"/>
      <c r="Q286" s="433"/>
      <c r="R286" s="433"/>
      <c r="S286" s="433"/>
      <c r="T286" s="433"/>
      <c r="U286" s="433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/>
      <c r="G287" s="128"/>
      <c r="H287" s="425">
        <f t="shared" si="117"/>
        <v>0</v>
      </c>
      <c r="I287" s="129"/>
      <c r="J287" s="130"/>
      <c r="K287" s="131"/>
      <c r="L287" s="129">
        <v>24</v>
      </c>
      <c r="M287" s="109"/>
      <c r="N287" s="130"/>
      <c r="O287" s="433"/>
      <c r="P287" s="433"/>
      <c r="Q287" s="433"/>
      <c r="R287" s="433"/>
      <c r="S287" s="433"/>
      <c r="T287" s="433"/>
      <c r="U287" s="433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/>
      <c r="G288" s="128"/>
      <c r="H288" s="425">
        <f t="shared" si="117"/>
        <v>0</v>
      </c>
      <c r="I288" s="129"/>
      <c r="J288" s="130"/>
      <c r="K288" s="131"/>
      <c r="L288" s="129">
        <v>24</v>
      </c>
      <c r="M288" s="109"/>
      <c r="N288" s="130"/>
      <c r="O288" s="433"/>
      <c r="P288" s="433"/>
      <c r="Q288" s="433"/>
      <c r="R288" s="433"/>
      <c r="S288" s="433"/>
      <c r="T288" s="433"/>
      <c r="U288" s="433"/>
      <c r="V288" s="132"/>
      <c r="W288" s="133"/>
      <c r="X288" s="132"/>
      <c r="Y288" s="132"/>
      <c r="Z288" s="132"/>
      <c r="AA288" s="132"/>
    </row>
    <row r="289" spans="1:27" ht="20.100000000000001" hidden="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/>
      <c r="G289" s="128"/>
      <c r="H289" s="425">
        <f t="shared" si="117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ref="M289:M291" si="128">IF(ISERROR(I289-K289),"",I289-K289)</f>
        <v>0</v>
      </c>
      <c r="N289" s="130">
        <f t="shared" ref="N289:N291" si="129">SUM(O289:U289)</f>
        <v>0</v>
      </c>
      <c r="O289" s="433"/>
      <c r="P289" s="433"/>
      <c r="Q289" s="433"/>
      <c r="R289" s="433"/>
      <c r="S289" s="433"/>
      <c r="T289" s="433"/>
      <c r="U289" s="433"/>
      <c r="V289" s="132">
        <f t="shared" ref="V289:V291" si="130">SUM(X289:AA289)</f>
        <v>0</v>
      </c>
      <c r="W289" s="133" t="str">
        <f t="shared" ref="W289:W313" si="131">IF(ISERROR(V289/G289),"",V289/G289)</f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28"/>
      <c r="H290" s="425">
        <f t="shared" si="117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8"/>
        <v>0</v>
      </c>
      <c r="N290" s="130">
        <f t="shared" si="129"/>
        <v>0</v>
      </c>
      <c r="O290" s="433"/>
      <c r="P290" s="433"/>
      <c r="Q290" s="433"/>
      <c r="R290" s="433"/>
      <c r="S290" s="433"/>
      <c r="T290" s="433"/>
      <c r="U290" s="433"/>
      <c r="V290" s="132">
        <f t="shared" si="130"/>
        <v>0</v>
      </c>
      <c r="W290" s="133" t="str">
        <f t="shared" si="131"/>
        <v/>
      </c>
      <c r="X290" s="132"/>
      <c r="Y290" s="132"/>
      <c r="Z290" s="132"/>
      <c r="AA290" s="132"/>
    </row>
    <row r="291" spans="1:27" ht="20.100000000000001" hidden="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/>
      <c r="G291" s="128"/>
      <c r="H291" s="425">
        <f t="shared" si="117"/>
        <v>0</v>
      </c>
      <c r="I291" s="129"/>
      <c r="J291" s="130" t="str">
        <f t="array" ref="J291">IF(ISERROR(G291/I291),"",G291/I291)</f>
        <v/>
      </c>
      <c r="K291" s="425">
        <f t="array" ref="K291">IF(ISERROR(G291/L291),"",G291/L291)</f>
        <v>0</v>
      </c>
      <c r="L291" s="129">
        <v>9</v>
      </c>
      <c r="M291" s="109">
        <f t="shared" si="128"/>
        <v>0</v>
      </c>
      <c r="N291" s="130">
        <f t="shared" si="129"/>
        <v>0</v>
      </c>
      <c r="O291" s="433"/>
      <c r="P291" s="433"/>
      <c r="Q291" s="433"/>
      <c r="R291" s="433"/>
      <c r="S291" s="433"/>
      <c r="T291" s="433"/>
      <c r="U291" s="433"/>
      <c r="V291" s="132">
        <f t="shared" si="130"/>
        <v>0</v>
      </c>
      <c r="W291" s="133" t="str">
        <f t="shared" si="131"/>
        <v/>
      </c>
      <c r="X291" s="132"/>
      <c r="Y291" s="132"/>
      <c r="Z291" s="132"/>
      <c r="AA291" s="132"/>
    </row>
    <row r="292" spans="1:27" ht="20.100000000000001" customHeight="1">
      <c r="A292" s="578" t="s">
        <v>224</v>
      </c>
      <c r="B292" s="579"/>
      <c r="C292" s="434" t="s">
        <v>202</v>
      </c>
      <c r="D292" s="143"/>
      <c r="E292" s="143"/>
      <c r="F292" s="144"/>
      <c r="G292" s="145">
        <f>SUM(G258:G291)</f>
        <v>210</v>
      </c>
      <c r="H292" s="146">
        <f>SUM(H258:H291)</f>
        <v>1056.3</v>
      </c>
      <c r="I292" s="146">
        <f>SUM(I258:I291)</f>
        <v>33</v>
      </c>
      <c r="J292" s="130">
        <f t="array" ref="J292">IF(ISERROR(G292/I292),"",G292/I292)</f>
        <v>6.3636363636363633</v>
      </c>
      <c r="K292" s="146">
        <f>SUM(K258:K291)</f>
        <v>22.58064516129032</v>
      </c>
      <c r="L292" s="147"/>
      <c r="M292" s="150">
        <f t="shared" ref="M292:V292" si="132">SUM(M258:M291)</f>
        <v>10.41935483870968</v>
      </c>
      <c r="N292" s="146">
        <f t="shared" si="132"/>
        <v>0</v>
      </c>
      <c r="O292" s="148">
        <f t="shared" si="132"/>
        <v>0</v>
      </c>
      <c r="P292" s="148">
        <f t="shared" si="132"/>
        <v>0</v>
      </c>
      <c r="Q292" s="148">
        <f t="shared" si="132"/>
        <v>0</v>
      </c>
      <c r="R292" s="148">
        <f t="shared" si="132"/>
        <v>0</v>
      </c>
      <c r="S292" s="148">
        <f t="shared" si="132"/>
        <v>0</v>
      </c>
      <c r="T292" s="148">
        <f t="shared" si="132"/>
        <v>0</v>
      </c>
      <c r="U292" s="148">
        <f t="shared" si="132"/>
        <v>0</v>
      </c>
      <c r="V292" s="149">
        <f t="shared" si="132"/>
        <v>0</v>
      </c>
      <c r="W292" s="133">
        <f t="shared" si="131"/>
        <v>0</v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hidden="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/>
      <c r="G293" s="128"/>
      <c r="H293" s="425">
        <f t="shared" ref="H293:H307" si="133">D293*G293</f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ref="M293:M307" si="134">IF(ISERROR(I293-K293),"",I293-K293)</f>
        <v>0</v>
      </c>
      <c r="N293" s="130">
        <f t="shared" ref="N293:N307" si="135">SUM(O293:U293)</f>
        <v>0</v>
      </c>
      <c r="O293" s="433"/>
      <c r="P293" s="433"/>
      <c r="Q293" s="433"/>
      <c r="R293" s="433"/>
      <c r="S293" s="433"/>
      <c r="T293" s="433"/>
      <c r="U293" s="433"/>
      <c r="V293" s="132">
        <f t="shared" ref="V293:V307" si="136">SUM(X293:AA293)</f>
        <v>0</v>
      </c>
      <c r="W293" s="133" t="str">
        <f t="shared" si="131"/>
        <v/>
      </c>
      <c r="X293" s="132"/>
      <c r="Y293" s="132"/>
      <c r="Z293" s="132"/>
      <c r="AA293" s="132"/>
    </row>
    <row r="294" spans="1:27" ht="20.100000000000001" hidden="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/>
      <c r="G294" s="128"/>
      <c r="H294" s="425">
        <f t="shared" si="133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25</v>
      </c>
      <c r="M294" s="109">
        <f t="shared" si="134"/>
        <v>0</v>
      </c>
      <c r="N294" s="130">
        <f t="shared" si="135"/>
        <v>0</v>
      </c>
      <c r="O294" s="433"/>
      <c r="P294" s="433"/>
      <c r="Q294" s="433"/>
      <c r="R294" s="433"/>
      <c r="S294" s="433"/>
      <c r="T294" s="433"/>
      <c r="U294" s="433"/>
      <c r="V294" s="132">
        <f t="shared" si="136"/>
        <v>0</v>
      </c>
      <c r="W294" s="133" t="str">
        <f t="shared" si="131"/>
        <v/>
      </c>
      <c r="X294" s="132"/>
      <c r="Y294" s="132"/>
      <c r="Z294" s="132"/>
      <c r="AA294" s="132"/>
    </row>
    <row r="295" spans="1:27" ht="20.100000000000001" hidden="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/>
      <c r="G295" s="128"/>
      <c r="H295" s="425">
        <f t="shared" si="133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20</v>
      </c>
      <c r="M295" s="109">
        <f t="shared" si="134"/>
        <v>0</v>
      </c>
      <c r="N295" s="130">
        <f t="shared" si="135"/>
        <v>0</v>
      </c>
      <c r="O295" s="433"/>
      <c r="P295" s="433"/>
      <c r="Q295" s="433"/>
      <c r="R295" s="433"/>
      <c r="S295" s="433"/>
      <c r="T295" s="433"/>
      <c r="U295" s="433"/>
      <c r="V295" s="132">
        <f t="shared" si="136"/>
        <v>0</v>
      </c>
      <c r="W295" s="133" t="str">
        <f t="shared" si="131"/>
        <v/>
      </c>
      <c r="X295" s="132"/>
      <c r="Y295" s="132"/>
      <c r="Z295" s="132"/>
      <c r="AA295" s="132"/>
    </row>
    <row r="296" spans="1:27" ht="20.100000000000001" hidden="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28"/>
      <c r="H296" s="425">
        <f t="shared" si="133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4"/>
        <v>0</v>
      </c>
      <c r="N296" s="130">
        <f t="shared" si="135"/>
        <v>0</v>
      </c>
      <c r="O296" s="433"/>
      <c r="P296" s="433"/>
      <c r="Q296" s="433"/>
      <c r="R296" s="433"/>
      <c r="S296" s="433"/>
      <c r="T296" s="433"/>
      <c r="U296" s="433"/>
      <c r="V296" s="132">
        <f t="shared" si="136"/>
        <v>0</v>
      </c>
      <c r="W296" s="133" t="str">
        <f t="shared" si="131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30100054</v>
      </c>
      <c r="B297" s="140" t="s">
        <v>227</v>
      </c>
      <c r="C297" s="430" t="s">
        <v>203</v>
      </c>
      <c r="D297" s="108">
        <v>5.03</v>
      </c>
      <c r="E297" s="108"/>
      <c r="F297" s="127"/>
      <c r="G297" s="128"/>
      <c r="H297" s="425">
        <f t="shared" si="133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4"/>
        <v>0</v>
      </c>
      <c r="N297" s="130">
        <f t="shared" si="135"/>
        <v>0</v>
      </c>
      <c r="O297" s="433"/>
      <c r="P297" s="433"/>
      <c r="Q297" s="433"/>
      <c r="R297" s="433"/>
      <c r="S297" s="433"/>
      <c r="T297" s="433"/>
      <c r="U297" s="433"/>
      <c r="V297" s="132">
        <f t="shared" si="136"/>
        <v>0</v>
      </c>
      <c r="W297" s="133" t="str">
        <f t="shared" si="131"/>
        <v/>
      </c>
      <c r="X297" s="132"/>
      <c r="Y297" s="132"/>
      <c r="Z297" s="132"/>
      <c r="AA297" s="132"/>
    </row>
    <row r="298" spans="1:27" ht="20.100000000000001" hidden="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/>
      <c r="G298" s="128"/>
      <c r="H298" s="425">
        <f t="shared" si="133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4"/>
        <v>0</v>
      </c>
      <c r="N298" s="130">
        <f t="shared" si="135"/>
        <v>0</v>
      </c>
      <c r="O298" s="433"/>
      <c r="P298" s="433"/>
      <c r="Q298" s="433"/>
      <c r="R298" s="433"/>
      <c r="S298" s="433"/>
      <c r="T298" s="433"/>
      <c r="U298" s="433"/>
      <c r="V298" s="132">
        <f t="shared" si="136"/>
        <v>0</v>
      </c>
      <c r="W298" s="133" t="str">
        <f t="shared" si="131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28"/>
      <c r="H299" s="425">
        <f t="shared" si="133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4"/>
        <v>0</v>
      </c>
      <c r="N299" s="130">
        <f t="shared" si="135"/>
        <v>0</v>
      </c>
      <c r="O299" s="433"/>
      <c r="P299" s="433"/>
      <c r="Q299" s="433"/>
      <c r="R299" s="433"/>
      <c r="S299" s="433"/>
      <c r="T299" s="433"/>
      <c r="U299" s="433"/>
      <c r="V299" s="132">
        <f t="shared" si="136"/>
        <v>0</v>
      </c>
      <c r="W299" s="133" t="str">
        <f t="shared" si="131"/>
        <v/>
      </c>
      <c r="X299" s="132"/>
      <c r="Y299" s="132"/>
      <c r="Z299" s="132"/>
      <c r="AA299" s="132"/>
    </row>
    <row r="300" spans="1:27" ht="20.100000000000001" hidden="1" customHeight="1">
      <c r="A300" s="299"/>
      <c r="B300" s="140" t="s">
        <v>227</v>
      </c>
      <c r="C300" s="430" t="s">
        <v>228</v>
      </c>
      <c r="D300" s="108">
        <v>5.03</v>
      </c>
      <c r="E300" s="108"/>
      <c r="F300" s="127"/>
      <c r="G300" s="128"/>
      <c r="H300" s="425">
        <f t="shared" si="133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4"/>
        <v>0</v>
      </c>
      <c r="N300" s="130">
        <f t="shared" si="135"/>
        <v>0</v>
      </c>
      <c r="O300" s="433"/>
      <c r="P300" s="433"/>
      <c r="Q300" s="433"/>
      <c r="R300" s="433"/>
      <c r="S300" s="433"/>
      <c r="T300" s="433"/>
      <c r="U300" s="433"/>
      <c r="V300" s="132">
        <f t="shared" si="136"/>
        <v>0</v>
      </c>
      <c r="W300" s="133" t="str">
        <f t="shared" si="131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30101067</v>
      </c>
      <c r="B301" s="140" t="s">
        <v>229</v>
      </c>
      <c r="C301" s="430" t="s">
        <v>212</v>
      </c>
      <c r="D301" s="108">
        <v>5.03</v>
      </c>
      <c r="E301" s="108"/>
      <c r="F301" s="127"/>
      <c r="G301" s="128"/>
      <c r="H301" s="425">
        <f t="shared" si="133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4"/>
        <v/>
      </c>
      <c r="N301" s="130">
        <f t="shared" si="135"/>
        <v>0</v>
      </c>
      <c r="O301" s="433"/>
      <c r="P301" s="433"/>
      <c r="Q301" s="433"/>
      <c r="R301" s="433"/>
      <c r="S301" s="433"/>
      <c r="T301" s="433"/>
      <c r="U301" s="433"/>
      <c r="V301" s="132">
        <f t="shared" si="136"/>
        <v>0</v>
      </c>
      <c r="W301" s="133" t="str">
        <f t="shared" si="131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30101068</v>
      </c>
      <c r="B302" s="140" t="s">
        <v>229</v>
      </c>
      <c r="C302" s="430" t="s">
        <v>203</v>
      </c>
      <c r="D302" s="108">
        <v>5.03</v>
      </c>
      <c r="E302" s="108"/>
      <c r="F302" s="127"/>
      <c r="G302" s="128"/>
      <c r="H302" s="425">
        <f t="shared" si="133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4"/>
        <v/>
      </c>
      <c r="N302" s="130">
        <f t="shared" si="135"/>
        <v>0</v>
      </c>
      <c r="O302" s="433"/>
      <c r="P302" s="433"/>
      <c r="Q302" s="433"/>
      <c r="R302" s="433"/>
      <c r="S302" s="433"/>
      <c r="T302" s="433"/>
      <c r="U302" s="433"/>
      <c r="V302" s="132">
        <f t="shared" si="136"/>
        <v>0</v>
      </c>
      <c r="W302" s="133" t="str">
        <f t="shared" si="131"/>
        <v/>
      </c>
      <c r="X302" s="132"/>
      <c r="Y302" s="132"/>
      <c r="Z302" s="132"/>
      <c r="AA302" s="132"/>
    </row>
    <row r="303" spans="1:27" ht="20.100000000000001" hidden="1" customHeight="1">
      <c r="A303" s="299">
        <v>30101069</v>
      </c>
      <c r="B303" s="140" t="s">
        <v>229</v>
      </c>
      <c r="C303" s="430" t="s">
        <v>186</v>
      </c>
      <c r="D303" s="108">
        <v>5.03</v>
      </c>
      <c r="E303" s="108"/>
      <c r="F303" s="127"/>
      <c r="G303" s="128"/>
      <c r="H303" s="425">
        <f t="shared" si="133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4"/>
        <v/>
      </c>
      <c r="N303" s="130">
        <f t="shared" si="135"/>
        <v>0</v>
      </c>
      <c r="O303" s="433"/>
      <c r="P303" s="433"/>
      <c r="Q303" s="433"/>
      <c r="R303" s="433"/>
      <c r="S303" s="433"/>
      <c r="T303" s="433"/>
      <c r="U303" s="433"/>
      <c r="V303" s="132">
        <f t="shared" si="136"/>
        <v>0</v>
      </c>
      <c r="W303" s="133" t="str">
        <f t="shared" si="131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30101070</v>
      </c>
      <c r="B304" s="140" t="s">
        <v>229</v>
      </c>
      <c r="C304" s="430" t="s">
        <v>228</v>
      </c>
      <c r="D304" s="108">
        <v>5.03</v>
      </c>
      <c r="E304" s="108"/>
      <c r="F304" s="127"/>
      <c r="G304" s="128"/>
      <c r="H304" s="425">
        <f t="shared" si="133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4"/>
        <v/>
      </c>
      <c r="N304" s="130">
        <f t="shared" si="135"/>
        <v>0</v>
      </c>
      <c r="O304" s="433"/>
      <c r="P304" s="433"/>
      <c r="Q304" s="433"/>
      <c r="R304" s="433"/>
      <c r="S304" s="433"/>
      <c r="T304" s="433"/>
      <c r="U304" s="433"/>
      <c r="V304" s="132">
        <f t="shared" si="136"/>
        <v>0</v>
      </c>
      <c r="W304" s="133" t="str">
        <f t="shared" si="131"/>
        <v/>
      </c>
      <c r="X304" s="132"/>
      <c r="Y304" s="132"/>
      <c r="Z304" s="132"/>
      <c r="AA304" s="132"/>
    </row>
    <row r="305" spans="1:27" ht="20.100000000000001" hidden="1" customHeight="1">
      <c r="A305" s="299">
        <v>30101071</v>
      </c>
      <c r="B305" s="140" t="s">
        <v>229</v>
      </c>
      <c r="C305" s="430" t="s">
        <v>199</v>
      </c>
      <c r="D305" s="108">
        <v>5.03</v>
      </c>
      <c r="E305" s="108"/>
      <c r="F305" s="127"/>
      <c r="G305" s="128"/>
      <c r="H305" s="425">
        <f t="shared" si="133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4"/>
        <v/>
      </c>
      <c r="N305" s="130">
        <f t="shared" si="135"/>
        <v>0</v>
      </c>
      <c r="O305" s="433"/>
      <c r="P305" s="433"/>
      <c r="Q305" s="433"/>
      <c r="R305" s="433"/>
      <c r="S305" s="433"/>
      <c r="T305" s="433"/>
      <c r="U305" s="433"/>
      <c r="V305" s="132">
        <f t="shared" si="136"/>
        <v>0</v>
      </c>
      <c r="W305" s="133" t="str">
        <f t="shared" si="131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/>
      <c r="G306" s="128"/>
      <c r="H306" s="425">
        <f t="shared" si="133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4"/>
        <v>0</v>
      </c>
      <c r="N306" s="130">
        <f t="shared" si="135"/>
        <v>0</v>
      </c>
      <c r="O306" s="433"/>
      <c r="P306" s="433"/>
      <c r="Q306" s="433"/>
      <c r="R306" s="433"/>
      <c r="S306" s="433"/>
      <c r="T306" s="433"/>
      <c r="U306" s="433"/>
      <c r="V306" s="132">
        <f t="shared" si="136"/>
        <v>0</v>
      </c>
      <c r="W306" s="133" t="str">
        <f t="shared" si="131"/>
        <v/>
      </c>
      <c r="X306" s="132"/>
      <c r="Y306" s="132"/>
      <c r="Z306" s="132"/>
      <c r="AA306" s="132"/>
    </row>
    <row r="307" spans="1:27" ht="20.10000000000000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>
        <v>42740</v>
      </c>
      <c r="G307" s="128">
        <f>90*4</f>
        <v>360</v>
      </c>
      <c r="H307" s="425">
        <f t="shared" si="133"/>
        <v>1821.6</v>
      </c>
      <c r="I307" s="129">
        <f>6*3</f>
        <v>18</v>
      </c>
      <c r="J307" s="130">
        <f t="array" ref="J307">IF(ISERROR(G307/I307),"",G307/I307)</f>
        <v>20</v>
      </c>
      <c r="K307" s="131">
        <f t="array" ref="K307">IF(ISERROR(G307/L307),"",G307/L307)</f>
        <v>14.4</v>
      </c>
      <c r="L307" s="129">
        <v>25</v>
      </c>
      <c r="M307" s="109">
        <f t="shared" si="134"/>
        <v>3.5999999999999996</v>
      </c>
      <c r="N307" s="130">
        <f t="shared" si="135"/>
        <v>0</v>
      </c>
      <c r="O307" s="433"/>
      <c r="P307" s="433"/>
      <c r="Q307" s="433"/>
      <c r="R307" s="433"/>
      <c r="S307" s="433"/>
      <c r="T307" s="433"/>
      <c r="U307" s="433"/>
      <c r="V307" s="132">
        <f t="shared" si="136"/>
        <v>0</v>
      </c>
      <c r="W307" s="133">
        <f t="shared" si="131"/>
        <v>0</v>
      </c>
      <c r="X307" s="132"/>
      <c r="Y307" s="132"/>
      <c r="Z307" s="132"/>
      <c r="AA307" s="132"/>
    </row>
    <row r="308" spans="1:27" ht="20.100000000000001" customHeight="1">
      <c r="A308" s="578" t="s">
        <v>231</v>
      </c>
      <c r="B308" s="579"/>
      <c r="C308" s="434" t="s">
        <v>202</v>
      </c>
      <c r="D308" s="143"/>
      <c r="E308" s="143"/>
      <c r="F308" s="144"/>
      <c r="G308" s="145">
        <f>SUM(G293:G307)</f>
        <v>360</v>
      </c>
      <c r="H308" s="146">
        <f>SUM(H293:H307)</f>
        <v>1821.6</v>
      </c>
      <c r="I308" s="146">
        <f>SUM(I293:I307)</f>
        <v>18</v>
      </c>
      <c r="J308" s="130">
        <f t="array" ref="J308">IF(ISERROR(G308/I308),"",G308/I308)</f>
        <v>20</v>
      </c>
      <c r="K308" s="146">
        <f>SUM(K293:K307)</f>
        <v>14.4</v>
      </c>
      <c r="L308" s="146"/>
      <c r="M308" s="150">
        <f>SUM(M293:M307)</f>
        <v>3.5999999999999996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>
        <f t="shared" si="131"/>
        <v>0</v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hidden="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28"/>
      <c r="H309" s="425">
        <f t="shared" ref="H309:H318" si="137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3" si="138">IF(ISERROR(I309-K309),"",I309-K309)</f>
        <v>0</v>
      </c>
      <c r="N309" s="130">
        <f t="shared" ref="N309:N313" si="139">SUM(O309:U309)</f>
        <v>0</v>
      </c>
      <c r="O309" s="433"/>
      <c r="P309" s="433"/>
      <c r="Q309" s="433"/>
      <c r="R309" s="433"/>
      <c r="S309" s="433"/>
      <c r="T309" s="433"/>
      <c r="U309" s="433"/>
      <c r="V309" s="132">
        <f t="shared" ref="V309:V313" si="140">SUM(X309:AA309)</f>
        <v>0</v>
      </c>
      <c r="W309" s="133" t="str">
        <f t="shared" si="131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28"/>
      <c r="H310" s="425">
        <f t="shared" si="137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8"/>
        <v>0</v>
      </c>
      <c r="N310" s="130">
        <f t="shared" si="139"/>
        <v>0</v>
      </c>
      <c r="O310" s="433"/>
      <c r="P310" s="433"/>
      <c r="Q310" s="433"/>
      <c r="R310" s="433"/>
      <c r="S310" s="433"/>
      <c r="T310" s="433"/>
      <c r="U310" s="433"/>
      <c r="V310" s="132">
        <f t="shared" si="140"/>
        <v>0</v>
      </c>
      <c r="W310" s="133" t="str">
        <f t="shared" si="131"/>
        <v/>
      </c>
      <c r="X310" s="132"/>
      <c r="Y310" s="132"/>
      <c r="Z310" s="132"/>
      <c r="AA310" s="132"/>
    </row>
    <row r="311" spans="1:27" ht="20.100000000000001" hidden="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28"/>
      <c r="H311" s="425">
        <f t="shared" si="137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8"/>
        <v>0</v>
      </c>
      <c r="N311" s="130">
        <f t="shared" si="139"/>
        <v>0</v>
      </c>
      <c r="O311" s="433"/>
      <c r="P311" s="433"/>
      <c r="Q311" s="433"/>
      <c r="R311" s="433"/>
      <c r="S311" s="433"/>
      <c r="T311" s="433"/>
      <c r="U311" s="433"/>
      <c r="V311" s="132">
        <f t="shared" si="140"/>
        <v>0</v>
      </c>
      <c r="W311" s="133" t="str">
        <f t="shared" si="131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28"/>
      <c r="H312" s="425">
        <f t="shared" si="137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8"/>
        <v>0</v>
      </c>
      <c r="N312" s="130">
        <f t="shared" si="139"/>
        <v>0</v>
      </c>
      <c r="O312" s="433"/>
      <c r="P312" s="433"/>
      <c r="Q312" s="433"/>
      <c r="R312" s="433"/>
      <c r="S312" s="433"/>
      <c r="T312" s="433"/>
      <c r="U312" s="433"/>
      <c r="V312" s="132">
        <f t="shared" si="140"/>
        <v>0</v>
      </c>
      <c r="W312" s="133" t="str">
        <f t="shared" si="131"/>
        <v/>
      </c>
      <c r="X312" s="132"/>
      <c r="Y312" s="132"/>
      <c r="Z312" s="132"/>
      <c r="AA312" s="132"/>
    </row>
    <row r="313" spans="1:27" ht="20.100000000000001" hidden="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28"/>
      <c r="H313" s="425">
        <f t="shared" si="137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38"/>
        <v>0</v>
      </c>
      <c r="N313" s="130">
        <f t="shared" si="139"/>
        <v>0</v>
      </c>
      <c r="O313" s="433"/>
      <c r="P313" s="433"/>
      <c r="Q313" s="433"/>
      <c r="R313" s="433"/>
      <c r="S313" s="433"/>
      <c r="T313" s="433"/>
      <c r="U313" s="433"/>
      <c r="V313" s="132">
        <f t="shared" si="140"/>
        <v>0</v>
      </c>
      <c r="W313" s="133" t="str">
        <f t="shared" si="131"/>
        <v/>
      </c>
      <c r="X313" s="132"/>
      <c r="Y313" s="132"/>
      <c r="Z313" s="132"/>
      <c r="AA313" s="132"/>
    </row>
    <row r="314" spans="1:27" ht="20.100000000000001" hidden="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/>
      <c r="G314" s="128"/>
      <c r="H314" s="425">
        <f t="shared" si="137"/>
        <v>0</v>
      </c>
      <c r="I314" s="129"/>
      <c r="J314" s="130"/>
      <c r="K314" s="131"/>
      <c r="L314" s="129">
        <v>13.5</v>
      </c>
      <c r="M314" s="109"/>
      <c r="N314" s="130"/>
      <c r="O314" s="433"/>
      <c r="P314" s="433"/>
      <c r="Q314" s="433"/>
      <c r="R314" s="433"/>
      <c r="S314" s="433"/>
      <c r="T314" s="433"/>
      <c r="U314" s="433"/>
      <c r="V314" s="132"/>
      <c r="W314" s="133"/>
      <c r="X314" s="132"/>
      <c r="Y314" s="132"/>
      <c r="Z314" s="132"/>
      <c r="AA314" s="132"/>
    </row>
    <row r="315" spans="1:27" ht="19.5" customHeight="1">
      <c r="A315" s="300">
        <v>30400020</v>
      </c>
      <c r="B315" s="134" t="s">
        <v>439</v>
      </c>
      <c r="C315" s="187" t="s">
        <v>74</v>
      </c>
      <c r="D315" s="108">
        <v>5.03</v>
      </c>
      <c r="E315" s="108"/>
      <c r="F315" s="127">
        <v>42737</v>
      </c>
      <c r="G315" s="128">
        <f>90*6+30</f>
        <v>570</v>
      </c>
      <c r="H315" s="425">
        <f t="shared" si="137"/>
        <v>2867.1000000000004</v>
      </c>
      <c r="I315" s="129">
        <f>11.5*4</f>
        <v>46</v>
      </c>
      <c r="J315" s="130">
        <f t="array" ref="J315">IF(ISERROR(G315/I315),"",G315/I315)</f>
        <v>12.391304347826088</v>
      </c>
      <c r="K315" s="131">
        <f t="array" ref="K315">IF(ISERROR(G315/L315),"",G315/L315)</f>
        <v>42.222222222222221</v>
      </c>
      <c r="L315" s="129">
        <v>13.5</v>
      </c>
      <c r="M315" s="109">
        <f t="shared" ref="M315" si="141">IF(ISERROR(I315-K315),"",I315-K315)</f>
        <v>3.7777777777777786</v>
      </c>
      <c r="N315" s="130"/>
      <c r="O315" s="433"/>
      <c r="P315" s="433"/>
      <c r="Q315" s="433"/>
      <c r="R315" s="433"/>
      <c r="S315" s="433"/>
      <c r="T315" s="433"/>
      <c r="U315" s="433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30400021</v>
      </c>
      <c r="B316" s="134" t="s">
        <v>439</v>
      </c>
      <c r="C316" s="187" t="s">
        <v>53</v>
      </c>
      <c r="D316" s="108">
        <v>5.03</v>
      </c>
      <c r="E316" s="108"/>
      <c r="F316" s="127"/>
      <c r="G316" s="128"/>
      <c r="H316" s="425">
        <f t="shared" si="137"/>
        <v>0</v>
      </c>
      <c r="I316" s="129"/>
      <c r="J316" s="130"/>
      <c r="K316" s="131"/>
      <c r="L316" s="129">
        <v>13.5</v>
      </c>
      <c r="M316" s="109"/>
      <c r="N316" s="130"/>
      <c r="O316" s="433"/>
      <c r="P316" s="433"/>
      <c r="Q316" s="433"/>
      <c r="R316" s="433"/>
      <c r="S316" s="433"/>
      <c r="T316" s="433"/>
      <c r="U316" s="433"/>
      <c r="V316" s="132"/>
      <c r="W316" s="133"/>
      <c r="X316" s="132"/>
      <c r="Y316" s="132"/>
      <c r="Z316" s="132"/>
      <c r="AA316" s="132"/>
    </row>
    <row r="317" spans="1:27" ht="20.10000000000000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/>
      <c r="G317" s="128"/>
      <c r="H317" s="438">
        <f t="shared" si="137"/>
        <v>0</v>
      </c>
      <c r="I317" s="129"/>
      <c r="J317" s="130"/>
      <c r="K317" s="131"/>
      <c r="L317" s="129"/>
      <c r="M317" s="109"/>
      <c r="N317" s="130"/>
      <c r="O317" s="446"/>
      <c r="P317" s="446"/>
      <c r="Q317" s="446"/>
      <c r="R317" s="446"/>
      <c r="S317" s="446"/>
      <c r="T317" s="446"/>
      <c r="U317" s="446"/>
      <c r="V317" s="132"/>
      <c r="W317" s="133"/>
      <c r="X317" s="132"/>
      <c r="Y317" s="132"/>
      <c r="Z317" s="132"/>
      <c r="AA317" s="132"/>
    </row>
    <row r="318" spans="1:27" ht="20.100000000000001" hidden="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28"/>
      <c r="H318" s="425">
        <f t="shared" si="137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ref="M318" si="142">IF(ISERROR(I318-K318),"",I318-K318)</f>
        <v>0</v>
      </c>
      <c r="N318" s="130">
        <f t="shared" ref="N318" si="143">SUM(O318:U318)</f>
        <v>0</v>
      </c>
      <c r="O318" s="433"/>
      <c r="P318" s="433"/>
      <c r="Q318" s="433"/>
      <c r="R318" s="433"/>
      <c r="S318" s="433"/>
      <c r="T318" s="433"/>
      <c r="U318" s="433"/>
      <c r="V318" s="132">
        <f t="shared" ref="V318" si="144">SUM(X318:AA318)</f>
        <v>0</v>
      </c>
      <c r="W318" s="133" t="str">
        <f t="shared" ref="W318:W323" si="145">IF(ISERROR(V318/G318),"",V318/G318)</f>
        <v/>
      </c>
      <c r="X318" s="132"/>
      <c r="Y318" s="132"/>
      <c r="Z318" s="132"/>
      <c r="AA318" s="132"/>
    </row>
    <row r="319" spans="1:27" ht="20.100000000000001" customHeight="1">
      <c r="A319" s="578" t="s">
        <v>234</v>
      </c>
      <c r="B319" s="579"/>
      <c r="C319" s="434" t="s">
        <v>202</v>
      </c>
      <c r="D319" s="143"/>
      <c r="E319" s="143"/>
      <c r="F319" s="144"/>
      <c r="G319" s="145">
        <f>SUM(G309:G318)</f>
        <v>570</v>
      </c>
      <c r="H319" s="146">
        <f>SUM(H309:H318)</f>
        <v>2867.1000000000004</v>
      </c>
      <c r="I319" s="146">
        <f>SUM(I309:I318)</f>
        <v>46</v>
      </c>
      <c r="J319" s="130">
        <f t="array" ref="J319">IF(ISERROR(G319/I319),"",G319/I319)</f>
        <v>12.391304347826088</v>
      </c>
      <c r="K319" s="146">
        <f>SUM(K309:K318)</f>
        <v>42.222222222222221</v>
      </c>
      <c r="L319" s="147"/>
      <c r="M319" s="150">
        <f>SUM(M309:M318)</f>
        <v>3.7777777777777786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>
        <f t="shared" si="145"/>
        <v>0</v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hidden="1" customHeight="1">
      <c r="A320" s="299">
        <v>30700013</v>
      </c>
      <c r="B320" s="141" t="s">
        <v>235</v>
      </c>
      <c r="C320" s="431"/>
      <c r="D320" s="108">
        <v>3.65</v>
      </c>
      <c r="E320" s="108"/>
      <c r="F320" s="153"/>
      <c r="G320" s="128"/>
      <c r="H320" s="425">
        <f t="shared" ref="H320:H333" si="146">D320*G320</f>
        <v>0</v>
      </c>
      <c r="I320" s="129"/>
      <c r="J320" s="130" t="str">
        <f t="array" ref="J320">IF(ISERROR(G320/I320),"",G320/I320)</f>
        <v/>
      </c>
      <c r="K320" s="425">
        <f t="array" ref="K320">IF(ISERROR(G320/L320),"",G320/L320)</f>
        <v>0</v>
      </c>
      <c r="L320" s="129">
        <v>5</v>
      </c>
      <c r="M320" s="109">
        <f t="shared" ref="M320:M323" si="147">IF(ISERROR(I320-K320),"",I320-K320)</f>
        <v>0</v>
      </c>
      <c r="N320" s="130">
        <f t="shared" ref="N320:N323" si="148">SUM(O320:U320)</f>
        <v>0</v>
      </c>
      <c r="O320" s="433"/>
      <c r="P320" s="433"/>
      <c r="Q320" s="433"/>
      <c r="R320" s="433"/>
      <c r="S320" s="433"/>
      <c r="T320" s="433"/>
      <c r="U320" s="433"/>
      <c r="V320" s="132">
        <f t="shared" ref="V320:V323" si="149">SUM(X320:AA320)</f>
        <v>0</v>
      </c>
      <c r="W320" s="133" t="str">
        <f t="shared" si="145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30700014</v>
      </c>
      <c r="B321" s="141" t="s">
        <v>236</v>
      </c>
      <c r="C321" s="431"/>
      <c r="D321" s="108">
        <v>6.58</v>
      </c>
      <c r="E321" s="108"/>
      <c r="F321" s="127"/>
      <c r="G321" s="128"/>
      <c r="H321" s="425">
        <f t="shared" si="146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</v>
      </c>
      <c r="M321" s="109">
        <f t="shared" si="147"/>
        <v>0</v>
      </c>
      <c r="N321" s="130">
        <f t="shared" si="148"/>
        <v>0</v>
      </c>
      <c r="O321" s="433"/>
      <c r="P321" s="433"/>
      <c r="Q321" s="433"/>
      <c r="R321" s="433"/>
      <c r="S321" s="433"/>
      <c r="T321" s="433"/>
      <c r="U321" s="433"/>
      <c r="V321" s="132">
        <f t="shared" si="149"/>
        <v>0</v>
      </c>
      <c r="W321" s="133" t="str">
        <f t="shared" si="145"/>
        <v/>
      </c>
      <c r="X321" s="132"/>
      <c r="Y321" s="132"/>
      <c r="Z321" s="132"/>
      <c r="AA321" s="132"/>
    </row>
    <row r="322" spans="1:27" ht="20.100000000000001" customHeight="1">
      <c r="A322" s="299">
        <v>30700016</v>
      </c>
      <c r="B322" s="141" t="s">
        <v>237</v>
      </c>
      <c r="C322" s="431"/>
      <c r="D322" s="108">
        <v>7.8</v>
      </c>
      <c r="E322" s="108"/>
      <c r="F322" s="127">
        <v>42737</v>
      </c>
      <c r="G322" s="128">
        <f>32*3</f>
        <v>96</v>
      </c>
      <c r="H322" s="425">
        <f t="shared" si="146"/>
        <v>748.8</v>
      </c>
      <c r="I322" s="129">
        <v>21</v>
      </c>
      <c r="J322" s="130">
        <f t="array" ref="J322">IF(ISERROR(G322/I322),"",G322/I322)</f>
        <v>4.5714285714285712</v>
      </c>
      <c r="K322" s="131">
        <f t="array" ref="K322">IF(ISERROR(G322/L322),"",G322/L322)</f>
        <v>20.869565217391305</v>
      </c>
      <c r="L322" s="129">
        <v>4.5999999999999996</v>
      </c>
      <c r="M322" s="109">
        <f t="shared" si="147"/>
        <v>0.13043478260869534</v>
      </c>
      <c r="N322" s="130">
        <f t="shared" si="148"/>
        <v>0</v>
      </c>
      <c r="O322" s="433"/>
      <c r="P322" s="433"/>
      <c r="Q322" s="433"/>
      <c r="R322" s="433"/>
      <c r="S322" s="433"/>
      <c r="T322" s="433"/>
      <c r="U322" s="433"/>
      <c r="V322" s="132">
        <f t="shared" si="149"/>
        <v>0</v>
      </c>
      <c r="W322" s="133">
        <f t="shared" si="145"/>
        <v>0</v>
      </c>
      <c r="X322" s="132"/>
      <c r="Y322" s="132"/>
      <c r="Z322" s="132"/>
      <c r="AA322" s="132"/>
    </row>
    <row r="323" spans="1:27" ht="20.100000000000001" hidden="1" customHeight="1">
      <c r="A323" s="299">
        <v>30700017</v>
      </c>
      <c r="B323" s="141" t="s">
        <v>238</v>
      </c>
      <c r="C323" s="431"/>
      <c r="D323" s="108">
        <v>4.4000000000000004</v>
      </c>
      <c r="E323" s="108"/>
      <c r="F323" s="127"/>
      <c r="G323" s="128"/>
      <c r="H323" s="425">
        <f t="shared" si="146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5.8</v>
      </c>
      <c r="M323" s="109">
        <f t="shared" si="147"/>
        <v>0</v>
      </c>
      <c r="N323" s="130">
        <f t="shared" si="148"/>
        <v>0</v>
      </c>
      <c r="O323" s="433"/>
      <c r="P323" s="433"/>
      <c r="Q323" s="433"/>
      <c r="R323" s="433"/>
      <c r="S323" s="433"/>
      <c r="T323" s="433"/>
      <c r="U323" s="433"/>
      <c r="V323" s="132">
        <f t="shared" si="149"/>
        <v>0</v>
      </c>
      <c r="W323" s="133" t="str">
        <f t="shared" si="145"/>
        <v/>
      </c>
      <c r="X323" s="132"/>
      <c r="Y323" s="132"/>
      <c r="Z323" s="132"/>
      <c r="AA323" s="132"/>
    </row>
    <row r="324" spans="1:27" ht="20.100000000000001" hidden="1" customHeight="1">
      <c r="A324" s="299">
        <v>30700001</v>
      </c>
      <c r="B324" s="127" t="s">
        <v>359</v>
      </c>
      <c r="C324" s="431"/>
      <c r="D324" s="108"/>
      <c r="E324" s="108"/>
      <c r="F324" s="127"/>
      <c r="G324" s="128"/>
      <c r="H324" s="425">
        <f t="shared" si="146"/>
        <v>0</v>
      </c>
      <c r="I324" s="129"/>
      <c r="J324" s="130"/>
      <c r="K324" s="131"/>
      <c r="L324" s="129">
        <v>6</v>
      </c>
      <c r="M324" s="109"/>
      <c r="N324" s="130"/>
      <c r="O324" s="433"/>
      <c r="P324" s="433"/>
      <c r="Q324" s="433"/>
      <c r="R324" s="433"/>
      <c r="S324" s="433"/>
      <c r="T324" s="433"/>
      <c r="U324" s="433"/>
      <c r="V324" s="132"/>
      <c r="W324" s="133"/>
      <c r="X324" s="132"/>
      <c r="Y324" s="132"/>
      <c r="Z324" s="132"/>
      <c r="AA324" s="132"/>
    </row>
    <row r="325" spans="1:27" ht="20.100000000000001" hidden="1" customHeight="1">
      <c r="A325" s="305"/>
      <c r="B325" s="431" t="s">
        <v>239</v>
      </c>
      <c r="C325" s="431" t="s">
        <v>179</v>
      </c>
      <c r="D325" s="108">
        <v>6.04</v>
      </c>
      <c r="E325" s="108"/>
      <c r="F325" s="127"/>
      <c r="G325" s="128"/>
      <c r="H325" s="425">
        <f t="shared" si="146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6" si="150">IF(ISERROR(I325-K325),"",I325-K325)</f>
        <v>0</v>
      </c>
      <c r="N325" s="130">
        <f t="shared" ref="N325:N326" si="151">SUM(O325:U325)</f>
        <v>0</v>
      </c>
      <c r="O325" s="433"/>
      <c r="P325" s="433"/>
      <c r="Q325" s="433"/>
      <c r="R325" s="433"/>
      <c r="S325" s="433"/>
      <c r="T325" s="433"/>
      <c r="U325" s="433"/>
      <c r="V325" s="132">
        <f t="shared" ref="V325:V326" si="152">SUM(X325:AA325)</f>
        <v>0</v>
      </c>
      <c r="W325" s="133" t="str">
        <f t="shared" ref="W325:W326" si="153">IF(ISERROR(V325/G325),"",V325/G325)</f>
        <v/>
      </c>
      <c r="X325" s="132"/>
      <c r="Y325" s="132"/>
      <c r="Z325" s="132"/>
      <c r="AA325" s="132"/>
    </row>
    <row r="326" spans="1:27" ht="20.100000000000001" hidden="1" customHeight="1">
      <c r="A326" s="305">
        <v>30700019</v>
      </c>
      <c r="B326" s="431" t="s">
        <v>239</v>
      </c>
      <c r="C326" s="431" t="s">
        <v>186</v>
      </c>
      <c r="D326" s="108">
        <v>6.04</v>
      </c>
      <c r="E326" s="108"/>
      <c r="F326" s="127"/>
      <c r="G326" s="128"/>
      <c r="H326" s="425">
        <f t="shared" si="146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50"/>
        <v>0</v>
      </c>
      <c r="N326" s="130">
        <f t="shared" si="151"/>
        <v>0</v>
      </c>
      <c r="O326" s="433"/>
      <c r="P326" s="433"/>
      <c r="Q326" s="433"/>
      <c r="R326" s="433"/>
      <c r="S326" s="433"/>
      <c r="T326" s="433"/>
      <c r="U326" s="433"/>
      <c r="V326" s="132">
        <f t="shared" si="152"/>
        <v>0</v>
      </c>
      <c r="W326" s="133" t="str">
        <f t="shared" si="153"/>
        <v/>
      </c>
      <c r="X326" s="132"/>
      <c r="Y326" s="132"/>
      <c r="Z326" s="132"/>
      <c r="AA326" s="132"/>
    </row>
    <row r="327" spans="1:27" ht="20.100000000000001" hidden="1" customHeight="1">
      <c r="A327" s="305">
        <v>30601015</v>
      </c>
      <c r="B327" s="431" t="s">
        <v>443</v>
      </c>
      <c r="C327" s="431" t="s">
        <v>179</v>
      </c>
      <c r="D327" s="108">
        <v>6</v>
      </c>
      <c r="E327" s="108"/>
      <c r="F327" s="127"/>
      <c r="G327" s="128"/>
      <c r="H327" s="425">
        <f t="shared" si="146"/>
        <v>0</v>
      </c>
      <c r="I327" s="129"/>
      <c r="J327" s="130"/>
      <c r="K327" s="131"/>
      <c r="L327" s="129"/>
      <c r="M327" s="109"/>
      <c r="N327" s="130"/>
      <c r="O327" s="433"/>
      <c r="P327" s="433"/>
      <c r="Q327" s="433"/>
      <c r="R327" s="433"/>
      <c r="S327" s="433"/>
      <c r="T327" s="433"/>
      <c r="U327" s="433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305">
        <v>30101016</v>
      </c>
      <c r="B328" s="431" t="s">
        <v>443</v>
      </c>
      <c r="C328" s="431" t="s">
        <v>60</v>
      </c>
      <c r="D328" s="108">
        <v>6</v>
      </c>
      <c r="E328" s="108"/>
      <c r="F328" s="127"/>
      <c r="G328" s="128"/>
      <c r="H328" s="425">
        <f t="shared" si="146"/>
        <v>0</v>
      </c>
      <c r="I328" s="129"/>
      <c r="J328" s="130"/>
      <c r="K328" s="131">
        <f t="array" ref="K328">IF(ISERROR(G328/L328),"",G328/L328)</f>
        <v>0</v>
      </c>
      <c r="L328" s="129">
        <v>6</v>
      </c>
      <c r="M328" s="109"/>
      <c r="N328" s="130"/>
      <c r="O328" s="433"/>
      <c r="P328" s="433"/>
      <c r="Q328" s="433"/>
      <c r="R328" s="433"/>
      <c r="S328" s="433"/>
      <c r="T328" s="433"/>
      <c r="U328" s="433"/>
      <c r="V328" s="132"/>
      <c r="W328" s="133"/>
      <c r="X328" s="132"/>
      <c r="Y328" s="132"/>
      <c r="Z328" s="132"/>
      <c r="AA328" s="132"/>
    </row>
    <row r="329" spans="1:27" ht="20.100000000000001" hidden="1" customHeight="1">
      <c r="A329" s="299">
        <v>30700018</v>
      </c>
      <c r="B329" s="424" t="s">
        <v>240</v>
      </c>
      <c r="C329" s="126"/>
      <c r="D329" s="108">
        <v>7.3</v>
      </c>
      <c r="E329" s="108"/>
      <c r="F329" s="127"/>
      <c r="G329" s="128"/>
      <c r="H329" s="425">
        <f t="shared" si="146"/>
        <v>0</v>
      </c>
      <c r="I329" s="129"/>
      <c r="J329" s="130"/>
      <c r="K329" s="131"/>
      <c r="L329" s="129"/>
      <c r="M329" s="109"/>
      <c r="N329" s="130"/>
      <c r="O329" s="433"/>
      <c r="P329" s="433"/>
      <c r="Q329" s="433"/>
      <c r="R329" s="433"/>
      <c r="S329" s="433"/>
      <c r="T329" s="433"/>
      <c r="U329" s="433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30700010</v>
      </c>
      <c r="B330" s="424" t="s">
        <v>241</v>
      </c>
      <c r="C330" s="126"/>
      <c r="D330" s="108">
        <f>78*120/1000</f>
        <v>9.36</v>
      </c>
      <c r="E330" s="108"/>
      <c r="F330" s="127"/>
      <c r="G330" s="128"/>
      <c r="H330" s="425">
        <f t="shared" si="146"/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4">SUM(O330:U330)</f>
        <v>0</v>
      </c>
      <c r="O330" s="433"/>
      <c r="P330" s="433"/>
      <c r="Q330" s="433"/>
      <c r="R330" s="433"/>
      <c r="S330" s="433"/>
      <c r="T330" s="433"/>
      <c r="U330" s="433"/>
      <c r="V330" s="132">
        <f t="shared" ref="V330" si="155">SUM(X330:AA330)</f>
        <v>0</v>
      </c>
      <c r="W330" s="133" t="str">
        <f t="shared" ref="W330" si="156">IF(ISERROR(V330/G330),"",V330/G330)</f>
        <v/>
      </c>
      <c r="X330" s="132"/>
      <c r="Y330" s="132"/>
      <c r="Z330" s="132"/>
      <c r="AA330" s="132"/>
    </row>
    <row r="331" spans="1:27" ht="20.100000000000001" hidden="1" customHeight="1">
      <c r="A331" s="299">
        <v>30700015</v>
      </c>
      <c r="B331" s="424" t="s">
        <v>242</v>
      </c>
      <c r="C331" s="126"/>
      <c r="D331" s="108">
        <v>4.5</v>
      </c>
      <c r="E331" s="108"/>
      <c r="F331" s="127"/>
      <c r="G331" s="128"/>
      <c r="H331" s="425">
        <f t="shared" si="146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433"/>
      <c r="P331" s="433"/>
      <c r="Q331" s="433"/>
      <c r="R331" s="433"/>
      <c r="S331" s="433"/>
      <c r="T331" s="433"/>
      <c r="U331" s="433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299">
        <v>30700012</v>
      </c>
      <c r="B332" s="424" t="s">
        <v>243</v>
      </c>
      <c r="C332" s="126"/>
      <c r="D332" s="108">
        <v>4.5</v>
      </c>
      <c r="E332" s="108"/>
      <c r="F332" s="127"/>
      <c r="G332" s="128"/>
      <c r="H332" s="425">
        <f t="shared" si="146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433"/>
      <c r="P332" s="433"/>
      <c r="Q332" s="433"/>
      <c r="R332" s="433"/>
      <c r="S332" s="433"/>
      <c r="T332" s="433"/>
      <c r="U332" s="433"/>
      <c r="V332" s="132"/>
      <c r="W332" s="133"/>
      <c r="X332" s="132"/>
      <c r="Y332" s="132"/>
      <c r="Z332" s="132"/>
      <c r="AA332" s="132"/>
    </row>
    <row r="333" spans="1:27" ht="20.100000000000001" hidden="1" customHeight="1">
      <c r="A333" s="299"/>
      <c r="B333" s="199" t="s">
        <v>438</v>
      </c>
      <c r="C333" s="126"/>
      <c r="D333" s="108">
        <v>4.5</v>
      </c>
      <c r="E333" s="108"/>
      <c r="F333" s="127"/>
      <c r="G333" s="128"/>
      <c r="H333" s="425">
        <f t="shared" si="146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433"/>
      <c r="P333" s="433"/>
      <c r="Q333" s="433"/>
      <c r="R333" s="433"/>
      <c r="S333" s="433"/>
      <c r="T333" s="433"/>
      <c r="U333" s="433"/>
      <c r="V333" s="132"/>
      <c r="W333" s="133"/>
      <c r="X333" s="132"/>
      <c r="Y333" s="132"/>
      <c r="Z333" s="132"/>
      <c r="AA333" s="132"/>
    </row>
    <row r="334" spans="1:27" ht="20.100000000000001" customHeight="1">
      <c r="A334" s="578" t="s">
        <v>244</v>
      </c>
      <c r="B334" s="579"/>
      <c r="C334" s="434" t="s">
        <v>202</v>
      </c>
      <c r="D334" s="143"/>
      <c r="E334" s="143"/>
      <c r="F334" s="144"/>
      <c r="G334" s="145">
        <f>SUM(G320:G333)</f>
        <v>96</v>
      </c>
      <c r="H334" s="146">
        <f>SUM(H320:H330)</f>
        <v>748.8</v>
      </c>
      <c r="I334" s="146">
        <f>SUM(I320:I333)</f>
        <v>21</v>
      </c>
      <c r="J334" s="130">
        <f t="array" ref="J334">IF(ISERROR(G334/I334),"",G334/I334)</f>
        <v>4.5714285714285712</v>
      </c>
      <c r="K334" s="146">
        <f>SUM(K320:K330)</f>
        <v>20.869565217391305</v>
      </c>
      <c r="L334" s="147"/>
      <c r="M334" s="150">
        <f t="shared" ref="M334:AA334" si="157">SUM(M320:M330)</f>
        <v>0.13043478260869534</v>
      </c>
      <c r="N334" s="146">
        <f t="shared" si="157"/>
        <v>0</v>
      </c>
      <c r="O334" s="148">
        <f t="shared" si="157"/>
        <v>0</v>
      </c>
      <c r="P334" s="148">
        <f t="shared" si="157"/>
        <v>0</v>
      </c>
      <c r="Q334" s="148">
        <f t="shared" si="157"/>
        <v>0</v>
      </c>
      <c r="R334" s="148">
        <f t="shared" si="157"/>
        <v>0</v>
      </c>
      <c r="S334" s="148">
        <f t="shared" si="157"/>
        <v>0</v>
      </c>
      <c r="T334" s="148">
        <f t="shared" si="157"/>
        <v>0</v>
      </c>
      <c r="U334" s="148">
        <f t="shared" si="157"/>
        <v>0</v>
      </c>
      <c r="V334" s="149">
        <f t="shared" si="157"/>
        <v>0</v>
      </c>
      <c r="W334" s="133">
        <f t="shared" si="157"/>
        <v>0</v>
      </c>
      <c r="X334" s="149">
        <f t="shared" si="157"/>
        <v>0</v>
      </c>
      <c r="Y334" s="149">
        <f t="shared" si="157"/>
        <v>0</v>
      </c>
      <c r="Z334" s="149">
        <f t="shared" si="157"/>
        <v>0</v>
      </c>
      <c r="AA334" s="149">
        <f t="shared" si="157"/>
        <v>0</v>
      </c>
    </row>
    <row r="335" spans="1:27" ht="20.100000000000001" customHeight="1">
      <c r="A335" s="580" t="s">
        <v>246</v>
      </c>
      <c r="B335" s="581"/>
      <c r="C335" s="581"/>
      <c r="D335" s="581"/>
      <c r="E335" s="581"/>
      <c r="F335" s="582"/>
      <c r="G335" s="154">
        <f>SUM(G199,G257,G292,G308,G319,G334)</f>
        <v>5239</v>
      </c>
      <c r="H335" s="154">
        <f>SUM(H199,H257,H292,H308,H319,H334)</f>
        <v>26670.98</v>
      </c>
      <c r="I335" s="154">
        <f>SUM(I199,I257,I292,I308,I319,I334)</f>
        <v>279.5</v>
      </c>
      <c r="J335" s="155">
        <f t="array" ref="J335">IF(ISERROR(G335/I335),"",G335/I335)</f>
        <v>18.744186046511629</v>
      </c>
      <c r="K335" s="154">
        <f>SUM(K199,K257,K292,K308,K319,K334)</f>
        <v>238.76934750645128</v>
      </c>
      <c r="L335" s="155">
        <f>IF(ISERROR(G335/K335),"",G335/K335)</f>
        <v>21.941677416773306</v>
      </c>
      <c r="M335" s="154">
        <f t="shared" ref="M335:AA335" si="158">SUM(M199,M257,M292,M308,M319,M334)</f>
        <v>40.730652493548739</v>
      </c>
      <c r="N335" s="154">
        <f t="shared" si="158"/>
        <v>0</v>
      </c>
      <c r="O335" s="154">
        <f t="shared" si="158"/>
        <v>0</v>
      </c>
      <c r="P335" s="154">
        <f t="shared" si="158"/>
        <v>0</v>
      </c>
      <c r="Q335" s="154">
        <f t="shared" si="158"/>
        <v>0</v>
      </c>
      <c r="R335" s="154">
        <f t="shared" si="158"/>
        <v>0</v>
      </c>
      <c r="S335" s="154">
        <f t="shared" si="158"/>
        <v>0</v>
      </c>
      <c r="T335" s="154">
        <f t="shared" si="158"/>
        <v>0</v>
      </c>
      <c r="U335" s="154">
        <f t="shared" si="158"/>
        <v>0</v>
      </c>
      <c r="V335" s="154">
        <f t="shared" si="158"/>
        <v>0</v>
      </c>
      <c r="W335" s="154">
        <f t="shared" si="158"/>
        <v>0</v>
      </c>
      <c r="X335" s="154">
        <f t="shared" si="158"/>
        <v>0</v>
      </c>
      <c r="Y335" s="154">
        <f t="shared" si="158"/>
        <v>0</v>
      </c>
      <c r="Z335" s="154">
        <f t="shared" si="158"/>
        <v>0</v>
      </c>
      <c r="AA335" s="154">
        <f t="shared" si="158"/>
        <v>0</v>
      </c>
    </row>
    <row r="336" spans="1:27" ht="20.100000000000001" customHeight="1">
      <c r="A336" s="583" t="s">
        <v>476</v>
      </c>
      <c r="B336" s="427" t="s">
        <v>247</v>
      </c>
      <c r="C336" s="586" t="s">
        <v>248</v>
      </c>
      <c r="D336" s="587"/>
      <c r="E336" s="588" t="s">
        <v>249</v>
      </c>
      <c r="F336" s="588"/>
      <c r="G336" s="591" t="s">
        <v>250</v>
      </c>
      <c r="H336" s="591"/>
      <c r="I336" s="588" t="s">
        <v>251</v>
      </c>
      <c r="J336" s="588"/>
      <c r="K336" s="588" t="s">
        <v>252</v>
      </c>
      <c r="L336" s="588"/>
      <c r="M336" s="588" t="s">
        <v>253</v>
      </c>
      <c r="N336" s="588"/>
      <c r="O336" s="588" t="s">
        <v>254</v>
      </c>
      <c r="P336" s="591" t="s">
        <v>255</v>
      </c>
      <c r="Q336" s="591"/>
      <c r="R336" s="591" t="s">
        <v>252</v>
      </c>
      <c r="S336" s="591"/>
      <c r="T336" s="591" t="s">
        <v>256</v>
      </c>
      <c r="U336" s="591"/>
      <c r="V336" s="591" t="s">
        <v>257</v>
      </c>
      <c r="W336" s="591"/>
      <c r="X336" s="591" t="s">
        <v>252</v>
      </c>
      <c r="Y336" s="591"/>
      <c r="Z336" s="591" t="s">
        <v>256</v>
      </c>
      <c r="AA336" s="591"/>
    </row>
    <row r="337" spans="1:27" ht="20.100000000000001" customHeight="1">
      <c r="A337" s="584"/>
      <c r="B337" s="427" t="s">
        <v>258</v>
      </c>
      <c r="C337" s="626">
        <v>1</v>
      </c>
      <c r="D337" s="627"/>
      <c r="E337" s="590">
        <f>C337*11</f>
        <v>11</v>
      </c>
      <c r="F337" s="590"/>
      <c r="G337" s="591">
        <v>1</v>
      </c>
      <c r="H337" s="591"/>
      <c r="I337" s="590">
        <f>G337*11</f>
        <v>11</v>
      </c>
      <c r="J337" s="590"/>
      <c r="K337" s="590">
        <f>E337-I337</f>
        <v>0</v>
      </c>
      <c r="L337" s="590"/>
      <c r="M337" s="592">
        <f>IF(ISERROR(K337/E337),"",K337/E337)</f>
        <v>0</v>
      </c>
      <c r="N337" s="592"/>
      <c r="O337" s="588"/>
      <c r="P337" s="591" t="s">
        <v>201</v>
      </c>
      <c r="Q337" s="591"/>
      <c r="R337" s="593">
        <f>SUM(O199:U199)</f>
        <v>0</v>
      </c>
      <c r="S337" s="593"/>
      <c r="T337" s="594" t="str">
        <f t="array" ref="T337">IF(ISERROR(R337/R344),"",R337/R344)</f>
        <v/>
      </c>
      <c r="U337" s="594"/>
      <c r="V337" s="591" t="s">
        <v>259</v>
      </c>
      <c r="W337" s="591"/>
      <c r="X337" s="628">
        <f>SUM(P198,P256,P291,P307,P318,P333)</f>
        <v>0</v>
      </c>
      <c r="Y337" s="629"/>
      <c r="Z337" s="594" t="str">
        <f t="array" ref="Z337">IF(ISERROR(X337/X344),"",X337/X344)</f>
        <v/>
      </c>
      <c r="AA337" s="594"/>
    </row>
    <row r="338" spans="1:27" ht="20.100000000000001" customHeight="1">
      <c r="A338" s="584"/>
      <c r="B338" s="427" t="s">
        <v>260</v>
      </c>
      <c r="C338" s="586">
        <v>0</v>
      </c>
      <c r="D338" s="587"/>
      <c r="E338" s="590">
        <f>C338*11</f>
        <v>0</v>
      </c>
      <c r="F338" s="590"/>
      <c r="G338" s="591">
        <v>0</v>
      </c>
      <c r="H338" s="591"/>
      <c r="I338" s="590">
        <f>G338*11</f>
        <v>0</v>
      </c>
      <c r="J338" s="590"/>
      <c r="K338" s="590">
        <f>E338-I338</f>
        <v>0</v>
      </c>
      <c r="L338" s="590"/>
      <c r="M338" s="592" t="str">
        <f>IF(ISERROR(K338/E338),"",K338/E338)</f>
        <v/>
      </c>
      <c r="N338" s="592"/>
      <c r="O338" s="588"/>
      <c r="P338" s="591" t="s">
        <v>216</v>
      </c>
      <c r="Q338" s="591"/>
      <c r="R338" s="593">
        <f>SUM(O257:U257)</f>
        <v>0</v>
      </c>
      <c r="S338" s="593"/>
      <c r="T338" s="594" t="str">
        <f>IF(ISERROR(R338/R344),"",R338/R344)</f>
        <v/>
      </c>
      <c r="U338" s="594"/>
      <c r="V338" s="591" t="s">
        <v>261</v>
      </c>
      <c r="W338" s="591"/>
      <c r="X338" s="628">
        <f>SUM(P199,P257,P292,P308,P319,P334)</f>
        <v>0</v>
      </c>
      <c r="Y338" s="629"/>
      <c r="Z338" s="594" t="str">
        <f>IF(ISERROR(X338/X344),"",X338/X344)</f>
        <v/>
      </c>
      <c r="AA338" s="594"/>
    </row>
    <row r="339" spans="1:27" ht="20.100000000000001" customHeight="1">
      <c r="A339" s="584"/>
      <c r="B339" s="427" t="s">
        <v>262</v>
      </c>
      <c r="C339" s="586">
        <v>0</v>
      </c>
      <c r="D339" s="587"/>
      <c r="E339" s="590">
        <f>C339*8</f>
        <v>0</v>
      </c>
      <c r="F339" s="590"/>
      <c r="G339" s="591">
        <v>1</v>
      </c>
      <c r="H339" s="591"/>
      <c r="I339" s="590">
        <f>G339*8</f>
        <v>8</v>
      </c>
      <c r="J339" s="590"/>
      <c r="K339" s="590">
        <f>E339-I339</f>
        <v>-8</v>
      </c>
      <c r="L339" s="590"/>
      <c r="M339" s="592" t="str">
        <f>IF(ISERROR(K339/E339),"",K339/E339)</f>
        <v/>
      </c>
      <c r="N339" s="592"/>
      <c r="O339" s="588"/>
      <c r="P339" s="591" t="s">
        <v>224</v>
      </c>
      <c r="Q339" s="591"/>
      <c r="R339" s="593">
        <f>SUM(O292:U292)</f>
        <v>0</v>
      </c>
      <c r="S339" s="593"/>
      <c r="T339" s="594" t="str">
        <f>IF(ISERROR(R339/R344),"",R339/R344)</f>
        <v/>
      </c>
      <c r="U339" s="594"/>
      <c r="V339" s="591" t="s">
        <v>263</v>
      </c>
      <c r="W339" s="591"/>
      <c r="X339" s="628">
        <f>SUM(P200,P258,P293,P309,P320,P335)</f>
        <v>0</v>
      </c>
      <c r="Y339" s="629"/>
      <c r="Z339" s="594" t="str">
        <f>IF(ISERROR(X339/X344),"",X339/X344)</f>
        <v/>
      </c>
      <c r="AA339" s="594"/>
    </row>
    <row r="340" spans="1:27" ht="20.100000000000001" customHeight="1">
      <c r="A340" s="584"/>
      <c r="B340" s="427" t="s">
        <v>264</v>
      </c>
      <c r="C340" s="586">
        <v>1</v>
      </c>
      <c r="D340" s="587"/>
      <c r="E340" s="590">
        <f>C340*11</f>
        <v>11</v>
      </c>
      <c r="F340" s="590"/>
      <c r="G340" s="591">
        <v>1</v>
      </c>
      <c r="H340" s="591"/>
      <c r="I340" s="590">
        <f>G340*11</f>
        <v>11</v>
      </c>
      <c r="J340" s="590"/>
      <c r="K340" s="590">
        <f>E340-I340</f>
        <v>0</v>
      </c>
      <c r="L340" s="590"/>
      <c r="M340" s="592">
        <f>IF(ISERROR(K340/E340),"",K340/E340)</f>
        <v>0</v>
      </c>
      <c r="N340" s="592"/>
      <c r="O340" s="588"/>
      <c r="P340" s="591" t="s">
        <v>231</v>
      </c>
      <c r="Q340" s="591"/>
      <c r="R340" s="593">
        <f>SUM(O308:U308)</f>
        <v>0</v>
      </c>
      <c r="S340" s="593"/>
      <c r="T340" s="594" t="str">
        <f>IF(ISERROR(R340/R344),"",R340/R344)</f>
        <v/>
      </c>
      <c r="U340" s="594"/>
      <c r="V340" s="591" t="s">
        <v>265</v>
      </c>
      <c r="W340" s="591"/>
      <c r="X340" s="628">
        <f>SUM(P202,P259,P294,P310,P321,P336)</f>
        <v>0</v>
      </c>
      <c r="Y340" s="629"/>
      <c r="Z340" s="594" t="str">
        <f>IF(ISERROR(X340/X344),"",X340/X344)</f>
        <v/>
      </c>
      <c r="AA340" s="594"/>
    </row>
    <row r="341" spans="1:27" ht="20.100000000000001" customHeight="1">
      <c r="A341" s="585"/>
      <c r="B341" s="427" t="s">
        <v>266</v>
      </c>
      <c r="C341" s="596">
        <f>SUM(C337:D340)</f>
        <v>2</v>
      </c>
      <c r="D341" s="597"/>
      <c r="E341" s="590">
        <f>SUM(E337:F340)</f>
        <v>22</v>
      </c>
      <c r="F341" s="590"/>
      <c r="G341" s="591">
        <f>SUM(G337:H340)</f>
        <v>3</v>
      </c>
      <c r="H341" s="591"/>
      <c r="I341" s="590">
        <f>SUM(I337:J340)</f>
        <v>30</v>
      </c>
      <c r="J341" s="590"/>
      <c r="K341" s="590">
        <f>SUM(K337:L340)</f>
        <v>-8</v>
      </c>
      <c r="L341" s="590"/>
      <c r="M341" s="592">
        <f>IF(ISERROR(K341/E341),"",K341/E341)</f>
        <v>-0.36363636363636365</v>
      </c>
      <c r="N341" s="592"/>
      <c r="O341" s="588"/>
      <c r="P341" s="591" t="s">
        <v>234</v>
      </c>
      <c r="Q341" s="591"/>
      <c r="R341" s="593">
        <f>SUM(O319:U319)</f>
        <v>0</v>
      </c>
      <c r="S341" s="593"/>
      <c r="T341" s="594" t="str">
        <f>IF(ISERROR(R341/R344),"",R341/R344)</f>
        <v/>
      </c>
      <c r="U341" s="594"/>
      <c r="V341" s="591" t="s">
        <v>267</v>
      </c>
      <c r="W341" s="591"/>
      <c r="X341" s="628">
        <f>SUM(P203,P260,P295,P311,P322,P337)</f>
        <v>0</v>
      </c>
      <c r="Y341" s="629"/>
      <c r="Z341" s="594" t="str">
        <f>IF(ISERROR(X341/X344),"",X341/X344)</f>
        <v/>
      </c>
      <c r="AA341" s="594"/>
    </row>
    <row r="342" spans="1:27" ht="20.100000000000001" customHeight="1">
      <c r="A342" s="309" t="s">
        <v>477</v>
      </c>
      <c r="B342" s="427">
        <f>G335</f>
        <v>5239</v>
      </c>
      <c r="C342" s="598" t="s">
        <v>269</v>
      </c>
      <c r="D342" s="599"/>
      <c r="E342" s="591">
        <f>H335</f>
        <v>26670.98</v>
      </c>
      <c r="F342" s="591"/>
      <c r="G342" s="591" t="s">
        <v>270</v>
      </c>
      <c r="H342" s="591"/>
      <c r="I342" s="600">
        <f>L335</f>
        <v>21.941677416773306</v>
      </c>
      <c r="J342" s="600"/>
      <c r="K342" s="588" t="s">
        <v>271</v>
      </c>
      <c r="L342" s="588"/>
      <c r="M342" s="600">
        <f>J335</f>
        <v>18.744186046511629</v>
      </c>
      <c r="N342" s="600"/>
      <c r="O342" s="588"/>
      <c r="P342" s="591" t="s">
        <v>244</v>
      </c>
      <c r="Q342" s="591"/>
      <c r="R342" s="593">
        <f>SUM(O334:U334)</f>
        <v>0</v>
      </c>
      <c r="S342" s="593"/>
      <c r="T342" s="594" t="str">
        <f>IF(ISERROR(R342/R344),"",R342/R344)</f>
        <v/>
      </c>
      <c r="U342" s="594"/>
      <c r="V342" s="591" t="s">
        <v>272</v>
      </c>
      <c r="W342" s="591"/>
      <c r="X342" s="628">
        <f>SUM(P204,P261,P296,P312,P323,P338)</f>
        <v>0</v>
      </c>
      <c r="Y342" s="629"/>
      <c r="Z342" s="594" t="str">
        <f>IF(ISERROR(X342/X344),"",X342/X344)</f>
        <v/>
      </c>
      <c r="AA342" s="594"/>
    </row>
    <row r="343" spans="1:27" ht="20.100000000000001" customHeight="1">
      <c r="A343" s="310" t="s">
        <v>478</v>
      </c>
      <c r="B343" s="427">
        <f>I335+C341</f>
        <v>281.5</v>
      </c>
      <c r="C343" s="601" t="s">
        <v>251</v>
      </c>
      <c r="D343" s="602"/>
      <c r="E343" s="603">
        <f>K335+I341</f>
        <v>268.76934750645125</v>
      </c>
      <c r="F343" s="603"/>
      <c r="G343" s="591" t="s">
        <v>274</v>
      </c>
      <c r="H343" s="591"/>
      <c r="I343" s="600">
        <f>B343-E343</f>
        <v>12.730652493548746</v>
      </c>
      <c r="J343" s="600"/>
      <c r="K343" s="588" t="s">
        <v>275</v>
      </c>
      <c r="L343" s="588"/>
      <c r="M343" s="592">
        <f>IF(ISERROR(I343/E343),"",I343/E343)</f>
        <v>4.7366459797812968E-2</v>
      </c>
      <c r="N343" s="592"/>
      <c r="O343" s="588"/>
      <c r="P343" s="591" t="s">
        <v>245</v>
      </c>
      <c r="Q343" s="591"/>
      <c r="R343" s="593"/>
      <c r="S343" s="593"/>
      <c r="T343" s="594" t="str">
        <f>IF(ISERROR(R343/R344),"",R343/R344)</f>
        <v/>
      </c>
      <c r="U343" s="594"/>
      <c r="V343" s="591" t="s">
        <v>264</v>
      </c>
      <c r="W343" s="591"/>
      <c r="X343" s="628">
        <f>SUM(P205,P262,P297,P313,P324,P339)</f>
        <v>0</v>
      </c>
      <c r="Y343" s="629"/>
      <c r="Z343" s="594" t="str">
        <f>IF(ISERROR(X343/X344),"",X343/X344)</f>
        <v/>
      </c>
      <c r="AA343" s="594"/>
    </row>
    <row r="344" spans="1:27" ht="20.100000000000001" customHeight="1">
      <c r="A344" s="310" t="s">
        <v>479</v>
      </c>
      <c r="B344" s="427">
        <f>N335</f>
        <v>0</v>
      </c>
      <c r="C344" s="601" t="s">
        <v>277</v>
      </c>
      <c r="D344" s="602"/>
      <c r="E344" s="594">
        <f>IF(ISERROR(B344/B343),"",B344/B343)</f>
        <v>0</v>
      </c>
      <c r="F344" s="594"/>
      <c r="G344" s="591" t="s">
        <v>278</v>
      </c>
      <c r="H344" s="591"/>
      <c r="I344" s="588">
        <f>V335</f>
        <v>0</v>
      </c>
      <c r="J344" s="588"/>
      <c r="K344" s="588" t="s">
        <v>279</v>
      </c>
      <c r="L344" s="588"/>
      <c r="M344" s="592">
        <f t="array" ref="M344">IF(ISERROR(I344/B342),"",I344/B342)</f>
        <v>0</v>
      </c>
      <c r="N344" s="592"/>
      <c r="O344" s="588"/>
      <c r="P344" s="591" t="s">
        <v>266</v>
      </c>
      <c r="Q344" s="591"/>
      <c r="R344" s="593">
        <f>SUM(R337:S343)</f>
        <v>0</v>
      </c>
      <c r="S344" s="593"/>
      <c r="T344" s="594"/>
      <c r="U344" s="594"/>
      <c r="V344" s="591" t="s">
        <v>266</v>
      </c>
      <c r="W344" s="591"/>
      <c r="X344" s="595">
        <f>SUM(X337:Y343)</f>
        <v>0</v>
      </c>
      <c r="Y344" s="595"/>
      <c r="Z344" s="594"/>
      <c r="AA344" s="594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4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604" t="s">
        <v>480</v>
      </c>
      <c r="B346" s="607" t="s">
        <v>280</v>
      </c>
      <c r="C346" s="607" t="s">
        <v>281</v>
      </c>
      <c r="D346" s="607" t="s">
        <v>282</v>
      </c>
      <c r="E346" s="610" t="s">
        <v>283</v>
      </c>
      <c r="F346" s="623" t="s">
        <v>284</v>
      </c>
      <c r="G346" s="588" t="s">
        <v>285</v>
      </c>
      <c r="H346" s="588"/>
      <c r="I346" s="607" t="s">
        <v>286</v>
      </c>
      <c r="J346" s="613" t="s">
        <v>271</v>
      </c>
      <c r="K346" s="616" t="s">
        <v>287</v>
      </c>
      <c r="L346" s="607" t="s">
        <v>270</v>
      </c>
      <c r="M346" s="619" t="s">
        <v>288</v>
      </c>
      <c r="N346" s="621" t="s">
        <v>252</v>
      </c>
      <c r="O346" s="588" t="s">
        <v>289</v>
      </c>
      <c r="P346" s="588"/>
      <c r="Q346" s="588"/>
      <c r="R346" s="588"/>
      <c r="S346" s="588"/>
      <c r="T346" s="588"/>
      <c r="U346" s="588"/>
      <c r="V346" s="588" t="s">
        <v>290</v>
      </c>
      <c r="W346" s="621" t="s">
        <v>291</v>
      </c>
      <c r="X346" s="588" t="s">
        <v>292</v>
      </c>
      <c r="Y346" s="588"/>
      <c r="Z346" s="588"/>
      <c r="AA346" s="588"/>
    </row>
    <row r="347" spans="1:27" ht="21.95" customHeight="1">
      <c r="A347" s="605"/>
      <c r="B347" s="608"/>
      <c r="C347" s="608"/>
      <c r="D347" s="608"/>
      <c r="E347" s="611"/>
      <c r="F347" s="624"/>
      <c r="G347" s="588"/>
      <c r="H347" s="588"/>
      <c r="I347" s="608"/>
      <c r="J347" s="614"/>
      <c r="K347" s="617"/>
      <c r="L347" s="608"/>
      <c r="M347" s="620"/>
      <c r="N347" s="621"/>
      <c r="O347" s="588" t="s">
        <v>259</v>
      </c>
      <c r="P347" s="588" t="s">
        <v>261</v>
      </c>
      <c r="Q347" s="588" t="s">
        <v>263</v>
      </c>
      <c r="R347" s="622" t="s">
        <v>265</v>
      </c>
      <c r="S347" s="591" t="s">
        <v>267</v>
      </c>
      <c r="T347" s="588" t="s">
        <v>272</v>
      </c>
      <c r="U347" s="588" t="s">
        <v>264</v>
      </c>
      <c r="V347" s="588"/>
      <c r="W347" s="621"/>
      <c r="X347" s="588" t="s">
        <v>293</v>
      </c>
      <c r="Y347" s="588" t="s">
        <v>294</v>
      </c>
      <c r="Z347" s="588" t="s">
        <v>295</v>
      </c>
      <c r="AA347" s="588" t="s">
        <v>264</v>
      </c>
    </row>
    <row r="348" spans="1:27" ht="21.95" customHeight="1">
      <c r="A348" s="606"/>
      <c r="B348" s="609"/>
      <c r="C348" s="609"/>
      <c r="D348" s="609"/>
      <c r="E348" s="612"/>
      <c r="F348" s="625"/>
      <c r="G348" s="348" t="s">
        <v>539</v>
      </c>
      <c r="H348" s="431" t="s">
        <v>297</v>
      </c>
      <c r="I348" s="609"/>
      <c r="J348" s="615"/>
      <c r="K348" s="618"/>
      <c r="L348" s="609"/>
      <c r="M348" s="620"/>
      <c r="N348" s="621"/>
      <c r="O348" s="588"/>
      <c r="P348" s="588"/>
      <c r="Q348" s="588"/>
      <c r="R348" s="622"/>
      <c r="S348" s="591"/>
      <c r="T348" s="588"/>
      <c r="U348" s="588"/>
      <c r="V348" s="588"/>
      <c r="W348" s="621"/>
      <c r="X348" s="588"/>
      <c r="Y348" s="588"/>
      <c r="Z348" s="588"/>
      <c r="AA348" s="588"/>
    </row>
    <row r="349" spans="1:27" ht="20.100000000000001" hidden="1" customHeight="1">
      <c r="A349" s="299">
        <v>30100030</v>
      </c>
      <c r="B349" s="424" t="s">
        <v>178</v>
      </c>
      <c r="C349" s="126" t="s">
        <v>179</v>
      </c>
      <c r="D349" s="108">
        <v>5.03</v>
      </c>
      <c r="E349" s="108"/>
      <c r="F349" s="127"/>
      <c r="G349" s="128"/>
      <c r="H349" s="425">
        <f t="shared" ref="H349:H369" si="159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58" si="160">IF(ISERROR(I349-K349),"",I349-K349)</f>
        <v>0</v>
      </c>
      <c r="N349" s="130">
        <f t="shared" ref="N349:N354" si="161">SUM(O349:U349)</f>
        <v>0</v>
      </c>
      <c r="O349" s="433"/>
      <c r="P349" s="433"/>
      <c r="Q349" s="433"/>
      <c r="R349" s="433"/>
      <c r="S349" s="433"/>
      <c r="T349" s="433"/>
      <c r="U349" s="433"/>
      <c r="V349" s="132">
        <f t="shared" ref="V349:V354" si="162">SUM(X349:AA349)</f>
        <v>0</v>
      </c>
      <c r="W349" s="133" t="str">
        <f t="shared" ref="W349:W354" si="163">IF(ISERROR(V349/G349),"",V349/G349)</f>
        <v/>
      </c>
      <c r="X349" s="132"/>
      <c r="Y349" s="132"/>
      <c r="Z349" s="132"/>
      <c r="AA349" s="132"/>
    </row>
    <row r="350" spans="1:27" ht="20.100000000000001" hidden="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28"/>
      <c r="H350" s="425">
        <f t="shared" si="159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60"/>
        <v>0</v>
      </c>
      <c r="N350" s="130">
        <f t="shared" si="161"/>
        <v>0</v>
      </c>
      <c r="O350" s="433"/>
      <c r="P350" s="433"/>
      <c r="Q350" s="433"/>
      <c r="R350" s="433"/>
      <c r="S350" s="433"/>
      <c r="T350" s="433"/>
      <c r="U350" s="433"/>
      <c r="V350" s="132">
        <f t="shared" si="162"/>
        <v>0</v>
      </c>
      <c r="W350" s="133" t="str">
        <f t="shared" si="163"/>
        <v/>
      </c>
      <c r="X350" s="132"/>
      <c r="Y350" s="132"/>
      <c r="Z350" s="132"/>
      <c r="AA350" s="132"/>
    </row>
    <row r="351" spans="1:27" ht="20.100000000000001" hidden="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28"/>
      <c r="H351" s="425">
        <f t="shared" si="159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60"/>
        <v>0</v>
      </c>
      <c r="N351" s="130">
        <f t="shared" si="161"/>
        <v>0</v>
      </c>
      <c r="O351" s="433"/>
      <c r="P351" s="433"/>
      <c r="Q351" s="433"/>
      <c r="R351" s="433"/>
      <c r="S351" s="433"/>
      <c r="T351" s="433"/>
      <c r="U351" s="433"/>
      <c r="V351" s="132">
        <f t="shared" si="162"/>
        <v>0</v>
      </c>
      <c r="W351" s="133" t="str">
        <f t="shared" si="163"/>
        <v/>
      </c>
      <c r="X351" s="132"/>
      <c r="Y351" s="132"/>
      <c r="Z351" s="132"/>
      <c r="AA351" s="132"/>
    </row>
    <row r="352" spans="1:27" ht="20.100000000000001" hidden="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28"/>
      <c r="H352" s="425">
        <f t="shared" si="159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60"/>
        <v>0</v>
      </c>
      <c r="N352" s="130">
        <f t="shared" si="161"/>
        <v>0</v>
      </c>
      <c r="O352" s="433"/>
      <c r="P352" s="433"/>
      <c r="Q352" s="433"/>
      <c r="R352" s="433"/>
      <c r="S352" s="433"/>
      <c r="T352" s="433"/>
      <c r="U352" s="433"/>
      <c r="V352" s="132">
        <f t="shared" si="162"/>
        <v>0</v>
      </c>
      <c r="W352" s="133" t="str">
        <f t="shared" si="163"/>
        <v/>
      </c>
      <c r="X352" s="132"/>
      <c r="Y352" s="132"/>
      <c r="Z352" s="132"/>
      <c r="AA352" s="132"/>
    </row>
    <row r="353" spans="1:27" ht="20.100000000000001" hidden="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28"/>
      <c r="H353" s="425">
        <f t="shared" si="159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60"/>
        <v>0</v>
      </c>
      <c r="N353" s="130">
        <f t="shared" si="161"/>
        <v>0</v>
      </c>
      <c r="O353" s="433"/>
      <c r="P353" s="433"/>
      <c r="Q353" s="433"/>
      <c r="R353" s="433"/>
      <c r="S353" s="433"/>
      <c r="T353" s="433"/>
      <c r="U353" s="433"/>
      <c r="V353" s="132">
        <f t="shared" si="162"/>
        <v>0</v>
      </c>
      <c r="W353" s="133" t="str">
        <f t="shared" si="163"/>
        <v/>
      </c>
      <c r="X353" s="132"/>
      <c r="Y353" s="132"/>
      <c r="Z353" s="132"/>
      <c r="AA353" s="132"/>
    </row>
    <row r="354" spans="1:27" ht="20.100000000000001" hidden="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137"/>
      <c r="H354" s="425">
        <f t="shared" si="159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60"/>
        <v>0</v>
      </c>
      <c r="N354" s="130">
        <f t="shared" si="161"/>
        <v>0</v>
      </c>
      <c r="O354" s="433"/>
      <c r="P354" s="433"/>
      <c r="Q354" s="433"/>
      <c r="R354" s="433"/>
      <c r="S354" s="433"/>
      <c r="T354" s="433"/>
      <c r="U354" s="433"/>
      <c r="V354" s="132">
        <f t="shared" si="162"/>
        <v>0</v>
      </c>
      <c r="W354" s="133" t="str">
        <f t="shared" si="163"/>
        <v/>
      </c>
      <c r="X354" s="132"/>
      <c r="Y354" s="132"/>
      <c r="Z354" s="132"/>
      <c r="AA354" s="132"/>
    </row>
    <row r="355" spans="1:27" ht="20.100000000000001" hidden="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28"/>
      <c r="H355" s="425">
        <f t="shared" si="159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60"/>
        <v>0</v>
      </c>
      <c r="N355" s="130"/>
      <c r="O355" s="433"/>
      <c r="P355" s="433"/>
      <c r="Q355" s="433"/>
      <c r="R355" s="433"/>
      <c r="S355" s="433"/>
      <c r="T355" s="433"/>
      <c r="U355" s="433"/>
      <c r="V355" s="132"/>
      <c r="W355" s="133"/>
      <c r="X355" s="132"/>
      <c r="Y355" s="132"/>
      <c r="Z355" s="132"/>
      <c r="AA355" s="132"/>
    </row>
    <row r="356" spans="1:27" ht="20.100000000000001" hidden="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28"/>
      <c r="H356" s="425">
        <f t="shared" si="159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60"/>
        <v>0</v>
      </c>
      <c r="N356" s="130"/>
      <c r="O356" s="433"/>
      <c r="P356" s="433"/>
      <c r="Q356" s="433"/>
      <c r="R356" s="433"/>
      <c r="S356" s="433"/>
      <c r="T356" s="433"/>
      <c r="U356" s="433"/>
      <c r="V356" s="132"/>
      <c r="W356" s="133"/>
      <c r="X356" s="132"/>
      <c r="Y356" s="132"/>
      <c r="Z356" s="132"/>
      <c r="AA356" s="132"/>
    </row>
    <row r="357" spans="1:27" ht="20.100000000000001" hidden="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28"/>
      <c r="H357" s="425">
        <f t="shared" si="159"/>
        <v>0</v>
      </c>
      <c r="I357" s="425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60"/>
        <v>0</v>
      </c>
      <c r="N357" s="130">
        <f>SUM(O357:U357)</f>
        <v>0</v>
      </c>
      <c r="O357" s="433"/>
      <c r="P357" s="433"/>
      <c r="Q357" s="433"/>
      <c r="R357" s="433"/>
      <c r="S357" s="433"/>
      <c r="T357" s="433"/>
      <c r="U357" s="433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hidden="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28"/>
      <c r="H358" s="425">
        <f t="shared" si="159"/>
        <v>0</v>
      </c>
      <c r="I358" s="425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60"/>
        <v>0</v>
      </c>
      <c r="N358" s="130">
        <f>SUM(O358:U358)</f>
        <v>0</v>
      </c>
      <c r="O358" s="433"/>
      <c r="P358" s="433"/>
      <c r="Q358" s="433"/>
      <c r="R358" s="433"/>
      <c r="S358" s="433"/>
      <c r="T358" s="433"/>
      <c r="U358" s="433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hidden="1" customHeight="1">
      <c r="A359" s="302">
        <v>30100063</v>
      </c>
      <c r="B359" s="134" t="s">
        <v>191</v>
      </c>
      <c r="C359" s="126" t="s">
        <v>192</v>
      </c>
      <c r="D359" s="108">
        <v>5.03</v>
      </c>
      <c r="E359" s="108"/>
      <c r="F359" s="126"/>
      <c r="G359" s="128"/>
      <c r="H359" s="425">
        <f t="shared" si="159"/>
        <v>0</v>
      </c>
      <c r="I359" s="425"/>
      <c r="J359" s="130"/>
      <c r="K359" s="131"/>
      <c r="L359" s="129"/>
      <c r="M359" s="109"/>
      <c r="N359" s="130"/>
      <c r="O359" s="433"/>
      <c r="P359" s="433"/>
      <c r="Q359" s="433"/>
      <c r="R359" s="433"/>
      <c r="S359" s="433"/>
      <c r="T359" s="433"/>
      <c r="U359" s="433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30100061</v>
      </c>
      <c r="B360" s="134" t="s">
        <v>191</v>
      </c>
      <c r="C360" s="126" t="s">
        <v>193</v>
      </c>
      <c r="D360" s="108">
        <v>5.03</v>
      </c>
      <c r="E360" s="108"/>
      <c r="F360" s="126"/>
      <c r="G360" s="128"/>
      <c r="H360" s="425">
        <f t="shared" si="159"/>
        <v>0</v>
      </c>
      <c r="I360" s="425"/>
      <c r="J360" s="130"/>
      <c r="K360" s="131"/>
      <c r="L360" s="129"/>
      <c r="M360" s="109"/>
      <c r="N360" s="130"/>
      <c r="O360" s="433"/>
      <c r="P360" s="433"/>
      <c r="Q360" s="433"/>
      <c r="R360" s="433"/>
      <c r="S360" s="433"/>
      <c r="T360" s="433"/>
      <c r="U360" s="433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28"/>
      <c r="H361" s="425">
        <f t="shared" si="159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ref="M361:M369" si="164">IF(ISERROR(I361-K361),"",I361-K361)</f>
        <v>0</v>
      </c>
      <c r="N361" s="130">
        <f t="shared" ref="N361:N363" si="165">SUM(O361:U361)</f>
        <v>0</v>
      </c>
      <c r="O361" s="433"/>
      <c r="P361" s="433"/>
      <c r="Q361" s="433"/>
      <c r="R361" s="433"/>
      <c r="S361" s="433"/>
      <c r="T361" s="433"/>
      <c r="U361" s="433"/>
      <c r="V361" s="132">
        <f t="shared" ref="V361:V363" si="166">SUM(X361:AA361)</f>
        <v>0</v>
      </c>
      <c r="W361" s="133" t="str">
        <f t="shared" ref="W361:W363" si="167">IF(ISERROR(V361/G361),"",V361/G361)</f>
        <v/>
      </c>
      <c r="X361" s="132"/>
      <c r="Y361" s="132"/>
      <c r="Z361" s="132"/>
      <c r="AA361" s="132"/>
    </row>
    <row r="362" spans="1:27" ht="20.100000000000001" hidden="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28"/>
      <c r="H362" s="425">
        <f t="shared" si="159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4"/>
        <v>0</v>
      </c>
      <c r="N362" s="130">
        <f t="shared" si="165"/>
        <v>0</v>
      </c>
      <c r="O362" s="433"/>
      <c r="P362" s="433"/>
      <c r="Q362" s="433"/>
      <c r="R362" s="433"/>
      <c r="S362" s="433"/>
      <c r="T362" s="433"/>
      <c r="U362" s="433"/>
      <c r="V362" s="132">
        <f t="shared" si="166"/>
        <v>0</v>
      </c>
      <c r="W362" s="133" t="str">
        <f t="shared" si="167"/>
        <v/>
      </c>
      <c r="X362" s="132"/>
      <c r="Y362" s="132"/>
      <c r="Z362" s="132"/>
      <c r="AA362" s="132"/>
    </row>
    <row r="363" spans="1:27" ht="20.100000000000001" hidden="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28"/>
      <c r="H363" s="425">
        <f t="shared" si="159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4"/>
        <v>0</v>
      </c>
      <c r="N363" s="130">
        <f t="shared" si="165"/>
        <v>0</v>
      </c>
      <c r="O363" s="433"/>
      <c r="P363" s="433"/>
      <c r="Q363" s="433"/>
      <c r="R363" s="433"/>
      <c r="S363" s="433"/>
      <c r="T363" s="433"/>
      <c r="U363" s="433"/>
      <c r="V363" s="132">
        <f t="shared" si="166"/>
        <v>0</v>
      </c>
      <c r="W363" s="133" t="str">
        <f t="shared" si="167"/>
        <v/>
      </c>
      <c r="X363" s="132"/>
      <c r="Y363" s="132"/>
      <c r="Z363" s="132"/>
      <c r="AA363" s="132"/>
    </row>
    <row r="364" spans="1:27" ht="20.100000000000001" hidden="1" customHeight="1">
      <c r="A364" s="300">
        <v>30100003</v>
      </c>
      <c r="B364" s="141" t="s">
        <v>198</v>
      </c>
      <c r="C364" s="431" t="s">
        <v>190</v>
      </c>
      <c r="D364" s="108">
        <v>4.8</v>
      </c>
      <c r="E364" s="108"/>
      <c r="F364" s="127"/>
      <c r="G364" s="128"/>
      <c r="H364" s="425">
        <f t="shared" si="159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4"/>
        <v>0</v>
      </c>
      <c r="N364" s="130"/>
      <c r="O364" s="433"/>
      <c r="P364" s="433"/>
      <c r="Q364" s="433"/>
      <c r="R364" s="433"/>
      <c r="S364" s="433"/>
      <c r="T364" s="433"/>
      <c r="U364" s="433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30100004</v>
      </c>
      <c r="B365" s="141" t="s">
        <v>198</v>
      </c>
      <c r="C365" s="431" t="s">
        <v>187</v>
      </c>
      <c r="D365" s="108">
        <v>4.8</v>
      </c>
      <c r="E365" s="108"/>
      <c r="F365" s="127"/>
      <c r="G365" s="128"/>
      <c r="H365" s="425">
        <f t="shared" si="159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4"/>
        <v>0</v>
      </c>
      <c r="N365" s="130"/>
      <c r="O365" s="433"/>
      <c r="P365" s="433"/>
      <c r="Q365" s="433"/>
      <c r="R365" s="433"/>
      <c r="S365" s="433"/>
      <c r="T365" s="433"/>
      <c r="U365" s="433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30100006</v>
      </c>
      <c r="B366" s="141" t="s">
        <v>198</v>
      </c>
      <c r="C366" s="431" t="s">
        <v>179</v>
      </c>
      <c r="D366" s="108">
        <v>4.8</v>
      </c>
      <c r="E366" s="108"/>
      <c r="F366" s="127"/>
      <c r="G366" s="128"/>
      <c r="H366" s="425">
        <f t="shared" si="159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4"/>
        <v>0</v>
      </c>
      <c r="N366" s="130"/>
      <c r="O366" s="433"/>
      <c r="P366" s="433"/>
      <c r="Q366" s="433"/>
      <c r="R366" s="433"/>
      <c r="S366" s="433"/>
      <c r="T366" s="433"/>
      <c r="U366" s="433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0">
        <v>30100005</v>
      </c>
      <c r="B367" s="141" t="s">
        <v>198</v>
      </c>
      <c r="C367" s="431" t="s">
        <v>199</v>
      </c>
      <c r="D367" s="108">
        <v>4.8</v>
      </c>
      <c r="E367" s="108"/>
      <c r="F367" s="127"/>
      <c r="G367" s="128"/>
      <c r="H367" s="425">
        <f t="shared" si="159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4"/>
        <v>0</v>
      </c>
      <c r="N367" s="130"/>
      <c r="O367" s="433"/>
      <c r="P367" s="433"/>
      <c r="Q367" s="433"/>
      <c r="R367" s="433"/>
      <c r="S367" s="433"/>
      <c r="T367" s="433"/>
      <c r="U367" s="433"/>
      <c r="V367" s="132"/>
      <c r="W367" s="133"/>
      <c r="X367" s="132"/>
      <c r="Y367" s="132"/>
      <c r="Z367" s="132"/>
      <c r="AA367" s="132"/>
    </row>
    <row r="368" spans="1:27" ht="20.100000000000001" hidden="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28"/>
      <c r="H368" s="425">
        <f t="shared" si="159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4"/>
        <v>0</v>
      </c>
      <c r="N368" s="130">
        <f t="shared" ref="N368:N369" si="168">SUM(O368:U368)</f>
        <v>0</v>
      </c>
      <c r="O368" s="433"/>
      <c r="P368" s="433"/>
      <c r="Q368" s="433"/>
      <c r="R368" s="433"/>
      <c r="S368" s="433"/>
      <c r="T368" s="433"/>
      <c r="U368" s="433"/>
      <c r="V368" s="132">
        <f t="shared" ref="V368:V369" si="169">SUM(X368:AA368)</f>
        <v>0</v>
      </c>
      <c r="W368" s="133" t="str">
        <f t="shared" ref="W368:W369" si="170">IF(ISERROR(V368/G368),"",V368/G368)</f>
        <v/>
      </c>
      <c r="X368" s="132"/>
      <c r="Y368" s="132"/>
      <c r="Z368" s="132"/>
      <c r="AA368" s="132"/>
    </row>
    <row r="369" spans="1:27" ht="20.100000000000001" hidden="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28"/>
      <c r="H369" s="425">
        <f t="shared" si="159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4"/>
        <v>0</v>
      </c>
      <c r="N369" s="130">
        <f t="shared" si="168"/>
        <v>0</v>
      </c>
      <c r="O369" s="433"/>
      <c r="P369" s="433"/>
      <c r="Q369" s="433"/>
      <c r="R369" s="433"/>
      <c r="S369" s="433"/>
      <c r="T369" s="433"/>
      <c r="U369" s="433"/>
      <c r="V369" s="132">
        <f t="shared" si="169"/>
        <v>0</v>
      </c>
      <c r="W369" s="133" t="str">
        <f t="shared" si="170"/>
        <v/>
      </c>
      <c r="X369" s="132"/>
      <c r="Y369" s="132"/>
      <c r="Z369" s="132"/>
      <c r="AA369" s="132"/>
    </row>
    <row r="370" spans="1:27" ht="20.100000000000001" hidden="1" customHeight="1">
      <c r="A370" s="578" t="s">
        <v>201</v>
      </c>
      <c r="B370" s="579"/>
      <c r="C370" s="434" t="s">
        <v>202</v>
      </c>
      <c r="D370" s="143"/>
      <c r="E370" s="143"/>
      <c r="F370" s="144"/>
      <c r="G370" s="145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71">SUM(M349:M369)</f>
        <v>0</v>
      </c>
      <c r="N370" s="146">
        <f t="shared" si="171"/>
        <v>0</v>
      </c>
      <c r="O370" s="148">
        <f t="shared" si="171"/>
        <v>0</v>
      </c>
      <c r="P370" s="148">
        <f t="shared" si="171"/>
        <v>0</v>
      </c>
      <c r="Q370" s="148">
        <f t="shared" si="171"/>
        <v>0</v>
      </c>
      <c r="R370" s="148">
        <f t="shared" si="171"/>
        <v>0</v>
      </c>
      <c r="S370" s="148">
        <f t="shared" si="171"/>
        <v>0</v>
      </c>
      <c r="T370" s="148">
        <f t="shared" si="171"/>
        <v>0</v>
      </c>
      <c r="U370" s="148">
        <f t="shared" si="171"/>
        <v>0</v>
      </c>
      <c r="V370" s="149">
        <f t="shared" si="171"/>
        <v>0</v>
      </c>
      <c r="W370" s="133">
        <f t="shared" si="171"/>
        <v>0</v>
      </c>
      <c r="X370" s="149">
        <f t="shared" si="171"/>
        <v>0</v>
      </c>
      <c r="Y370" s="149">
        <f t="shared" si="171"/>
        <v>0</v>
      </c>
      <c r="Z370" s="149">
        <f t="shared" si="171"/>
        <v>0</v>
      </c>
      <c r="AA370" s="149">
        <f t="shared" si="171"/>
        <v>0</v>
      </c>
    </row>
    <row r="371" spans="1:27" ht="20.100000000000001" hidden="1" customHeight="1">
      <c r="A371" s="300">
        <v>30100012</v>
      </c>
      <c r="B371" s="424" t="s">
        <v>206</v>
      </c>
      <c r="C371" s="126" t="s">
        <v>199</v>
      </c>
      <c r="D371" s="108">
        <v>5.03</v>
      </c>
      <c r="E371" s="108"/>
      <c r="F371" s="127"/>
      <c r="G371" s="128"/>
      <c r="H371" s="425">
        <f t="shared" ref="H371:H427" si="172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" si="173">IF(ISERROR(I371-K371),"",I371-K371)</f>
        <v>0</v>
      </c>
      <c r="N371" s="130">
        <f t="shared" ref="N371" si="174">SUM(O371:U371)</f>
        <v>0</v>
      </c>
      <c r="O371" s="429"/>
      <c r="P371" s="429"/>
      <c r="Q371" s="429"/>
      <c r="R371" s="429"/>
      <c r="S371" s="429"/>
      <c r="T371" s="429"/>
      <c r="U371" s="429"/>
      <c r="V371" s="132">
        <f t="shared" ref="V371" si="175">SUM(X371:AA371)</f>
        <v>0</v>
      </c>
      <c r="W371" s="133" t="str">
        <f t="shared" ref="W371" si="176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30100011</v>
      </c>
      <c r="B372" s="424" t="s">
        <v>425</v>
      </c>
      <c r="C372" s="187" t="s">
        <v>427</v>
      </c>
      <c r="D372" s="108">
        <v>5.03</v>
      </c>
      <c r="E372" s="108"/>
      <c r="F372" s="127"/>
      <c r="G372" s="128"/>
      <c r="H372" s="425">
        <f t="shared" si="172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429"/>
      <c r="P372" s="429"/>
      <c r="Q372" s="429"/>
      <c r="R372" s="429"/>
      <c r="S372" s="429"/>
      <c r="T372" s="429"/>
      <c r="U372" s="429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0">
        <v>30100010</v>
      </c>
      <c r="B373" s="424" t="s">
        <v>206</v>
      </c>
      <c r="C373" s="126" t="s">
        <v>186</v>
      </c>
      <c r="D373" s="108">
        <v>5.03</v>
      </c>
      <c r="E373" s="108"/>
      <c r="F373" s="127"/>
      <c r="G373" s="128"/>
      <c r="H373" s="425">
        <f t="shared" si="172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ref="M373:M408" si="177">IF(ISERROR(I373-K373),"",I373-K373)</f>
        <v>0</v>
      </c>
      <c r="N373" s="130">
        <f t="shared" ref="N373:N375" si="178">SUM(O373:U373)</f>
        <v>0</v>
      </c>
      <c r="O373" s="429"/>
      <c r="P373" s="429"/>
      <c r="Q373" s="429"/>
      <c r="R373" s="429"/>
      <c r="S373" s="429"/>
      <c r="T373" s="429"/>
      <c r="U373" s="429"/>
      <c r="V373" s="132">
        <f t="shared" ref="V373:V375" si="179">SUM(X373:AA373)</f>
        <v>0</v>
      </c>
      <c r="W373" s="133" t="str">
        <f t="shared" ref="W373:W375" si="180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0">
        <v>30100014</v>
      </c>
      <c r="B374" s="424" t="s">
        <v>206</v>
      </c>
      <c r="C374" s="126" t="s">
        <v>203</v>
      </c>
      <c r="D374" s="108">
        <v>5.03</v>
      </c>
      <c r="E374" s="108"/>
      <c r="F374" s="127"/>
      <c r="G374" s="128"/>
      <c r="H374" s="425">
        <f t="shared" si="172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7"/>
        <v>0</v>
      </c>
      <c r="N374" s="130">
        <f t="shared" si="178"/>
        <v>0</v>
      </c>
      <c r="O374" s="429"/>
      <c r="P374" s="429"/>
      <c r="Q374" s="429"/>
      <c r="R374" s="429"/>
      <c r="S374" s="429"/>
      <c r="T374" s="429"/>
      <c r="U374" s="429"/>
      <c r="V374" s="132">
        <f t="shared" si="179"/>
        <v>0</v>
      </c>
      <c r="W374" s="133" t="str">
        <f t="shared" si="180"/>
        <v/>
      </c>
      <c r="X374" s="132"/>
      <c r="Y374" s="132"/>
      <c r="Z374" s="132"/>
      <c r="AA374" s="132"/>
    </row>
    <row r="375" spans="1:27" ht="20.100000000000001" hidden="1" customHeight="1">
      <c r="A375" s="300">
        <v>30100013</v>
      </c>
      <c r="B375" s="424" t="s">
        <v>206</v>
      </c>
      <c r="C375" s="126" t="s">
        <v>207</v>
      </c>
      <c r="D375" s="108">
        <v>5.03</v>
      </c>
      <c r="E375" s="108"/>
      <c r="F375" s="127"/>
      <c r="G375" s="128"/>
      <c r="H375" s="425">
        <f t="shared" si="172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7"/>
        <v>0</v>
      </c>
      <c r="N375" s="130">
        <f t="shared" si="178"/>
        <v>0</v>
      </c>
      <c r="O375" s="429"/>
      <c r="P375" s="429"/>
      <c r="Q375" s="429"/>
      <c r="R375" s="429"/>
      <c r="S375" s="429"/>
      <c r="T375" s="429"/>
      <c r="U375" s="429"/>
      <c r="V375" s="132">
        <f t="shared" si="179"/>
        <v>0</v>
      </c>
      <c r="W375" s="133" t="str">
        <f t="shared" si="180"/>
        <v/>
      </c>
      <c r="X375" s="132"/>
      <c r="Y375" s="132"/>
      <c r="Z375" s="132"/>
      <c r="AA375" s="132"/>
    </row>
    <row r="376" spans="1:27" ht="20.100000000000001" hidden="1" customHeight="1">
      <c r="A376" s="300">
        <v>30100016</v>
      </c>
      <c r="B376" s="424" t="s">
        <v>414</v>
      </c>
      <c r="C376" s="187" t="s">
        <v>415</v>
      </c>
      <c r="D376" s="108"/>
      <c r="E376" s="108"/>
      <c r="F376" s="127"/>
      <c r="G376" s="128"/>
      <c r="H376" s="425">
        <f t="shared" si="172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7"/>
        <v>0</v>
      </c>
      <c r="N376" s="130"/>
      <c r="O376" s="429"/>
      <c r="P376" s="429"/>
      <c r="Q376" s="429"/>
      <c r="R376" s="429"/>
      <c r="S376" s="429"/>
      <c r="T376" s="429"/>
      <c r="U376" s="429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30100017</v>
      </c>
      <c r="B377" s="424" t="s">
        <v>414</v>
      </c>
      <c r="C377" s="187" t="s">
        <v>416</v>
      </c>
      <c r="D377" s="108"/>
      <c r="E377" s="108"/>
      <c r="F377" s="127"/>
      <c r="G377" s="128"/>
      <c r="H377" s="425">
        <f t="shared" si="172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7"/>
        <v>0</v>
      </c>
      <c r="N377" s="130"/>
      <c r="O377" s="429"/>
      <c r="P377" s="429"/>
      <c r="Q377" s="429"/>
      <c r="R377" s="429"/>
      <c r="S377" s="429"/>
      <c r="T377" s="429"/>
      <c r="U377" s="429"/>
      <c r="V377" s="132"/>
      <c r="W377" s="133"/>
      <c r="X377" s="132"/>
      <c r="Y377" s="132"/>
      <c r="Z377" s="132"/>
      <c r="AA377" s="132"/>
    </row>
    <row r="378" spans="1:27" ht="20.100000000000001" hidden="1" customHeight="1">
      <c r="A378" s="300">
        <v>30100015</v>
      </c>
      <c r="B378" s="424" t="s">
        <v>414</v>
      </c>
      <c r="C378" s="187" t="s">
        <v>61</v>
      </c>
      <c r="D378" s="108"/>
      <c r="E378" s="108"/>
      <c r="F378" s="127"/>
      <c r="G378" s="128"/>
      <c r="H378" s="425">
        <f t="shared" si="172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7"/>
        <v>0</v>
      </c>
      <c r="N378" s="130"/>
      <c r="O378" s="429"/>
      <c r="P378" s="429"/>
      <c r="Q378" s="429"/>
      <c r="R378" s="429"/>
      <c r="S378" s="429"/>
      <c r="T378" s="429"/>
      <c r="U378" s="429"/>
      <c r="V378" s="132"/>
      <c r="W378" s="133"/>
      <c r="X378" s="132"/>
      <c r="Y378" s="132"/>
      <c r="Z378" s="132"/>
      <c r="AA378" s="132"/>
    </row>
    <row r="379" spans="1:27" ht="20.100000000000001" hidden="1" customHeight="1">
      <c r="A379" s="300">
        <v>30100027</v>
      </c>
      <c r="B379" s="424" t="s">
        <v>208</v>
      </c>
      <c r="C379" s="126" t="s">
        <v>179</v>
      </c>
      <c r="D379" s="108">
        <v>5.08</v>
      </c>
      <c r="E379" s="108"/>
      <c r="F379" s="127"/>
      <c r="G379" s="128"/>
      <c r="H379" s="425">
        <f t="shared" si="172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7"/>
        <v>0</v>
      </c>
      <c r="N379" s="130">
        <f t="shared" ref="N379:N394" si="181">SUM(O379:U379)</f>
        <v>0</v>
      </c>
      <c r="O379" s="429"/>
      <c r="P379" s="429"/>
      <c r="Q379" s="429"/>
      <c r="R379" s="429"/>
      <c r="S379" s="429"/>
      <c r="T379" s="429"/>
      <c r="U379" s="429"/>
      <c r="V379" s="132">
        <f t="shared" ref="V379:V390" si="182">SUM(X379:AA379)</f>
        <v>0</v>
      </c>
      <c r="W379" s="133" t="str">
        <f t="shared" ref="W379:W390" si="183">IF(ISERROR(V379/G379),"",V379/G379)</f>
        <v/>
      </c>
      <c r="X379" s="132"/>
      <c r="Y379" s="132"/>
      <c r="Z379" s="132"/>
      <c r="AA379" s="132"/>
    </row>
    <row r="380" spans="1:27" ht="20.100000000000001" hidden="1" customHeight="1">
      <c r="A380" s="300">
        <v>30100023</v>
      </c>
      <c r="B380" s="424" t="s">
        <v>208</v>
      </c>
      <c r="C380" s="126" t="s">
        <v>204</v>
      </c>
      <c r="D380" s="108">
        <v>5.08</v>
      </c>
      <c r="E380" s="108"/>
      <c r="F380" s="127"/>
      <c r="G380" s="128"/>
      <c r="H380" s="425">
        <f t="shared" si="172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7"/>
        <v>0</v>
      </c>
      <c r="N380" s="130">
        <f t="shared" si="181"/>
        <v>0</v>
      </c>
      <c r="O380" s="429"/>
      <c r="P380" s="429"/>
      <c r="Q380" s="429"/>
      <c r="R380" s="429"/>
      <c r="S380" s="429"/>
      <c r="T380" s="429"/>
      <c r="U380" s="429"/>
      <c r="V380" s="132">
        <f t="shared" si="182"/>
        <v>0</v>
      </c>
      <c r="W380" s="133" t="str">
        <f t="shared" si="183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30100024</v>
      </c>
      <c r="B381" s="424" t="s">
        <v>208</v>
      </c>
      <c r="C381" s="126" t="s">
        <v>205</v>
      </c>
      <c r="D381" s="108">
        <v>5.08</v>
      </c>
      <c r="E381" s="108"/>
      <c r="F381" s="127"/>
      <c r="G381" s="128"/>
      <c r="H381" s="425">
        <f t="shared" si="172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7"/>
        <v>0</v>
      </c>
      <c r="N381" s="130">
        <f t="shared" si="181"/>
        <v>0</v>
      </c>
      <c r="O381" s="429"/>
      <c r="P381" s="429"/>
      <c r="Q381" s="429"/>
      <c r="R381" s="429"/>
      <c r="S381" s="429"/>
      <c r="T381" s="429"/>
      <c r="U381" s="429"/>
      <c r="V381" s="132">
        <f t="shared" si="182"/>
        <v>0</v>
      </c>
      <c r="W381" s="133" t="str">
        <f t="shared" si="183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30100022</v>
      </c>
      <c r="B382" s="424" t="s">
        <v>208</v>
      </c>
      <c r="C382" s="126" t="s">
        <v>186</v>
      </c>
      <c r="D382" s="108">
        <v>5.08</v>
      </c>
      <c r="E382" s="108"/>
      <c r="F382" s="127"/>
      <c r="G382" s="128"/>
      <c r="H382" s="425">
        <f t="shared" si="172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7"/>
        <v>0</v>
      </c>
      <c r="N382" s="130">
        <f t="shared" si="181"/>
        <v>0</v>
      </c>
      <c r="O382" s="429"/>
      <c r="P382" s="429"/>
      <c r="Q382" s="429"/>
      <c r="R382" s="429"/>
      <c r="S382" s="429"/>
      <c r="T382" s="429"/>
      <c r="U382" s="429"/>
      <c r="V382" s="132">
        <f t="shared" si="182"/>
        <v>0</v>
      </c>
      <c r="W382" s="133" t="str">
        <f t="shared" si="183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30100029</v>
      </c>
      <c r="B383" s="424" t="s">
        <v>208</v>
      </c>
      <c r="C383" s="126" t="s">
        <v>203</v>
      </c>
      <c r="D383" s="108">
        <v>5.08</v>
      </c>
      <c r="E383" s="108"/>
      <c r="F383" s="127"/>
      <c r="G383" s="128"/>
      <c r="H383" s="425">
        <f t="shared" si="172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7"/>
        <v>0</v>
      </c>
      <c r="N383" s="130">
        <f t="shared" si="181"/>
        <v>0</v>
      </c>
      <c r="O383" s="429"/>
      <c r="P383" s="429"/>
      <c r="Q383" s="429"/>
      <c r="R383" s="429"/>
      <c r="S383" s="429"/>
      <c r="T383" s="429"/>
      <c r="U383" s="429"/>
      <c r="V383" s="132">
        <f t="shared" si="182"/>
        <v>0</v>
      </c>
      <c r="W383" s="133" t="str">
        <f t="shared" si="183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30100026</v>
      </c>
      <c r="B384" s="424" t="s">
        <v>208</v>
      </c>
      <c r="C384" s="126" t="s">
        <v>199</v>
      </c>
      <c r="D384" s="108">
        <v>5.08</v>
      </c>
      <c r="E384" s="108"/>
      <c r="F384" s="127"/>
      <c r="G384" s="128"/>
      <c r="H384" s="425">
        <f t="shared" si="172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7"/>
        <v>0</v>
      </c>
      <c r="N384" s="130">
        <f t="shared" si="181"/>
        <v>0</v>
      </c>
      <c r="O384" s="433"/>
      <c r="P384" s="433"/>
      <c r="Q384" s="433"/>
      <c r="R384" s="433"/>
      <c r="S384" s="433"/>
      <c r="T384" s="433"/>
      <c r="U384" s="433"/>
      <c r="V384" s="132">
        <f t="shared" si="182"/>
        <v>0</v>
      </c>
      <c r="W384" s="133" t="str">
        <f t="shared" si="183"/>
        <v/>
      </c>
      <c r="X384" s="132"/>
      <c r="Y384" s="132"/>
      <c r="Z384" s="132"/>
      <c r="AA384" s="132"/>
    </row>
    <row r="385" spans="1:27" ht="20.100000000000001" hidden="1" customHeight="1">
      <c r="A385" s="300">
        <v>30100025</v>
      </c>
      <c r="B385" s="424" t="s">
        <v>208</v>
      </c>
      <c r="C385" s="126" t="s">
        <v>187</v>
      </c>
      <c r="D385" s="108">
        <v>5.08</v>
      </c>
      <c r="E385" s="108"/>
      <c r="F385" s="127"/>
      <c r="G385" s="128"/>
      <c r="H385" s="425">
        <f t="shared" si="172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7"/>
        <v>0</v>
      </c>
      <c r="N385" s="130">
        <f t="shared" si="181"/>
        <v>0</v>
      </c>
      <c r="O385" s="429"/>
      <c r="P385" s="429"/>
      <c r="Q385" s="429"/>
      <c r="R385" s="429"/>
      <c r="S385" s="429"/>
      <c r="T385" s="429"/>
      <c r="U385" s="429"/>
      <c r="V385" s="132">
        <f t="shared" si="182"/>
        <v>0</v>
      </c>
      <c r="W385" s="133" t="str">
        <f t="shared" si="183"/>
        <v/>
      </c>
      <c r="X385" s="132"/>
      <c r="Y385" s="132"/>
      <c r="Z385" s="132"/>
      <c r="AA385" s="132"/>
    </row>
    <row r="386" spans="1:27" ht="20.100000000000001" hidden="1" customHeight="1">
      <c r="A386" s="300">
        <v>30100028</v>
      </c>
      <c r="B386" s="424" t="s">
        <v>208</v>
      </c>
      <c r="C386" s="126" t="s">
        <v>207</v>
      </c>
      <c r="D386" s="108">
        <v>5.08</v>
      </c>
      <c r="E386" s="108"/>
      <c r="F386" s="127"/>
      <c r="G386" s="128"/>
      <c r="H386" s="425">
        <f t="shared" si="172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7"/>
        <v>0</v>
      </c>
      <c r="N386" s="130">
        <f t="shared" si="181"/>
        <v>0</v>
      </c>
      <c r="O386" s="433"/>
      <c r="P386" s="433"/>
      <c r="Q386" s="433"/>
      <c r="R386" s="433"/>
      <c r="S386" s="433"/>
      <c r="T386" s="433"/>
      <c r="U386" s="433"/>
      <c r="V386" s="132">
        <f t="shared" si="182"/>
        <v>0</v>
      </c>
      <c r="W386" s="133" t="str">
        <f t="shared" si="183"/>
        <v/>
      </c>
      <c r="X386" s="132"/>
      <c r="Y386" s="132"/>
      <c r="Z386" s="132"/>
      <c r="AA386" s="132"/>
    </row>
    <row r="387" spans="1:27" ht="20.100000000000001" hidden="1" customHeight="1">
      <c r="A387" s="300">
        <v>30100032</v>
      </c>
      <c r="B387" s="424" t="s">
        <v>209</v>
      </c>
      <c r="C387" s="126" t="s">
        <v>194</v>
      </c>
      <c r="D387" s="108">
        <v>5.03</v>
      </c>
      <c r="E387" s="108"/>
      <c r="F387" s="127"/>
      <c r="G387" s="128"/>
      <c r="H387" s="425">
        <f t="shared" si="172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7"/>
        <v>0</v>
      </c>
      <c r="N387" s="130">
        <f t="shared" si="181"/>
        <v>0</v>
      </c>
      <c r="O387" s="429"/>
      <c r="P387" s="429"/>
      <c r="Q387" s="429"/>
      <c r="R387" s="429"/>
      <c r="S387" s="429"/>
      <c r="T387" s="429"/>
      <c r="U387" s="429"/>
      <c r="V387" s="132">
        <f t="shared" si="182"/>
        <v>0</v>
      </c>
      <c r="W387" s="133" t="str">
        <f t="shared" si="183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30100033</v>
      </c>
      <c r="B388" s="424" t="s">
        <v>209</v>
      </c>
      <c r="C388" s="126" t="s">
        <v>179</v>
      </c>
      <c r="D388" s="108">
        <v>5.03</v>
      </c>
      <c r="E388" s="108"/>
      <c r="F388" s="127"/>
      <c r="G388" s="128"/>
      <c r="H388" s="425">
        <f t="shared" si="172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7"/>
        <v>0</v>
      </c>
      <c r="N388" s="130">
        <f t="shared" si="181"/>
        <v>0</v>
      </c>
      <c r="O388" s="429"/>
      <c r="P388" s="429"/>
      <c r="Q388" s="429"/>
      <c r="R388" s="429"/>
      <c r="S388" s="429"/>
      <c r="T388" s="429"/>
      <c r="U388" s="429"/>
      <c r="V388" s="132">
        <f t="shared" si="182"/>
        <v>0</v>
      </c>
      <c r="W388" s="133" t="str">
        <f t="shared" si="183"/>
        <v/>
      </c>
      <c r="X388" s="132"/>
      <c r="Y388" s="132"/>
      <c r="Z388" s="132"/>
      <c r="AA388" s="132"/>
    </row>
    <row r="389" spans="1:27" ht="20.100000000000001" hidden="1" customHeight="1">
      <c r="A389" s="300">
        <v>30100062</v>
      </c>
      <c r="B389" s="424" t="s">
        <v>209</v>
      </c>
      <c r="C389" s="126" t="s">
        <v>195</v>
      </c>
      <c r="D389" s="108">
        <v>5.03</v>
      </c>
      <c r="E389" s="108"/>
      <c r="F389" s="127"/>
      <c r="G389" s="128"/>
      <c r="H389" s="425">
        <f t="shared" si="172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7"/>
        <v>0</v>
      </c>
      <c r="N389" s="130">
        <f t="shared" si="181"/>
        <v>0</v>
      </c>
      <c r="O389" s="429"/>
      <c r="P389" s="429"/>
      <c r="Q389" s="429"/>
      <c r="R389" s="429"/>
      <c r="S389" s="429"/>
      <c r="T389" s="429"/>
      <c r="U389" s="429"/>
      <c r="V389" s="132">
        <f t="shared" si="182"/>
        <v>0</v>
      </c>
      <c r="W389" s="133" t="str">
        <f t="shared" si="183"/>
        <v/>
      </c>
      <c r="X389" s="132"/>
      <c r="Y389" s="132"/>
      <c r="Z389" s="132"/>
      <c r="AA389" s="132"/>
    </row>
    <row r="390" spans="1:27" ht="20.100000000000001" hidden="1" customHeight="1">
      <c r="A390" s="300">
        <v>30100031</v>
      </c>
      <c r="B390" s="424" t="s">
        <v>209</v>
      </c>
      <c r="C390" s="126" t="s">
        <v>204</v>
      </c>
      <c r="D390" s="108">
        <v>5.03</v>
      </c>
      <c r="E390" s="108"/>
      <c r="F390" s="127"/>
      <c r="G390" s="128"/>
      <c r="H390" s="425">
        <f t="shared" si="172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7"/>
        <v>0</v>
      </c>
      <c r="N390" s="130">
        <f t="shared" si="181"/>
        <v>0</v>
      </c>
      <c r="O390" s="429"/>
      <c r="P390" s="429"/>
      <c r="Q390" s="429"/>
      <c r="R390" s="429"/>
      <c r="S390" s="429"/>
      <c r="T390" s="429"/>
      <c r="U390" s="429"/>
      <c r="V390" s="132">
        <f t="shared" si="182"/>
        <v>0</v>
      </c>
      <c r="W390" s="133" t="str">
        <f t="shared" si="183"/>
        <v/>
      </c>
      <c r="X390" s="132"/>
      <c r="Y390" s="132"/>
      <c r="Z390" s="132"/>
      <c r="AA390" s="132"/>
    </row>
    <row r="391" spans="1:27" ht="20.100000000000001" hidden="1" customHeight="1">
      <c r="A391" s="300">
        <v>30100019</v>
      </c>
      <c r="B391" s="424" t="s">
        <v>382</v>
      </c>
      <c r="C391" s="187" t="s">
        <v>383</v>
      </c>
      <c r="D391" s="108">
        <v>5.03</v>
      </c>
      <c r="E391" s="108"/>
      <c r="F391" s="127"/>
      <c r="G391" s="128"/>
      <c r="H391" s="425">
        <f t="shared" si="172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7"/>
        <v>0</v>
      </c>
      <c r="N391" s="130">
        <f t="shared" si="181"/>
        <v>0</v>
      </c>
      <c r="O391" s="429"/>
      <c r="P391" s="429"/>
      <c r="Q391" s="429"/>
      <c r="R391" s="429"/>
      <c r="S391" s="429"/>
      <c r="T391" s="429"/>
      <c r="U391" s="429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30100020</v>
      </c>
      <c r="B392" s="424" t="s">
        <v>382</v>
      </c>
      <c r="C392" s="187" t="s">
        <v>384</v>
      </c>
      <c r="D392" s="108">
        <v>5.03</v>
      </c>
      <c r="E392" s="108"/>
      <c r="F392" s="127"/>
      <c r="G392" s="128"/>
      <c r="H392" s="425">
        <f t="shared" si="172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7"/>
        <v>0</v>
      </c>
      <c r="N392" s="130">
        <f t="shared" si="181"/>
        <v>0</v>
      </c>
      <c r="O392" s="429"/>
      <c r="P392" s="429"/>
      <c r="Q392" s="429"/>
      <c r="R392" s="429"/>
      <c r="S392" s="429"/>
      <c r="T392" s="429"/>
      <c r="U392" s="429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0">
        <v>30100021</v>
      </c>
      <c r="B393" s="424" t="s">
        <v>382</v>
      </c>
      <c r="C393" s="187" t="s">
        <v>389</v>
      </c>
      <c r="D393" s="108">
        <v>5.03</v>
      </c>
      <c r="E393" s="108"/>
      <c r="F393" s="127"/>
      <c r="G393" s="128"/>
      <c r="H393" s="425">
        <f t="shared" si="172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7"/>
        <v>0</v>
      </c>
      <c r="N393" s="130">
        <f t="shared" si="181"/>
        <v>0</v>
      </c>
      <c r="O393" s="429"/>
      <c r="P393" s="429"/>
      <c r="Q393" s="429"/>
      <c r="R393" s="429"/>
      <c r="S393" s="429"/>
      <c r="T393" s="429"/>
      <c r="U393" s="429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0">
        <v>30100018</v>
      </c>
      <c r="B394" s="424" t="s">
        <v>382</v>
      </c>
      <c r="C394" s="187" t="s">
        <v>391</v>
      </c>
      <c r="D394" s="108">
        <v>5.03</v>
      </c>
      <c r="E394" s="108"/>
      <c r="F394" s="127"/>
      <c r="G394" s="128"/>
      <c r="H394" s="425">
        <f t="shared" si="172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7"/>
        <v>0</v>
      </c>
      <c r="N394" s="130">
        <f t="shared" si="181"/>
        <v>0</v>
      </c>
      <c r="O394" s="429"/>
      <c r="P394" s="429"/>
      <c r="Q394" s="429"/>
      <c r="R394" s="429"/>
      <c r="S394" s="429"/>
      <c r="T394" s="429"/>
      <c r="U394" s="429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30700007</v>
      </c>
      <c r="B395" s="424" t="s">
        <v>418</v>
      </c>
      <c r="C395" s="187" t="s">
        <v>364</v>
      </c>
      <c r="D395" s="108">
        <v>5.03</v>
      </c>
      <c r="E395" s="108"/>
      <c r="F395" s="127"/>
      <c r="G395" s="128"/>
      <c r="H395" s="425">
        <f t="shared" si="172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7"/>
        <v>0</v>
      </c>
      <c r="N395" s="130"/>
      <c r="O395" s="429"/>
      <c r="P395" s="429"/>
      <c r="Q395" s="429"/>
      <c r="R395" s="429"/>
      <c r="S395" s="429"/>
      <c r="T395" s="429"/>
      <c r="U395" s="429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30700006</v>
      </c>
      <c r="B396" s="424" t="s">
        <v>418</v>
      </c>
      <c r="C396" s="187" t="s">
        <v>365</v>
      </c>
      <c r="D396" s="108">
        <v>5.03</v>
      </c>
      <c r="E396" s="108"/>
      <c r="F396" s="127"/>
      <c r="G396" s="128"/>
      <c r="H396" s="425">
        <f t="shared" si="172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7"/>
        <v>0</v>
      </c>
      <c r="N396" s="130"/>
      <c r="O396" s="429"/>
      <c r="P396" s="429"/>
      <c r="Q396" s="429"/>
      <c r="R396" s="429"/>
      <c r="S396" s="429"/>
      <c r="T396" s="429"/>
      <c r="U396" s="429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3">
        <v>30700008</v>
      </c>
      <c r="B397" s="424" t="s">
        <v>418</v>
      </c>
      <c r="C397" s="187" t="s">
        <v>366</v>
      </c>
      <c r="D397" s="108">
        <v>5.03</v>
      </c>
      <c r="E397" s="108"/>
      <c r="F397" s="127"/>
      <c r="G397" s="128"/>
      <c r="H397" s="425">
        <f t="shared" si="172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7"/>
        <v>0</v>
      </c>
      <c r="N397" s="130"/>
      <c r="O397" s="429"/>
      <c r="P397" s="429"/>
      <c r="Q397" s="429"/>
      <c r="R397" s="429"/>
      <c r="S397" s="429"/>
      <c r="T397" s="429"/>
      <c r="U397" s="429"/>
      <c r="V397" s="132"/>
      <c r="W397" s="133"/>
      <c r="X397" s="132"/>
      <c r="Y397" s="132"/>
      <c r="Z397" s="132"/>
      <c r="AA397" s="132"/>
    </row>
    <row r="398" spans="1:27" ht="20.100000000000001" hidden="1" customHeight="1">
      <c r="A398" s="303">
        <v>30700009</v>
      </c>
      <c r="B398" s="424" t="s">
        <v>418</v>
      </c>
      <c r="C398" s="187" t="s">
        <v>367</v>
      </c>
      <c r="D398" s="108">
        <v>5.03</v>
      </c>
      <c r="E398" s="108"/>
      <c r="F398" s="127"/>
      <c r="G398" s="128"/>
      <c r="H398" s="425">
        <f t="shared" si="172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7"/>
        <v>0</v>
      </c>
      <c r="N398" s="130"/>
      <c r="O398" s="429"/>
      <c r="P398" s="429"/>
      <c r="Q398" s="429"/>
      <c r="R398" s="429"/>
      <c r="S398" s="429"/>
      <c r="T398" s="429"/>
      <c r="U398" s="429"/>
      <c r="V398" s="132"/>
      <c r="W398" s="133"/>
      <c r="X398" s="132"/>
      <c r="Y398" s="132"/>
      <c r="Z398" s="132"/>
      <c r="AA398" s="132"/>
    </row>
    <row r="399" spans="1:27" ht="20.100000000000001" hidden="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28"/>
      <c r="H399" s="425">
        <f t="shared" si="172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7"/>
        <v>0</v>
      </c>
      <c r="N399" s="130">
        <f t="shared" ref="N399:N408" si="184">SUM(O399:U399)</f>
        <v>0</v>
      </c>
      <c r="O399" s="433"/>
      <c r="P399" s="433"/>
      <c r="Q399" s="433"/>
      <c r="R399" s="433"/>
      <c r="S399" s="433"/>
      <c r="T399" s="433"/>
      <c r="U399" s="433"/>
      <c r="V399" s="132">
        <f t="shared" ref="V399:V408" si="185">SUM(X399:AA399)</f>
        <v>0</v>
      </c>
      <c r="W399" s="133" t="str">
        <f t="shared" ref="W399:W408" si="186">IF(ISERROR(V399/G399),"",V399/G399)</f>
        <v/>
      </c>
      <c r="X399" s="132"/>
      <c r="Y399" s="132"/>
      <c r="Z399" s="132"/>
      <c r="AA399" s="132"/>
    </row>
    <row r="400" spans="1:27" ht="20.100000000000001" hidden="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28"/>
      <c r="H400" s="425">
        <f t="shared" si="172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77"/>
        <v>0</v>
      </c>
      <c r="N400" s="130">
        <f t="shared" si="184"/>
        <v>0</v>
      </c>
      <c r="O400" s="433"/>
      <c r="P400" s="433"/>
      <c r="Q400" s="433"/>
      <c r="R400" s="433"/>
      <c r="S400" s="433"/>
      <c r="T400" s="433"/>
      <c r="U400" s="433"/>
      <c r="V400" s="132">
        <f t="shared" si="185"/>
        <v>0</v>
      </c>
      <c r="W400" s="133" t="str">
        <f t="shared" si="186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28"/>
      <c r="H401" s="425">
        <f t="shared" si="172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77"/>
        <v>0</v>
      </c>
      <c r="N401" s="130">
        <f t="shared" si="184"/>
        <v>0</v>
      </c>
      <c r="O401" s="433"/>
      <c r="P401" s="433"/>
      <c r="Q401" s="433"/>
      <c r="R401" s="433"/>
      <c r="S401" s="433"/>
      <c r="T401" s="433"/>
      <c r="U401" s="433"/>
      <c r="V401" s="132">
        <f t="shared" si="185"/>
        <v>0</v>
      </c>
      <c r="W401" s="133" t="str">
        <f t="shared" si="186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28"/>
      <c r="H402" s="425">
        <f t="shared" si="172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7"/>
        <v>0</v>
      </c>
      <c r="N402" s="130">
        <f t="shared" si="184"/>
        <v>0</v>
      </c>
      <c r="O402" s="433"/>
      <c r="P402" s="433"/>
      <c r="Q402" s="433"/>
      <c r="R402" s="433"/>
      <c r="S402" s="433"/>
      <c r="T402" s="433"/>
      <c r="U402" s="433"/>
      <c r="V402" s="132">
        <f t="shared" si="185"/>
        <v>0</v>
      </c>
      <c r="W402" s="133" t="str">
        <f t="shared" si="186"/>
        <v/>
      </c>
      <c r="X402" s="132"/>
      <c r="Y402" s="132"/>
      <c r="Z402" s="132"/>
      <c r="AA402" s="132"/>
    </row>
    <row r="403" spans="1:27" ht="20.100000000000001" hidden="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28"/>
      <c r="H403" s="425">
        <f t="shared" si="172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7"/>
        <v>0</v>
      </c>
      <c r="N403" s="130">
        <f t="shared" si="184"/>
        <v>0</v>
      </c>
      <c r="O403" s="433"/>
      <c r="P403" s="433"/>
      <c r="Q403" s="433"/>
      <c r="R403" s="433"/>
      <c r="S403" s="433"/>
      <c r="T403" s="433"/>
      <c r="U403" s="433"/>
      <c r="V403" s="132">
        <f t="shared" si="185"/>
        <v>0</v>
      </c>
      <c r="W403" s="133" t="str">
        <f t="shared" si="186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28"/>
      <c r="H404" s="425">
        <f t="shared" si="172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7"/>
        <v>0</v>
      </c>
      <c r="N404" s="130">
        <f t="shared" si="184"/>
        <v>0</v>
      </c>
      <c r="O404" s="433"/>
      <c r="P404" s="433"/>
      <c r="Q404" s="433"/>
      <c r="R404" s="433"/>
      <c r="S404" s="433"/>
      <c r="T404" s="433"/>
      <c r="U404" s="433"/>
      <c r="V404" s="132">
        <f t="shared" si="185"/>
        <v>0</v>
      </c>
      <c r="W404" s="133" t="str">
        <f t="shared" si="186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28"/>
      <c r="H405" s="425">
        <f t="shared" si="172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7"/>
        <v>0</v>
      </c>
      <c r="N405" s="130">
        <f t="shared" si="184"/>
        <v>0</v>
      </c>
      <c r="O405" s="433"/>
      <c r="P405" s="433"/>
      <c r="Q405" s="433"/>
      <c r="R405" s="433"/>
      <c r="S405" s="433"/>
      <c r="T405" s="433"/>
      <c r="U405" s="433"/>
      <c r="V405" s="132">
        <f t="shared" si="185"/>
        <v>0</v>
      </c>
      <c r="W405" s="133" t="str">
        <f t="shared" si="186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28"/>
      <c r="H406" s="425">
        <f t="shared" si="172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7"/>
        <v>0</v>
      </c>
      <c r="N406" s="130">
        <f t="shared" si="184"/>
        <v>0</v>
      </c>
      <c r="O406" s="433"/>
      <c r="P406" s="433"/>
      <c r="Q406" s="433"/>
      <c r="R406" s="433"/>
      <c r="S406" s="433"/>
      <c r="T406" s="433"/>
      <c r="U406" s="433"/>
      <c r="V406" s="132">
        <f t="shared" si="185"/>
        <v>0</v>
      </c>
      <c r="W406" s="133" t="str">
        <f t="shared" si="186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28"/>
      <c r="H407" s="425">
        <f t="shared" si="172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77"/>
        <v>0</v>
      </c>
      <c r="N407" s="130">
        <f t="shared" si="184"/>
        <v>0</v>
      </c>
      <c r="O407" s="433"/>
      <c r="P407" s="433"/>
      <c r="Q407" s="433"/>
      <c r="R407" s="433"/>
      <c r="S407" s="433"/>
      <c r="T407" s="433"/>
      <c r="U407" s="433"/>
      <c r="V407" s="132">
        <f t="shared" si="185"/>
        <v>0</v>
      </c>
      <c r="W407" s="133" t="str">
        <f t="shared" si="186"/>
        <v/>
      </c>
      <c r="X407" s="132"/>
      <c r="Y407" s="132"/>
      <c r="Z407" s="132"/>
      <c r="AA407" s="132"/>
    </row>
    <row r="408" spans="1:27" ht="20.100000000000001" hidden="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28"/>
      <c r="H408" s="425">
        <f t="shared" si="172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77"/>
        <v>0</v>
      </c>
      <c r="N408" s="130">
        <f t="shared" si="184"/>
        <v>0</v>
      </c>
      <c r="O408" s="433"/>
      <c r="P408" s="433"/>
      <c r="Q408" s="433"/>
      <c r="R408" s="433"/>
      <c r="S408" s="433"/>
      <c r="T408" s="433"/>
      <c r="U408" s="433"/>
      <c r="V408" s="132">
        <f t="shared" si="185"/>
        <v>0</v>
      </c>
      <c r="W408" s="133" t="str">
        <f t="shared" si="186"/>
        <v/>
      </c>
      <c r="X408" s="132"/>
      <c r="Y408" s="132"/>
      <c r="Z408" s="132"/>
      <c r="AA408" s="132"/>
    </row>
    <row r="409" spans="1:27" ht="20.100000000000001" hidden="1" customHeight="1">
      <c r="A409" s="300">
        <v>30100043</v>
      </c>
      <c r="B409" s="134" t="s">
        <v>429</v>
      </c>
      <c r="C409" s="187" t="s">
        <v>427</v>
      </c>
      <c r="D409" s="108">
        <v>50.3</v>
      </c>
      <c r="E409" s="108"/>
      <c r="F409" s="127"/>
      <c r="G409" s="128"/>
      <c r="H409" s="425">
        <f t="shared" si="172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433"/>
      <c r="P409" s="433"/>
      <c r="Q409" s="433"/>
      <c r="R409" s="433"/>
      <c r="S409" s="433"/>
      <c r="T409" s="433"/>
      <c r="U409" s="433"/>
      <c r="V409" s="132"/>
      <c r="W409" s="133"/>
      <c r="X409" s="132"/>
      <c r="Y409" s="132"/>
      <c r="Z409" s="132"/>
      <c r="AA409" s="132"/>
    </row>
    <row r="410" spans="1:27" ht="20.100000000000001" hidden="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28"/>
      <c r="H410" s="425">
        <f t="shared" si="172"/>
        <v>0</v>
      </c>
      <c r="I410" s="129"/>
      <c r="J410" s="130"/>
      <c r="K410" s="131"/>
      <c r="L410" s="129">
        <v>50</v>
      </c>
      <c r="M410" s="109"/>
      <c r="N410" s="130"/>
      <c r="O410" s="433"/>
      <c r="P410" s="433"/>
      <c r="Q410" s="433"/>
      <c r="R410" s="433"/>
      <c r="S410" s="433"/>
      <c r="T410" s="433"/>
      <c r="U410" s="433"/>
      <c r="V410" s="132"/>
      <c r="W410" s="133"/>
      <c r="X410" s="132"/>
      <c r="Y410" s="132"/>
      <c r="Z410" s="132"/>
      <c r="AA410" s="132"/>
    </row>
    <row r="411" spans="1:27" ht="20.100000000000001" hidden="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28"/>
      <c r="H411" s="425">
        <f t="shared" si="172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7">IF(ISERROR(I411-K411),"",I411-K411)</f>
        <v>0</v>
      </c>
      <c r="N411" s="130">
        <f t="shared" ref="N411:N412" si="188">SUM(O411:U411)</f>
        <v>0</v>
      </c>
      <c r="O411" s="433"/>
      <c r="P411" s="433"/>
      <c r="Q411" s="433"/>
      <c r="R411" s="433"/>
      <c r="S411" s="433"/>
      <c r="T411" s="433"/>
      <c r="U411" s="433"/>
      <c r="V411" s="132">
        <f t="shared" ref="V411:V412" si="189">SUM(X411:AA411)</f>
        <v>0</v>
      </c>
      <c r="W411" s="133" t="str">
        <f t="shared" ref="W411:W412" si="190">IF(ISERROR(V411/G411),"",V411/G411)</f>
        <v/>
      </c>
      <c r="X411" s="132"/>
      <c r="Y411" s="132"/>
      <c r="Z411" s="132"/>
      <c r="AA411" s="132"/>
    </row>
    <row r="412" spans="1:27" ht="20.100000000000001" hidden="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28"/>
      <c r="H412" s="425">
        <f t="shared" si="172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7"/>
        <v>0</v>
      </c>
      <c r="N412" s="130">
        <f t="shared" si="188"/>
        <v>0</v>
      </c>
      <c r="O412" s="433"/>
      <c r="P412" s="433"/>
      <c r="Q412" s="433"/>
      <c r="R412" s="433"/>
      <c r="S412" s="433"/>
      <c r="T412" s="433"/>
      <c r="U412" s="433"/>
      <c r="V412" s="132">
        <f t="shared" si="189"/>
        <v>0</v>
      </c>
      <c r="W412" s="133" t="str">
        <f t="shared" si="190"/>
        <v/>
      </c>
      <c r="X412" s="132"/>
      <c r="Y412" s="132"/>
      <c r="Z412" s="132"/>
      <c r="AA412" s="132"/>
    </row>
    <row r="413" spans="1:27" ht="20.100000000000001" hidden="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28"/>
      <c r="H413" s="425">
        <f t="shared" si="172"/>
        <v>0</v>
      </c>
      <c r="I413" s="129"/>
      <c r="J413" s="130"/>
      <c r="K413" s="131"/>
      <c r="L413" s="129"/>
      <c r="M413" s="109"/>
      <c r="N413" s="130"/>
      <c r="O413" s="433"/>
      <c r="P413" s="433"/>
      <c r="Q413" s="433"/>
      <c r="R413" s="433"/>
      <c r="S413" s="433"/>
      <c r="T413" s="433"/>
      <c r="U413" s="433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28"/>
      <c r="H414" s="425">
        <f t="shared" si="172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91">IF(ISERROR(I414-K414),"",I414-K414)</f>
        <v/>
      </c>
      <c r="N414" s="130">
        <f t="shared" ref="N414:N417" si="192">SUM(O414:U414)</f>
        <v>0</v>
      </c>
      <c r="O414" s="433"/>
      <c r="P414" s="433"/>
      <c r="Q414" s="433"/>
      <c r="R414" s="433"/>
      <c r="S414" s="433"/>
      <c r="T414" s="433"/>
      <c r="U414" s="433"/>
      <c r="V414" s="132">
        <f t="shared" ref="V414:V417" si="193">SUM(X414:AA414)</f>
        <v>0</v>
      </c>
      <c r="W414" s="133" t="str">
        <f t="shared" ref="W414:W417" si="194">IF(ISERROR(V414/G414),"",V414/G414)</f>
        <v/>
      </c>
      <c r="X414" s="132"/>
      <c r="Y414" s="132"/>
      <c r="Z414" s="132"/>
      <c r="AA414" s="132"/>
    </row>
    <row r="415" spans="1:27" ht="20.100000000000001" hidden="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28"/>
      <c r="H415" s="425">
        <f t="shared" si="172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1"/>
        <v/>
      </c>
      <c r="N415" s="130">
        <f t="shared" si="192"/>
        <v>0</v>
      </c>
      <c r="O415" s="433"/>
      <c r="P415" s="433"/>
      <c r="Q415" s="433"/>
      <c r="R415" s="433"/>
      <c r="S415" s="433"/>
      <c r="T415" s="433"/>
      <c r="U415" s="433"/>
      <c r="V415" s="132">
        <f t="shared" si="193"/>
        <v>0</v>
      </c>
      <c r="W415" s="133" t="str">
        <f t="shared" si="194"/>
        <v/>
      </c>
      <c r="X415" s="132"/>
      <c r="Y415" s="132"/>
      <c r="Z415" s="132"/>
      <c r="AA415" s="132"/>
    </row>
    <row r="416" spans="1:27" ht="20.100000000000001" hidden="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28"/>
      <c r="H416" s="425">
        <f t="shared" si="172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91"/>
        <v/>
      </c>
      <c r="N416" s="130">
        <f t="shared" si="192"/>
        <v>0</v>
      </c>
      <c r="O416" s="433"/>
      <c r="P416" s="433"/>
      <c r="Q416" s="433"/>
      <c r="R416" s="433"/>
      <c r="S416" s="433"/>
      <c r="T416" s="433"/>
      <c r="U416" s="433"/>
      <c r="V416" s="132">
        <f t="shared" si="193"/>
        <v>0</v>
      </c>
      <c r="W416" s="133" t="str">
        <f t="shared" si="194"/>
        <v/>
      </c>
      <c r="X416" s="132"/>
      <c r="Y416" s="132"/>
      <c r="Z416" s="132"/>
      <c r="AA416" s="132"/>
    </row>
    <row r="417" spans="1:27" ht="20.100000000000001" hidden="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28"/>
      <c r="H417" s="425">
        <f t="shared" si="172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91"/>
        <v/>
      </c>
      <c r="N417" s="130">
        <f t="shared" si="192"/>
        <v>0</v>
      </c>
      <c r="O417" s="433"/>
      <c r="P417" s="433"/>
      <c r="Q417" s="433"/>
      <c r="R417" s="433"/>
      <c r="S417" s="433"/>
      <c r="T417" s="433"/>
      <c r="U417" s="433"/>
      <c r="V417" s="132">
        <f t="shared" si="193"/>
        <v>0</v>
      </c>
      <c r="W417" s="133" t="str">
        <f t="shared" si="194"/>
        <v/>
      </c>
      <c r="X417" s="132"/>
      <c r="Y417" s="132"/>
      <c r="Z417" s="132"/>
      <c r="AA417" s="132"/>
    </row>
    <row r="418" spans="1:27" ht="20.100000000000001" hidden="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28"/>
      <c r="H418" s="425">
        <f t="shared" si="172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1"/>
        <v>0</v>
      </c>
      <c r="N418" s="130"/>
      <c r="O418" s="433"/>
      <c r="P418" s="433"/>
      <c r="Q418" s="433"/>
      <c r="R418" s="433"/>
      <c r="S418" s="433"/>
      <c r="T418" s="433"/>
      <c r="U418" s="433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28"/>
      <c r="H419" s="425">
        <f t="shared" si="172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1"/>
        <v>0</v>
      </c>
      <c r="N419" s="130"/>
      <c r="O419" s="433"/>
      <c r="P419" s="433"/>
      <c r="Q419" s="433"/>
      <c r="R419" s="433"/>
      <c r="S419" s="433"/>
      <c r="T419" s="433"/>
      <c r="U419" s="433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28"/>
      <c r="H420" s="425">
        <f t="shared" si="172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91"/>
        <v>0</v>
      </c>
      <c r="N420" s="130"/>
      <c r="O420" s="433"/>
      <c r="P420" s="433"/>
      <c r="Q420" s="433"/>
      <c r="R420" s="433"/>
      <c r="S420" s="433"/>
      <c r="T420" s="433"/>
      <c r="U420" s="433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28"/>
      <c r="H421" s="425">
        <f t="shared" si="172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91"/>
        <v>0</v>
      </c>
      <c r="N421" s="130"/>
      <c r="O421" s="433"/>
      <c r="P421" s="433"/>
      <c r="Q421" s="433"/>
      <c r="R421" s="433"/>
      <c r="S421" s="433"/>
      <c r="T421" s="433"/>
      <c r="U421" s="433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28"/>
      <c r="H422" s="425">
        <f t="shared" si="172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1"/>
        <v>0</v>
      </c>
      <c r="N422" s="130"/>
      <c r="O422" s="433"/>
      <c r="P422" s="433"/>
      <c r="Q422" s="433"/>
      <c r="R422" s="433"/>
      <c r="S422" s="433"/>
      <c r="T422" s="433"/>
      <c r="U422" s="433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28"/>
      <c r="H423" s="425">
        <f t="shared" si="172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1"/>
        <v>0</v>
      </c>
      <c r="N423" s="130"/>
      <c r="O423" s="433"/>
      <c r="P423" s="433"/>
      <c r="Q423" s="433"/>
      <c r="R423" s="433"/>
      <c r="S423" s="433"/>
      <c r="T423" s="433"/>
      <c r="U423" s="433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28"/>
      <c r="H424" s="425">
        <f t="shared" si="172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1"/>
        <v>0</v>
      </c>
      <c r="N424" s="130"/>
      <c r="O424" s="433"/>
      <c r="P424" s="433"/>
      <c r="Q424" s="433"/>
      <c r="R424" s="433"/>
      <c r="S424" s="433"/>
      <c r="T424" s="433"/>
      <c r="U424" s="433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28"/>
      <c r="H425" s="425">
        <f t="shared" si="172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1"/>
        <v>0</v>
      </c>
      <c r="N425" s="130"/>
      <c r="O425" s="433"/>
      <c r="P425" s="433"/>
      <c r="Q425" s="433"/>
      <c r="R425" s="433"/>
      <c r="S425" s="433"/>
      <c r="T425" s="433"/>
      <c r="U425" s="433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28"/>
      <c r="H426" s="425">
        <f t="shared" si="172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91"/>
        <v>0</v>
      </c>
      <c r="N426" s="130"/>
      <c r="O426" s="433"/>
      <c r="P426" s="433"/>
      <c r="Q426" s="433"/>
      <c r="R426" s="433"/>
      <c r="S426" s="433"/>
      <c r="T426" s="433"/>
      <c r="U426" s="433"/>
      <c r="V426" s="132"/>
      <c r="W426" s="133"/>
      <c r="X426" s="132"/>
      <c r="Y426" s="132"/>
      <c r="Z426" s="132"/>
      <c r="AA426" s="132"/>
    </row>
    <row r="427" spans="1:27" ht="20.100000000000001" hidden="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28"/>
      <c r="H427" s="425">
        <f t="shared" si="172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91"/>
        <v>0</v>
      </c>
      <c r="N427" s="130"/>
      <c r="O427" s="433"/>
      <c r="P427" s="433"/>
      <c r="Q427" s="433"/>
      <c r="R427" s="433"/>
      <c r="S427" s="433"/>
      <c r="T427" s="433"/>
      <c r="U427" s="433"/>
      <c r="V427" s="132"/>
      <c r="W427" s="133"/>
      <c r="X427" s="132"/>
      <c r="Y427" s="132"/>
      <c r="Z427" s="132"/>
      <c r="AA427" s="132"/>
    </row>
    <row r="428" spans="1:27" ht="20.100000000000001" hidden="1" customHeight="1">
      <c r="A428" s="589" t="s">
        <v>216</v>
      </c>
      <c r="B428" s="589"/>
      <c r="C428" s="434" t="s">
        <v>202</v>
      </c>
      <c r="D428" s="143"/>
      <c r="E428" s="143"/>
      <c r="F428" s="144"/>
      <c r="G428" s="145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5">SUM(M371:M427)</f>
        <v>0</v>
      </c>
      <c r="N428" s="146">
        <f t="shared" si="195"/>
        <v>0</v>
      </c>
      <c r="O428" s="148">
        <f t="shared" si="195"/>
        <v>0</v>
      </c>
      <c r="P428" s="148">
        <f t="shared" si="195"/>
        <v>0</v>
      </c>
      <c r="Q428" s="148">
        <f t="shared" si="195"/>
        <v>0</v>
      </c>
      <c r="R428" s="148">
        <f t="shared" si="195"/>
        <v>0</v>
      </c>
      <c r="S428" s="148">
        <f t="shared" si="195"/>
        <v>0</v>
      </c>
      <c r="T428" s="148">
        <f t="shared" si="195"/>
        <v>0</v>
      </c>
      <c r="U428" s="148">
        <f t="shared" si="195"/>
        <v>0</v>
      </c>
      <c r="V428" s="149">
        <f t="shared" si="195"/>
        <v>0</v>
      </c>
      <c r="W428" s="133" t="str">
        <f t="shared" ref="W428:W435" si="196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hidden="1" customHeight="1">
      <c r="A429" s="299">
        <v>30400012</v>
      </c>
      <c r="B429" s="424" t="s">
        <v>217</v>
      </c>
      <c r="C429" s="126" t="s">
        <v>179</v>
      </c>
      <c r="D429" s="108">
        <v>5.03</v>
      </c>
      <c r="E429" s="108"/>
      <c r="F429" s="127"/>
      <c r="G429" s="128"/>
      <c r="H429" s="425">
        <f t="shared" ref="H429:H462" si="197">D429*G429</f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ref="M429:M436" si="198">IF(ISERROR(I429-K429),"",I429-K429)</f>
        <v>0</v>
      </c>
      <c r="N429" s="130">
        <f t="shared" ref="N429:N436" si="199">SUM(O429:U429)</f>
        <v>0</v>
      </c>
      <c r="O429" s="433"/>
      <c r="P429" s="433"/>
      <c r="Q429" s="433"/>
      <c r="R429" s="433"/>
      <c r="S429" s="433"/>
      <c r="T429" s="433"/>
      <c r="U429" s="433"/>
      <c r="V429" s="132">
        <f t="shared" ref="V429:V435" si="200">SUM(X429:AA429)</f>
        <v>0</v>
      </c>
      <c r="W429" s="133" t="str">
        <f t="shared" si="196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30400010</v>
      </c>
      <c r="B430" s="424" t="s">
        <v>217</v>
      </c>
      <c r="C430" s="126" t="s">
        <v>186</v>
      </c>
      <c r="D430" s="108">
        <v>5.03</v>
      </c>
      <c r="E430" s="108"/>
      <c r="F430" s="127"/>
      <c r="G430" s="128"/>
      <c r="H430" s="425">
        <f t="shared" si="197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8.8000000000000007</v>
      </c>
      <c r="M430" s="109">
        <f t="shared" si="198"/>
        <v>0</v>
      </c>
      <c r="N430" s="130">
        <f t="shared" si="199"/>
        <v>0</v>
      </c>
      <c r="O430" s="433"/>
      <c r="P430" s="433"/>
      <c r="Q430" s="433"/>
      <c r="R430" s="433"/>
      <c r="S430" s="433"/>
      <c r="T430" s="433"/>
      <c r="U430" s="433"/>
      <c r="V430" s="132">
        <f t="shared" si="200"/>
        <v>0</v>
      </c>
      <c r="W430" s="133" t="str">
        <f t="shared" si="196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30400011</v>
      </c>
      <c r="B431" s="424" t="s">
        <v>217</v>
      </c>
      <c r="C431" s="126" t="s">
        <v>204</v>
      </c>
      <c r="D431" s="108">
        <v>5.03</v>
      </c>
      <c r="E431" s="108"/>
      <c r="F431" s="127"/>
      <c r="G431" s="128"/>
      <c r="H431" s="425">
        <f t="shared" si="197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8.8000000000000007</v>
      </c>
      <c r="M431" s="109">
        <f t="shared" si="198"/>
        <v>0</v>
      </c>
      <c r="N431" s="130">
        <f t="shared" si="199"/>
        <v>0</v>
      </c>
      <c r="O431" s="433"/>
      <c r="P431" s="433"/>
      <c r="Q431" s="433"/>
      <c r="R431" s="433"/>
      <c r="S431" s="433"/>
      <c r="T431" s="433"/>
      <c r="U431" s="433"/>
      <c r="V431" s="132">
        <f t="shared" si="200"/>
        <v>0</v>
      </c>
      <c r="W431" s="133" t="str">
        <f t="shared" si="196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28"/>
      <c r="H432" s="425">
        <f t="shared" si="197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8"/>
        <v>0</v>
      </c>
      <c r="N432" s="130">
        <f t="shared" si="199"/>
        <v>0</v>
      </c>
      <c r="O432" s="433"/>
      <c r="P432" s="433"/>
      <c r="Q432" s="433"/>
      <c r="R432" s="433"/>
      <c r="S432" s="433"/>
      <c r="T432" s="433"/>
      <c r="U432" s="433"/>
      <c r="V432" s="132">
        <f t="shared" si="200"/>
        <v>0</v>
      </c>
      <c r="W432" s="133" t="str">
        <f t="shared" si="196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/>
      <c r="G433" s="128"/>
      <c r="H433" s="425">
        <f t="shared" si="197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8"/>
        <v>0</v>
      </c>
      <c r="N433" s="130">
        <f t="shared" si="199"/>
        <v>0</v>
      </c>
      <c r="O433" s="433"/>
      <c r="P433" s="433"/>
      <c r="Q433" s="433"/>
      <c r="R433" s="433"/>
      <c r="S433" s="433"/>
      <c r="T433" s="433"/>
      <c r="U433" s="433"/>
      <c r="V433" s="132">
        <f t="shared" si="200"/>
        <v>0</v>
      </c>
      <c r="W433" s="133" t="str">
        <f t="shared" si="196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/>
      <c r="G434" s="128"/>
      <c r="H434" s="425">
        <f t="shared" si="197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9.3000000000000007</v>
      </c>
      <c r="M434" s="109">
        <f t="shared" si="198"/>
        <v>0</v>
      </c>
      <c r="N434" s="130">
        <f t="shared" si="199"/>
        <v>0</v>
      </c>
      <c r="O434" s="433"/>
      <c r="P434" s="433"/>
      <c r="Q434" s="433"/>
      <c r="R434" s="433"/>
      <c r="S434" s="433"/>
      <c r="T434" s="433"/>
      <c r="U434" s="433"/>
      <c r="V434" s="132">
        <f t="shared" si="200"/>
        <v>0</v>
      </c>
      <c r="W434" s="133" t="str">
        <f t="shared" si="196"/>
        <v/>
      </c>
      <c r="X434" s="132"/>
      <c r="Y434" s="132"/>
      <c r="Z434" s="132"/>
      <c r="AA434" s="132"/>
    </row>
    <row r="435" spans="1:27" ht="20.10000000000000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>
        <v>42738</v>
      </c>
      <c r="G435" s="128">
        <f>108*7+53+85+94</f>
        <v>988</v>
      </c>
      <c r="H435" s="425">
        <f t="shared" si="197"/>
        <v>4969.6400000000003</v>
      </c>
      <c r="I435" s="129">
        <f>10*2+9.5*2+8.5+9+10+10.5+10.5</f>
        <v>87.5</v>
      </c>
      <c r="J435" s="130">
        <f t="array" ref="J435">IF(ISERROR(G435/I435),"",G435/I435)</f>
        <v>11.291428571428572</v>
      </c>
      <c r="K435" s="131">
        <f t="array" ref="K435">IF(ISERROR(G435/L435),"",G435/L435)</f>
        <v>106.23655913978494</v>
      </c>
      <c r="L435" s="129">
        <v>9.3000000000000007</v>
      </c>
      <c r="M435" s="109">
        <f t="shared" si="198"/>
        <v>-18.736559139784944</v>
      </c>
      <c r="N435" s="130">
        <f t="shared" si="199"/>
        <v>0</v>
      </c>
      <c r="O435" s="433"/>
      <c r="P435" s="433"/>
      <c r="Q435" s="433"/>
      <c r="R435" s="433"/>
      <c r="S435" s="433"/>
      <c r="T435" s="433"/>
      <c r="U435" s="433"/>
      <c r="V435" s="132">
        <f t="shared" si="200"/>
        <v>0</v>
      </c>
      <c r="W435" s="133">
        <f t="shared" si="196"/>
        <v>0</v>
      </c>
      <c r="X435" s="132"/>
      <c r="Y435" s="132"/>
      <c r="Z435" s="132"/>
      <c r="AA435" s="132"/>
    </row>
    <row r="436" spans="1:27" ht="20.100000000000001" hidden="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/>
      <c r="G436" s="128"/>
      <c r="H436" s="425">
        <f t="shared" si="197"/>
        <v>0</v>
      </c>
      <c r="I436" s="129"/>
      <c r="J436" s="130"/>
      <c r="K436" s="131">
        <f t="array" ref="K436">IF(ISERROR(G436/L436),"",G436/L436)</f>
        <v>0</v>
      </c>
      <c r="L436" s="129">
        <v>9.3000000000000007</v>
      </c>
      <c r="M436" s="109">
        <f t="shared" si="198"/>
        <v>0</v>
      </c>
      <c r="N436" s="130">
        <f t="shared" si="199"/>
        <v>0</v>
      </c>
      <c r="O436" s="433"/>
      <c r="P436" s="433"/>
      <c r="Q436" s="433"/>
      <c r="R436" s="433"/>
      <c r="S436" s="433"/>
      <c r="T436" s="433"/>
      <c r="U436" s="433"/>
      <c r="V436" s="132"/>
      <c r="W436" s="133"/>
      <c r="X436" s="132"/>
      <c r="Y436" s="132"/>
      <c r="Z436" s="132"/>
      <c r="AA436" s="132"/>
    </row>
    <row r="437" spans="1:27" ht="20.100000000000001" hidden="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28"/>
      <c r="H437" s="425">
        <f t="shared" si="197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433"/>
      <c r="P437" s="433"/>
      <c r="Q437" s="433"/>
      <c r="R437" s="433"/>
      <c r="S437" s="433"/>
      <c r="T437" s="433"/>
      <c r="U437" s="433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28"/>
      <c r="H438" s="425">
        <f t="shared" si="197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433"/>
      <c r="P438" s="433"/>
      <c r="Q438" s="433"/>
      <c r="R438" s="433"/>
      <c r="S438" s="433"/>
      <c r="T438" s="433"/>
      <c r="U438" s="433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28"/>
      <c r="H439" s="425">
        <f t="shared" si="197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433"/>
      <c r="P439" s="433"/>
      <c r="Q439" s="433"/>
      <c r="R439" s="433"/>
      <c r="S439" s="433"/>
      <c r="T439" s="433"/>
      <c r="U439" s="433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28"/>
      <c r="H440" s="425">
        <f t="shared" si="197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433"/>
      <c r="P440" s="433"/>
      <c r="Q440" s="433"/>
      <c r="R440" s="433"/>
      <c r="S440" s="433"/>
      <c r="T440" s="433"/>
      <c r="U440" s="433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hidden="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28"/>
      <c r="H441" s="425">
        <f t="shared" si="197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2" si="201">IF(ISERROR(I441-K441),"",I441-K441)</f>
        <v>0</v>
      </c>
      <c r="N441" s="130">
        <f t="shared" ref="N441:N456" si="202">SUM(O441:U441)</f>
        <v>0</v>
      </c>
      <c r="O441" s="433"/>
      <c r="P441" s="433"/>
      <c r="Q441" s="433"/>
      <c r="R441" s="433"/>
      <c r="S441" s="433"/>
      <c r="T441" s="433"/>
      <c r="U441" s="433"/>
      <c r="V441" s="132">
        <f t="shared" ref="V441:V444" si="203">SUM(X441:AA441)</f>
        <v>0</v>
      </c>
      <c r="W441" s="133" t="str">
        <f t="shared" ref="W441:W448" si="204">IF(ISERROR(V441/G441),"",V441/G441)</f>
        <v/>
      </c>
      <c r="X441" s="132"/>
      <c r="Y441" s="132"/>
      <c r="Z441" s="132"/>
      <c r="AA441" s="132"/>
    </row>
    <row r="442" spans="1:27" ht="20.100000000000001" hidden="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28"/>
      <c r="H442" s="425">
        <f t="shared" si="197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1"/>
        <v/>
      </c>
      <c r="N442" s="130">
        <f t="shared" si="202"/>
        <v>0</v>
      </c>
      <c r="O442" s="433"/>
      <c r="P442" s="433"/>
      <c r="Q442" s="433"/>
      <c r="R442" s="433"/>
      <c r="S442" s="433"/>
      <c r="T442" s="433"/>
      <c r="U442" s="433"/>
      <c r="V442" s="132">
        <f t="shared" si="203"/>
        <v>0</v>
      </c>
      <c r="W442" s="133" t="str">
        <f t="shared" si="204"/>
        <v/>
      </c>
      <c r="X442" s="132"/>
      <c r="Y442" s="132"/>
      <c r="Z442" s="132"/>
      <c r="AA442" s="132"/>
    </row>
    <row r="443" spans="1:27" ht="20.100000000000001" hidden="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28"/>
      <c r="H443" s="425">
        <f t="shared" si="197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201"/>
        <v/>
      </c>
      <c r="N443" s="130">
        <f t="shared" si="202"/>
        <v>0</v>
      </c>
      <c r="O443" s="433"/>
      <c r="P443" s="433"/>
      <c r="Q443" s="433"/>
      <c r="R443" s="433"/>
      <c r="S443" s="433"/>
      <c r="T443" s="433"/>
      <c r="U443" s="433"/>
      <c r="V443" s="132">
        <f t="shared" si="203"/>
        <v>0</v>
      </c>
      <c r="W443" s="133" t="str">
        <f t="shared" si="204"/>
        <v/>
      </c>
      <c r="X443" s="132"/>
      <c r="Y443" s="132"/>
      <c r="Z443" s="132"/>
      <c r="AA443" s="132"/>
    </row>
    <row r="444" spans="1:27" ht="20.100000000000001" hidden="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28"/>
      <c r="H444" s="425">
        <f t="shared" si="197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201"/>
        <v/>
      </c>
      <c r="N444" s="130">
        <f t="shared" si="202"/>
        <v>0</v>
      </c>
      <c r="O444" s="433"/>
      <c r="P444" s="433"/>
      <c r="Q444" s="433"/>
      <c r="R444" s="433"/>
      <c r="S444" s="433"/>
      <c r="T444" s="433"/>
      <c r="U444" s="433"/>
      <c r="V444" s="132">
        <f t="shared" si="203"/>
        <v>0</v>
      </c>
      <c r="W444" s="133" t="str">
        <f t="shared" si="204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30600005</v>
      </c>
      <c r="B445" s="424" t="s">
        <v>222</v>
      </c>
      <c r="C445" s="126" t="s">
        <v>181</v>
      </c>
      <c r="D445" s="108">
        <v>9.36</v>
      </c>
      <c r="E445" s="108"/>
      <c r="F445" s="127"/>
      <c r="G445" s="128"/>
      <c r="H445" s="425">
        <f t="shared" si="197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1"/>
        <v>0</v>
      </c>
      <c r="N445" s="130">
        <f t="shared" si="202"/>
        <v>0</v>
      </c>
      <c r="O445" s="433"/>
      <c r="P445" s="433"/>
      <c r="Q445" s="433"/>
      <c r="R445" s="433"/>
      <c r="S445" s="433"/>
      <c r="T445" s="433"/>
      <c r="U445" s="433"/>
      <c r="V445" s="132">
        <f t="shared" ref="V445:V448" si="205">SUM(X445:AA445)</f>
        <v>0</v>
      </c>
      <c r="W445" s="133" t="str">
        <f t="shared" si="204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30600008</v>
      </c>
      <c r="B446" s="424" t="s">
        <v>222</v>
      </c>
      <c r="C446" s="126" t="s">
        <v>179</v>
      </c>
      <c r="D446" s="108">
        <v>9.36</v>
      </c>
      <c r="E446" s="108"/>
      <c r="F446" s="127"/>
      <c r="G446" s="128"/>
      <c r="H446" s="425">
        <f t="shared" si="197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1"/>
        <v>0</v>
      </c>
      <c r="N446" s="130">
        <f t="shared" si="202"/>
        <v>0</v>
      </c>
      <c r="O446" s="433"/>
      <c r="P446" s="433"/>
      <c r="Q446" s="433"/>
      <c r="R446" s="433"/>
      <c r="S446" s="433"/>
      <c r="T446" s="433"/>
      <c r="U446" s="433"/>
      <c r="V446" s="132">
        <f t="shared" si="205"/>
        <v>0</v>
      </c>
      <c r="W446" s="133" t="str">
        <f t="shared" si="204"/>
        <v/>
      </c>
      <c r="X446" s="132"/>
      <c r="Y446" s="132"/>
      <c r="Z446" s="132"/>
      <c r="AA446" s="132"/>
    </row>
    <row r="447" spans="1:27" ht="20.100000000000001" hidden="1" customHeight="1">
      <c r="A447" s="304">
        <v>30600007</v>
      </c>
      <c r="B447" s="424" t="s">
        <v>222</v>
      </c>
      <c r="C447" s="126" t="s">
        <v>221</v>
      </c>
      <c r="D447" s="108">
        <v>9.36</v>
      </c>
      <c r="E447" s="108"/>
      <c r="F447" s="127"/>
      <c r="G447" s="128"/>
      <c r="H447" s="425">
        <f t="shared" si="197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201"/>
        <v>0</v>
      </c>
      <c r="N447" s="130">
        <f t="shared" si="202"/>
        <v>0</v>
      </c>
      <c r="O447" s="433"/>
      <c r="P447" s="433"/>
      <c r="Q447" s="433"/>
      <c r="R447" s="433"/>
      <c r="S447" s="433"/>
      <c r="T447" s="433"/>
      <c r="U447" s="433"/>
      <c r="V447" s="132">
        <f t="shared" si="205"/>
        <v>0</v>
      </c>
      <c r="W447" s="133" t="str">
        <f t="shared" si="204"/>
        <v/>
      </c>
      <c r="X447" s="132"/>
      <c r="Y447" s="132"/>
      <c r="Z447" s="132"/>
      <c r="AA447" s="132"/>
    </row>
    <row r="448" spans="1:27" ht="20.100000000000001" hidden="1" customHeight="1">
      <c r="A448" s="304">
        <v>30600006</v>
      </c>
      <c r="B448" s="424" t="s">
        <v>222</v>
      </c>
      <c r="C448" s="126" t="s">
        <v>186</v>
      </c>
      <c r="D448" s="108">
        <v>9.36</v>
      </c>
      <c r="E448" s="108"/>
      <c r="F448" s="127"/>
      <c r="G448" s="128"/>
      <c r="H448" s="425">
        <f t="shared" si="197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201"/>
        <v>0</v>
      </c>
      <c r="N448" s="130">
        <f t="shared" si="202"/>
        <v>0</v>
      </c>
      <c r="O448" s="433"/>
      <c r="P448" s="433"/>
      <c r="Q448" s="433"/>
      <c r="R448" s="433"/>
      <c r="S448" s="433"/>
      <c r="T448" s="433"/>
      <c r="U448" s="433"/>
      <c r="V448" s="132">
        <f t="shared" si="205"/>
        <v>0</v>
      </c>
      <c r="W448" s="133" t="str">
        <f t="shared" si="204"/>
        <v/>
      </c>
      <c r="X448" s="132"/>
      <c r="Y448" s="132"/>
      <c r="Z448" s="132"/>
      <c r="AA448" s="132"/>
    </row>
    <row r="449" spans="1:27" ht="20.100000000000001" hidden="1" customHeight="1">
      <c r="A449" s="299">
        <v>30400026</v>
      </c>
      <c r="B449" s="424" t="s">
        <v>393</v>
      </c>
      <c r="C449" s="187" t="s">
        <v>395</v>
      </c>
      <c r="D449" s="108">
        <v>5</v>
      </c>
      <c r="E449" s="108"/>
      <c r="F449" s="127"/>
      <c r="G449" s="128"/>
      <c r="H449" s="425">
        <f t="shared" si="197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1"/>
        <v>0</v>
      </c>
      <c r="N449" s="130">
        <f t="shared" si="202"/>
        <v>0</v>
      </c>
      <c r="O449" s="433"/>
      <c r="P449" s="433"/>
      <c r="Q449" s="433"/>
      <c r="R449" s="433"/>
      <c r="S449" s="433"/>
      <c r="T449" s="433"/>
      <c r="U449" s="433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>
        <v>30400028</v>
      </c>
      <c r="B450" s="424" t="s">
        <v>393</v>
      </c>
      <c r="C450" s="187" t="s">
        <v>402</v>
      </c>
      <c r="D450" s="108">
        <v>5</v>
      </c>
      <c r="E450" s="108"/>
      <c r="F450" s="127"/>
      <c r="G450" s="128"/>
      <c r="H450" s="425">
        <f t="shared" si="197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1"/>
        <v>0</v>
      </c>
      <c r="N450" s="130">
        <f t="shared" si="202"/>
        <v>0</v>
      </c>
      <c r="O450" s="433"/>
      <c r="P450" s="433"/>
      <c r="Q450" s="433"/>
      <c r="R450" s="433"/>
      <c r="S450" s="433"/>
      <c r="T450" s="433"/>
      <c r="U450" s="433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30400027</v>
      </c>
      <c r="B451" s="424" t="s">
        <v>404</v>
      </c>
      <c r="C451" s="187" t="s">
        <v>405</v>
      </c>
      <c r="D451" s="108">
        <v>5</v>
      </c>
      <c r="E451" s="108"/>
      <c r="F451" s="127"/>
      <c r="G451" s="128"/>
      <c r="H451" s="425">
        <f t="shared" si="197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1"/>
        <v>0</v>
      </c>
      <c r="N451" s="130">
        <f t="shared" si="202"/>
        <v>0</v>
      </c>
      <c r="O451" s="433"/>
      <c r="P451" s="433"/>
      <c r="Q451" s="433"/>
      <c r="R451" s="433"/>
      <c r="S451" s="433"/>
      <c r="T451" s="433"/>
      <c r="U451" s="433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/>
      <c r="B452" s="424" t="s">
        <v>342</v>
      </c>
      <c r="C452" s="187" t="s">
        <v>372</v>
      </c>
      <c r="D452" s="108">
        <v>5</v>
      </c>
      <c r="E452" s="108"/>
      <c r="F452" s="127"/>
      <c r="G452" s="128"/>
      <c r="H452" s="425">
        <f t="shared" si="197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1"/>
        <v>0</v>
      </c>
      <c r="N452" s="130">
        <f t="shared" si="202"/>
        <v>0</v>
      </c>
      <c r="O452" s="433"/>
      <c r="P452" s="433"/>
      <c r="Q452" s="433"/>
      <c r="R452" s="433"/>
      <c r="S452" s="433"/>
      <c r="T452" s="433"/>
      <c r="U452" s="433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30600009</v>
      </c>
      <c r="B453" s="424" t="s">
        <v>343</v>
      </c>
      <c r="C453" s="126" t="s">
        <v>345</v>
      </c>
      <c r="D453" s="108">
        <v>5</v>
      </c>
      <c r="E453" s="108"/>
      <c r="F453" s="127"/>
      <c r="G453" s="128"/>
      <c r="H453" s="425">
        <f t="shared" si="197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201"/>
        <v>0</v>
      </c>
      <c r="N453" s="130">
        <f t="shared" si="202"/>
        <v>0</v>
      </c>
      <c r="O453" s="433"/>
      <c r="P453" s="433"/>
      <c r="Q453" s="433"/>
      <c r="R453" s="433"/>
      <c r="S453" s="433"/>
      <c r="T453" s="433"/>
      <c r="U453" s="433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299">
        <v>30600010</v>
      </c>
      <c r="B454" s="424" t="s">
        <v>343</v>
      </c>
      <c r="C454" s="126" t="s">
        <v>347</v>
      </c>
      <c r="D454" s="108">
        <v>5</v>
      </c>
      <c r="E454" s="108"/>
      <c r="F454" s="127"/>
      <c r="G454" s="128"/>
      <c r="H454" s="425">
        <f t="shared" si="197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201"/>
        <v>0</v>
      </c>
      <c r="N454" s="130">
        <f t="shared" si="202"/>
        <v>0</v>
      </c>
      <c r="O454" s="433"/>
      <c r="P454" s="433"/>
      <c r="Q454" s="433"/>
      <c r="R454" s="433"/>
      <c r="S454" s="433"/>
      <c r="T454" s="433"/>
      <c r="U454" s="433"/>
      <c r="V454" s="132"/>
      <c r="W454" s="133"/>
      <c r="X454" s="132"/>
      <c r="Y454" s="132"/>
      <c r="Z454" s="132"/>
      <c r="AA454" s="132"/>
    </row>
    <row r="455" spans="1:27" ht="20.100000000000001" hidden="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/>
      <c r="G455" s="128"/>
      <c r="H455" s="425">
        <f t="shared" si="197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15.5</v>
      </c>
      <c r="M455" s="109">
        <f t="shared" si="201"/>
        <v>0</v>
      </c>
      <c r="N455" s="130">
        <f t="shared" si="202"/>
        <v>0</v>
      </c>
      <c r="O455" s="433"/>
      <c r="P455" s="433"/>
      <c r="Q455" s="433"/>
      <c r="R455" s="433"/>
      <c r="S455" s="433"/>
      <c r="T455" s="433"/>
      <c r="U455" s="433"/>
      <c r="V455" s="132">
        <f t="shared" ref="V455:V456" si="206">SUM(X455:AA455)</f>
        <v>0</v>
      </c>
      <c r="W455" s="133" t="str">
        <f t="shared" ref="W455:W456" si="207">IF(ISERROR(V455/G455),"",V455/G455)</f>
        <v/>
      </c>
      <c r="X455" s="132"/>
      <c r="Y455" s="132"/>
      <c r="Z455" s="132"/>
      <c r="AA455" s="132"/>
    </row>
    <row r="456" spans="1:27" ht="20.100000000000001" hidden="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/>
      <c r="G456" s="128"/>
      <c r="H456" s="425">
        <f t="shared" si="197"/>
        <v>0</v>
      </c>
      <c r="I456" s="129"/>
      <c r="J456" s="130" t="str">
        <f t="array" ref="J456">IF(ISERROR(G456/I456),"",G456/I456)</f>
        <v/>
      </c>
      <c r="K456" s="131">
        <f t="array" ref="K456">IF(ISERROR(G456/L456),"",G456/L456)</f>
        <v>0</v>
      </c>
      <c r="L456" s="129">
        <v>15.5</v>
      </c>
      <c r="M456" s="109">
        <f t="shared" si="201"/>
        <v>0</v>
      </c>
      <c r="N456" s="130">
        <f t="shared" si="202"/>
        <v>0</v>
      </c>
      <c r="O456" s="433"/>
      <c r="P456" s="433"/>
      <c r="Q456" s="433"/>
      <c r="R456" s="433"/>
      <c r="S456" s="433"/>
      <c r="T456" s="433"/>
      <c r="U456" s="433"/>
      <c r="V456" s="132">
        <f t="shared" si="206"/>
        <v>0</v>
      </c>
      <c r="W456" s="133" t="str">
        <f t="shared" si="207"/>
        <v/>
      </c>
      <c r="X456" s="132"/>
      <c r="Y456" s="132"/>
      <c r="Z456" s="132"/>
      <c r="AA456" s="132"/>
    </row>
    <row r="457" spans="1:27" ht="20.100000000000001" hidden="1" customHeight="1">
      <c r="A457" s="299">
        <v>30400004</v>
      </c>
      <c r="B457" s="151" t="s">
        <v>419</v>
      </c>
      <c r="C457" s="187" t="s">
        <v>73</v>
      </c>
      <c r="D457" s="108"/>
      <c r="E457" s="108"/>
      <c r="F457" s="127"/>
      <c r="G457" s="128"/>
      <c r="H457" s="425">
        <f t="shared" si="197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1"/>
        <v>0</v>
      </c>
      <c r="N457" s="130"/>
      <c r="O457" s="433"/>
      <c r="P457" s="433"/>
      <c r="Q457" s="433"/>
      <c r="R457" s="433"/>
      <c r="S457" s="433"/>
      <c r="T457" s="433"/>
      <c r="U457" s="433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28"/>
      <c r="H458" s="425">
        <f t="shared" si="197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201"/>
        <v>0</v>
      </c>
      <c r="N458" s="130"/>
      <c r="O458" s="433"/>
      <c r="P458" s="433"/>
      <c r="Q458" s="433"/>
      <c r="R458" s="433"/>
      <c r="S458" s="433"/>
      <c r="T458" s="433"/>
      <c r="U458" s="433"/>
      <c r="V458" s="132"/>
      <c r="W458" s="133"/>
      <c r="X458" s="132"/>
      <c r="Y458" s="132"/>
      <c r="Z458" s="132"/>
      <c r="AA458" s="132"/>
    </row>
    <row r="459" spans="1:27" ht="20.100000000000001" hidden="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28"/>
      <c r="H459" s="425">
        <f t="shared" si="197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201"/>
        <v>0</v>
      </c>
      <c r="N459" s="130"/>
      <c r="O459" s="433"/>
      <c r="P459" s="433"/>
      <c r="Q459" s="433"/>
      <c r="R459" s="433"/>
      <c r="S459" s="433"/>
      <c r="T459" s="433"/>
      <c r="U459" s="433"/>
      <c r="V459" s="132"/>
      <c r="W459" s="133"/>
      <c r="X459" s="132"/>
      <c r="Y459" s="132"/>
      <c r="Z459" s="132"/>
      <c r="AA459" s="132"/>
    </row>
    <row r="460" spans="1:27" ht="20.100000000000001" hidden="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28"/>
      <c r="H460" s="425">
        <f t="shared" si="197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201"/>
        <v>0</v>
      </c>
      <c r="N460" s="130">
        <f t="shared" ref="N460:N462" si="208">SUM(O460:U460)</f>
        <v>0</v>
      </c>
      <c r="O460" s="433"/>
      <c r="P460" s="433"/>
      <c r="Q460" s="433"/>
      <c r="R460" s="433"/>
      <c r="S460" s="433"/>
      <c r="T460" s="433"/>
      <c r="U460" s="433"/>
      <c r="V460" s="132">
        <f t="shared" ref="V460:V462" si="209">SUM(X460:AA460)</f>
        <v>0</v>
      </c>
      <c r="W460" s="133" t="str">
        <f t="shared" ref="W460:W484" si="210">IF(ISERROR(V460/G460),"",V460/G460)</f>
        <v/>
      </c>
      <c r="X460" s="132"/>
      <c r="Y460" s="132"/>
      <c r="Z460" s="132"/>
      <c r="AA460" s="132"/>
    </row>
    <row r="461" spans="1:27" ht="20.100000000000001" hidden="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28"/>
      <c r="H461" s="425">
        <f t="shared" si="197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si="201"/>
        <v>0</v>
      </c>
      <c r="N461" s="130">
        <f t="shared" si="208"/>
        <v>0</v>
      </c>
      <c r="O461" s="433"/>
      <c r="P461" s="433"/>
      <c r="Q461" s="433"/>
      <c r="R461" s="433"/>
      <c r="S461" s="433"/>
      <c r="T461" s="433"/>
      <c r="U461" s="433"/>
      <c r="V461" s="132">
        <f t="shared" si="209"/>
        <v>0</v>
      </c>
      <c r="W461" s="133" t="str">
        <f t="shared" si="210"/>
        <v/>
      </c>
      <c r="X461" s="132"/>
      <c r="Y461" s="132"/>
      <c r="Z461" s="132"/>
      <c r="AA461" s="132"/>
    </row>
    <row r="462" spans="1:27" ht="20.100000000000001" hidden="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28"/>
      <c r="H462" s="425">
        <f t="shared" si="197"/>
        <v>0</v>
      </c>
      <c r="I462" s="129"/>
      <c r="J462" s="130" t="str">
        <f t="array" ref="J462">IF(ISERROR(G462/I462),"",G462/I462)</f>
        <v/>
      </c>
      <c r="K462" s="425">
        <f t="array" ref="K462">IF(ISERROR(G462/L462),"",G462/L462)</f>
        <v>0</v>
      </c>
      <c r="L462" s="129">
        <v>9</v>
      </c>
      <c r="M462" s="109">
        <f t="shared" si="201"/>
        <v>0</v>
      </c>
      <c r="N462" s="130">
        <f t="shared" si="208"/>
        <v>0</v>
      </c>
      <c r="O462" s="433"/>
      <c r="P462" s="433"/>
      <c r="Q462" s="433"/>
      <c r="R462" s="433"/>
      <c r="S462" s="433"/>
      <c r="T462" s="433"/>
      <c r="U462" s="433"/>
      <c r="V462" s="132">
        <f t="shared" si="209"/>
        <v>0</v>
      </c>
      <c r="W462" s="133" t="str">
        <f t="shared" si="210"/>
        <v/>
      </c>
      <c r="X462" s="132"/>
      <c r="Y462" s="132"/>
      <c r="Z462" s="132"/>
      <c r="AA462" s="132"/>
    </row>
    <row r="463" spans="1:27" ht="20.100000000000001" customHeight="1">
      <c r="A463" s="578" t="s">
        <v>224</v>
      </c>
      <c r="B463" s="579"/>
      <c r="C463" s="434" t="s">
        <v>202</v>
      </c>
      <c r="D463" s="143"/>
      <c r="E463" s="143"/>
      <c r="F463" s="144"/>
      <c r="G463" s="145">
        <f>SUM(G429:G462)</f>
        <v>988</v>
      </c>
      <c r="H463" s="146">
        <f>SUM(H429:H462)</f>
        <v>4969.6400000000003</v>
      </c>
      <c r="I463" s="146">
        <f>SUM(I429:I462)</f>
        <v>87.5</v>
      </c>
      <c r="J463" s="130">
        <f t="array" ref="J463">IF(ISERROR(G463/I463),"",G463/I463)</f>
        <v>11.291428571428572</v>
      </c>
      <c r="K463" s="146">
        <f>SUM(K429:K462)</f>
        <v>106.23655913978494</v>
      </c>
      <c r="L463" s="147"/>
      <c r="M463" s="150">
        <f t="shared" ref="M463:V463" si="211">SUM(M429:M462)</f>
        <v>-18.736559139784944</v>
      </c>
      <c r="N463" s="146">
        <f t="shared" si="211"/>
        <v>0</v>
      </c>
      <c r="O463" s="148">
        <f t="shared" si="211"/>
        <v>0</v>
      </c>
      <c r="P463" s="148">
        <f t="shared" si="211"/>
        <v>0</v>
      </c>
      <c r="Q463" s="148">
        <f t="shared" si="211"/>
        <v>0</v>
      </c>
      <c r="R463" s="148">
        <f t="shared" si="211"/>
        <v>0</v>
      </c>
      <c r="S463" s="148">
        <f t="shared" si="211"/>
        <v>0</v>
      </c>
      <c r="T463" s="148">
        <f t="shared" si="211"/>
        <v>0</v>
      </c>
      <c r="U463" s="148">
        <f t="shared" si="211"/>
        <v>0</v>
      </c>
      <c r="V463" s="149">
        <f t="shared" si="211"/>
        <v>0</v>
      </c>
      <c r="W463" s="133">
        <f t="shared" si="210"/>
        <v>0</v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hidden="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28"/>
      <c r="H464" s="425">
        <f t="shared" ref="H464:H478" si="212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8" si="213">IF(ISERROR(I464-K464),"",I464-K464)</f>
        <v>0</v>
      </c>
      <c r="N464" s="130">
        <f t="shared" ref="N464:N478" si="214">SUM(O464:U464)</f>
        <v>0</v>
      </c>
      <c r="O464" s="433"/>
      <c r="P464" s="433"/>
      <c r="Q464" s="433"/>
      <c r="R464" s="433"/>
      <c r="S464" s="433"/>
      <c r="T464" s="433"/>
      <c r="U464" s="433"/>
      <c r="V464" s="132">
        <f t="shared" ref="V464:V478" si="215">SUM(X464:AA464)</f>
        <v>0</v>
      </c>
      <c r="W464" s="133" t="str">
        <f t="shared" si="210"/>
        <v/>
      </c>
      <c r="X464" s="132"/>
      <c r="Y464" s="132"/>
      <c r="Z464" s="132"/>
      <c r="AA464" s="132"/>
    </row>
    <row r="465" spans="1:27" ht="20.100000000000001" hidden="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28"/>
      <c r="H465" s="425">
        <f t="shared" si="212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3"/>
        <v>0</v>
      </c>
      <c r="N465" s="130">
        <f t="shared" si="214"/>
        <v>0</v>
      </c>
      <c r="O465" s="433"/>
      <c r="P465" s="433"/>
      <c r="Q465" s="433"/>
      <c r="R465" s="433"/>
      <c r="S465" s="433"/>
      <c r="T465" s="433"/>
      <c r="U465" s="433"/>
      <c r="V465" s="132">
        <f t="shared" si="215"/>
        <v>0</v>
      </c>
      <c r="W465" s="133" t="str">
        <f t="shared" si="210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28"/>
      <c r="H466" s="425">
        <f t="shared" si="212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3"/>
        <v>0</v>
      </c>
      <c r="N466" s="130">
        <f t="shared" si="214"/>
        <v>0</v>
      </c>
      <c r="O466" s="433"/>
      <c r="P466" s="433"/>
      <c r="Q466" s="433"/>
      <c r="R466" s="433"/>
      <c r="S466" s="433"/>
      <c r="T466" s="433"/>
      <c r="U466" s="433"/>
      <c r="V466" s="132">
        <f t="shared" si="215"/>
        <v>0</v>
      </c>
      <c r="W466" s="133" t="str">
        <f t="shared" si="210"/>
        <v/>
      </c>
      <c r="X466" s="132"/>
      <c r="Y466" s="132"/>
      <c r="Z466" s="132"/>
      <c r="AA466" s="132"/>
    </row>
    <row r="467" spans="1:27" ht="20.100000000000001" hidden="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28"/>
      <c r="H467" s="425">
        <f t="shared" si="212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3"/>
        <v>0</v>
      </c>
      <c r="N467" s="130">
        <f t="shared" si="214"/>
        <v>0</v>
      </c>
      <c r="O467" s="433"/>
      <c r="P467" s="433"/>
      <c r="Q467" s="433"/>
      <c r="R467" s="433"/>
      <c r="S467" s="433"/>
      <c r="T467" s="433"/>
      <c r="U467" s="433"/>
      <c r="V467" s="132">
        <f t="shared" si="215"/>
        <v>0</v>
      </c>
      <c r="W467" s="133" t="str">
        <f t="shared" si="210"/>
        <v/>
      </c>
      <c r="X467" s="132"/>
      <c r="Y467" s="132"/>
      <c r="Z467" s="132"/>
      <c r="AA467" s="132"/>
    </row>
    <row r="468" spans="1:27" ht="20.100000000000001" hidden="1" customHeight="1">
      <c r="A468" s="299">
        <v>30100054</v>
      </c>
      <c r="B468" s="140" t="s">
        <v>227</v>
      </c>
      <c r="C468" s="430" t="s">
        <v>203</v>
      </c>
      <c r="D468" s="108">
        <v>5.03</v>
      </c>
      <c r="E468" s="108"/>
      <c r="F468" s="127"/>
      <c r="G468" s="128"/>
      <c r="H468" s="425">
        <f t="shared" si="212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3"/>
        <v>0</v>
      </c>
      <c r="N468" s="130">
        <f t="shared" si="214"/>
        <v>0</v>
      </c>
      <c r="O468" s="433"/>
      <c r="P468" s="433"/>
      <c r="Q468" s="433"/>
      <c r="R468" s="433"/>
      <c r="S468" s="433"/>
      <c r="T468" s="433"/>
      <c r="U468" s="433"/>
      <c r="V468" s="132">
        <f t="shared" si="215"/>
        <v>0</v>
      </c>
      <c r="W468" s="133" t="str">
        <f t="shared" si="210"/>
        <v/>
      </c>
      <c r="X468" s="132"/>
      <c r="Y468" s="132"/>
      <c r="Z468" s="132"/>
      <c r="AA468" s="132"/>
    </row>
    <row r="469" spans="1:27" ht="20.100000000000001" hidden="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28"/>
      <c r="H469" s="425">
        <f t="shared" si="212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3"/>
        <v>0</v>
      </c>
      <c r="N469" s="130">
        <f t="shared" si="214"/>
        <v>0</v>
      </c>
      <c r="O469" s="433"/>
      <c r="P469" s="433"/>
      <c r="Q469" s="433"/>
      <c r="R469" s="433"/>
      <c r="S469" s="433"/>
      <c r="T469" s="433"/>
      <c r="U469" s="433"/>
      <c r="V469" s="132">
        <f t="shared" si="215"/>
        <v>0</v>
      </c>
      <c r="W469" s="133" t="str">
        <f t="shared" si="210"/>
        <v/>
      </c>
      <c r="X469" s="132"/>
      <c r="Y469" s="132"/>
      <c r="Z469" s="132"/>
      <c r="AA469" s="132"/>
    </row>
    <row r="470" spans="1:27" ht="20.100000000000001" hidden="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28"/>
      <c r="H470" s="425">
        <f t="shared" si="212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3"/>
        <v>0</v>
      </c>
      <c r="N470" s="130">
        <f t="shared" si="214"/>
        <v>0</v>
      </c>
      <c r="O470" s="433"/>
      <c r="P470" s="433"/>
      <c r="Q470" s="433"/>
      <c r="R470" s="433"/>
      <c r="S470" s="433"/>
      <c r="T470" s="433"/>
      <c r="U470" s="433"/>
      <c r="V470" s="132">
        <f t="shared" si="215"/>
        <v>0</v>
      </c>
      <c r="W470" s="133" t="str">
        <f t="shared" si="210"/>
        <v/>
      </c>
      <c r="X470" s="132"/>
      <c r="Y470" s="132"/>
      <c r="Z470" s="132"/>
      <c r="AA470" s="132"/>
    </row>
    <row r="471" spans="1:27" ht="20.100000000000001" hidden="1" customHeight="1">
      <c r="A471" s="299"/>
      <c r="B471" s="140" t="s">
        <v>227</v>
      </c>
      <c r="C471" s="430" t="s">
        <v>228</v>
      </c>
      <c r="D471" s="108">
        <v>5.03</v>
      </c>
      <c r="E471" s="108"/>
      <c r="F471" s="127"/>
      <c r="G471" s="128"/>
      <c r="H471" s="425">
        <f t="shared" si="212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3"/>
        <v>0</v>
      </c>
      <c r="N471" s="130">
        <f t="shared" si="214"/>
        <v>0</v>
      </c>
      <c r="O471" s="433"/>
      <c r="P471" s="433"/>
      <c r="Q471" s="433"/>
      <c r="R471" s="433"/>
      <c r="S471" s="433"/>
      <c r="T471" s="433"/>
      <c r="U471" s="433"/>
      <c r="V471" s="132">
        <f t="shared" si="215"/>
        <v>0</v>
      </c>
      <c r="W471" s="133" t="str">
        <f t="shared" si="210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30101067</v>
      </c>
      <c r="B472" s="140" t="s">
        <v>229</v>
      </c>
      <c r="C472" s="430" t="s">
        <v>212</v>
      </c>
      <c r="D472" s="108">
        <v>5.03</v>
      </c>
      <c r="E472" s="108"/>
      <c r="F472" s="127"/>
      <c r="G472" s="128"/>
      <c r="H472" s="425">
        <f t="shared" si="212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3"/>
        <v/>
      </c>
      <c r="N472" s="130">
        <f t="shared" si="214"/>
        <v>0</v>
      </c>
      <c r="O472" s="433"/>
      <c r="P472" s="433"/>
      <c r="Q472" s="433"/>
      <c r="R472" s="433"/>
      <c r="S472" s="433"/>
      <c r="T472" s="433"/>
      <c r="U472" s="433"/>
      <c r="V472" s="132">
        <f t="shared" si="215"/>
        <v>0</v>
      </c>
      <c r="W472" s="133" t="str">
        <f t="shared" si="210"/>
        <v/>
      </c>
      <c r="X472" s="132"/>
      <c r="Y472" s="132"/>
      <c r="Z472" s="132"/>
      <c r="AA472" s="132"/>
    </row>
    <row r="473" spans="1:27" ht="20.100000000000001" hidden="1" customHeight="1">
      <c r="A473" s="299">
        <v>30101068</v>
      </c>
      <c r="B473" s="140" t="s">
        <v>229</v>
      </c>
      <c r="C473" s="430" t="s">
        <v>203</v>
      </c>
      <c r="D473" s="108">
        <v>5.03</v>
      </c>
      <c r="E473" s="108"/>
      <c r="F473" s="127"/>
      <c r="G473" s="128"/>
      <c r="H473" s="425">
        <f t="shared" si="212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3"/>
        <v/>
      </c>
      <c r="N473" s="130">
        <f t="shared" si="214"/>
        <v>0</v>
      </c>
      <c r="O473" s="433"/>
      <c r="P473" s="433"/>
      <c r="Q473" s="433"/>
      <c r="R473" s="433"/>
      <c r="S473" s="433"/>
      <c r="T473" s="433"/>
      <c r="U473" s="433"/>
      <c r="V473" s="132">
        <f t="shared" si="215"/>
        <v>0</v>
      </c>
      <c r="W473" s="133" t="str">
        <f t="shared" si="210"/>
        <v/>
      </c>
      <c r="X473" s="132"/>
      <c r="Y473" s="132"/>
      <c r="Z473" s="132"/>
      <c r="AA473" s="132"/>
    </row>
    <row r="474" spans="1:27" ht="20.100000000000001" hidden="1" customHeight="1">
      <c r="A474" s="299">
        <v>30101069</v>
      </c>
      <c r="B474" s="140" t="s">
        <v>229</v>
      </c>
      <c r="C474" s="430" t="s">
        <v>186</v>
      </c>
      <c r="D474" s="108">
        <v>5.03</v>
      </c>
      <c r="E474" s="108"/>
      <c r="F474" s="127"/>
      <c r="G474" s="128"/>
      <c r="H474" s="425">
        <f t="shared" si="212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3"/>
        <v/>
      </c>
      <c r="N474" s="130">
        <f t="shared" si="214"/>
        <v>0</v>
      </c>
      <c r="O474" s="433"/>
      <c r="P474" s="433"/>
      <c r="Q474" s="433"/>
      <c r="R474" s="433"/>
      <c r="S474" s="433"/>
      <c r="T474" s="433"/>
      <c r="U474" s="433"/>
      <c r="V474" s="132">
        <f t="shared" si="215"/>
        <v>0</v>
      </c>
      <c r="W474" s="133" t="str">
        <f t="shared" si="210"/>
        <v/>
      </c>
      <c r="X474" s="132"/>
      <c r="Y474" s="132"/>
      <c r="Z474" s="132"/>
      <c r="AA474" s="132"/>
    </row>
    <row r="475" spans="1:27" ht="20.100000000000001" hidden="1" customHeight="1">
      <c r="A475" s="299">
        <v>30101070</v>
      </c>
      <c r="B475" s="140" t="s">
        <v>229</v>
      </c>
      <c r="C475" s="430" t="s">
        <v>228</v>
      </c>
      <c r="D475" s="108">
        <v>5.03</v>
      </c>
      <c r="E475" s="108"/>
      <c r="F475" s="127"/>
      <c r="G475" s="128"/>
      <c r="H475" s="425">
        <f t="shared" si="212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3"/>
        <v/>
      </c>
      <c r="N475" s="130">
        <f t="shared" si="214"/>
        <v>0</v>
      </c>
      <c r="O475" s="433"/>
      <c r="P475" s="433"/>
      <c r="Q475" s="433"/>
      <c r="R475" s="433"/>
      <c r="S475" s="433"/>
      <c r="T475" s="433"/>
      <c r="U475" s="433"/>
      <c r="V475" s="132">
        <f t="shared" si="215"/>
        <v>0</v>
      </c>
      <c r="W475" s="133" t="str">
        <f t="shared" si="210"/>
        <v/>
      </c>
      <c r="X475" s="132"/>
      <c r="Y475" s="132"/>
      <c r="Z475" s="132"/>
      <c r="AA475" s="132"/>
    </row>
    <row r="476" spans="1:27" ht="20.100000000000001" hidden="1" customHeight="1">
      <c r="A476" s="299">
        <v>30101071</v>
      </c>
      <c r="B476" s="140" t="s">
        <v>229</v>
      </c>
      <c r="C476" s="430" t="s">
        <v>199</v>
      </c>
      <c r="D476" s="108">
        <v>5.03</v>
      </c>
      <c r="E476" s="108"/>
      <c r="F476" s="127"/>
      <c r="G476" s="128"/>
      <c r="H476" s="425">
        <f t="shared" si="212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3"/>
        <v/>
      </c>
      <c r="N476" s="130">
        <f t="shared" si="214"/>
        <v>0</v>
      </c>
      <c r="O476" s="433"/>
      <c r="P476" s="433"/>
      <c r="Q476" s="433"/>
      <c r="R476" s="433"/>
      <c r="S476" s="433"/>
      <c r="T476" s="433"/>
      <c r="U476" s="433"/>
      <c r="V476" s="132">
        <f t="shared" si="215"/>
        <v>0</v>
      </c>
      <c r="W476" s="133" t="str">
        <f t="shared" si="210"/>
        <v/>
      </c>
      <c r="X476" s="132"/>
      <c r="Y476" s="132"/>
      <c r="Z476" s="132"/>
      <c r="AA476" s="132"/>
    </row>
    <row r="477" spans="1:27" ht="20.100000000000001" hidden="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28"/>
      <c r="H477" s="425">
        <f t="shared" si="212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si="213"/>
        <v>0</v>
      </c>
      <c r="N477" s="130">
        <f t="shared" si="214"/>
        <v>0</v>
      </c>
      <c r="O477" s="433"/>
      <c r="P477" s="433"/>
      <c r="Q477" s="433"/>
      <c r="R477" s="433"/>
      <c r="S477" s="433"/>
      <c r="T477" s="433"/>
      <c r="U477" s="433"/>
      <c r="V477" s="132">
        <f t="shared" si="215"/>
        <v>0</v>
      </c>
      <c r="W477" s="133" t="str">
        <f t="shared" si="210"/>
        <v/>
      </c>
      <c r="X477" s="132"/>
      <c r="Y477" s="132"/>
      <c r="Z477" s="132"/>
      <c r="AA477" s="132"/>
    </row>
    <row r="478" spans="1:27" ht="20.100000000000001" hidden="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28"/>
      <c r="H478" s="425">
        <f t="shared" si="212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3"/>
        <v>0</v>
      </c>
      <c r="N478" s="130">
        <f t="shared" si="214"/>
        <v>0</v>
      </c>
      <c r="O478" s="433"/>
      <c r="P478" s="433"/>
      <c r="Q478" s="433"/>
      <c r="R478" s="433"/>
      <c r="S478" s="433"/>
      <c r="T478" s="433"/>
      <c r="U478" s="433"/>
      <c r="V478" s="132">
        <f t="shared" si="215"/>
        <v>0</v>
      </c>
      <c r="W478" s="133" t="str">
        <f t="shared" si="210"/>
        <v/>
      </c>
      <c r="X478" s="132"/>
      <c r="Y478" s="132"/>
      <c r="Z478" s="132"/>
      <c r="AA478" s="132"/>
    </row>
    <row r="479" spans="1:27" ht="20.100000000000001" hidden="1" customHeight="1">
      <c r="A479" s="578" t="s">
        <v>231</v>
      </c>
      <c r="B479" s="579"/>
      <c r="C479" s="434" t="s">
        <v>202</v>
      </c>
      <c r="D479" s="143"/>
      <c r="E479" s="143"/>
      <c r="F479" s="144"/>
      <c r="G479" s="145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10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hidden="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28"/>
      <c r="H480" s="425">
        <f t="shared" ref="H480:H489" si="216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4" si="217">IF(ISERROR(I480-K480),"",I480-K480)</f>
        <v>0</v>
      </c>
      <c r="N480" s="130">
        <f t="shared" ref="N480:N484" si="218">SUM(O480:U480)</f>
        <v>0</v>
      </c>
      <c r="O480" s="433"/>
      <c r="P480" s="433"/>
      <c r="Q480" s="433"/>
      <c r="R480" s="433"/>
      <c r="S480" s="433"/>
      <c r="T480" s="433"/>
      <c r="U480" s="433"/>
      <c r="V480" s="132">
        <f t="shared" ref="V480:V484" si="219">SUM(X480:AA480)</f>
        <v>0</v>
      </c>
      <c r="W480" s="133" t="str">
        <f t="shared" si="210"/>
        <v/>
      </c>
      <c r="X480" s="132"/>
      <c r="Y480" s="132"/>
      <c r="Z480" s="132"/>
      <c r="AA480" s="132"/>
    </row>
    <row r="481" spans="1:27" ht="20.100000000000001" hidden="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28"/>
      <c r="H481" s="425">
        <f t="shared" si="216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7"/>
        <v>0</v>
      </c>
      <c r="N481" s="130">
        <f t="shared" si="218"/>
        <v>0</v>
      </c>
      <c r="O481" s="433"/>
      <c r="P481" s="433"/>
      <c r="Q481" s="433"/>
      <c r="R481" s="433"/>
      <c r="S481" s="433"/>
      <c r="T481" s="433"/>
      <c r="U481" s="433"/>
      <c r="V481" s="132">
        <f t="shared" si="219"/>
        <v>0</v>
      </c>
      <c r="W481" s="133" t="str">
        <f t="shared" si="210"/>
        <v/>
      </c>
      <c r="X481" s="132"/>
      <c r="Y481" s="132"/>
      <c r="Z481" s="132"/>
      <c r="AA481" s="132"/>
    </row>
    <row r="482" spans="1:27" ht="20.100000000000001" hidden="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28"/>
      <c r="H482" s="425">
        <f t="shared" si="216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7"/>
        <v>0</v>
      </c>
      <c r="N482" s="130">
        <f t="shared" si="218"/>
        <v>0</v>
      </c>
      <c r="O482" s="433"/>
      <c r="P482" s="433"/>
      <c r="Q482" s="433"/>
      <c r="R482" s="433"/>
      <c r="S482" s="433"/>
      <c r="T482" s="433"/>
      <c r="U482" s="433"/>
      <c r="V482" s="132">
        <f t="shared" si="219"/>
        <v>0</v>
      </c>
      <c r="W482" s="133" t="str">
        <f t="shared" si="210"/>
        <v/>
      </c>
      <c r="X482" s="132"/>
      <c r="Y482" s="132"/>
      <c r="Z482" s="132"/>
      <c r="AA482" s="132"/>
    </row>
    <row r="483" spans="1:27" ht="20.100000000000001" hidden="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28"/>
      <c r="H483" s="425">
        <f t="shared" si="216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17"/>
        <v>0</v>
      </c>
      <c r="N483" s="130">
        <f t="shared" si="218"/>
        <v>0</v>
      </c>
      <c r="O483" s="433"/>
      <c r="P483" s="433"/>
      <c r="Q483" s="433"/>
      <c r="R483" s="433"/>
      <c r="S483" s="433"/>
      <c r="T483" s="433"/>
      <c r="U483" s="433"/>
      <c r="V483" s="132">
        <f t="shared" si="219"/>
        <v>0</v>
      </c>
      <c r="W483" s="133" t="str">
        <f t="shared" si="210"/>
        <v/>
      </c>
      <c r="X483" s="132"/>
      <c r="Y483" s="132"/>
      <c r="Z483" s="132"/>
      <c r="AA483" s="132"/>
    </row>
    <row r="484" spans="1:27" ht="20.100000000000001" hidden="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28"/>
      <c r="H484" s="425">
        <f t="shared" si="216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17"/>
        <v>0</v>
      </c>
      <c r="N484" s="130">
        <f t="shared" si="218"/>
        <v>0</v>
      </c>
      <c r="O484" s="433"/>
      <c r="P484" s="433"/>
      <c r="Q484" s="433"/>
      <c r="R484" s="433"/>
      <c r="S484" s="433"/>
      <c r="T484" s="433"/>
      <c r="U484" s="433"/>
      <c r="V484" s="132">
        <f t="shared" si="219"/>
        <v>0</v>
      </c>
      <c r="W484" s="133" t="str">
        <f t="shared" si="210"/>
        <v/>
      </c>
      <c r="X484" s="132"/>
      <c r="Y484" s="132"/>
      <c r="Z484" s="132"/>
      <c r="AA484" s="132"/>
    </row>
    <row r="485" spans="1:27" ht="20.100000000000001" hidden="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28"/>
      <c r="H485" s="425">
        <f t="shared" si="216"/>
        <v>0</v>
      </c>
      <c r="I485" s="129"/>
      <c r="J485" s="130"/>
      <c r="K485" s="131"/>
      <c r="L485" s="129">
        <v>13.5</v>
      </c>
      <c r="M485" s="109"/>
      <c r="N485" s="130"/>
      <c r="O485" s="433"/>
      <c r="P485" s="433"/>
      <c r="Q485" s="433"/>
      <c r="R485" s="433"/>
      <c r="S485" s="433"/>
      <c r="T485" s="433"/>
      <c r="U485" s="433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30400020</v>
      </c>
      <c r="B486" s="134" t="s">
        <v>439</v>
      </c>
      <c r="C486" s="187" t="s">
        <v>74</v>
      </c>
      <c r="D486" s="108">
        <v>5.04</v>
      </c>
      <c r="E486" s="108"/>
      <c r="F486" s="127"/>
      <c r="G486" s="128"/>
      <c r="H486" s="425">
        <f t="shared" si="216"/>
        <v>0</v>
      </c>
      <c r="I486" s="129"/>
      <c r="J486" s="130"/>
      <c r="K486" s="131"/>
      <c r="L486" s="129">
        <v>13.5</v>
      </c>
      <c r="M486" s="109"/>
      <c r="N486" s="130"/>
      <c r="O486" s="433"/>
      <c r="P486" s="433"/>
      <c r="Q486" s="433"/>
      <c r="R486" s="433"/>
      <c r="S486" s="433"/>
      <c r="T486" s="433"/>
      <c r="U486" s="433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0">
        <v>30400021</v>
      </c>
      <c r="B487" s="134" t="s">
        <v>439</v>
      </c>
      <c r="C487" s="187" t="s">
        <v>53</v>
      </c>
      <c r="D487" s="108">
        <v>5.04</v>
      </c>
      <c r="E487" s="108"/>
      <c r="F487" s="127"/>
      <c r="G487" s="128"/>
      <c r="H487" s="425">
        <f t="shared" si="216"/>
        <v>0</v>
      </c>
      <c r="I487" s="129"/>
      <c r="J487" s="130"/>
      <c r="K487" s="131"/>
      <c r="L487" s="129">
        <v>13.5</v>
      </c>
      <c r="M487" s="109"/>
      <c r="N487" s="130"/>
      <c r="O487" s="433"/>
      <c r="P487" s="433"/>
      <c r="Q487" s="433"/>
      <c r="R487" s="433"/>
      <c r="S487" s="433"/>
      <c r="T487" s="433"/>
      <c r="U487" s="433"/>
      <c r="V487" s="132"/>
      <c r="W487" s="133"/>
      <c r="X487" s="132"/>
      <c r="Y487" s="132"/>
      <c r="Z487" s="132"/>
      <c r="AA487" s="132"/>
    </row>
    <row r="488" spans="1:27" ht="20.10000000000000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28"/>
      <c r="H488" s="438">
        <f t="shared" si="216"/>
        <v>0</v>
      </c>
      <c r="I488" s="129"/>
      <c r="J488" s="130"/>
      <c r="K488" s="131"/>
      <c r="L488" s="129">
        <v>13.5</v>
      </c>
      <c r="M488" s="109"/>
      <c r="N488" s="130"/>
      <c r="O488" s="446"/>
      <c r="P488" s="446"/>
      <c r="Q488" s="446"/>
      <c r="R488" s="446"/>
      <c r="S488" s="446"/>
      <c r="T488" s="446"/>
      <c r="U488" s="446"/>
      <c r="V488" s="132"/>
      <c r="W488" s="133"/>
      <c r="X488" s="132"/>
      <c r="Y488" s="132"/>
      <c r="Z488" s="132"/>
      <c r="AA488" s="132"/>
    </row>
    <row r="489" spans="1:27" ht="20.100000000000001" hidden="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28"/>
      <c r="H489" s="425">
        <f t="shared" si="216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ref="M489" si="220">IF(ISERROR(I489-K489),"",I489-K489)</f>
        <v>0</v>
      </c>
      <c r="N489" s="130">
        <f t="shared" ref="N489" si="221">SUM(O489:U489)</f>
        <v>0</v>
      </c>
      <c r="O489" s="433"/>
      <c r="P489" s="433"/>
      <c r="Q489" s="433"/>
      <c r="R489" s="433"/>
      <c r="S489" s="433"/>
      <c r="T489" s="433"/>
      <c r="U489" s="433"/>
      <c r="V489" s="132">
        <f t="shared" ref="V489" si="222">SUM(X489:AA489)</f>
        <v>0</v>
      </c>
      <c r="W489" s="133" t="str">
        <f t="shared" ref="W489:W494" si="223">IF(ISERROR(V489/G489),"",V489/G489)</f>
        <v/>
      </c>
      <c r="X489" s="132"/>
      <c r="Y489" s="132"/>
      <c r="Z489" s="132"/>
      <c r="AA489" s="132"/>
    </row>
    <row r="490" spans="1:27" ht="20.100000000000001" hidden="1" customHeight="1">
      <c r="A490" s="578" t="s">
        <v>234</v>
      </c>
      <c r="B490" s="579"/>
      <c r="C490" s="434" t="s">
        <v>202</v>
      </c>
      <c r="D490" s="143"/>
      <c r="E490" s="143"/>
      <c r="F490" s="144"/>
      <c r="G490" s="145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3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hidden="1" customHeight="1">
      <c r="A491" s="299">
        <v>30700013</v>
      </c>
      <c r="B491" s="141" t="s">
        <v>235</v>
      </c>
      <c r="C491" s="431"/>
      <c r="D491" s="108">
        <v>3.65</v>
      </c>
      <c r="E491" s="108"/>
      <c r="F491" s="153"/>
      <c r="G491" s="128"/>
      <c r="H491" s="425">
        <f t="shared" ref="H491:H505" si="224">D491*G491</f>
        <v>0</v>
      </c>
      <c r="I491" s="129"/>
      <c r="J491" s="130" t="str">
        <f t="array" ref="J491">IF(ISERROR(G491/I491),"",G491/I491)</f>
        <v/>
      </c>
      <c r="K491" s="425">
        <f t="array" ref="K491">IF(ISERROR(G491/L491),"",G491/L491)</f>
        <v>0</v>
      </c>
      <c r="L491" s="129">
        <v>5</v>
      </c>
      <c r="M491" s="109">
        <f t="shared" ref="M491:M494" si="225">IF(ISERROR(I491-K491),"",I491-K491)</f>
        <v>0</v>
      </c>
      <c r="N491" s="130">
        <f t="shared" ref="N491:N494" si="226">SUM(O491:U491)</f>
        <v>0</v>
      </c>
      <c r="O491" s="433"/>
      <c r="P491" s="433"/>
      <c r="Q491" s="433"/>
      <c r="R491" s="433"/>
      <c r="S491" s="433"/>
      <c r="T491" s="433"/>
      <c r="U491" s="433"/>
      <c r="V491" s="132">
        <f t="shared" ref="V491:V494" si="227">SUM(X491:AA491)</f>
        <v>0</v>
      </c>
      <c r="W491" s="133" t="str">
        <f t="shared" si="223"/>
        <v/>
      </c>
      <c r="X491" s="132"/>
      <c r="Y491" s="132"/>
      <c r="Z491" s="132"/>
      <c r="AA491" s="132"/>
    </row>
    <row r="492" spans="1:27" ht="20.100000000000001" hidden="1" customHeight="1">
      <c r="A492" s="299">
        <v>30700014</v>
      </c>
      <c r="B492" s="141" t="s">
        <v>236</v>
      </c>
      <c r="C492" s="431"/>
      <c r="D492" s="108">
        <v>6.58</v>
      </c>
      <c r="E492" s="108"/>
      <c r="F492" s="127"/>
      <c r="G492" s="128"/>
      <c r="H492" s="425">
        <f t="shared" si="224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5"/>
        <v>0</v>
      </c>
      <c r="N492" s="130">
        <f t="shared" si="226"/>
        <v>0</v>
      </c>
      <c r="O492" s="433"/>
      <c r="P492" s="433"/>
      <c r="Q492" s="433"/>
      <c r="R492" s="433"/>
      <c r="S492" s="433"/>
      <c r="T492" s="433"/>
      <c r="U492" s="433"/>
      <c r="V492" s="132">
        <f t="shared" si="227"/>
        <v>0</v>
      </c>
      <c r="W492" s="133" t="str">
        <f t="shared" si="223"/>
        <v/>
      </c>
      <c r="X492" s="132"/>
      <c r="Y492" s="132"/>
      <c r="Z492" s="132"/>
      <c r="AA492" s="132"/>
    </row>
    <row r="493" spans="1:27" ht="20.100000000000001" hidden="1" customHeight="1">
      <c r="A493" s="299">
        <v>30700016</v>
      </c>
      <c r="B493" s="141" t="s">
        <v>237</v>
      </c>
      <c r="C493" s="431"/>
      <c r="D493" s="108">
        <v>7.8</v>
      </c>
      <c r="E493" s="108"/>
      <c r="F493" s="127"/>
      <c r="G493" s="128"/>
      <c r="H493" s="425">
        <f t="shared" si="224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5"/>
        <v>0</v>
      </c>
      <c r="N493" s="130">
        <f t="shared" si="226"/>
        <v>0</v>
      </c>
      <c r="O493" s="433"/>
      <c r="P493" s="433"/>
      <c r="Q493" s="433"/>
      <c r="R493" s="433"/>
      <c r="S493" s="433"/>
      <c r="T493" s="433"/>
      <c r="U493" s="433"/>
      <c r="V493" s="132">
        <f t="shared" si="227"/>
        <v>0</v>
      </c>
      <c r="W493" s="133" t="str">
        <f t="shared" si="223"/>
        <v/>
      </c>
      <c r="X493" s="132"/>
      <c r="Y493" s="132"/>
      <c r="Z493" s="132"/>
      <c r="AA493" s="132"/>
    </row>
    <row r="494" spans="1:27" ht="20.100000000000001" hidden="1" customHeight="1">
      <c r="A494" s="299">
        <v>30700017</v>
      </c>
      <c r="B494" s="141" t="s">
        <v>238</v>
      </c>
      <c r="C494" s="431"/>
      <c r="D494" s="108">
        <v>4.4000000000000004</v>
      </c>
      <c r="E494" s="108"/>
      <c r="F494" s="127"/>
      <c r="G494" s="128"/>
      <c r="H494" s="425">
        <f t="shared" si="224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5"/>
        <v>0</v>
      </c>
      <c r="N494" s="130">
        <f t="shared" si="226"/>
        <v>0</v>
      </c>
      <c r="O494" s="433"/>
      <c r="P494" s="433"/>
      <c r="Q494" s="433"/>
      <c r="R494" s="433"/>
      <c r="S494" s="433"/>
      <c r="T494" s="433"/>
      <c r="U494" s="433"/>
      <c r="V494" s="132">
        <f t="shared" si="227"/>
        <v>0</v>
      </c>
      <c r="W494" s="133" t="str">
        <f t="shared" si="223"/>
        <v/>
      </c>
      <c r="X494" s="132"/>
      <c r="Y494" s="132"/>
      <c r="Z494" s="132"/>
      <c r="AA494" s="132"/>
    </row>
    <row r="495" spans="1:27" ht="20.100000000000001" hidden="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28"/>
      <c r="H495" s="425">
        <f t="shared" si="224"/>
        <v>0</v>
      </c>
      <c r="I495" s="129"/>
      <c r="J495" s="130"/>
      <c r="K495" s="131"/>
      <c r="L495" s="129"/>
      <c r="M495" s="109"/>
      <c r="N495" s="130"/>
      <c r="O495" s="433"/>
      <c r="P495" s="433"/>
      <c r="Q495" s="433"/>
      <c r="R495" s="433"/>
      <c r="S495" s="433"/>
      <c r="T495" s="433"/>
      <c r="U495" s="433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299">
        <v>30700001</v>
      </c>
      <c r="B496" s="127" t="s">
        <v>359</v>
      </c>
      <c r="C496" s="431"/>
      <c r="D496" s="108"/>
      <c r="E496" s="108"/>
      <c r="F496" s="127"/>
      <c r="G496" s="128"/>
      <c r="H496" s="425">
        <f t="shared" si="224"/>
        <v>0</v>
      </c>
      <c r="I496" s="129"/>
      <c r="J496" s="130"/>
      <c r="K496" s="131"/>
      <c r="L496" s="129">
        <v>6</v>
      </c>
      <c r="M496" s="109"/>
      <c r="N496" s="130"/>
      <c r="O496" s="433"/>
      <c r="P496" s="433"/>
      <c r="Q496" s="433"/>
      <c r="R496" s="433"/>
      <c r="S496" s="433"/>
      <c r="T496" s="433"/>
      <c r="U496" s="433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/>
      <c r="B497" s="431" t="s">
        <v>239</v>
      </c>
      <c r="C497" s="431" t="s">
        <v>179</v>
      </c>
      <c r="D497" s="108">
        <v>6.04</v>
      </c>
      <c r="E497" s="108"/>
      <c r="F497" s="127"/>
      <c r="G497" s="128"/>
      <c r="H497" s="425">
        <f t="shared" si="224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498" si="228">IF(ISERROR(I497-K497),"",I497-K497)</f>
        <v>0</v>
      </c>
      <c r="N497" s="130">
        <f t="shared" ref="N497:N498" si="229">SUM(O497:U497)</f>
        <v>0</v>
      </c>
      <c r="O497" s="433"/>
      <c r="P497" s="433"/>
      <c r="Q497" s="433"/>
      <c r="R497" s="433"/>
      <c r="S497" s="433"/>
      <c r="T497" s="433"/>
      <c r="U497" s="433"/>
      <c r="V497" s="132">
        <f t="shared" ref="V497:V498" si="230">SUM(X497:AA497)</f>
        <v>0</v>
      </c>
      <c r="W497" s="133" t="str">
        <f t="shared" ref="W497:W498" si="231">IF(ISERROR(V497/G497),"",V497/G497)</f>
        <v/>
      </c>
      <c r="X497" s="132"/>
      <c r="Y497" s="132"/>
      <c r="Z497" s="132"/>
      <c r="AA497" s="132"/>
    </row>
    <row r="498" spans="1:27" ht="20.100000000000001" hidden="1" customHeight="1">
      <c r="A498" s="305">
        <v>30700019</v>
      </c>
      <c r="B498" s="431" t="s">
        <v>239</v>
      </c>
      <c r="C498" s="431" t="s">
        <v>186</v>
      </c>
      <c r="D498" s="108">
        <v>6.04</v>
      </c>
      <c r="E498" s="108"/>
      <c r="F498" s="127"/>
      <c r="G498" s="128"/>
      <c r="H498" s="425">
        <f t="shared" si="224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8"/>
        <v>0</v>
      </c>
      <c r="N498" s="130">
        <f t="shared" si="229"/>
        <v>0</v>
      </c>
      <c r="O498" s="433"/>
      <c r="P498" s="433"/>
      <c r="Q498" s="433"/>
      <c r="R498" s="433"/>
      <c r="S498" s="433"/>
      <c r="T498" s="433"/>
      <c r="U498" s="433"/>
      <c r="V498" s="132">
        <f t="shared" si="230"/>
        <v>0</v>
      </c>
      <c r="W498" s="133" t="str">
        <f t="shared" si="231"/>
        <v/>
      </c>
      <c r="X498" s="132"/>
      <c r="Y498" s="132"/>
      <c r="Z498" s="132"/>
      <c r="AA498" s="132"/>
    </row>
    <row r="499" spans="1:27" ht="20.100000000000001" hidden="1" customHeight="1">
      <c r="A499" s="305">
        <v>30601015</v>
      </c>
      <c r="B499" s="431" t="s">
        <v>443</v>
      </c>
      <c r="C499" s="431" t="s">
        <v>179</v>
      </c>
      <c r="D499" s="108"/>
      <c r="E499" s="108"/>
      <c r="F499" s="127"/>
      <c r="G499" s="128"/>
      <c r="H499" s="425">
        <f t="shared" si="224"/>
        <v>0</v>
      </c>
      <c r="I499" s="129"/>
      <c r="J499" s="130"/>
      <c r="K499" s="131"/>
      <c r="L499" s="129"/>
      <c r="M499" s="109"/>
      <c r="N499" s="130"/>
      <c r="O499" s="433"/>
      <c r="P499" s="433"/>
      <c r="Q499" s="433"/>
      <c r="R499" s="433"/>
      <c r="S499" s="433"/>
      <c r="T499" s="433"/>
      <c r="U499" s="433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305">
        <v>30101016</v>
      </c>
      <c r="B500" s="431" t="s">
        <v>443</v>
      </c>
      <c r="C500" s="431" t="s">
        <v>186</v>
      </c>
      <c r="D500" s="108"/>
      <c r="E500" s="108"/>
      <c r="F500" s="127"/>
      <c r="G500" s="128"/>
      <c r="H500" s="425">
        <f t="shared" si="224"/>
        <v>0</v>
      </c>
      <c r="I500" s="129"/>
      <c r="J500" s="130"/>
      <c r="K500" s="131"/>
      <c r="L500" s="129"/>
      <c r="M500" s="109"/>
      <c r="N500" s="130"/>
      <c r="O500" s="433"/>
      <c r="P500" s="433"/>
      <c r="Q500" s="433"/>
      <c r="R500" s="433"/>
      <c r="S500" s="433"/>
      <c r="T500" s="433"/>
      <c r="U500" s="433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30700018</v>
      </c>
      <c r="B501" s="424" t="s">
        <v>240</v>
      </c>
      <c r="C501" s="126"/>
      <c r="D501" s="108">
        <v>7.3</v>
      </c>
      <c r="E501" s="108"/>
      <c r="F501" s="127"/>
      <c r="G501" s="128"/>
      <c r="H501" s="425">
        <f t="shared" si="224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ref="M501" si="232">IF(ISERROR(I501-K501),"",I501-K501)</f>
        <v>0</v>
      </c>
      <c r="N501" s="130">
        <f t="shared" ref="N501" si="233">SUM(O501:U501)</f>
        <v>0</v>
      </c>
      <c r="O501" s="433"/>
      <c r="P501" s="433"/>
      <c r="Q501" s="433"/>
      <c r="R501" s="433"/>
      <c r="S501" s="433"/>
      <c r="T501" s="433"/>
      <c r="U501" s="433"/>
      <c r="V501" s="132">
        <f t="shared" ref="V501" si="234">SUM(X501:AA501)</f>
        <v>0</v>
      </c>
      <c r="W501" s="133" t="str">
        <f t="shared" ref="W501" si="235">IF(ISERROR(V501/G501),"",V501/G501)</f>
        <v/>
      </c>
      <c r="X501" s="132"/>
      <c r="Y501" s="132"/>
      <c r="Z501" s="132"/>
      <c r="AA501" s="132"/>
    </row>
    <row r="502" spans="1:27" ht="20.100000000000001" hidden="1" customHeight="1">
      <c r="A502" s="299">
        <v>30700010</v>
      </c>
      <c r="B502" s="424" t="s">
        <v>241</v>
      </c>
      <c r="C502" s="126"/>
      <c r="D502" s="108">
        <f>78*120/1000</f>
        <v>9.36</v>
      </c>
      <c r="E502" s="108"/>
      <c r="F502" s="127"/>
      <c r="G502" s="128"/>
      <c r="H502" s="425">
        <f t="shared" si="224"/>
        <v>0</v>
      </c>
      <c r="I502" s="129"/>
      <c r="J502" s="130"/>
      <c r="K502" s="131"/>
      <c r="L502" s="129"/>
      <c r="M502" s="109"/>
      <c r="N502" s="130"/>
      <c r="O502" s="433"/>
      <c r="P502" s="433"/>
      <c r="Q502" s="433"/>
      <c r="R502" s="433"/>
      <c r="S502" s="433"/>
      <c r="T502" s="433"/>
      <c r="U502" s="433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299">
        <v>30700015</v>
      </c>
      <c r="B503" s="424" t="s">
        <v>242</v>
      </c>
      <c r="C503" s="126"/>
      <c r="D503" s="108">
        <v>4.5</v>
      </c>
      <c r="E503" s="108"/>
      <c r="F503" s="127"/>
      <c r="G503" s="128"/>
      <c r="H503" s="425">
        <f t="shared" si="224"/>
        <v>0</v>
      </c>
      <c r="I503" s="129"/>
      <c r="J503" s="130"/>
      <c r="K503" s="131"/>
      <c r="L503" s="129"/>
      <c r="M503" s="109"/>
      <c r="N503" s="130"/>
      <c r="O503" s="433"/>
      <c r="P503" s="433"/>
      <c r="Q503" s="433"/>
      <c r="R503" s="433"/>
      <c r="S503" s="433"/>
      <c r="T503" s="433"/>
      <c r="U503" s="433"/>
      <c r="V503" s="132"/>
      <c r="W503" s="133"/>
      <c r="X503" s="132"/>
      <c r="Y503" s="132"/>
      <c r="Z503" s="132"/>
      <c r="AA503" s="132"/>
    </row>
    <row r="504" spans="1:27" ht="20.100000000000001" hidden="1" customHeight="1">
      <c r="A504" s="299">
        <v>30700012</v>
      </c>
      <c r="B504" s="424" t="s">
        <v>243</v>
      </c>
      <c r="C504" s="126"/>
      <c r="D504" s="108">
        <v>4.5</v>
      </c>
      <c r="E504" s="108"/>
      <c r="F504" s="127"/>
      <c r="G504" s="128"/>
      <c r="H504" s="425">
        <f t="shared" si="224"/>
        <v>0</v>
      </c>
      <c r="I504" s="129"/>
      <c r="J504" s="130"/>
      <c r="K504" s="131"/>
      <c r="L504" s="129"/>
      <c r="M504" s="109"/>
      <c r="N504" s="130"/>
      <c r="O504" s="433"/>
      <c r="P504" s="433"/>
      <c r="Q504" s="433"/>
      <c r="R504" s="433"/>
      <c r="S504" s="433"/>
      <c r="T504" s="433"/>
      <c r="U504" s="433"/>
      <c r="V504" s="132"/>
      <c r="W504" s="133"/>
      <c r="X504" s="132"/>
      <c r="Y504" s="132"/>
      <c r="Z504" s="132"/>
      <c r="AA504" s="132"/>
    </row>
    <row r="505" spans="1:27" ht="20.100000000000001" hidden="1" customHeight="1">
      <c r="A505" s="299"/>
      <c r="B505" s="424"/>
      <c r="C505" s="126"/>
      <c r="D505" s="108"/>
      <c r="E505" s="108"/>
      <c r="F505" s="127"/>
      <c r="G505" s="128"/>
      <c r="H505" s="425">
        <f t="shared" si="224"/>
        <v>0</v>
      </c>
      <c r="I505" s="129"/>
      <c r="J505" s="130"/>
      <c r="K505" s="131"/>
      <c r="L505" s="129"/>
      <c r="M505" s="109"/>
      <c r="N505" s="130"/>
      <c r="O505" s="433"/>
      <c r="P505" s="433"/>
      <c r="Q505" s="433"/>
      <c r="R505" s="433"/>
      <c r="S505" s="433"/>
      <c r="T505" s="433"/>
      <c r="U505" s="433"/>
      <c r="V505" s="132"/>
      <c r="W505" s="133"/>
      <c r="X505" s="132"/>
      <c r="Y505" s="132"/>
      <c r="Z505" s="132"/>
      <c r="AA505" s="132"/>
    </row>
    <row r="506" spans="1:27" ht="20.100000000000001" hidden="1" customHeight="1">
      <c r="A506" s="578" t="s">
        <v>244</v>
      </c>
      <c r="B506" s="579"/>
      <c r="C506" s="434" t="s">
        <v>202</v>
      </c>
      <c r="D506" s="143"/>
      <c r="E506" s="143"/>
      <c r="F506" s="144"/>
      <c r="G506" s="145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6">SUM(M491:M501)</f>
        <v>0</v>
      </c>
      <c r="N506" s="146">
        <f t="shared" si="236"/>
        <v>0</v>
      </c>
      <c r="O506" s="148">
        <f t="shared" si="236"/>
        <v>0</v>
      </c>
      <c r="P506" s="148">
        <f t="shared" si="236"/>
        <v>0</v>
      </c>
      <c r="Q506" s="148">
        <f t="shared" si="236"/>
        <v>0</v>
      </c>
      <c r="R506" s="148">
        <f t="shared" si="236"/>
        <v>0</v>
      </c>
      <c r="S506" s="148">
        <f t="shared" si="236"/>
        <v>0</v>
      </c>
      <c r="T506" s="148">
        <f t="shared" si="236"/>
        <v>0</v>
      </c>
      <c r="U506" s="148">
        <f t="shared" si="236"/>
        <v>0</v>
      </c>
      <c r="V506" s="149">
        <f t="shared" si="236"/>
        <v>0</v>
      </c>
      <c r="W506" s="133">
        <f t="shared" si="236"/>
        <v>0</v>
      </c>
      <c r="X506" s="149">
        <f t="shared" si="236"/>
        <v>0</v>
      </c>
      <c r="Y506" s="149">
        <f t="shared" si="236"/>
        <v>0</v>
      </c>
      <c r="Z506" s="149">
        <f t="shared" si="236"/>
        <v>0</v>
      </c>
      <c r="AA506" s="149">
        <f t="shared" si="236"/>
        <v>0</v>
      </c>
    </row>
    <row r="507" spans="1:27" ht="20.100000000000001" customHeight="1">
      <c r="A507" s="580" t="s">
        <v>246</v>
      </c>
      <c r="B507" s="581"/>
      <c r="C507" s="581"/>
      <c r="D507" s="581"/>
      <c r="E507" s="581"/>
      <c r="F507" s="582"/>
      <c r="G507" s="154">
        <f>SUM(G370,G428,G463,G479,G490,G506)</f>
        <v>988</v>
      </c>
      <c r="H507" s="154">
        <f>SUM(H370,H428,H463,H479,H490,H506)</f>
        <v>4969.6400000000003</v>
      </c>
      <c r="I507" s="154">
        <f>SUM(I370,I428,I463,I479,I490,I506)</f>
        <v>87.5</v>
      </c>
      <c r="J507" s="155">
        <f t="array" ref="J507">IF(ISERROR(G507/I507),"",G507/I507)</f>
        <v>11.291428571428572</v>
      </c>
      <c r="K507" s="154">
        <f>SUM(K370,K428,K463,K479,K490,K506)</f>
        <v>106.23655913978494</v>
      </c>
      <c r="L507" s="155">
        <f>IF(ISERROR(G507/K507),"",G507/K507)</f>
        <v>9.3000000000000007</v>
      </c>
      <c r="M507" s="154">
        <f t="shared" ref="M507:V507" si="237">SUM(M370,M428,M463,M479,M490,M506)</f>
        <v>-18.736559139784944</v>
      </c>
      <c r="N507" s="154">
        <f t="shared" si="237"/>
        <v>0</v>
      </c>
      <c r="O507" s="154">
        <f t="shared" si="237"/>
        <v>0</v>
      </c>
      <c r="P507" s="154">
        <f t="shared" si="237"/>
        <v>0</v>
      </c>
      <c r="Q507" s="154">
        <f t="shared" si="237"/>
        <v>0</v>
      </c>
      <c r="R507" s="154">
        <f t="shared" si="237"/>
        <v>0</v>
      </c>
      <c r="S507" s="154">
        <f t="shared" si="237"/>
        <v>0</v>
      </c>
      <c r="T507" s="154">
        <f t="shared" si="237"/>
        <v>0</v>
      </c>
      <c r="U507" s="154">
        <f t="shared" si="237"/>
        <v>0</v>
      </c>
      <c r="V507" s="154">
        <f t="shared" si="237"/>
        <v>0</v>
      </c>
      <c r="W507" s="156">
        <f t="shared" ref="W507" si="238">IF(ISERROR(V507/G507),"",V507/G507)</f>
        <v>0</v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583" t="s">
        <v>476</v>
      </c>
      <c r="B508" s="427" t="s">
        <v>247</v>
      </c>
      <c r="C508" s="586" t="s">
        <v>248</v>
      </c>
      <c r="D508" s="587"/>
      <c r="E508" s="588" t="s">
        <v>249</v>
      </c>
      <c r="F508" s="588"/>
      <c r="G508" s="591" t="s">
        <v>250</v>
      </c>
      <c r="H508" s="591"/>
      <c r="I508" s="588" t="s">
        <v>251</v>
      </c>
      <c r="J508" s="588"/>
      <c r="K508" s="588" t="s">
        <v>252</v>
      </c>
      <c r="L508" s="588"/>
      <c r="M508" s="588" t="s">
        <v>253</v>
      </c>
      <c r="N508" s="588"/>
      <c r="O508" s="588" t="s">
        <v>254</v>
      </c>
      <c r="P508" s="591" t="s">
        <v>255</v>
      </c>
      <c r="Q508" s="591"/>
      <c r="R508" s="591" t="s">
        <v>252</v>
      </c>
      <c r="S508" s="591"/>
      <c r="T508" s="591" t="s">
        <v>256</v>
      </c>
      <c r="U508" s="591"/>
      <c r="V508" s="591" t="s">
        <v>257</v>
      </c>
      <c r="W508" s="591"/>
      <c r="X508" s="591" t="s">
        <v>252</v>
      </c>
      <c r="Y508" s="591"/>
      <c r="Z508" s="591" t="s">
        <v>256</v>
      </c>
      <c r="AA508" s="591"/>
    </row>
    <row r="509" spans="1:27" ht="20.100000000000001" customHeight="1">
      <c r="A509" s="584"/>
      <c r="B509" s="427" t="s">
        <v>258</v>
      </c>
      <c r="C509" s="586">
        <v>0</v>
      </c>
      <c r="D509" s="587"/>
      <c r="E509" s="590">
        <f>C509*11</f>
        <v>0</v>
      </c>
      <c r="F509" s="590"/>
      <c r="G509" s="591">
        <v>0</v>
      </c>
      <c r="H509" s="591"/>
      <c r="I509" s="590">
        <f>G509*11</f>
        <v>0</v>
      </c>
      <c r="J509" s="590"/>
      <c r="K509" s="590">
        <f>E509-I509</f>
        <v>0</v>
      </c>
      <c r="L509" s="590"/>
      <c r="M509" s="592" t="str">
        <f>IF(ISERROR(K509/E509),"",K509/E509)</f>
        <v/>
      </c>
      <c r="N509" s="592"/>
      <c r="O509" s="588"/>
      <c r="P509" s="591" t="s">
        <v>201</v>
      </c>
      <c r="Q509" s="591"/>
      <c r="R509" s="593">
        <f>SUM(O370:U370)</f>
        <v>0</v>
      </c>
      <c r="S509" s="593"/>
      <c r="T509" s="594" t="str">
        <f t="array" ref="T509">IF(ISERROR(R509/R516),"",R509/R516)</f>
        <v/>
      </c>
      <c r="U509" s="594"/>
      <c r="V509" s="591" t="s">
        <v>259</v>
      </c>
      <c r="W509" s="591"/>
      <c r="X509" s="595">
        <f>SUM(O370,O428,O463,O479,O490,O506)</f>
        <v>0</v>
      </c>
      <c r="Y509" s="595"/>
      <c r="Z509" s="594" t="str">
        <f t="array" ref="Z509">IF(ISERROR(X509/X516),"",X509/X516)</f>
        <v/>
      </c>
      <c r="AA509" s="594"/>
    </row>
    <row r="510" spans="1:27" ht="20.100000000000001" customHeight="1">
      <c r="A510" s="584"/>
      <c r="B510" s="427" t="s">
        <v>260</v>
      </c>
      <c r="C510" s="586">
        <v>0</v>
      </c>
      <c r="D510" s="587"/>
      <c r="E510" s="590">
        <f>C510*11</f>
        <v>0</v>
      </c>
      <c r="F510" s="590"/>
      <c r="G510" s="591">
        <v>0</v>
      </c>
      <c r="H510" s="591"/>
      <c r="I510" s="590">
        <f>G510*11</f>
        <v>0</v>
      </c>
      <c r="J510" s="590"/>
      <c r="K510" s="590">
        <f>E510-I510</f>
        <v>0</v>
      </c>
      <c r="L510" s="590"/>
      <c r="M510" s="592" t="str">
        <f>IF(ISERROR(K510/E510),"",K510/E510)</f>
        <v/>
      </c>
      <c r="N510" s="592"/>
      <c r="O510" s="588"/>
      <c r="P510" s="591" t="s">
        <v>216</v>
      </c>
      <c r="Q510" s="591"/>
      <c r="R510" s="593">
        <f>SUM(O428:U428)</f>
        <v>0</v>
      </c>
      <c r="S510" s="593"/>
      <c r="T510" s="594" t="str">
        <f>IF(ISERROR(R510/R516),"",R510/R516)</f>
        <v/>
      </c>
      <c r="U510" s="594"/>
      <c r="V510" s="591" t="s">
        <v>261</v>
      </c>
      <c r="W510" s="591"/>
      <c r="X510" s="595">
        <f>SUM(O371,O429,O464,O480,O491,O507)</f>
        <v>0</v>
      </c>
      <c r="Y510" s="595"/>
      <c r="Z510" s="594" t="str">
        <f>IF(ISERROR(X510/X516),"",X510/X516)</f>
        <v/>
      </c>
      <c r="AA510" s="594"/>
    </row>
    <row r="511" spans="1:27" ht="20.100000000000001" customHeight="1">
      <c r="A511" s="584"/>
      <c r="B511" s="427" t="s">
        <v>262</v>
      </c>
      <c r="C511" s="586">
        <v>0</v>
      </c>
      <c r="D511" s="587"/>
      <c r="E511" s="590">
        <f>C511*11</f>
        <v>0</v>
      </c>
      <c r="F511" s="590"/>
      <c r="G511" s="591">
        <v>0</v>
      </c>
      <c r="H511" s="591"/>
      <c r="I511" s="590">
        <f>G511*11</f>
        <v>0</v>
      </c>
      <c r="J511" s="590"/>
      <c r="K511" s="590">
        <f>E511-I511</f>
        <v>0</v>
      </c>
      <c r="L511" s="590"/>
      <c r="M511" s="592" t="str">
        <f>IF(ISERROR(K511/E511),"",K511/E511)</f>
        <v/>
      </c>
      <c r="N511" s="592"/>
      <c r="O511" s="588"/>
      <c r="P511" s="591" t="s">
        <v>224</v>
      </c>
      <c r="Q511" s="591"/>
      <c r="R511" s="593">
        <f>SUM(O463:U463)</f>
        <v>0</v>
      </c>
      <c r="S511" s="593"/>
      <c r="T511" s="594" t="str">
        <f>IF(ISERROR(R511/R516),"",R511/R516)</f>
        <v/>
      </c>
      <c r="U511" s="594"/>
      <c r="V511" s="591" t="s">
        <v>263</v>
      </c>
      <c r="W511" s="591"/>
      <c r="X511" s="595">
        <f>SUM(O373,O430,O465,O481,O492,O508)</f>
        <v>0</v>
      </c>
      <c r="Y511" s="595"/>
      <c r="Z511" s="594" t="str">
        <f>IF(ISERROR(X511/X516),"",X511/X516)</f>
        <v/>
      </c>
      <c r="AA511" s="594"/>
    </row>
    <row r="512" spans="1:27" ht="20.100000000000001" customHeight="1">
      <c r="A512" s="584"/>
      <c r="B512" s="427" t="s">
        <v>264</v>
      </c>
      <c r="C512" s="586">
        <v>1</v>
      </c>
      <c r="D512" s="587"/>
      <c r="E512" s="590">
        <f>C512*11</f>
        <v>11</v>
      </c>
      <c r="F512" s="590"/>
      <c r="G512" s="591">
        <v>1</v>
      </c>
      <c r="H512" s="591"/>
      <c r="I512" s="590">
        <f>G512*11</f>
        <v>11</v>
      </c>
      <c r="J512" s="590"/>
      <c r="K512" s="590">
        <f>E512-I512</f>
        <v>0</v>
      </c>
      <c r="L512" s="590"/>
      <c r="M512" s="592">
        <f>IF(ISERROR(K512/E512),"",K512/E512)</f>
        <v>0</v>
      </c>
      <c r="N512" s="592"/>
      <c r="O512" s="588"/>
      <c r="P512" s="591" t="s">
        <v>231</v>
      </c>
      <c r="Q512" s="591"/>
      <c r="R512" s="593">
        <f>SUM(O479:U479)</f>
        <v>0</v>
      </c>
      <c r="S512" s="593"/>
      <c r="T512" s="594" t="str">
        <f>IF(ISERROR(R512/R516),"",R512/R516)</f>
        <v/>
      </c>
      <c r="U512" s="594"/>
      <c r="V512" s="591" t="s">
        <v>265</v>
      </c>
      <c r="W512" s="591"/>
      <c r="X512" s="595">
        <f>SUM(O374,O431,O466,O482,O493,O509)</f>
        <v>0</v>
      </c>
      <c r="Y512" s="595"/>
      <c r="Z512" s="594" t="str">
        <f>IF(ISERROR(X512/X516),"",X512/X516)</f>
        <v/>
      </c>
      <c r="AA512" s="594"/>
    </row>
    <row r="513" spans="1:27" ht="20.100000000000001" customHeight="1">
      <c r="A513" s="585"/>
      <c r="B513" s="427" t="s">
        <v>266</v>
      </c>
      <c r="C513" s="596">
        <f>SUM(C509:D512)</f>
        <v>1</v>
      </c>
      <c r="D513" s="597"/>
      <c r="E513" s="590">
        <f>SUM(E509:F512)</f>
        <v>11</v>
      </c>
      <c r="F513" s="590"/>
      <c r="G513" s="591">
        <f>SUM(G509:H512)</f>
        <v>1</v>
      </c>
      <c r="H513" s="591"/>
      <c r="I513" s="590">
        <f>SUM(I509:J512)</f>
        <v>11</v>
      </c>
      <c r="J513" s="590"/>
      <c r="K513" s="590">
        <f>SUM(K509:L512)</f>
        <v>0</v>
      </c>
      <c r="L513" s="590"/>
      <c r="M513" s="592">
        <f>IF(ISERROR(K513/E513),"",K513/E513)</f>
        <v>0</v>
      </c>
      <c r="N513" s="592"/>
      <c r="O513" s="588"/>
      <c r="P513" s="591" t="s">
        <v>234</v>
      </c>
      <c r="Q513" s="591"/>
      <c r="R513" s="593">
        <f>SUM(O490:U490)</f>
        <v>0</v>
      </c>
      <c r="S513" s="593"/>
      <c r="T513" s="594" t="str">
        <f>IF(ISERROR(R513/R516),"",R513/R516)</f>
        <v/>
      </c>
      <c r="U513" s="594"/>
      <c r="V513" s="591" t="s">
        <v>267</v>
      </c>
      <c r="W513" s="591"/>
      <c r="X513" s="595">
        <f>SUM(O375,O432,O467,O483,O494,O510)</f>
        <v>0</v>
      </c>
      <c r="Y513" s="595"/>
      <c r="Z513" s="594" t="str">
        <f>IF(ISERROR(X513/X516),"",X513/X516)</f>
        <v/>
      </c>
      <c r="AA513" s="594"/>
    </row>
    <row r="514" spans="1:27" ht="20.100000000000001" customHeight="1">
      <c r="A514" s="307" t="s">
        <v>477</v>
      </c>
      <c r="B514" s="427">
        <f>G507</f>
        <v>988</v>
      </c>
      <c r="C514" s="598" t="s">
        <v>269</v>
      </c>
      <c r="D514" s="599"/>
      <c r="E514" s="591">
        <f>H507</f>
        <v>4969.6400000000003</v>
      </c>
      <c r="F514" s="591"/>
      <c r="G514" s="591" t="s">
        <v>270</v>
      </c>
      <c r="H514" s="591"/>
      <c r="I514" s="600">
        <f>L507</f>
        <v>9.3000000000000007</v>
      </c>
      <c r="J514" s="600"/>
      <c r="K514" s="588" t="s">
        <v>271</v>
      </c>
      <c r="L514" s="588"/>
      <c r="M514" s="600">
        <f>J507</f>
        <v>11.291428571428572</v>
      </c>
      <c r="N514" s="600"/>
      <c r="O514" s="588"/>
      <c r="P514" s="591" t="s">
        <v>244</v>
      </c>
      <c r="Q514" s="591"/>
      <c r="R514" s="593">
        <f>SUM(O506:U506)</f>
        <v>0</v>
      </c>
      <c r="S514" s="593"/>
      <c r="T514" s="594" t="str">
        <f>IF(ISERROR(R514/R516),"",R514/R516)</f>
        <v/>
      </c>
      <c r="U514" s="594"/>
      <c r="V514" s="591" t="s">
        <v>272</v>
      </c>
      <c r="W514" s="591"/>
      <c r="X514" s="595">
        <f>SUM(O376,O433,O468,O484,O495,O511)</f>
        <v>0</v>
      </c>
      <c r="Y514" s="595"/>
      <c r="Z514" s="594" t="str">
        <f>IF(ISERROR(X514/X516),"",X514/X516)</f>
        <v/>
      </c>
      <c r="AA514" s="594"/>
    </row>
    <row r="515" spans="1:27" ht="20.100000000000001" customHeight="1">
      <c r="A515" s="308" t="s">
        <v>478</v>
      </c>
      <c r="B515" s="427">
        <f>I507+C513</f>
        <v>88.5</v>
      </c>
      <c r="C515" s="601" t="s">
        <v>251</v>
      </c>
      <c r="D515" s="602"/>
      <c r="E515" s="603">
        <f>K507+I513</f>
        <v>117.23655913978494</v>
      </c>
      <c r="F515" s="603"/>
      <c r="G515" s="591" t="s">
        <v>274</v>
      </c>
      <c r="H515" s="591"/>
      <c r="I515" s="600">
        <f>B515-E515</f>
        <v>-28.736559139784944</v>
      </c>
      <c r="J515" s="600"/>
      <c r="K515" s="588" t="s">
        <v>275</v>
      </c>
      <c r="L515" s="588"/>
      <c r="M515" s="592">
        <f>IF(ISERROR(I515/E515),"",I515/E515)</f>
        <v>-0.2451160231129047</v>
      </c>
      <c r="N515" s="592"/>
      <c r="O515" s="588"/>
      <c r="P515" s="591" t="s">
        <v>245</v>
      </c>
      <c r="Q515" s="591"/>
      <c r="R515" s="593"/>
      <c r="S515" s="593"/>
      <c r="T515" s="594" t="str">
        <f>IF(ISERROR(R515/R516),"",R515/R516)</f>
        <v/>
      </c>
      <c r="U515" s="594"/>
      <c r="V515" s="591" t="s">
        <v>264</v>
      </c>
      <c r="W515" s="591"/>
      <c r="X515" s="595">
        <f>SUM(O377,O434,O469,O489,O496,O512)</f>
        <v>0</v>
      </c>
      <c r="Y515" s="595"/>
      <c r="Z515" s="594" t="str">
        <f>IF(ISERROR(X515/X516),"",X515/X516)</f>
        <v/>
      </c>
      <c r="AA515" s="594"/>
    </row>
    <row r="516" spans="1:27" ht="20.100000000000001" customHeight="1">
      <c r="A516" s="308" t="s">
        <v>479</v>
      </c>
      <c r="B516" s="427">
        <f>N507</f>
        <v>0</v>
      </c>
      <c r="C516" s="601" t="s">
        <v>277</v>
      </c>
      <c r="D516" s="602"/>
      <c r="E516" s="594">
        <f>IF(ISERROR(B516/B515),"",B516/B515)</f>
        <v>0</v>
      </c>
      <c r="F516" s="594"/>
      <c r="G516" s="591" t="s">
        <v>278</v>
      </c>
      <c r="H516" s="591"/>
      <c r="I516" s="588">
        <f>V507</f>
        <v>0</v>
      </c>
      <c r="J516" s="588"/>
      <c r="K516" s="588" t="s">
        <v>279</v>
      </c>
      <c r="L516" s="588"/>
      <c r="M516" s="592">
        <f t="array" ref="M516">IF(ISERROR(I516/B514),"",I516/B514)</f>
        <v>0</v>
      </c>
      <c r="N516" s="592"/>
      <c r="O516" s="588"/>
      <c r="P516" s="591" t="s">
        <v>266</v>
      </c>
      <c r="Q516" s="591"/>
      <c r="R516" s="593">
        <f>SUM(R509:S515)</f>
        <v>0</v>
      </c>
      <c r="S516" s="593"/>
      <c r="T516" s="594"/>
      <c r="U516" s="594"/>
      <c r="V516" s="591" t="s">
        <v>266</v>
      </c>
      <c r="W516" s="591"/>
      <c r="X516" s="595">
        <f>SUM(X509:Y515)</f>
        <v>0</v>
      </c>
      <c r="Y516" s="595"/>
      <c r="Z516" s="594"/>
      <c r="AA516" s="594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630" t="str">
        <f>IF(ISERROR(#REF!/#REF!),"",#REF!/#REF!)</f>
        <v/>
      </c>
      <c r="H517" s="630"/>
      <c r="I517" s="630"/>
      <c r="J517" s="125"/>
      <c r="K517" s="160"/>
      <c r="L517" s="122"/>
      <c r="M517" s="122"/>
      <c r="N517" s="630" t="str">
        <f>IF(ISERROR(G517/#REF!),"",G517/#REF!)</f>
        <v/>
      </c>
      <c r="O517" s="630"/>
      <c r="P517" s="630"/>
      <c r="Q517" s="630"/>
      <c r="R517" s="630"/>
      <c r="S517" s="428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6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633" t="s">
        <v>268</v>
      </c>
      <c r="B519" s="633"/>
      <c r="C519" s="586">
        <f>SUM(B171,B342,B514)</f>
        <v>11562</v>
      </c>
      <c r="D519" s="587"/>
      <c r="E519" s="633" t="s">
        <v>269</v>
      </c>
      <c r="F519" s="633"/>
      <c r="G519" s="603">
        <f>SUM(E171,E342,E514)</f>
        <v>58575.159999999996</v>
      </c>
      <c r="H519" s="603"/>
      <c r="I519" s="591" t="s">
        <v>270</v>
      </c>
      <c r="J519" s="633"/>
      <c r="K519" s="586">
        <f>IF(ISERROR(C519/G520),"",C519/G520)</f>
        <v>17.144116106701439</v>
      </c>
      <c r="L519" s="587"/>
      <c r="M519" s="591" t="s">
        <v>271</v>
      </c>
      <c r="N519" s="591"/>
      <c r="O519" s="628">
        <f t="array" ref="O519">IF(ISERROR(C519/C520),"",C519/C520)</f>
        <v>17.774019984627209</v>
      </c>
      <c r="P519" s="629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591" t="s">
        <v>273</v>
      </c>
      <c r="B520" s="591"/>
      <c r="C520" s="586">
        <f>SUM(B172,B343,B515)</f>
        <v>650.5</v>
      </c>
      <c r="D520" s="587"/>
      <c r="E520" s="591" t="s">
        <v>251</v>
      </c>
      <c r="F520" s="591"/>
      <c r="G520" s="603">
        <f>SUM(E172,E343,E515)</f>
        <v>674.40047232767779</v>
      </c>
      <c r="H520" s="603"/>
      <c r="I520" s="601" t="s">
        <v>274</v>
      </c>
      <c r="J520" s="602"/>
      <c r="K520" s="598">
        <f>C520-G520</f>
        <v>-23.90047232767779</v>
      </c>
      <c r="L520" s="599"/>
      <c r="M520" s="598" t="s">
        <v>275</v>
      </c>
      <c r="N520" s="599"/>
      <c r="O520" s="631">
        <f>IF(ISERROR(K520/C520),"",K520/C520)</f>
        <v>-3.6741694585207978E-2</v>
      </c>
      <c r="P520" s="632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601" t="s">
        <v>276</v>
      </c>
      <c r="B521" s="602"/>
      <c r="C521" s="586">
        <f>SUM(B173,B344,B516)</f>
        <v>0</v>
      </c>
      <c r="D521" s="587"/>
      <c r="E521" s="601" t="s">
        <v>277</v>
      </c>
      <c r="F521" s="602"/>
      <c r="G521" s="594">
        <f>IF(ISERROR(C521/C520),"",C521/C520)</f>
        <v>0</v>
      </c>
      <c r="H521" s="594"/>
      <c r="I521" s="591" t="s">
        <v>278</v>
      </c>
      <c r="J521" s="633"/>
      <c r="K521" s="603">
        <f>SUM(I173,I344,I516)</f>
        <v>0</v>
      </c>
      <c r="L521" s="603"/>
      <c r="M521" s="633" t="s">
        <v>279</v>
      </c>
      <c r="N521" s="633"/>
      <c r="O521" s="631">
        <f t="array" ref="O521">IF(ISERROR(K521/C519),"",K521/C519)</f>
        <v>0</v>
      </c>
      <c r="P521" s="632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347"/>
      <c r="H522" s="168"/>
      <c r="I522" s="428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601" t="s">
        <v>298</v>
      </c>
      <c r="B523" s="602"/>
      <c r="C523" s="601" t="s">
        <v>299</v>
      </c>
      <c r="D523" s="602"/>
      <c r="E523" s="601" t="s">
        <v>256</v>
      </c>
      <c r="F523" s="602"/>
      <c r="G523" s="634" t="s">
        <v>254</v>
      </c>
      <c r="H523" s="635"/>
      <c r="I523" s="601" t="s">
        <v>255</v>
      </c>
      <c r="J523" s="599"/>
      <c r="K523" s="601" t="s">
        <v>300</v>
      </c>
      <c r="L523" s="602"/>
      <c r="M523" s="601" t="s">
        <v>256</v>
      </c>
      <c r="N523" s="602"/>
      <c r="O523" s="591" t="s">
        <v>257</v>
      </c>
      <c r="P523" s="591"/>
      <c r="Q523" s="601" t="s">
        <v>300</v>
      </c>
      <c r="R523" s="602"/>
      <c r="S523" s="601" t="s">
        <v>256</v>
      </c>
      <c r="T523" s="602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640" t="s">
        <v>201</v>
      </c>
      <c r="B524" s="602"/>
      <c r="C524" s="601">
        <f>SUM(G28,G199,G370)</f>
        <v>2443</v>
      </c>
      <c r="D524" s="602"/>
      <c r="E524" s="641">
        <f>IF(ISERROR(C524/C530),"",C524/C530)</f>
        <v>0.21129562359453383</v>
      </c>
      <c r="F524" s="642"/>
      <c r="G524" s="636"/>
      <c r="H524" s="637"/>
      <c r="I524" s="643" t="s">
        <v>301</v>
      </c>
      <c r="J524" s="644"/>
      <c r="K524" s="598">
        <f t="shared" ref="K524:K529" si="239">SUM(R166,U337,U509)</f>
        <v>0</v>
      </c>
      <c r="L524" s="599"/>
      <c r="M524" s="641" t="str">
        <f t="array" ref="M524">IF(ISERROR(K524/K530),"",K524/K530)</f>
        <v/>
      </c>
      <c r="N524" s="642"/>
      <c r="O524" s="591" t="s">
        <v>259</v>
      </c>
      <c r="P524" s="591"/>
      <c r="Q524" s="628">
        <f t="shared" ref="Q524:Q529" si="240">SUM(X166,AA337,AA509)</f>
        <v>0</v>
      </c>
      <c r="R524" s="629"/>
      <c r="S524" s="641" t="str">
        <f t="array" ref="S524">IF(ISERROR(Q524/Q530),"",Q524/Q530)</f>
        <v/>
      </c>
      <c r="T524" s="642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640" t="s">
        <v>216</v>
      </c>
      <c r="B525" s="602"/>
      <c r="C525" s="601">
        <f>SUM(G86,G257,G428)</f>
        <v>5903</v>
      </c>
      <c r="D525" s="602"/>
      <c r="E525" s="641">
        <f>IF(ISERROR(C525/C530),"",C525/C530)</f>
        <v>0.51055180764573604</v>
      </c>
      <c r="F525" s="642"/>
      <c r="G525" s="636"/>
      <c r="H525" s="637"/>
      <c r="I525" s="643" t="s">
        <v>302</v>
      </c>
      <c r="J525" s="644"/>
      <c r="K525" s="598">
        <f t="shared" si="239"/>
        <v>0</v>
      </c>
      <c r="L525" s="599"/>
      <c r="M525" s="641" t="str">
        <f>IF(ISERROR(K525/K530),"",K525/K530)</f>
        <v/>
      </c>
      <c r="N525" s="642"/>
      <c r="O525" s="591" t="s">
        <v>261</v>
      </c>
      <c r="P525" s="591"/>
      <c r="Q525" s="628">
        <f t="shared" si="240"/>
        <v>0</v>
      </c>
      <c r="R525" s="629"/>
      <c r="S525" s="641" t="str">
        <f>IF(ISERROR(Q525/Q530),"",Q525/Q530)</f>
        <v/>
      </c>
      <c r="T525" s="642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640" t="s">
        <v>224</v>
      </c>
      <c r="B526" s="602"/>
      <c r="C526" s="601">
        <f>SUM(G121,G292,G463)</f>
        <v>1593</v>
      </c>
      <c r="D526" s="602"/>
      <c r="E526" s="641">
        <f>IF(ISERROR(C526/C530),"",C526/C530)</f>
        <v>0.13777893098079916</v>
      </c>
      <c r="F526" s="642"/>
      <c r="G526" s="636"/>
      <c r="H526" s="637"/>
      <c r="I526" s="643" t="s">
        <v>303</v>
      </c>
      <c r="J526" s="644"/>
      <c r="K526" s="598">
        <f t="shared" si="239"/>
        <v>0</v>
      </c>
      <c r="L526" s="599"/>
      <c r="M526" s="641" t="str">
        <f>IF(ISERROR(K526/K530),"",K526/K530)</f>
        <v/>
      </c>
      <c r="N526" s="642"/>
      <c r="O526" s="591" t="s">
        <v>263</v>
      </c>
      <c r="P526" s="591"/>
      <c r="Q526" s="628">
        <f t="shared" si="240"/>
        <v>0</v>
      </c>
      <c r="R526" s="629"/>
      <c r="S526" s="641" t="str">
        <f>IF(ISERROR(Q526/Q530),"",Q526/Q530)</f>
        <v/>
      </c>
      <c r="T526" s="642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640" t="s">
        <v>231</v>
      </c>
      <c r="B527" s="602"/>
      <c r="C527" s="601">
        <f>SUM(G137,G308,G479)</f>
        <v>360</v>
      </c>
      <c r="D527" s="602"/>
      <c r="E527" s="641">
        <f>IF(ISERROR(C527/C530),"",C527/C530)</f>
        <v>3.1136481577581733E-2</v>
      </c>
      <c r="F527" s="642"/>
      <c r="G527" s="636"/>
      <c r="H527" s="637"/>
      <c r="I527" s="643" t="s">
        <v>304</v>
      </c>
      <c r="J527" s="644"/>
      <c r="K527" s="598">
        <f t="shared" si="239"/>
        <v>0</v>
      </c>
      <c r="L527" s="599"/>
      <c r="M527" s="641" t="str">
        <f>IF(ISERROR(K527/K530),"",K527/K530)</f>
        <v/>
      </c>
      <c r="N527" s="642"/>
      <c r="O527" s="591" t="s">
        <v>305</v>
      </c>
      <c r="P527" s="591"/>
      <c r="Q527" s="628">
        <f t="shared" si="240"/>
        <v>0</v>
      </c>
      <c r="R527" s="629"/>
      <c r="S527" s="641" t="str">
        <f>IF(ISERROR(Q527/Q530),"",Q527/Q530)</f>
        <v/>
      </c>
      <c r="T527" s="642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640" t="s">
        <v>234</v>
      </c>
      <c r="B528" s="602"/>
      <c r="C528" s="601">
        <f>SUM(G148,G319,G490)</f>
        <v>1078</v>
      </c>
      <c r="D528" s="602"/>
      <c r="E528" s="641">
        <f>IF(ISERROR(C528/C530),"",C528/C530)</f>
        <v>9.3236464279536413E-2</v>
      </c>
      <c r="F528" s="642"/>
      <c r="G528" s="636"/>
      <c r="H528" s="637"/>
      <c r="I528" s="643" t="s">
        <v>306</v>
      </c>
      <c r="J528" s="644"/>
      <c r="K528" s="598">
        <f t="shared" si="239"/>
        <v>0</v>
      </c>
      <c r="L528" s="599"/>
      <c r="M528" s="641" t="str">
        <f>IF(ISERROR(K528/K530),"",K528/K530)</f>
        <v/>
      </c>
      <c r="N528" s="642"/>
      <c r="O528" s="591" t="s">
        <v>267</v>
      </c>
      <c r="P528" s="591"/>
      <c r="Q528" s="628">
        <f t="shared" si="240"/>
        <v>0</v>
      </c>
      <c r="R528" s="629"/>
      <c r="S528" s="641" t="str">
        <f>IF(ISERROR(Q528/Q530),"",Q528/Q530)</f>
        <v/>
      </c>
      <c r="T528" s="642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640" t="s">
        <v>244</v>
      </c>
      <c r="B529" s="602"/>
      <c r="C529" s="601">
        <f>SUM(G163,G334,G506)</f>
        <v>185</v>
      </c>
      <c r="D529" s="602"/>
      <c r="E529" s="641">
        <f>IF(ISERROR(C529/C530),"",C529/C530)</f>
        <v>1.6000691921812835E-2</v>
      </c>
      <c r="F529" s="642"/>
      <c r="G529" s="636"/>
      <c r="H529" s="637"/>
      <c r="I529" s="643" t="s">
        <v>307</v>
      </c>
      <c r="J529" s="644"/>
      <c r="K529" s="598">
        <f t="shared" si="239"/>
        <v>0</v>
      </c>
      <c r="L529" s="599"/>
      <c r="M529" s="641" t="str">
        <f>IF(ISERROR(K529/K530),"",K529/K530)</f>
        <v/>
      </c>
      <c r="N529" s="642"/>
      <c r="O529" s="591" t="s">
        <v>272</v>
      </c>
      <c r="P529" s="591"/>
      <c r="Q529" s="628">
        <f t="shared" si="240"/>
        <v>0</v>
      </c>
      <c r="R529" s="629"/>
      <c r="S529" s="641" t="str">
        <f>IF(ISERROR(Q529/Q530),"",Q529/Q530)</f>
        <v/>
      </c>
      <c r="T529" s="642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601" t="s">
        <v>266</v>
      </c>
      <c r="B530" s="602"/>
      <c r="C530" s="601">
        <f>SUM(C524:C529)</f>
        <v>11562</v>
      </c>
      <c r="D530" s="602"/>
      <c r="E530" s="641">
        <f>SUM(E524:F529)</f>
        <v>1</v>
      </c>
      <c r="F530" s="642"/>
      <c r="G530" s="638"/>
      <c r="H530" s="639"/>
      <c r="I530" s="601" t="s">
        <v>266</v>
      </c>
      <c r="J530" s="599"/>
      <c r="K530" s="598">
        <f>SUM(R173,U344,U516)</f>
        <v>0</v>
      </c>
      <c r="L530" s="599"/>
      <c r="M530" s="641"/>
      <c r="N530" s="642"/>
      <c r="O530" s="591" t="s">
        <v>266</v>
      </c>
      <c r="P530" s="591"/>
      <c r="Q530" s="628">
        <f>SUM(Q524:R529)</f>
        <v>0</v>
      </c>
      <c r="R530" s="629"/>
      <c r="S530" s="641">
        <f>SUM(S524:T529)</f>
        <v>0</v>
      </c>
      <c r="T530" s="642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172"/>
      <c r="D531" s="172"/>
      <c r="E531" s="172"/>
      <c r="F531" s="172"/>
      <c r="G531" s="173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643" t="s">
        <v>308</v>
      </c>
      <c r="B532" s="597"/>
      <c r="C532" s="431" t="s">
        <v>309</v>
      </c>
      <c r="D532" s="431" t="s">
        <v>310</v>
      </c>
      <c r="E532" s="431" t="s">
        <v>311</v>
      </c>
      <c r="F532" s="431" t="s">
        <v>312</v>
      </c>
      <c r="G532" s="348" t="s">
        <v>313</v>
      </c>
      <c r="H532" s="129" t="s">
        <v>314</v>
      </c>
      <c r="I532" s="129" t="s">
        <v>315</v>
      </c>
      <c r="J532" s="129" t="s">
        <v>316</v>
      </c>
      <c r="K532" s="433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425" t="s">
        <v>322</v>
      </c>
      <c r="Q532" s="129" t="s">
        <v>323</v>
      </c>
      <c r="R532" s="109" t="s">
        <v>324</v>
      </c>
      <c r="S532" s="431" t="s">
        <v>325</v>
      </c>
      <c r="T532" s="431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645" t="s">
        <v>327</v>
      </c>
      <c r="B533" s="646"/>
      <c r="C533" s="106">
        <f>D533+E533+F533-G533-O533-P533</f>
        <v>46</v>
      </c>
      <c r="D533" s="106">
        <f>+'3'!C533</f>
        <v>42</v>
      </c>
      <c r="E533" s="106">
        <v>4</v>
      </c>
      <c r="F533" s="106"/>
      <c r="G533" s="107"/>
      <c r="H533" s="106"/>
      <c r="I533" s="106"/>
      <c r="J533" s="106">
        <f>C533-H533-I533</f>
        <v>46</v>
      </c>
      <c r="K533" s="106"/>
      <c r="L533" s="106"/>
      <c r="M533" s="106"/>
      <c r="N533" s="106"/>
      <c r="O533" s="106"/>
      <c r="P533" s="108"/>
      <c r="Q533" s="106">
        <f>J533-K533-L533</f>
        <v>46</v>
      </c>
      <c r="R533" s="109">
        <f>Q533*11-M533-N533</f>
        <v>506</v>
      </c>
      <c r="S533" s="432">
        <f t="array" ref="S533">IF(ISERROR(Q533/J533),"",Q533/J533)</f>
        <v>1</v>
      </c>
      <c r="T533" s="432">
        <f t="array" ref="T533">IF(ISERROR((O533:P533)/C533),"",SUM(O533:P533)/C533)</f>
        <v>0</v>
      </c>
      <c r="X533" s="116"/>
      <c r="Y533" s="116"/>
      <c r="Z533" s="159"/>
      <c r="AA533" s="159"/>
    </row>
    <row r="534" spans="1:27" ht="20.100000000000001" customHeight="1">
      <c r="A534" s="645" t="s">
        <v>328</v>
      </c>
      <c r="B534" s="646"/>
      <c r="C534" s="106">
        <f>D534+E534+F534-G534-O534-P534</f>
        <v>45</v>
      </c>
      <c r="D534" s="106">
        <f>+'3'!C534</f>
        <v>45</v>
      </c>
      <c r="E534" s="110"/>
      <c r="F534" s="110"/>
      <c r="G534" s="107"/>
      <c r="H534" s="106"/>
      <c r="I534" s="106"/>
      <c r="J534" s="106">
        <f>C534-H534-I534</f>
        <v>45</v>
      </c>
      <c r="K534" s="106">
        <v>2</v>
      </c>
      <c r="L534" s="106"/>
      <c r="M534" s="106"/>
      <c r="N534" s="106"/>
      <c r="O534" s="110"/>
      <c r="P534" s="111"/>
      <c r="Q534" s="106">
        <f>J534-K534-L534</f>
        <v>43</v>
      </c>
      <c r="R534" s="109">
        <f>Q534*11-M534-N534</f>
        <v>473</v>
      </c>
      <c r="S534" s="432">
        <f t="array" ref="S534">IF(ISERROR(Q534/J534),"",Q534/J534)</f>
        <v>0.9555555555555556</v>
      </c>
      <c r="T534" s="432">
        <f t="array" ref="T534">IF(ISERROR((O534:P534)/C534),"",SUM(O534:P534)/C534)</f>
        <v>0</v>
      </c>
      <c r="X534" s="116"/>
      <c r="Y534" s="116"/>
      <c r="Z534" s="159"/>
      <c r="AA534" s="159"/>
    </row>
    <row r="535" spans="1:27" ht="20.100000000000001" customHeight="1">
      <c r="A535" s="645" t="s">
        <v>329</v>
      </c>
      <c r="B535" s="646"/>
      <c r="C535" s="106">
        <f>D535+E535+F535-G535-O535-P535</f>
        <v>10</v>
      </c>
      <c r="D535" s="106">
        <f>+'3'!C535</f>
        <v>10</v>
      </c>
      <c r="E535" s="110"/>
      <c r="F535" s="110"/>
      <c r="G535" s="107"/>
      <c r="H535" s="106"/>
      <c r="I535" s="106"/>
      <c r="J535" s="106">
        <f>C535-H535-I535</f>
        <v>10</v>
      </c>
      <c r="K535" s="106"/>
      <c r="L535" s="106"/>
      <c r="M535" s="106"/>
      <c r="N535" s="106"/>
      <c r="O535" s="110"/>
      <c r="P535" s="111"/>
      <c r="Q535" s="106">
        <f>J535-K535-L535</f>
        <v>10</v>
      </c>
      <c r="R535" s="109">
        <f>Q535*11-M535-N535</f>
        <v>110</v>
      </c>
      <c r="S535" s="432">
        <f t="array" ref="S535">IF(ISERROR(Q535/J535),"",Q535/J535)</f>
        <v>1</v>
      </c>
      <c r="T535" s="432">
        <f t="array" ref="T535">IF(ISERROR((O535:P535)/C535),"",SUM(O535:P535)/C535)</f>
        <v>0</v>
      </c>
      <c r="V535" s="179"/>
      <c r="X535" s="116"/>
      <c r="Y535" s="116"/>
      <c r="Z535" s="159"/>
      <c r="AA535" s="159"/>
    </row>
    <row r="536" spans="1:27" ht="20.100000000000001" customHeight="1">
      <c r="A536" s="647" t="s">
        <v>330</v>
      </c>
      <c r="B536" s="648"/>
      <c r="C536" s="112">
        <f>SUM(C533:C535)</f>
        <v>101</v>
      </c>
      <c r="D536" s="112">
        <f t="shared" ref="D536:N536" si="241">SUM(D533:D535)</f>
        <v>97</v>
      </c>
      <c r="E536" s="112">
        <f t="shared" si="241"/>
        <v>4</v>
      </c>
      <c r="F536" s="112">
        <f t="shared" si="241"/>
        <v>0</v>
      </c>
      <c r="G536" s="113">
        <f t="shared" si="241"/>
        <v>0</v>
      </c>
      <c r="H536" s="112">
        <f t="shared" si="241"/>
        <v>0</v>
      </c>
      <c r="I536" s="112">
        <f t="shared" si="241"/>
        <v>0</v>
      </c>
      <c r="J536" s="112">
        <f t="shared" si="241"/>
        <v>101</v>
      </c>
      <c r="K536" s="112">
        <f t="shared" si="241"/>
        <v>2</v>
      </c>
      <c r="L536" s="112">
        <f t="shared" si="241"/>
        <v>0</v>
      </c>
      <c r="M536" s="112">
        <f t="shared" si="241"/>
        <v>0</v>
      </c>
      <c r="N536" s="112">
        <f t="shared" si="241"/>
        <v>0</v>
      </c>
      <c r="O536" s="112">
        <f>SUM(O533:O535)</f>
        <v>0</v>
      </c>
      <c r="P536" s="112">
        <f>SUM(P533:P535)</f>
        <v>0</v>
      </c>
      <c r="Q536" s="112">
        <f>SUM(Q533:Q535)</f>
        <v>99</v>
      </c>
      <c r="R536" s="114">
        <f>SUM(R533:R535)</f>
        <v>1089</v>
      </c>
      <c r="S536" s="115">
        <f t="array" ref="S536">IF(ISERROR(Q536/J536),"",Q536/J536)</f>
        <v>0.98019801980198018</v>
      </c>
      <c r="T536" s="115">
        <f t="array" ref="T536">IF(ISERROR((O536:P536)/C536),"",SUM(O536:P536)/C536)</f>
        <v>0</v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7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7"/>
      <c r="H538" s="116"/>
      <c r="I538" s="118" t="s">
        <v>332</v>
      </c>
      <c r="J538" s="198" t="s">
        <v>447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54" spans="2:2">
      <c r="B554" s="121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342" activePane="bottomRight" state="frozen"/>
      <selection activeCell="F484" sqref="F484"/>
      <selection pane="topRight" activeCell="F484" sqref="F484"/>
      <selection pane="bottomLeft" activeCell="F484" sqref="F484"/>
      <selection pane="bottomRight" activeCell="C532" sqref="C532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10" width="12.125" style="121" customWidth="1"/>
    <col min="11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55" t="s">
        <v>413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55"/>
      <c r="M1" s="555"/>
      <c r="N1" s="555"/>
      <c r="O1" s="555"/>
      <c r="P1" s="555"/>
      <c r="Q1" s="555"/>
      <c r="R1" s="555"/>
      <c r="S1" s="555"/>
      <c r="T1" s="555"/>
      <c r="U1" s="555"/>
      <c r="V1" s="555"/>
      <c r="W1" s="555"/>
      <c r="X1" s="555"/>
      <c r="Y1" s="555"/>
      <c r="Z1" s="555"/>
      <c r="AA1" s="555"/>
    </row>
    <row r="2" spans="1:27" ht="18.75">
      <c r="A2" s="556"/>
      <c r="B2" s="556"/>
      <c r="C2" s="556"/>
      <c r="D2" s="556"/>
      <c r="E2" s="556"/>
      <c r="F2" s="556"/>
      <c r="G2" s="556"/>
      <c r="H2" s="556"/>
      <c r="I2" s="556"/>
      <c r="J2" s="556"/>
      <c r="K2" s="556"/>
      <c r="L2" s="556"/>
      <c r="M2" s="556"/>
      <c r="N2" s="556"/>
      <c r="O2" s="556"/>
      <c r="P2" s="556"/>
      <c r="Q2" s="556"/>
      <c r="R2" s="556"/>
      <c r="S2" s="556"/>
      <c r="T2" s="556"/>
      <c r="U2" s="556"/>
      <c r="V2" s="556"/>
      <c r="W2" s="556"/>
      <c r="X2" s="556"/>
      <c r="Y2" s="556"/>
      <c r="Z2" s="556"/>
      <c r="AA2" s="556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57" t="s">
        <v>12</v>
      </c>
      <c r="B4" s="557" t="s">
        <v>25</v>
      </c>
      <c r="C4" s="557" t="s">
        <v>26</v>
      </c>
      <c r="D4" s="557" t="s">
        <v>27</v>
      </c>
      <c r="E4" s="560" t="s">
        <v>28</v>
      </c>
      <c r="F4" s="563" t="s">
        <v>29</v>
      </c>
      <c r="G4" s="566" t="s">
        <v>30</v>
      </c>
      <c r="H4" s="566"/>
      <c r="I4" s="557" t="s">
        <v>31</v>
      </c>
      <c r="J4" s="569" t="s">
        <v>32</v>
      </c>
      <c r="K4" s="572" t="s">
        <v>33</v>
      </c>
      <c r="L4" s="557" t="s">
        <v>34</v>
      </c>
      <c r="M4" s="575" t="s">
        <v>35</v>
      </c>
      <c r="N4" s="577" t="s">
        <v>36</v>
      </c>
      <c r="O4" s="566" t="s">
        <v>37</v>
      </c>
      <c r="P4" s="566"/>
      <c r="Q4" s="566"/>
      <c r="R4" s="566"/>
      <c r="S4" s="566"/>
      <c r="T4" s="566"/>
      <c r="U4" s="566"/>
      <c r="V4" s="566" t="s">
        <v>38</v>
      </c>
      <c r="W4" s="577" t="s">
        <v>39</v>
      </c>
      <c r="X4" s="566" t="s">
        <v>40</v>
      </c>
      <c r="Y4" s="566"/>
      <c r="Z4" s="566"/>
      <c r="AA4" s="566"/>
    </row>
    <row r="5" spans="1:27" s="104" customFormat="1" ht="15" customHeight="1">
      <c r="A5" s="558"/>
      <c r="B5" s="558"/>
      <c r="C5" s="558"/>
      <c r="D5" s="558"/>
      <c r="E5" s="561"/>
      <c r="F5" s="564"/>
      <c r="G5" s="566"/>
      <c r="H5" s="566"/>
      <c r="I5" s="558"/>
      <c r="J5" s="570"/>
      <c r="K5" s="573"/>
      <c r="L5" s="558"/>
      <c r="M5" s="576"/>
      <c r="N5" s="577"/>
      <c r="O5" s="566" t="s">
        <v>41</v>
      </c>
      <c r="P5" s="566" t="s">
        <v>42</v>
      </c>
      <c r="Q5" s="566" t="s">
        <v>43</v>
      </c>
      <c r="R5" s="567" t="s">
        <v>44</v>
      </c>
      <c r="S5" s="568" t="s">
        <v>45</v>
      </c>
      <c r="T5" s="566" t="s">
        <v>46</v>
      </c>
      <c r="U5" s="566" t="s">
        <v>47</v>
      </c>
      <c r="V5" s="566"/>
      <c r="W5" s="577"/>
      <c r="X5" s="566" t="s">
        <v>13</v>
      </c>
      <c r="Y5" s="566" t="s">
        <v>48</v>
      </c>
      <c r="Z5" s="566" t="s">
        <v>49</v>
      </c>
      <c r="AA5" s="566" t="s">
        <v>47</v>
      </c>
    </row>
    <row r="6" spans="1:27" s="104" customFormat="1" ht="27.75" customHeight="1">
      <c r="A6" s="559"/>
      <c r="B6" s="559"/>
      <c r="C6" s="559"/>
      <c r="D6" s="559"/>
      <c r="E6" s="562"/>
      <c r="F6" s="565"/>
      <c r="G6" s="350" t="s">
        <v>50</v>
      </c>
      <c r="H6" s="448" t="s">
        <v>51</v>
      </c>
      <c r="I6" s="559"/>
      <c r="J6" s="571"/>
      <c r="K6" s="574"/>
      <c r="L6" s="559"/>
      <c r="M6" s="576"/>
      <c r="N6" s="577"/>
      <c r="O6" s="566"/>
      <c r="P6" s="566"/>
      <c r="Q6" s="566"/>
      <c r="R6" s="567"/>
      <c r="S6" s="568"/>
      <c r="T6" s="566"/>
      <c r="U6" s="566"/>
      <c r="V6" s="566"/>
      <c r="W6" s="577"/>
      <c r="X6" s="566"/>
      <c r="Y6" s="566"/>
      <c r="Z6" s="566"/>
      <c r="AA6" s="566"/>
    </row>
    <row r="7" spans="1:27" ht="20.100000000000001" customHeight="1">
      <c r="A7" s="299">
        <v>30100030</v>
      </c>
      <c r="B7" s="437" t="s">
        <v>178</v>
      </c>
      <c r="C7" s="126" t="s">
        <v>179</v>
      </c>
      <c r="D7" s="108">
        <v>5.03</v>
      </c>
      <c r="E7" s="108"/>
      <c r="F7" s="127">
        <v>42740</v>
      </c>
      <c r="G7" s="128">
        <f>108+108+87</f>
        <v>303</v>
      </c>
      <c r="H7" s="438">
        <f t="shared" ref="H7:H27" si="0">D7*G7</f>
        <v>1524.0900000000001</v>
      </c>
      <c r="I7" s="129">
        <v>9</v>
      </c>
      <c r="J7" s="130">
        <f t="array" ref="J7">IF(ISERROR(G7/I7),"",G7/I7)</f>
        <v>33.666666666666664</v>
      </c>
      <c r="K7" s="131">
        <f t="array" ref="K7">IF(ISERROR(G7/L7),"",G7/L7)</f>
        <v>18.9375</v>
      </c>
      <c r="L7" s="129">
        <v>16</v>
      </c>
      <c r="M7" s="109">
        <f t="shared" ref="M7:M27" si="1">IF(ISERROR(I7-K7),"",I7-K7)</f>
        <v>-9.9375</v>
      </c>
      <c r="N7" s="130">
        <f>SUM(O7:U7)</f>
        <v>0</v>
      </c>
      <c r="O7" s="446"/>
      <c r="P7" s="446"/>
      <c r="Q7" s="446"/>
      <c r="R7" s="446"/>
      <c r="S7" s="446"/>
      <c r="T7" s="446"/>
      <c r="U7" s="446"/>
      <c r="V7" s="132">
        <f t="shared" ref="V7:V12" si="2">SUM(X7:AA7)</f>
        <v>0</v>
      </c>
      <c r="W7" s="133">
        <f t="shared" ref="W7:W12" si="3">IF(ISERROR(V7/G7),"",V7/G7)</f>
        <v>0</v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38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446"/>
      <c r="Q8" s="446"/>
      <c r="R8" s="446"/>
      <c r="S8" s="446"/>
      <c r="T8" s="446"/>
      <c r="U8" s="446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38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46"/>
      <c r="P9" s="446"/>
      <c r="Q9" s="446"/>
      <c r="R9" s="446"/>
      <c r="S9" s="446"/>
      <c r="T9" s="446"/>
      <c r="U9" s="446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438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446"/>
      <c r="P10" s="446"/>
      <c r="Q10" s="446"/>
      <c r="R10" s="446"/>
      <c r="S10" s="446"/>
      <c r="T10" s="446"/>
      <c r="U10" s="446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438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446"/>
      <c r="P11" s="446"/>
      <c r="Q11" s="446"/>
      <c r="R11" s="446"/>
      <c r="S11" s="446"/>
      <c r="T11" s="446"/>
      <c r="U11" s="446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438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446"/>
      <c r="P12" s="446"/>
      <c r="Q12" s="446"/>
      <c r="R12" s="446"/>
      <c r="S12" s="446"/>
      <c r="T12" s="446"/>
      <c r="U12" s="446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38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46"/>
      <c r="P13" s="446"/>
      <c r="Q13" s="446"/>
      <c r="R13" s="446"/>
      <c r="S13" s="446"/>
      <c r="T13" s="446"/>
      <c r="U13" s="446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38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46"/>
      <c r="P14" s="446"/>
      <c r="Q14" s="446"/>
      <c r="R14" s="446"/>
      <c r="S14" s="446"/>
      <c r="T14" s="446"/>
      <c r="U14" s="446"/>
      <c r="V14" s="132"/>
      <c r="W14" s="133"/>
      <c r="X14" s="132"/>
      <c r="Y14" s="132"/>
      <c r="Z14" s="132"/>
      <c r="AA14" s="132"/>
    </row>
    <row r="15" spans="1:27" ht="20.10000000000000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>
        <v>42739</v>
      </c>
      <c r="G15" s="128">
        <f>25+100*8</f>
        <v>825</v>
      </c>
      <c r="H15" s="438">
        <f t="shared" si="0"/>
        <v>4158</v>
      </c>
      <c r="I15" s="438">
        <f>11*5</f>
        <v>55</v>
      </c>
      <c r="J15" s="130">
        <f t="array" ref="J15">IF(ISERROR(G15/I15),"",G15/I15)</f>
        <v>15</v>
      </c>
      <c r="K15" s="131">
        <f t="array" ref="K15">IF(ISERROR(G15/L15),"",G15/L15)</f>
        <v>48.529411764705884</v>
      </c>
      <c r="L15" s="129">
        <v>17</v>
      </c>
      <c r="M15" s="109">
        <f t="shared" si="1"/>
        <v>6.470588235294116</v>
      </c>
      <c r="N15" s="130">
        <f t="shared" si="4"/>
        <v>0</v>
      </c>
      <c r="O15" s="446"/>
      <c r="P15" s="446"/>
      <c r="Q15" s="446"/>
      <c r="R15" s="446"/>
      <c r="S15" s="446"/>
      <c r="T15" s="446"/>
      <c r="U15" s="446"/>
      <c r="V15" s="132">
        <f>SUM(X15:AA15)</f>
        <v>0</v>
      </c>
      <c r="W15" s="133">
        <f>IF(ISERROR(V15/G15),"",V15/G15)</f>
        <v>0</v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438">
        <f t="shared" si="0"/>
        <v>0</v>
      </c>
      <c r="I16" s="438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46"/>
      <c r="P16" s="446"/>
      <c r="Q16" s="446"/>
      <c r="R16" s="446"/>
      <c r="S16" s="446"/>
      <c r="T16" s="446"/>
      <c r="U16" s="446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438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46"/>
      <c r="P17" s="446"/>
      <c r="Q17" s="446"/>
      <c r="R17" s="446"/>
      <c r="S17" s="446"/>
      <c r="T17" s="446"/>
      <c r="U17" s="446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438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46"/>
      <c r="P18" s="446"/>
      <c r="Q18" s="446"/>
      <c r="R18" s="446"/>
      <c r="S18" s="446"/>
      <c r="T18" s="446"/>
      <c r="U18" s="446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438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446"/>
      <c r="P19" s="446"/>
      <c r="Q19" s="446"/>
      <c r="R19" s="446"/>
      <c r="S19" s="446"/>
      <c r="T19" s="446"/>
      <c r="U19" s="446"/>
      <c r="V19" s="132">
        <f t="shared" ref="V19:V21" si="5">SUM(X19:AA19)</f>
        <v>0</v>
      </c>
      <c r="W19" s="439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438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446"/>
      <c r="P20" s="446"/>
      <c r="Q20" s="446"/>
      <c r="R20" s="446"/>
      <c r="S20" s="446"/>
      <c r="T20" s="446"/>
      <c r="U20" s="446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38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46"/>
      <c r="P21" s="446"/>
      <c r="Q21" s="446"/>
      <c r="R21" s="446"/>
      <c r="S21" s="446"/>
      <c r="T21" s="446"/>
      <c r="U21" s="446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444" t="s">
        <v>190</v>
      </c>
      <c r="D22" s="108">
        <v>4.8</v>
      </c>
      <c r="E22" s="108"/>
      <c r="F22" s="127"/>
      <c r="G22" s="128"/>
      <c r="H22" s="438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46"/>
      <c r="P22" s="446"/>
      <c r="Q22" s="446"/>
      <c r="R22" s="446"/>
      <c r="S22" s="446"/>
      <c r="T22" s="446"/>
      <c r="U22" s="446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444" t="s">
        <v>187</v>
      </c>
      <c r="D23" s="108">
        <v>4.8</v>
      </c>
      <c r="E23" s="108"/>
      <c r="F23" s="127"/>
      <c r="G23" s="128"/>
      <c r="H23" s="438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46"/>
      <c r="P23" s="446"/>
      <c r="Q23" s="446"/>
      <c r="R23" s="446"/>
      <c r="S23" s="446"/>
      <c r="T23" s="446"/>
      <c r="U23" s="446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444" t="s">
        <v>179</v>
      </c>
      <c r="D24" s="108">
        <v>4.8</v>
      </c>
      <c r="E24" s="108"/>
      <c r="F24" s="127"/>
      <c r="G24" s="128"/>
      <c r="H24" s="438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46"/>
      <c r="P24" s="446"/>
      <c r="Q24" s="446"/>
      <c r="R24" s="446"/>
      <c r="S24" s="446"/>
      <c r="T24" s="446"/>
      <c r="U24" s="446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444" t="s">
        <v>199</v>
      </c>
      <c r="D25" s="108">
        <v>4.8</v>
      </c>
      <c r="E25" s="108"/>
      <c r="F25" s="127"/>
      <c r="G25" s="128"/>
      <c r="H25" s="438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46"/>
      <c r="P25" s="446"/>
      <c r="Q25" s="446"/>
      <c r="R25" s="446"/>
      <c r="S25" s="446"/>
      <c r="T25" s="446"/>
      <c r="U25" s="446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38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46"/>
      <c r="P26" s="446"/>
      <c r="Q26" s="446"/>
      <c r="R26" s="446"/>
      <c r="S26" s="446"/>
      <c r="T26" s="446"/>
      <c r="U26" s="446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38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46"/>
      <c r="P27" s="446"/>
      <c r="Q27" s="446"/>
      <c r="R27" s="446"/>
      <c r="S27" s="446"/>
      <c r="T27" s="446"/>
      <c r="U27" s="446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578" t="s">
        <v>201</v>
      </c>
      <c r="B28" s="579"/>
      <c r="C28" s="447" t="s">
        <v>202</v>
      </c>
      <c r="D28" s="143"/>
      <c r="E28" s="143"/>
      <c r="F28" s="144"/>
      <c r="G28" s="145">
        <f>SUM(G7:G27)</f>
        <v>1128</v>
      </c>
      <c r="H28" s="146">
        <f>SUM(H7:H27)</f>
        <v>5682.09</v>
      </c>
      <c r="I28" s="146">
        <f>SUM(I7:I27)</f>
        <v>64</v>
      </c>
      <c r="J28" s="130">
        <f t="array" ref="J28">IF(ISERROR(G28/I28),"",G28/I28)</f>
        <v>17.625</v>
      </c>
      <c r="K28" s="146">
        <f>SUM(K7:K27)</f>
        <v>67.466911764705884</v>
      </c>
      <c r="L28" s="147"/>
      <c r="M28" s="146">
        <f t="shared" ref="M28:V28" si="10">SUM(M7:M27)</f>
        <v>-3.466911764705884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customHeight="1">
      <c r="A29" s="300">
        <v>30100012</v>
      </c>
      <c r="B29" s="437" t="s">
        <v>206</v>
      </c>
      <c r="C29" s="126" t="s">
        <v>199</v>
      </c>
      <c r="D29" s="108">
        <v>5.03</v>
      </c>
      <c r="E29" s="108"/>
      <c r="F29" s="127">
        <v>42739</v>
      </c>
      <c r="G29" s="128">
        <f>108*10</f>
        <v>1080</v>
      </c>
      <c r="H29" s="438">
        <f t="shared" ref="H29:H85" si="11">D29*G29</f>
        <v>5432.4000000000005</v>
      </c>
      <c r="I29" s="129">
        <f>9+2</f>
        <v>11</v>
      </c>
      <c r="J29" s="130">
        <f t="array" ref="J29">IF(ISERROR(G29/I29),"",G29/I29)</f>
        <v>98.181818181818187</v>
      </c>
      <c r="K29" s="131">
        <f t="array" ref="K29">IF(ISERROR(G29/L29),"",G29/L29)</f>
        <v>20.76923076923077</v>
      </c>
      <c r="L29" s="129">
        <v>52</v>
      </c>
      <c r="M29" s="109">
        <f t="shared" ref="M29:M30" si="12">IF(ISERROR(I29-K29),"",I29-K29)</f>
        <v>-9.7692307692307701</v>
      </c>
      <c r="N29" s="130">
        <f t="shared" ref="N29" si="13">SUM(O29:U29)</f>
        <v>0</v>
      </c>
      <c r="O29" s="442"/>
      <c r="P29" s="442"/>
      <c r="Q29" s="442"/>
      <c r="R29" s="442"/>
      <c r="S29" s="442"/>
      <c r="T29" s="442"/>
      <c r="U29" s="442"/>
      <c r="V29" s="132">
        <f t="shared" ref="V29" si="14">SUM(X29:AA29)</f>
        <v>0</v>
      </c>
      <c r="W29" s="133">
        <f t="shared" si="9"/>
        <v>0</v>
      </c>
      <c r="X29" s="132"/>
      <c r="Y29" s="132"/>
      <c r="Z29" s="132"/>
      <c r="AA29" s="132"/>
    </row>
    <row r="30" spans="1:27" ht="20.100000000000001" customHeight="1">
      <c r="A30" s="300">
        <v>30100011</v>
      </c>
      <c r="B30" s="437" t="s">
        <v>425</v>
      </c>
      <c r="C30" s="187" t="s">
        <v>427</v>
      </c>
      <c r="D30" s="108">
        <v>5.03</v>
      </c>
      <c r="E30" s="108"/>
      <c r="F30" s="127">
        <v>42739</v>
      </c>
      <c r="G30" s="452">
        <f>108+108+108</f>
        <v>324</v>
      </c>
      <c r="H30" s="438">
        <f t="shared" si="11"/>
        <v>1629.72</v>
      </c>
      <c r="I30" s="129">
        <v>2</v>
      </c>
      <c r="J30" s="130">
        <f t="array" ref="J30">IF(ISERROR(G30/I30),"",G30/I30)</f>
        <v>162</v>
      </c>
      <c r="K30" s="131">
        <f t="array" ref="K30">IF(ISERROR(G30/L30),"",G30/L30)</f>
        <v>6.2307692307692308</v>
      </c>
      <c r="L30" s="129">
        <v>52</v>
      </c>
      <c r="M30" s="109">
        <f t="shared" si="12"/>
        <v>-4.2307692307692308</v>
      </c>
      <c r="N30" s="130"/>
      <c r="O30" s="442"/>
      <c r="P30" s="442"/>
      <c r="Q30" s="442"/>
      <c r="R30" s="442"/>
      <c r="S30" s="442"/>
      <c r="T30" s="442"/>
      <c r="U30" s="442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437" t="s">
        <v>206</v>
      </c>
      <c r="C31" s="126" t="s">
        <v>186</v>
      </c>
      <c r="D31" s="108">
        <v>5.03</v>
      </c>
      <c r="E31" s="108"/>
      <c r="F31" s="127"/>
      <c r="G31" s="128"/>
      <c r="H31" s="438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442"/>
      <c r="P31" s="442"/>
      <c r="Q31" s="442"/>
      <c r="R31" s="442"/>
      <c r="S31" s="442"/>
      <c r="T31" s="442"/>
      <c r="U31" s="442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437" t="s">
        <v>206</v>
      </c>
      <c r="C32" s="126" t="s">
        <v>203</v>
      </c>
      <c r="D32" s="108">
        <v>5.03</v>
      </c>
      <c r="E32" s="108"/>
      <c r="F32" s="127"/>
      <c r="G32" s="128"/>
      <c r="H32" s="438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42"/>
      <c r="P32" s="442"/>
      <c r="Q32" s="442"/>
      <c r="R32" s="442"/>
      <c r="S32" s="442"/>
      <c r="T32" s="442"/>
      <c r="U32" s="442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437" t="s">
        <v>206</v>
      </c>
      <c r="C33" s="126" t="s">
        <v>207</v>
      </c>
      <c r="D33" s="108">
        <v>5.03</v>
      </c>
      <c r="E33" s="108"/>
      <c r="F33" s="127"/>
      <c r="G33" s="128"/>
      <c r="H33" s="438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442"/>
      <c r="P33" s="442"/>
      <c r="Q33" s="442"/>
      <c r="R33" s="442"/>
      <c r="S33" s="442"/>
      <c r="T33" s="442"/>
      <c r="U33" s="442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437" t="s">
        <v>414</v>
      </c>
      <c r="C34" s="187" t="s">
        <v>415</v>
      </c>
      <c r="D34" s="108">
        <v>5.03</v>
      </c>
      <c r="E34" s="108"/>
      <c r="F34" s="127"/>
      <c r="G34" s="128"/>
      <c r="H34" s="438">
        <f t="shared" si="11"/>
        <v>0</v>
      </c>
      <c r="I34" s="129"/>
      <c r="J34" s="130"/>
      <c r="K34" s="131"/>
      <c r="L34" s="129">
        <v>52</v>
      </c>
      <c r="M34" s="109"/>
      <c r="N34" s="130"/>
      <c r="O34" s="442"/>
      <c r="P34" s="442"/>
      <c r="Q34" s="442"/>
      <c r="R34" s="442"/>
      <c r="S34" s="442"/>
      <c r="T34" s="442"/>
      <c r="U34" s="442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437" t="s">
        <v>414</v>
      </c>
      <c r="C35" s="187" t="s">
        <v>416</v>
      </c>
      <c r="D35" s="108">
        <v>5.03</v>
      </c>
      <c r="E35" s="108"/>
      <c r="F35" s="127"/>
      <c r="G35" s="128"/>
      <c r="H35" s="438">
        <f t="shared" si="11"/>
        <v>0</v>
      </c>
      <c r="I35" s="129"/>
      <c r="J35" s="130"/>
      <c r="K35" s="131"/>
      <c r="L35" s="129">
        <v>52</v>
      </c>
      <c r="M35" s="109"/>
      <c r="N35" s="130"/>
      <c r="O35" s="442"/>
      <c r="P35" s="442"/>
      <c r="Q35" s="442"/>
      <c r="R35" s="442"/>
      <c r="S35" s="442"/>
      <c r="T35" s="442"/>
      <c r="U35" s="442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437" t="s">
        <v>414</v>
      </c>
      <c r="C36" s="187" t="s">
        <v>61</v>
      </c>
      <c r="D36" s="108">
        <v>5.03</v>
      </c>
      <c r="E36" s="108"/>
      <c r="F36" s="127"/>
      <c r="G36" s="128"/>
      <c r="H36" s="438">
        <f t="shared" si="11"/>
        <v>0</v>
      </c>
      <c r="I36" s="129"/>
      <c r="J36" s="130"/>
      <c r="K36" s="131"/>
      <c r="L36" s="129">
        <v>52</v>
      </c>
      <c r="M36" s="109"/>
      <c r="N36" s="130"/>
      <c r="O36" s="442"/>
      <c r="P36" s="442"/>
      <c r="Q36" s="442"/>
      <c r="R36" s="442"/>
      <c r="S36" s="442"/>
      <c r="T36" s="442"/>
      <c r="U36" s="442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437" t="s">
        <v>208</v>
      </c>
      <c r="C37" s="126" t="s">
        <v>179</v>
      </c>
      <c r="D37" s="108">
        <v>5.08</v>
      </c>
      <c r="E37" s="108"/>
      <c r="F37" s="127"/>
      <c r="G37" s="128"/>
      <c r="H37" s="438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442"/>
      <c r="P37" s="442"/>
      <c r="Q37" s="442"/>
      <c r="R37" s="442"/>
      <c r="S37" s="442"/>
      <c r="T37" s="442"/>
      <c r="U37" s="442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437" t="s">
        <v>208</v>
      </c>
      <c r="C38" s="126" t="s">
        <v>204</v>
      </c>
      <c r="D38" s="108">
        <v>5.08</v>
      </c>
      <c r="E38" s="108"/>
      <c r="F38" s="127"/>
      <c r="G38" s="128"/>
      <c r="H38" s="438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442"/>
      <c r="P38" s="442"/>
      <c r="Q38" s="442"/>
      <c r="R38" s="442"/>
      <c r="S38" s="442"/>
      <c r="T38" s="442"/>
      <c r="U38" s="442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437" t="s">
        <v>208</v>
      </c>
      <c r="C39" s="126" t="s">
        <v>205</v>
      </c>
      <c r="D39" s="108">
        <v>5.08</v>
      </c>
      <c r="E39" s="108"/>
      <c r="F39" s="127"/>
      <c r="G39" s="128"/>
      <c r="H39" s="438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442"/>
      <c r="P39" s="442"/>
      <c r="Q39" s="442"/>
      <c r="R39" s="442"/>
      <c r="S39" s="442"/>
      <c r="T39" s="442"/>
      <c r="U39" s="442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437" t="s">
        <v>208</v>
      </c>
      <c r="C40" s="126" t="s">
        <v>186</v>
      </c>
      <c r="D40" s="108">
        <v>5.08</v>
      </c>
      <c r="E40" s="108"/>
      <c r="F40" s="127"/>
      <c r="G40" s="128"/>
      <c r="H40" s="438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442"/>
      <c r="P40" s="442"/>
      <c r="Q40" s="442"/>
      <c r="R40" s="442"/>
      <c r="S40" s="442"/>
      <c r="T40" s="442"/>
      <c r="U40" s="442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customHeight="1">
      <c r="A41" s="300">
        <v>30100029</v>
      </c>
      <c r="B41" s="437" t="s">
        <v>208</v>
      </c>
      <c r="C41" s="126" t="s">
        <v>203</v>
      </c>
      <c r="D41" s="108">
        <v>5.08</v>
      </c>
      <c r="E41" s="108"/>
      <c r="F41" s="127">
        <v>42740</v>
      </c>
      <c r="G41" s="128">
        <f>101+108+108+108*4</f>
        <v>749</v>
      </c>
      <c r="H41" s="438">
        <f t="shared" si="11"/>
        <v>3804.92</v>
      </c>
      <c r="I41" s="129">
        <f>11*3</f>
        <v>33</v>
      </c>
      <c r="J41" s="130">
        <f t="array" ref="J41">IF(ISERROR(G41/I41),"",G41/I41)</f>
        <v>22.696969696969695</v>
      </c>
      <c r="K41" s="131">
        <f t="array" ref="K41">IF(ISERROR(G41/L41),"",G41/L41)</f>
        <v>35.666666666666664</v>
      </c>
      <c r="L41" s="129">
        <v>21</v>
      </c>
      <c r="M41" s="109">
        <f t="shared" si="19"/>
        <v>-2.6666666666666643</v>
      </c>
      <c r="N41" s="130">
        <f t="shared" si="20"/>
        <v>0</v>
      </c>
      <c r="O41" s="442"/>
      <c r="P41" s="442"/>
      <c r="Q41" s="442"/>
      <c r="R41" s="442"/>
      <c r="S41" s="442"/>
      <c r="T41" s="442"/>
      <c r="U41" s="442"/>
      <c r="V41" s="132">
        <f t="shared" si="21"/>
        <v>0</v>
      </c>
      <c r="W41" s="133">
        <f t="shared" si="22"/>
        <v>0</v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437" t="s">
        <v>208</v>
      </c>
      <c r="C42" s="126" t="s">
        <v>199</v>
      </c>
      <c r="D42" s="108">
        <v>5.08</v>
      </c>
      <c r="E42" s="108"/>
      <c r="F42" s="127"/>
      <c r="G42" s="128"/>
      <c r="H42" s="438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446"/>
      <c r="P42" s="446"/>
      <c r="Q42" s="446"/>
      <c r="R42" s="446"/>
      <c r="S42" s="446"/>
      <c r="T42" s="446"/>
      <c r="U42" s="446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437" t="s">
        <v>208</v>
      </c>
      <c r="C43" s="126" t="s">
        <v>187</v>
      </c>
      <c r="D43" s="108">
        <v>5.08</v>
      </c>
      <c r="E43" s="108"/>
      <c r="F43" s="127"/>
      <c r="G43" s="128"/>
      <c r="H43" s="438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442"/>
      <c r="P43" s="442"/>
      <c r="Q43" s="442"/>
      <c r="R43" s="442"/>
      <c r="S43" s="442"/>
      <c r="T43" s="442"/>
      <c r="U43" s="442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437" t="s">
        <v>208</v>
      </c>
      <c r="C44" s="126" t="s">
        <v>207</v>
      </c>
      <c r="D44" s="108">
        <v>5.08</v>
      </c>
      <c r="E44" s="108"/>
      <c r="F44" s="127"/>
      <c r="G44" s="128"/>
      <c r="H44" s="438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446"/>
      <c r="P44" s="446"/>
      <c r="Q44" s="446"/>
      <c r="R44" s="446"/>
      <c r="S44" s="446"/>
      <c r="T44" s="446"/>
      <c r="U44" s="446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437" t="s">
        <v>209</v>
      </c>
      <c r="C45" s="126" t="s">
        <v>194</v>
      </c>
      <c r="D45" s="108">
        <v>5.03</v>
      </c>
      <c r="E45" s="108"/>
      <c r="F45" s="127"/>
      <c r="G45" s="128"/>
      <c r="H45" s="438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442"/>
      <c r="P45" s="442"/>
      <c r="Q45" s="442"/>
      <c r="R45" s="442"/>
      <c r="S45" s="442"/>
      <c r="T45" s="442"/>
      <c r="U45" s="442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437" t="s">
        <v>209</v>
      </c>
      <c r="C46" s="126" t="s">
        <v>179</v>
      </c>
      <c r="D46" s="108">
        <v>5.03</v>
      </c>
      <c r="E46" s="108"/>
      <c r="F46" s="127"/>
      <c r="G46" s="128"/>
      <c r="H46" s="438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442"/>
      <c r="P46" s="442"/>
      <c r="Q46" s="442"/>
      <c r="R46" s="442"/>
      <c r="S46" s="442"/>
      <c r="T46" s="442"/>
      <c r="U46" s="442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437" t="s">
        <v>209</v>
      </c>
      <c r="C47" s="126" t="s">
        <v>195</v>
      </c>
      <c r="D47" s="108">
        <v>5.03</v>
      </c>
      <c r="E47" s="108"/>
      <c r="F47" s="127"/>
      <c r="G47" s="128"/>
      <c r="H47" s="438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442"/>
      <c r="P47" s="442"/>
      <c r="Q47" s="442"/>
      <c r="R47" s="442"/>
      <c r="S47" s="442"/>
      <c r="T47" s="442"/>
      <c r="U47" s="442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437" t="s">
        <v>209</v>
      </c>
      <c r="C48" s="126" t="s">
        <v>204</v>
      </c>
      <c r="D48" s="108">
        <v>5.03</v>
      </c>
      <c r="E48" s="108"/>
      <c r="F48" s="127"/>
      <c r="G48" s="128"/>
      <c r="H48" s="438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442"/>
      <c r="P48" s="442"/>
      <c r="Q48" s="442"/>
      <c r="R48" s="442"/>
      <c r="S48" s="442"/>
      <c r="T48" s="442"/>
      <c r="U48" s="442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437" t="s">
        <v>382</v>
      </c>
      <c r="C49" s="187" t="s">
        <v>383</v>
      </c>
      <c r="D49" s="108">
        <v>5.03</v>
      </c>
      <c r="E49" s="108"/>
      <c r="F49" s="127"/>
      <c r="G49" s="128"/>
      <c r="H49" s="438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442"/>
      <c r="P49" s="442"/>
      <c r="Q49" s="442"/>
      <c r="R49" s="442"/>
      <c r="S49" s="442"/>
      <c r="T49" s="442"/>
      <c r="U49" s="442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437" t="s">
        <v>382</v>
      </c>
      <c r="C50" s="187" t="s">
        <v>384</v>
      </c>
      <c r="D50" s="108">
        <v>5.03</v>
      </c>
      <c r="E50" s="108"/>
      <c r="F50" s="127"/>
      <c r="G50" s="128"/>
      <c r="H50" s="438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442"/>
      <c r="P50" s="442"/>
      <c r="Q50" s="442"/>
      <c r="R50" s="442"/>
      <c r="S50" s="442"/>
      <c r="T50" s="442"/>
      <c r="U50" s="442"/>
      <c r="V50" s="132"/>
      <c r="W50" s="133"/>
      <c r="X50" s="132"/>
      <c r="Y50" s="132"/>
      <c r="Z50" s="132"/>
      <c r="AA50" s="132"/>
    </row>
    <row r="51" spans="1:27" ht="20.100000000000001" customHeight="1">
      <c r="A51" s="300">
        <v>30100021</v>
      </c>
      <c r="B51" s="437" t="s">
        <v>382</v>
      </c>
      <c r="C51" s="187" t="s">
        <v>389</v>
      </c>
      <c r="D51" s="108">
        <v>5.03</v>
      </c>
      <c r="E51" s="108"/>
      <c r="F51" s="127">
        <v>42739</v>
      </c>
      <c r="G51" s="128">
        <f>90*2+54+23+90*4</f>
        <v>617</v>
      </c>
      <c r="H51" s="438">
        <f t="shared" si="11"/>
        <v>3103.51</v>
      </c>
      <c r="I51" s="129">
        <v>11</v>
      </c>
      <c r="J51" s="130">
        <f t="array" ref="J51">IF(ISERROR(G51/I51),"",G51/I51)</f>
        <v>56.090909090909093</v>
      </c>
      <c r="K51" s="131">
        <f t="array" ref="K51">IF(ISERROR(G51/L51),"",G51/L51)</f>
        <v>11.425925925925926</v>
      </c>
      <c r="L51" s="129">
        <v>54</v>
      </c>
      <c r="M51" s="109">
        <f t="shared" si="19"/>
        <v>-0.4259259259259256</v>
      </c>
      <c r="N51" s="130">
        <f t="shared" si="20"/>
        <v>0</v>
      </c>
      <c r="O51" s="442"/>
      <c r="P51" s="442"/>
      <c r="Q51" s="442"/>
      <c r="R51" s="442"/>
      <c r="S51" s="442"/>
      <c r="T51" s="442"/>
      <c r="U51" s="442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437" t="s">
        <v>382</v>
      </c>
      <c r="C52" s="187" t="s">
        <v>391</v>
      </c>
      <c r="D52" s="108">
        <v>5.03</v>
      </c>
      <c r="E52" s="108"/>
      <c r="F52" s="127"/>
      <c r="G52" s="128"/>
      <c r="H52" s="438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442"/>
      <c r="P52" s="442"/>
      <c r="Q52" s="442"/>
      <c r="R52" s="442"/>
      <c r="S52" s="442"/>
      <c r="T52" s="442"/>
      <c r="U52" s="442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437" t="s">
        <v>418</v>
      </c>
      <c r="C53" s="187" t="s">
        <v>364</v>
      </c>
      <c r="D53" s="108">
        <v>5.03</v>
      </c>
      <c r="E53" s="108"/>
      <c r="F53" s="127"/>
      <c r="G53" s="128"/>
      <c r="H53" s="438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442"/>
      <c r="P53" s="442"/>
      <c r="Q53" s="442"/>
      <c r="R53" s="442"/>
      <c r="S53" s="442"/>
      <c r="T53" s="442"/>
      <c r="U53" s="442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437" t="s">
        <v>418</v>
      </c>
      <c r="C54" s="187" t="s">
        <v>365</v>
      </c>
      <c r="D54" s="108">
        <v>5.03</v>
      </c>
      <c r="E54" s="108"/>
      <c r="F54" s="127"/>
      <c r="G54" s="128"/>
      <c r="H54" s="438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442"/>
      <c r="P54" s="442"/>
      <c r="Q54" s="442"/>
      <c r="R54" s="442"/>
      <c r="S54" s="442"/>
      <c r="T54" s="442"/>
      <c r="U54" s="442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437" t="s">
        <v>418</v>
      </c>
      <c r="C55" s="187" t="s">
        <v>366</v>
      </c>
      <c r="D55" s="108">
        <v>5.03</v>
      </c>
      <c r="E55" s="108"/>
      <c r="F55" s="127"/>
      <c r="G55" s="128"/>
      <c r="H55" s="438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442"/>
      <c r="P55" s="442"/>
      <c r="Q55" s="442"/>
      <c r="R55" s="442"/>
      <c r="S55" s="442"/>
      <c r="T55" s="442"/>
      <c r="U55" s="442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437" t="s">
        <v>418</v>
      </c>
      <c r="C56" s="187" t="s">
        <v>367</v>
      </c>
      <c r="D56" s="108">
        <v>5.03</v>
      </c>
      <c r="E56" s="108"/>
      <c r="F56" s="127"/>
      <c r="G56" s="128"/>
      <c r="H56" s="438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442"/>
      <c r="P56" s="442"/>
      <c r="Q56" s="442"/>
      <c r="R56" s="442"/>
      <c r="S56" s="442"/>
      <c r="T56" s="442"/>
      <c r="U56" s="442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38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446"/>
      <c r="P57" s="446"/>
      <c r="Q57" s="446"/>
      <c r="R57" s="446"/>
      <c r="S57" s="446"/>
      <c r="T57" s="446"/>
      <c r="U57" s="446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38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446"/>
      <c r="P58" s="446"/>
      <c r="Q58" s="446"/>
      <c r="R58" s="446"/>
      <c r="S58" s="446"/>
      <c r="T58" s="446"/>
      <c r="U58" s="446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438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446"/>
      <c r="P59" s="446"/>
      <c r="Q59" s="446"/>
      <c r="R59" s="446"/>
      <c r="S59" s="446"/>
      <c r="T59" s="446"/>
      <c r="U59" s="446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38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446"/>
      <c r="P60" s="446"/>
      <c r="Q60" s="446"/>
      <c r="R60" s="446"/>
      <c r="S60" s="446"/>
      <c r="T60" s="446"/>
      <c r="U60" s="446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38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446"/>
      <c r="P61" s="446"/>
      <c r="Q61" s="446"/>
      <c r="R61" s="446"/>
      <c r="S61" s="446"/>
      <c r="T61" s="446"/>
      <c r="U61" s="446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38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446"/>
      <c r="P62" s="446"/>
      <c r="Q62" s="446"/>
      <c r="R62" s="446"/>
      <c r="S62" s="446"/>
      <c r="T62" s="446"/>
      <c r="U62" s="446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38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446"/>
      <c r="P63" s="446"/>
      <c r="Q63" s="446"/>
      <c r="R63" s="446"/>
      <c r="S63" s="446"/>
      <c r="T63" s="446"/>
      <c r="U63" s="446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38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446"/>
      <c r="P64" s="446"/>
      <c r="Q64" s="446"/>
      <c r="R64" s="446"/>
      <c r="S64" s="446"/>
      <c r="T64" s="446"/>
      <c r="U64" s="446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38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446"/>
      <c r="P65" s="446"/>
      <c r="Q65" s="446"/>
      <c r="R65" s="446"/>
      <c r="S65" s="446"/>
      <c r="T65" s="446"/>
      <c r="U65" s="446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38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446"/>
      <c r="P66" s="446"/>
      <c r="Q66" s="446"/>
      <c r="R66" s="446"/>
      <c r="S66" s="446"/>
      <c r="T66" s="446"/>
      <c r="U66" s="446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438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46"/>
      <c r="P67" s="446"/>
      <c r="Q67" s="446"/>
      <c r="R67" s="446"/>
      <c r="S67" s="446"/>
      <c r="T67" s="446"/>
      <c r="U67" s="446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38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46"/>
      <c r="P68" s="446"/>
      <c r="Q68" s="446"/>
      <c r="R68" s="446"/>
      <c r="S68" s="446"/>
      <c r="T68" s="446"/>
      <c r="U68" s="446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438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446"/>
      <c r="P69" s="446"/>
      <c r="Q69" s="446"/>
      <c r="R69" s="446"/>
      <c r="S69" s="446"/>
      <c r="T69" s="446"/>
      <c r="U69" s="446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438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446"/>
      <c r="P70" s="446"/>
      <c r="Q70" s="446"/>
      <c r="R70" s="446"/>
      <c r="S70" s="446"/>
      <c r="T70" s="446"/>
      <c r="U70" s="446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38">
        <f t="shared" si="11"/>
        <v>0</v>
      </c>
      <c r="I71" s="129"/>
      <c r="J71" s="130"/>
      <c r="K71" s="131"/>
      <c r="L71" s="129"/>
      <c r="M71" s="109"/>
      <c r="N71" s="130"/>
      <c r="O71" s="446"/>
      <c r="P71" s="446"/>
      <c r="Q71" s="446"/>
      <c r="R71" s="446"/>
      <c r="S71" s="446"/>
      <c r="T71" s="446"/>
      <c r="U71" s="446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38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446"/>
      <c r="P72" s="446"/>
      <c r="Q72" s="446"/>
      <c r="R72" s="446"/>
      <c r="S72" s="446"/>
      <c r="T72" s="446"/>
      <c r="U72" s="446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38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446"/>
      <c r="P73" s="446"/>
      <c r="Q73" s="446"/>
      <c r="R73" s="446"/>
      <c r="S73" s="446"/>
      <c r="T73" s="446"/>
      <c r="U73" s="446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38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446"/>
      <c r="P74" s="446"/>
      <c r="Q74" s="446"/>
      <c r="R74" s="446"/>
      <c r="S74" s="446"/>
      <c r="T74" s="446"/>
      <c r="U74" s="446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38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446"/>
      <c r="P75" s="446"/>
      <c r="Q75" s="446"/>
      <c r="R75" s="446"/>
      <c r="S75" s="446"/>
      <c r="T75" s="446"/>
      <c r="U75" s="446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38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446"/>
      <c r="P76" s="446"/>
      <c r="Q76" s="446"/>
      <c r="R76" s="446"/>
      <c r="S76" s="446"/>
      <c r="T76" s="446"/>
      <c r="U76" s="446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38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446"/>
      <c r="P77" s="446"/>
      <c r="Q77" s="446"/>
      <c r="R77" s="446"/>
      <c r="S77" s="446"/>
      <c r="T77" s="446"/>
      <c r="U77" s="446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38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446"/>
      <c r="P78" s="446"/>
      <c r="Q78" s="446"/>
      <c r="R78" s="446"/>
      <c r="S78" s="446"/>
      <c r="T78" s="446"/>
      <c r="U78" s="446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38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446"/>
      <c r="P79" s="446"/>
      <c r="Q79" s="446"/>
      <c r="R79" s="446"/>
      <c r="S79" s="446"/>
      <c r="T79" s="446"/>
      <c r="U79" s="446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38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46"/>
      <c r="P80" s="446"/>
      <c r="Q80" s="446"/>
      <c r="R80" s="446"/>
      <c r="S80" s="446"/>
      <c r="T80" s="446"/>
      <c r="U80" s="446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38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46"/>
      <c r="P81" s="446"/>
      <c r="Q81" s="446"/>
      <c r="R81" s="446"/>
      <c r="S81" s="446"/>
      <c r="T81" s="446"/>
      <c r="U81" s="446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38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46"/>
      <c r="P82" s="446"/>
      <c r="Q82" s="446"/>
      <c r="R82" s="446"/>
      <c r="S82" s="446"/>
      <c r="T82" s="446"/>
      <c r="U82" s="446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38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46"/>
      <c r="P83" s="446"/>
      <c r="Q83" s="446"/>
      <c r="R83" s="446"/>
      <c r="S83" s="446"/>
      <c r="T83" s="446"/>
      <c r="U83" s="446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38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46"/>
      <c r="P84" s="446"/>
      <c r="Q84" s="446"/>
      <c r="R84" s="446"/>
      <c r="S84" s="446"/>
      <c r="T84" s="446"/>
      <c r="U84" s="446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38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46"/>
      <c r="P85" s="446"/>
      <c r="Q85" s="446"/>
      <c r="R85" s="446"/>
      <c r="S85" s="446"/>
      <c r="T85" s="446"/>
      <c r="U85" s="446"/>
      <c r="V85" s="132"/>
      <c r="W85" s="133"/>
      <c r="X85" s="132"/>
      <c r="Y85" s="132"/>
      <c r="Z85" s="132"/>
      <c r="AA85" s="132"/>
    </row>
    <row r="86" spans="1:27" ht="20.100000000000001" customHeight="1">
      <c r="A86" s="589" t="s">
        <v>216</v>
      </c>
      <c r="B86" s="589"/>
      <c r="C86" s="447" t="s">
        <v>202</v>
      </c>
      <c r="D86" s="143"/>
      <c r="E86" s="143"/>
      <c r="F86" s="144"/>
      <c r="G86" s="145">
        <f>SUM(G29:G85)</f>
        <v>2770</v>
      </c>
      <c r="H86" s="146">
        <f>SUM(H29:H85)</f>
        <v>13970.550000000001</v>
      </c>
      <c r="I86" s="146">
        <f>SUM(I29:I85)</f>
        <v>57</v>
      </c>
      <c r="J86" s="130">
        <f t="array" ref="J86">IF(ISERROR(G86/I86),"",G86/I86)</f>
        <v>48.596491228070178</v>
      </c>
      <c r="K86" s="146">
        <f>SUM(K29:K85)</f>
        <v>74.092592592592595</v>
      </c>
      <c r="L86" s="147"/>
      <c r="M86" s="150">
        <f t="shared" ref="M86:V86" si="34">SUM(M29:M85)</f>
        <v>-17.092592592592588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437" t="s">
        <v>217</v>
      </c>
      <c r="C87" s="126" t="s">
        <v>179</v>
      </c>
      <c r="D87" s="108">
        <v>5.03</v>
      </c>
      <c r="E87" s="108"/>
      <c r="F87" s="127"/>
      <c r="G87" s="128"/>
      <c r="H87" s="438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6" si="37">IF(ISERROR(I87-K87),"",I87-K87)</f>
        <v>0</v>
      </c>
      <c r="N87" s="130">
        <f t="shared" ref="N87:N93" si="38">SUM(O87:U87)</f>
        <v>0</v>
      </c>
      <c r="O87" s="446"/>
      <c r="P87" s="446"/>
      <c r="Q87" s="446"/>
      <c r="R87" s="446"/>
      <c r="S87" s="446"/>
      <c r="T87" s="446"/>
      <c r="U87" s="446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437" t="s">
        <v>217</v>
      </c>
      <c r="C88" s="126" t="s">
        <v>186</v>
      </c>
      <c r="D88" s="108">
        <v>5.03</v>
      </c>
      <c r="E88" s="108"/>
      <c r="F88" s="127"/>
      <c r="G88" s="128"/>
      <c r="H88" s="438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446"/>
      <c r="P88" s="446"/>
      <c r="Q88" s="446"/>
      <c r="R88" s="446"/>
      <c r="S88" s="446"/>
      <c r="T88" s="446"/>
      <c r="U88" s="446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437" t="s">
        <v>217</v>
      </c>
      <c r="C89" s="126" t="s">
        <v>204</v>
      </c>
      <c r="D89" s="108">
        <v>5.03</v>
      </c>
      <c r="E89" s="108"/>
      <c r="F89" s="127"/>
      <c r="G89" s="128"/>
      <c r="H89" s="438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446"/>
      <c r="P89" s="446"/>
      <c r="Q89" s="446"/>
      <c r="R89" s="446"/>
      <c r="S89" s="446"/>
      <c r="T89" s="446"/>
      <c r="U89" s="446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38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446"/>
      <c r="P90" s="446"/>
      <c r="Q90" s="446"/>
      <c r="R90" s="446"/>
      <c r="S90" s="446"/>
      <c r="T90" s="446"/>
      <c r="U90" s="446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438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446"/>
      <c r="P91" s="446"/>
      <c r="Q91" s="446"/>
      <c r="R91" s="446"/>
      <c r="S91" s="446"/>
      <c r="T91" s="446"/>
      <c r="U91" s="446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438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446"/>
      <c r="P92" s="446"/>
      <c r="Q92" s="446"/>
      <c r="R92" s="446"/>
      <c r="S92" s="446"/>
      <c r="T92" s="446"/>
      <c r="U92" s="446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438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446"/>
      <c r="P93" s="446"/>
      <c r="Q93" s="446"/>
      <c r="R93" s="446"/>
      <c r="S93" s="446"/>
      <c r="T93" s="446"/>
      <c r="U93" s="446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438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446"/>
      <c r="P94" s="446"/>
      <c r="Q94" s="446"/>
      <c r="R94" s="446"/>
      <c r="S94" s="446"/>
      <c r="T94" s="446"/>
      <c r="U94" s="446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38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446"/>
      <c r="P95" s="446"/>
      <c r="Q95" s="446"/>
      <c r="R95" s="446"/>
      <c r="S95" s="446"/>
      <c r="T95" s="446"/>
      <c r="U95" s="446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38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446"/>
      <c r="P96" s="446"/>
      <c r="Q96" s="446"/>
      <c r="R96" s="446"/>
      <c r="S96" s="446"/>
      <c r="T96" s="446"/>
      <c r="U96" s="446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38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446"/>
      <c r="P97" s="446"/>
      <c r="Q97" s="446"/>
      <c r="R97" s="446"/>
      <c r="S97" s="446"/>
      <c r="T97" s="446"/>
      <c r="U97" s="446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38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446"/>
      <c r="P98" s="446"/>
      <c r="Q98" s="446"/>
      <c r="R98" s="446"/>
      <c r="S98" s="446"/>
      <c r="T98" s="446"/>
      <c r="U98" s="446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438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446"/>
      <c r="P99" s="446"/>
      <c r="Q99" s="446"/>
      <c r="R99" s="446"/>
      <c r="S99" s="446"/>
      <c r="T99" s="446"/>
      <c r="U99" s="446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38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446"/>
      <c r="P100" s="446"/>
      <c r="Q100" s="446"/>
      <c r="R100" s="446"/>
      <c r="S100" s="446"/>
      <c r="T100" s="446"/>
      <c r="U100" s="446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38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446"/>
      <c r="P101" s="446"/>
      <c r="Q101" s="446"/>
      <c r="R101" s="446"/>
      <c r="S101" s="446"/>
      <c r="T101" s="446"/>
      <c r="U101" s="446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38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446"/>
      <c r="P102" s="446"/>
      <c r="Q102" s="446"/>
      <c r="R102" s="446"/>
      <c r="S102" s="446"/>
      <c r="T102" s="446"/>
      <c r="U102" s="446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437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38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446"/>
      <c r="P103" s="446"/>
      <c r="Q103" s="446"/>
      <c r="R103" s="446"/>
      <c r="S103" s="446"/>
      <c r="T103" s="446"/>
      <c r="U103" s="446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437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38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446"/>
      <c r="P104" s="446"/>
      <c r="Q104" s="446"/>
      <c r="R104" s="446"/>
      <c r="S104" s="446"/>
      <c r="T104" s="446"/>
      <c r="U104" s="446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437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38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446"/>
      <c r="P105" s="446"/>
      <c r="Q105" s="446"/>
      <c r="R105" s="446"/>
      <c r="S105" s="446"/>
      <c r="T105" s="446"/>
      <c r="U105" s="446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437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38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446"/>
      <c r="P106" s="446"/>
      <c r="Q106" s="446"/>
      <c r="R106" s="446"/>
      <c r="S106" s="446"/>
      <c r="T106" s="446"/>
      <c r="U106" s="446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437" t="s">
        <v>393</v>
      </c>
      <c r="C107" s="187" t="s">
        <v>395</v>
      </c>
      <c r="D107" s="108">
        <v>5</v>
      </c>
      <c r="E107" s="108"/>
      <c r="F107" s="127"/>
      <c r="G107" s="128"/>
      <c r="H107" s="438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446"/>
      <c r="P107" s="446"/>
      <c r="Q107" s="446"/>
      <c r="R107" s="446"/>
      <c r="S107" s="446"/>
      <c r="T107" s="446"/>
      <c r="U107" s="446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437" t="s">
        <v>393</v>
      </c>
      <c r="C108" s="187" t="s">
        <v>402</v>
      </c>
      <c r="D108" s="108">
        <v>5</v>
      </c>
      <c r="E108" s="108"/>
      <c r="F108" s="127"/>
      <c r="G108" s="128"/>
      <c r="H108" s="438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446"/>
      <c r="P108" s="446"/>
      <c r="Q108" s="446"/>
      <c r="R108" s="446"/>
      <c r="S108" s="446"/>
      <c r="T108" s="446"/>
      <c r="U108" s="446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437" t="s">
        <v>404</v>
      </c>
      <c r="C109" s="187" t="s">
        <v>405</v>
      </c>
      <c r="D109" s="108">
        <v>5</v>
      </c>
      <c r="E109" s="108"/>
      <c r="F109" s="127"/>
      <c r="G109" s="128"/>
      <c r="H109" s="438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446"/>
      <c r="P109" s="446"/>
      <c r="Q109" s="446"/>
      <c r="R109" s="446"/>
      <c r="S109" s="446"/>
      <c r="T109" s="446"/>
      <c r="U109" s="446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437" t="s">
        <v>492</v>
      </c>
      <c r="C110" s="187" t="s">
        <v>372</v>
      </c>
      <c r="D110" s="108">
        <v>5</v>
      </c>
      <c r="E110" s="108"/>
      <c r="F110" s="127"/>
      <c r="G110" s="128"/>
      <c r="H110" s="438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446"/>
      <c r="P110" s="446"/>
      <c r="Q110" s="446"/>
      <c r="R110" s="446"/>
      <c r="S110" s="446"/>
      <c r="T110" s="446"/>
      <c r="U110" s="446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437" t="s">
        <v>343</v>
      </c>
      <c r="C111" s="126" t="s">
        <v>345</v>
      </c>
      <c r="D111" s="108">
        <v>5</v>
      </c>
      <c r="E111" s="108"/>
      <c r="F111" s="127"/>
      <c r="G111" s="128"/>
      <c r="H111" s="438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446"/>
      <c r="P111" s="446"/>
      <c r="Q111" s="446"/>
      <c r="R111" s="446"/>
      <c r="S111" s="446"/>
      <c r="T111" s="446"/>
      <c r="U111" s="446"/>
      <c r="V111" s="132"/>
      <c r="W111" s="133"/>
      <c r="X111" s="132"/>
      <c r="Y111" s="132"/>
      <c r="Z111" s="132"/>
      <c r="AA111" s="132"/>
    </row>
    <row r="112" spans="1:27" ht="20.100000000000001" customHeight="1">
      <c r="A112" s="299">
        <v>30600010</v>
      </c>
      <c r="B112" s="437" t="s">
        <v>343</v>
      </c>
      <c r="C112" s="126" t="s">
        <v>347</v>
      </c>
      <c r="D112" s="108">
        <v>5</v>
      </c>
      <c r="E112" s="108"/>
      <c r="F112" s="127">
        <v>42737</v>
      </c>
      <c r="G112" s="128">
        <v>64</v>
      </c>
      <c r="H112" s="438">
        <f t="shared" si="36"/>
        <v>320</v>
      </c>
      <c r="I112" s="129">
        <f>3.5*4+3.5*4+3.5*3</f>
        <v>38.5</v>
      </c>
      <c r="J112" s="130">
        <f t="array" ref="J112">IF(ISERROR(G112/I112),"",G112/I112)</f>
        <v>1.6623376623376624</v>
      </c>
      <c r="K112" s="131">
        <f t="array" ref="K112">IF(ISERROR(G112/L112),"",G112/L112)</f>
        <v>12.8</v>
      </c>
      <c r="L112" s="129">
        <v>5</v>
      </c>
      <c r="M112" s="109">
        <f t="shared" si="37"/>
        <v>25.7</v>
      </c>
      <c r="N112" s="130">
        <f t="shared" si="40"/>
        <v>0</v>
      </c>
      <c r="O112" s="446"/>
      <c r="P112" s="446"/>
      <c r="Q112" s="446"/>
      <c r="R112" s="446"/>
      <c r="S112" s="446"/>
      <c r="T112" s="446"/>
      <c r="U112" s="446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38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446"/>
      <c r="P113" s="446"/>
      <c r="Q113" s="446"/>
      <c r="R113" s="446"/>
      <c r="S113" s="446"/>
      <c r="T113" s="446"/>
      <c r="U113" s="446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38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446"/>
      <c r="P114" s="446"/>
      <c r="Q114" s="446"/>
      <c r="R114" s="446"/>
      <c r="S114" s="446"/>
      <c r="T114" s="446"/>
      <c r="U114" s="446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438">
        <f t="shared" si="36"/>
        <v>0</v>
      </c>
      <c r="I115" s="129"/>
      <c r="J115" s="130" t="str">
        <f t="array" ref="J115">IF(ISERROR(G115/I115),"",G115/I115)</f>
        <v/>
      </c>
      <c r="K115" s="131">
        <f t="array" ref="K115">IF(ISERROR(G115/L115),"",G115/L115)</f>
        <v>0</v>
      </c>
      <c r="L115" s="129">
        <v>24</v>
      </c>
      <c r="M115" s="109"/>
      <c r="N115" s="130"/>
      <c r="O115" s="446"/>
      <c r="P115" s="446"/>
      <c r="Q115" s="446"/>
      <c r="R115" s="446"/>
      <c r="S115" s="446"/>
      <c r="T115" s="446"/>
      <c r="U115" s="446"/>
      <c r="V115" s="132"/>
      <c r="W115" s="133"/>
      <c r="X115" s="132"/>
      <c r="Y115" s="132"/>
      <c r="Z115" s="132"/>
      <c r="AA115" s="132"/>
    </row>
    <row r="116" spans="1:27" ht="20.10000000000000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>
        <v>42740</v>
      </c>
      <c r="G116" s="128">
        <f>63+68+90*3</f>
        <v>401</v>
      </c>
      <c r="H116" s="438">
        <f t="shared" si="36"/>
        <v>2005</v>
      </c>
      <c r="I116" s="129">
        <f>6.5*4+6.5*4</f>
        <v>52</v>
      </c>
      <c r="J116" s="130">
        <f t="array" ref="J116">IF(ISERROR(G116/I116),"",G116/I116)</f>
        <v>7.7115384615384617</v>
      </c>
      <c r="K116" s="131">
        <f t="array" ref="K116">IF(ISERROR(G116/L116),"",G116/L116)</f>
        <v>16.708333333333332</v>
      </c>
      <c r="L116" s="129">
        <v>24</v>
      </c>
      <c r="M116" s="109">
        <f t="shared" si="37"/>
        <v>35.291666666666671</v>
      </c>
      <c r="N116" s="130"/>
      <c r="O116" s="446"/>
      <c r="P116" s="446"/>
      <c r="Q116" s="446"/>
      <c r="R116" s="446"/>
      <c r="S116" s="446"/>
      <c r="T116" s="446"/>
      <c r="U116" s="446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438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446"/>
      <c r="P117" s="446"/>
      <c r="Q117" s="446"/>
      <c r="R117" s="446"/>
      <c r="S117" s="446"/>
      <c r="T117" s="446"/>
      <c r="U117" s="446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438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446"/>
      <c r="P118" s="446"/>
      <c r="Q118" s="446"/>
      <c r="R118" s="446"/>
      <c r="S118" s="446"/>
      <c r="T118" s="446"/>
      <c r="U118" s="446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38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446"/>
      <c r="P119" s="446"/>
      <c r="Q119" s="446"/>
      <c r="R119" s="446"/>
      <c r="S119" s="446"/>
      <c r="T119" s="446"/>
      <c r="U119" s="446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438">
        <f t="shared" si="36"/>
        <v>0</v>
      </c>
      <c r="I120" s="129"/>
      <c r="J120" s="130" t="str">
        <f t="array" ref="J120">IF(ISERROR(G120/I120),"",G120/I120)</f>
        <v/>
      </c>
      <c r="K120" s="438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446"/>
      <c r="P120" s="446"/>
      <c r="Q120" s="446"/>
      <c r="R120" s="446"/>
      <c r="S120" s="446"/>
      <c r="T120" s="446"/>
      <c r="U120" s="446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578" t="s">
        <v>224</v>
      </c>
      <c r="B121" s="579"/>
      <c r="C121" s="447" t="s">
        <v>202</v>
      </c>
      <c r="D121" s="143"/>
      <c r="E121" s="143"/>
      <c r="F121" s="144"/>
      <c r="G121" s="145">
        <f>SUM(G87:G120)</f>
        <v>465</v>
      </c>
      <c r="H121" s="146">
        <f>SUM(H87:H120)</f>
        <v>2325</v>
      </c>
      <c r="I121" s="146">
        <f>SUM(I87:I120)</f>
        <v>90.5</v>
      </c>
      <c r="J121" s="130">
        <f t="array" ref="J121">IF(ISERROR(G121/I121),"",G121/I121)</f>
        <v>5.1381215469613259</v>
      </c>
      <c r="K121" s="146">
        <f>SUM(K87:K120)</f>
        <v>29.508333333333333</v>
      </c>
      <c r="L121" s="147"/>
      <c r="M121" s="150">
        <f t="shared" ref="M121:V121" si="50">SUM(M87:M120)</f>
        <v>60.991666666666674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38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446"/>
      <c r="P122" s="446"/>
      <c r="Q122" s="446"/>
      <c r="R122" s="446"/>
      <c r="S122" s="446"/>
      <c r="T122" s="446"/>
      <c r="U122" s="446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38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446"/>
      <c r="P123" s="446"/>
      <c r="Q123" s="446"/>
      <c r="R123" s="446"/>
      <c r="S123" s="446"/>
      <c r="T123" s="446"/>
      <c r="U123" s="446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438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446"/>
      <c r="P124" s="446"/>
      <c r="Q124" s="446"/>
      <c r="R124" s="446"/>
      <c r="S124" s="446"/>
      <c r="T124" s="446"/>
      <c r="U124" s="446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438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446"/>
      <c r="P125" s="446"/>
      <c r="Q125" s="446"/>
      <c r="R125" s="446"/>
      <c r="S125" s="446"/>
      <c r="T125" s="446"/>
      <c r="U125" s="446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443" t="s">
        <v>203</v>
      </c>
      <c r="D126" s="108">
        <v>5.03</v>
      </c>
      <c r="E126" s="108"/>
      <c r="F126" s="127"/>
      <c r="G126" s="128"/>
      <c r="H126" s="438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446"/>
      <c r="P126" s="446"/>
      <c r="Q126" s="446"/>
      <c r="R126" s="446"/>
      <c r="S126" s="446"/>
      <c r="T126" s="446"/>
      <c r="U126" s="446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38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446"/>
      <c r="P127" s="446"/>
      <c r="Q127" s="446"/>
      <c r="R127" s="446"/>
      <c r="S127" s="446"/>
      <c r="T127" s="446"/>
      <c r="U127" s="446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38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446"/>
      <c r="P128" s="446"/>
      <c r="Q128" s="446"/>
      <c r="R128" s="446"/>
      <c r="S128" s="446"/>
      <c r="T128" s="446"/>
      <c r="U128" s="446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443" t="s">
        <v>228</v>
      </c>
      <c r="D129" s="108">
        <v>5.03</v>
      </c>
      <c r="E129" s="108"/>
      <c r="F129" s="127"/>
      <c r="G129" s="128"/>
      <c r="H129" s="438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446"/>
      <c r="P129" s="446"/>
      <c r="Q129" s="446"/>
      <c r="R129" s="446"/>
      <c r="S129" s="446"/>
      <c r="T129" s="446"/>
      <c r="U129" s="446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443" t="s">
        <v>212</v>
      </c>
      <c r="D130" s="108">
        <v>5.03</v>
      </c>
      <c r="E130" s="108"/>
      <c r="F130" s="127"/>
      <c r="G130" s="128"/>
      <c r="H130" s="438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446"/>
      <c r="P130" s="446"/>
      <c r="Q130" s="446"/>
      <c r="R130" s="446"/>
      <c r="S130" s="446"/>
      <c r="T130" s="446"/>
      <c r="U130" s="446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443" t="s">
        <v>203</v>
      </c>
      <c r="D131" s="108">
        <v>5.03</v>
      </c>
      <c r="E131" s="108"/>
      <c r="F131" s="127"/>
      <c r="G131" s="128"/>
      <c r="H131" s="438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446"/>
      <c r="P131" s="446"/>
      <c r="Q131" s="446"/>
      <c r="R131" s="446"/>
      <c r="S131" s="446"/>
      <c r="T131" s="446"/>
      <c r="U131" s="446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443" t="s">
        <v>186</v>
      </c>
      <c r="D132" s="108">
        <v>5.03</v>
      </c>
      <c r="E132" s="108"/>
      <c r="F132" s="127"/>
      <c r="G132" s="128"/>
      <c r="H132" s="438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446"/>
      <c r="P132" s="446"/>
      <c r="Q132" s="446"/>
      <c r="R132" s="446"/>
      <c r="S132" s="446"/>
      <c r="T132" s="446"/>
      <c r="U132" s="446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443" t="s">
        <v>228</v>
      </c>
      <c r="D133" s="108">
        <v>5.03</v>
      </c>
      <c r="E133" s="108"/>
      <c r="F133" s="127"/>
      <c r="G133" s="128"/>
      <c r="H133" s="438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446"/>
      <c r="P133" s="446"/>
      <c r="Q133" s="446"/>
      <c r="R133" s="446"/>
      <c r="S133" s="446"/>
      <c r="T133" s="446"/>
      <c r="U133" s="446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443" t="s">
        <v>199</v>
      </c>
      <c r="D134" s="108">
        <v>5.03</v>
      </c>
      <c r="E134" s="108"/>
      <c r="F134" s="127"/>
      <c r="G134" s="128"/>
      <c r="H134" s="438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446"/>
      <c r="P134" s="446"/>
      <c r="Q134" s="446"/>
      <c r="R134" s="446"/>
      <c r="S134" s="446"/>
      <c r="T134" s="446"/>
      <c r="U134" s="446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38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446"/>
      <c r="P135" s="446"/>
      <c r="Q135" s="446"/>
      <c r="R135" s="446"/>
      <c r="S135" s="446"/>
      <c r="T135" s="446"/>
      <c r="U135" s="446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>
        <v>42740</v>
      </c>
      <c r="G136" s="128">
        <f>90*9+80</f>
        <v>890</v>
      </c>
      <c r="H136" s="438">
        <f t="shared" si="51"/>
        <v>4503.3999999999996</v>
      </c>
      <c r="I136" s="129">
        <f>11*3</f>
        <v>33</v>
      </c>
      <c r="J136" s="130">
        <f t="array" ref="J136">IF(ISERROR(G136/I136),"",G136/I136)</f>
        <v>26.969696969696969</v>
      </c>
      <c r="K136" s="131">
        <f t="array" ref="K136">IF(ISERROR(G136/L136),"",G136/L136)</f>
        <v>38.695652173913047</v>
      </c>
      <c r="L136" s="129">
        <v>23</v>
      </c>
      <c r="M136" s="109">
        <f t="shared" si="52"/>
        <v>-5.6956521739130466</v>
      </c>
      <c r="N136" s="130">
        <f t="shared" si="53"/>
        <v>0</v>
      </c>
      <c r="O136" s="446"/>
      <c r="P136" s="446"/>
      <c r="Q136" s="446"/>
      <c r="R136" s="446"/>
      <c r="S136" s="446"/>
      <c r="T136" s="446"/>
      <c r="U136" s="446"/>
      <c r="V136" s="132">
        <f t="shared" si="54"/>
        <v>0</v>
      </c>
      <c r="W136" s="133">
        <f t="shared" si="49"/>
        <v>0</v>
      </c>
      <c r="X136" s="132"/>
      <c r="Y136" s="132"/>
      <c r="Z136" s="132"/>
      <c r="AA136" s="132"/>
    </row>
    <row r="137" spans="1:27" ht="20.100000000000001" customHeight="1">
      <c r="A137" s="578" t="s">
        <v>231</v>
      </c>
      <c r="B137" s="579"/>
      <c r="C137" s="447" t="s">
        <v>202</v>
      </c>
      <c r="D137" s="143"/>
      <c r="E137" s="143"/>
      <c r="F137" s="144"/>
      <c r="G137" s="145">
        <f>SUM(G122:G136)</f>
        <v>890</v>
      </c>
      <c r="H137" s="146">
        <f>SUM(H122:H136)</f>
        <v>4503.3999999999996</v>
      </c>
      <c r="I137" s="146">
        <f>SUM(I122:I136)</f>
        <v>33</v>
      </c>
      <c r="J137" s="130">
        <f t="array" ref="J137">IF(ISERROR(G137/I137),"",G137/I137)</f>
        <v>26.969696969696969</v>
      </c>
      <c r="K137" s="146">
        <f>SUM(K122:K136)</f>
        <v>38.695652173913047</v>
      </c>
      <c r="L137" s="147"/>
      <c r="M137" s="150">
        <f>SUM(M122:M136)</f>
        <v>-5.6956521739130466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49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38">
        <f t="shared" ref="H138:H147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446"/>
      <c r="P138" s="446"/>
      <c r="Q138" s="446"/>
      <c r="R138" s="446"/>
      <c r="S138" s="446"/>
      <c r="T138" s="446"/>
      <c r="U138" s="446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38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446"/>
      <c r="P139" s="446"/>
      <c r="Q139" s="446"/>
      <c r="R139" s="446"/>
      <c r="S139" s="446"/>
      <c r="T139" s="446"/>
      <c r="U139" s="446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38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446"/>
      <c r="P140" s="446"/>
      <c r="Q140" s="446"/>
      <c r="R140" s="446"/>
      <c r="S140" s="446"/>
      <c r="T140" s="446"/>
      <c r="U140" s="446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438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446"/>
      <c r="P141" s="446"/>
      <c r="Q141" s="446"/>
      <c r="R141" s="446"/>
      <c r="S141" s="446"/>
      <c r="T141" s="446"/>
      <c r="U141" s="446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38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446"/>
      <c r="P142" s="446"/>
      <c r="Q142" s="446"/>
      <c r="R142" s="446"/>
      <c r="S142" s="446"/>
      <c r="T142" s="446"/>
      <c r="U142" s="446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438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446"/>
      <c r="P143" s="446"/>
      <c r="Q143" s="446"/>
      <c r="R143" s="446"/>
      <c r="S143" s="446"/>
      <c r="T143" s="446"/>
      <c r="U143" s="446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>
        <v>42737</v>
      </c>
      <c r="G144" s="128">
        <v>94</v>
      </c>
      <c r="H144" s="438">
        <f t="shared" si="55"/>
        <v>473.76</v>
      </c>
      <c r="I144" s="129">
        <f>2*4</f>
        <v>8</v>
      </c>
      <c r="J144" s="130">
        <f t="array" ref="J144">IF(ISERROR(G144/I144),"",G144/I144)</f>
        <v>11.75</v>
      </c>
      <c r="K144" s="131">
        <f t="array" ref="K144">IF(ISERROR(G144/L144),"",G144/L144)</f>
        <v>6.9629629629629628</v>
      </c>
      <c r="L144" s="129">
        <v>13.5</v>
      </c>
      <c r="M144" s="109">
        <f t="shared" ref="M144:M146" si="59">IF(ISERROR(I144-K144),"",I144-K144)</f>
        <v>1.0370370370370372</v>
      </c>
      <c r="N144" s="130"/>
      <c r="O144" s="446"/>
      <c r="P144" s="446"/>
      <c r="Q144" s="446"/>
      <c r="R144" s="446"/>
      <c r="S144" s="446"/>
      <c r="T144" s="446"/>
      <c r="U144" s="446"/>
      <c r="V144" s="132"/>
      <c r="W144" s="133"/>
      <c r="X144" s="132"/>
      <c r="Y144" s="132"/>
      <c r="Z144" s="132"/>
      <c r="AA144" s="132"/>
    </row>
    <row r="145" spans="1:27" ht="20.100000000000001" hidden="1" customHeight="1">
      <c r="A145" s="300">
        <v>30400021</v>
      </c>
      <c r="B145" s="134" t="s">
        <v>439</v>
      </c>
      <c r="C145" s="187" t="s">
        <v>53</v>
      </c>
      <c r="D145" s="108">
        <v>5.04</v>
      </c>
      <c r="E145" s="108"/>
      <c r="F145" s="127"/>
      <c r="G145" s="128"/>
      <c r="H145" s="438">
        <f t="shared" si="55"/>
        <v>0</v>
      </c>
      <c r="I145" s="129"/>
      <c r="J145" s="130" t="str">
        <f t="array" ref="J145">IF(ISERROR(G145/I145),"",G145/I145)</f>
        <v/>
      </c>
      <c r="K145" s="131">
        <f t="array" ref="K145">IF(ISERROR(G145/L145),"",G145/L145)</f>
        <v>0</v>
      </c>
      <c r="L145" s="129">
        <v>13.5</v>
      </c>
      <c r="M145" s="109">
        <f t="shared" si="59"/>
        <v>0</v>
      </c>
      <c r="N145" s="130"/>
      <c r="O145" s="446"/>
      <c r="P145" s="446"/>
      <c r="Q145" s="446"/>
      <c r="R145" s="446"/>
      <c r="S145" s="446"/>
      <c r="T145" s="446"/>
      <c r="U145" s="446"/>
      <c r="V145" s="132"/>
      <c r="W145" s="133"/>
      <c r="X145" s="132"/>
      <c r="Y145" s="132"/>
      <c r="Z145" s="132"/>
      <c r="AA145" s="132"/>
    </row>
    <row r="146" spans="1:27" ht="20.10000000000000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>
        <v>42737</v>
      </c>
      <c r="G146" s="128">
        <f>90+53+89+90*3</f>
        <v>502</v>
      </c>
      <c r="H146" s="438">
        <f t="shared" si="55"/>
        <v>2530.08</v>
      </c>
      <c r="I146" s="129">
        <f>9*4</f>
        <v>36</v>
      </c>
      <c r="J146" s="130">
        <f t="array" ref="J146">IF(ISERROR(G146/I146),"",G146/I146)</f>
        <v>13.944444444444445</v>
      </c>
      <c r="K146" s="131">
        <f t="array" ref="K146">IF(ISERROR(G146/L146),"",G146/L146)</f>
        <v>37.185185185185183</v>
      </c>
      <c r="L146" s="129">
        <v>13.5</v>
      </c>
      <c r="M146" s="109">
        <f t="shared" si="59"/>
        <v>-1.1851851851851833</v>
      </c>
      <c r="N146" s="130"/>
      <c r="O146" s="446"/>
      <c r="P146" s="446"/>
      <c r="Q146" s="446"/>
      <c r="R146" s="446"/>
      <c r="S146" s="446"/>
      <c r="T146" s="446"/>
      <c r="U146" s="446"/>
      <c r="V146" s="132"/>
      <c r="W146" s="133"/>
      <c r="X146" s="132"/>
      <c r="Y146" s="132"/>
      <c r="Z146" s="132"/>
      <c r="AA146" s="132"/>
    </row>
    <row r="147" spans="1:27" ht="20.100000000000001" hidden="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28"/>
      <c r="H147" s="438">
        <f t="shared" si="55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ref="M147" si="60">IF(ISERROR(I147-K147),"",I147-K147)</f>
        <v>0</v>
      </c>
      <c r="N147" s="130">
        <f t="shared" ref="N147" si="61">SUM(O147:U147)</f>
        <v>0</v>
      </c>
      <c r="O147" s="446"/>
      <c r="P147" s="446"/>
      <c r="Q147" s="446"/>
      <c r="R147" s="446"/>
      <c r="S147" s="446"/>
      <c r="T147" s="446"/>
      <c r="U147" s="446"/>
      <c r="V147" s="132">
        <f t="shared" ref="V147" si="62">SUM(X147:AA147)</f>
        <v>0</v>
      </c>
      <c r="W147" s="133" t="str">
        <f t="shared" ref="W147:W152" si="63">IF(ISERROR(V147/G147),"",V147/G147)</f>
        <v/>
      </c>
      <c r="X147" s="132"/>
      <c r="Y147" s="132"/>
      <c r="Z147" s="132"/>
      <c r="AA147" s="132"/>
    </row>
    <row r="148" spans="1:27" ht="20.100000000000001" customHeight="1">
      <c r="A148" s="578" t="s">
        <v>234</v>
      </c>
      <c r="B148" s="579"/>
      <c r="C148" s="447" t="s">
        <v>202</v>
      </c>
      <c r="D148" s="143"/>
      <c r="E148" s="143"/>
      <c r="F148" s="144"/>
      <c r="G148" s="145">
        <f>SUM(G138:G147)</f>
        <v>596</v>
      </c>
      <c r="H148" s="146">
        <f>SUM(H138:H147)</f>
        <v>3003.84</v>
      </c>
      <c r="I148" s="146">
        <f>SUM(I138:I147)</f>
        <v>44</v>
      </c>
      <c r="J148" s="130">
        <f t="array" ref="J148">IF(ISERROR(G148/I148),"",G148/I148)</f>
        <v>13.545454545454545</v>
      </c>
      <c r="K148" s="146">
        <f>SUM(K138:K147)</f>
        <v>44.148148148148145</v>
      </c>
      <c r="L148" s="147"/>
      <c r="M148" s="150">
        <f>SUM(M138:M147)</f>
        <v>-0.14814814814814614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>
        <f t="shared" si="63"/>
        <v>0</v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hidden="1" customHeight="1">
      <c r="A149" s="299">
        <v>30700013</v>
      </c>
      <c r="B149" s="298" t="s">
        <v>103</v>
      </c>
      <c r="C149" s="444"/>
      <c r="D149" s="108">
        <v>3.65</v>
      </c>
      <c r="E149" s="108"/>
      <c r="F149" s="153"/>
      <c r="G149" s="128"/>
      <c r="H149" s="438">
        <f t="shared" ref="H149:H162" si="64">D149*G149</f>
        <v>0</v>
      </c>
      <c r="I149" s="129"/>
      <c r="J149" s="130" t="str">
        <f t="array" ref="J149">IF(ISERROR(G149/I149),"",G149/I149)</f>
        <v/>
      </c>
      <c r="K149" s="438">
        <f t="array" ref="K149">IF(ISERROR(G149/L149),"",G149/L149)</f>
        <v>0</v>
      </c>
      <c r="L149" s="129">
        <v>5</v>
      </c>
      <c r="M149" s="109">
        <f t="shared" ref="M149:M152" si="65">IF(ISERROR(I149-K149),"",I149-K149)</f>
        <v>0</v>
      </c>
      <c r="N149" s="130">
        <f t="shared" ref="N149:N152" si="66">SUM(O149:U149)</f>
        <v>0</v>
      </c>
      <c r="O149" s="446"/>
      <c r="P149" s="446"/>
      <c r="Q149" s="446"/>
      <c r="R149" s="446"/>
      <c r="S149" s="446"/>
      <c r="T149" s="446"/>
      <c r="U149" s="446"/>
      <c r="V149" s="132">
        <f t="shared" ref="V149:V152" si="67">SUM(X149:AA149)</f>
        <v>0</v>
      </c>
      <c r="W149" s="133" t="str">
        <f t="shared" si="63"/>
        <v/>
      </c>
      <c r="X149" s="132"/>
      <c r="Y149" s="132"/>
      <c r="Z149" s="132"/>
      <c r="AA149" s="132"/>
    </row>
    <row r="150" spans="1:27" ht="20.100000000000001" customHeight="1">
      <c r="A150" s="299">
        <v>30700014</v>
      </c>
      <c r="B150" s="141" t="s">
        <v>236</v>
      </c>
      <c r="C150" s="444"/>
      <c r="D150" s="108">
        <v>6.58</v>
      </c>
      <c r="E150" s="108"/>
      <c r="F150" s="127">
        <v>42738</v>
      </c>
      <c r="G150" s="128">
        <f>36+36</f>
        <v>72</v>
      </c>
      <c r="H150" s="438">
        <f t="shared" si="64"/>
        <v>473.76</v>
      </c>
      <c r="I150" s="129">
        <f>1*3</f>
        <v>3</v>
      </c>
      <c r="J150" s="130">
        <f t="array" ref="J150">IF(ISERROR(G150/I150),"",G150/I150)</f>
        <v>24</v>
      </c>
      <c r="K150" s="131">
        <f t="array" ref="K150">IF(ISERROR(G150/L150),"",G150/L150)</f>
        <v>14.4</v>
      </c>
      <c r="L150" s="129">
        <v>5</v>
      </c>
      <c r="M150" s="109">
        <f t="shared" si="65"/>
        <v>-11.4</v>
      </c>
      <c r="N150" s="130">
        <f t="shared" si="66"/>
        <v>0</v>
      </c>
      <c r="O150" s="446"/>
      <c r="P150" s="446"/>
      <c r="Q150" s="446"/>
      <c r="R150" s="446"/>
      <c r="S150" s="446"/>
      <c r="T150" s="446"/>
      <c r="U150" s="446"/>
      <c r="V150" s="132">
        <f t="shared" si="67"/>
        <v>0</v>
      </c>
      <c r="W150" s="133">
        <f t="shared" si="63"/>
        <v>0</v>
      </c>
      <c r="X150" s="132"/>
      <c r="Y150" s="132"/>
      <c r="Z150" s="132"/>
      <c r="AA150" s="132"/>
    </row>
    <row r="151" spans="1:27" ht="20.100000000000001" customHeight="1">
      <c r="A151" s="299">
        <v>30700016</v>
      </c>
      <c r="B151" s="141" t="s">
        <v>237</v>
      </c>
      <c r="C151" s="444"/>
      <c r="D151" s="108">
        <v>7.8</v>
      </c>
      <c r="E151" s="108"/>
      <c r="F151" s="127">
        <v>42737</v>
      </c>
      <c r="G151" s="128">
        <f>22+32</f>
        <v>54</v>
      </c>
      <c r="H151" s="438">
        <f t="shared" si="64"/>
        <v>421.2</v>
      </c>
      <c r="I151" s="129">
        <v>3</v>
      </c>
      <c r="J151" s="130">
        <f t="array" ref="J151">IF(ISERROR(G151/I151),"",G151/I151)</f>
        <v>18</v>
      </c>
      <c r="K151" s="131">
        <f t="array" ref="K151">IF(ISERROR(G151/L151),"",G151/L151)</f>
        <v>11.739130434782609</v>
      </c>
      <c r="L151" s="129">
        <v>4.5999999999999996</v>
      </c>
      <c r="M151" s="109">
        <f t="shared" si="65"/>
        <v>-8.7391304347826093</v>
      </c>
      <c r="N151" s="130">
        <f t="shared" si="66"/>
        <v>0</v>
      </c>
      <c r="O151" s="446"/>
      <c r="P151" s="446"/>
      <c r="Q151" s="446"/>
      <c r="R151" s="446"/>
      <c r="S151" s="446"/>
      <c r="T151" s="446"/>
      <c r="U151" s="446"/>
      <c r="V151" s="132">
        <f t="shared" si="67"/>
        <v>0</v>
      </c>
      <c r="W151" s="133">
        <f t="shared" si="63"/>
        <v>0</v>
      </c>
      <c r="X151" s="132"/>
      <c r="Y151" s="132"/>
      <c r="Z151" s="132"/>
      <c r="AA151" s="132"/>
    </row>
    <row r="152" spans="1:27" ht="20.100000000000001" hidden="1" customHeight="1">
      <c r="A152" s="299">
        <v>30700017</v>
      </c>
      <c r="B152" s="141" t="s">
        <v>238</v>
      </c>
      <c r="C152" s="444"/>
      <c r="D152" s="108">
        <v>4.4000000000000004</v>
      </c>
      <c r="E152" s="108"/>
      <c r="F152" s="127"/>
      <c r="G152" s="128"/>
      <c r="H152" s="438">
        <f t="shared" si="64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5.8</v>
      </c>
      <c r="M152" s="109">
        <f t="shared" si="65"/>
        <v>0</v>
      </c>
      <c r="N152" s="130">
        <f t="shared" si="66"/>
        <v>0</v>
      </c>
      <c r="O152" s="446"/>
      <c r="P152" s="446"/>
      <c r="Q152" s="446"/>
      <c r="R152" s="446"/>
      <c r="S152" s="446"/>
      <c r="T152" s="446"/>
      <c r="U152" s="446"/>
      <c r="V152" s="132">
        <f t="shared" si="67"/>
        <v>0</v>
      </c>
      <c r="W152" s="133" t="str">
        <f t="shared" si="63"/>
        <v/>
      </c>
      <c r="X152" s="132"/>
      <c r="Y152" s="132"/>
      <c r="Z152" s="132"/>
      <c r="AA152" s="132"/>
    </row>
    <row r="153" spans="1:27" ht="20.100000000000001" hidden="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28"/>
      <c r="H153" s="438">
        <f t="shared" si="64"/>
        <v>0</v>
      </c>
      <c r="I153" s="129"/>
      <c r="J153" s="130"/>
      <c r="K153" s="131"/>
      <c r="L153" s="129">
        <v>6</v>
      </c>
      <c r="M153" s="109"/>
      <c r="N153" s="130"/>
      <c r="O153" s="446"/>
      <c r="P153" s="446"/>
      <c r="Q153" s="446"/>
      <c r="R153" s="446"/>
      <c r="S153" s="446"/>
      <c r="T153" s="446"/>
      <c r="U153" s="446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5"/>
      <c r="B154" s="444" t="s">
        <v>239</v>
      </c>
      <c r="C154" s="444" t="s">
        <v>179</v>
      </c>
      <c r="D154" s="108">
        <v>6.04</v>
      </c>
      <c r="E154" s="108"/>
      <c r="F154" s="127"/>
      <c r="G154" s="128"/>
      <c r="H154" s="438">
        <f t="shared" si="64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5" si="68">IF(ISERROR(I154-K154),"",I154-K154)</f>
        <v>0</v>
      </c>
      <c r="N154" s="130">
        <f t="shared" ref="N154:N155" si="69">SUM(O154:U154)</f>
        <v>0</v>
      </c>
      <c r="O154" s="446"/>
      <c r="P154" s="446"/>
      <c r="Q154" s="446"/>
      <c r="R154" s="446"/>
      <c r="S154" s="446"/>
      <c r="T154" s="446"/>
      <c r="U154" s="446"/>
      <c r="V154" s="132">
        <f t="shared" ref="V154:V155" si="70">SUM(X154:AA154)</f>
        <v>0</v>
      </c>
      <c r="W154" s="133" t="str">
        <f t="shared" ref="W154:W155" si="71">IF(ISERROR(V154/G154),"",V154/G154)</f>
        <v/>
      </c>
      <c r="X154" s="132"/>
      <c r="Y154" s="132"/>
      <c r="Z154" s="132"/>
      <c r="AA154" s="132"/>
    </row>
    <row r="155" spans="1:27" ht="20.100000000000001" hidden="1" customHeight="1">
      <c r="A155" s="305">
        <v>30700019</v>
      </c>
      <c r="B155" s="444" t="s">
        <v>239</v>
      </c>
      <c r="C155" s="444" t="s">
        <v>186</v>
      </c>
      <c r="D155" s="108">
        <v>6.04</v>
      </c>
      <c r="E155" s="108"/>
      <c r="F155" s="127"/>
      <c r="G155" s="128"/>
      <c r="H155" s="438">
        <f t="shared" si="64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8"/>
        <v>0</v>
      </c>
      <c r="N155" s="130">
        <f t="shared" si="69"/>
        <v>0</v>
      </c>
      <c r="O155" s="446"/>
      <c r="P155" s="446"/>
      <c r="Q155" s="446"/>
      <c r="R155" s="446"/>
      <c r="S155" s="446"/>
      <c r="T155" s="446"/>
      <c r="U155" s="446"/>
      <c r="V155" s="132">
        <f t="shared" si="70"/>
        <v>0</v>
      </c>
      <c r="W155" s="133" t="str">
        <f t="shared" si="71"/>
        <v/>
      </c>
      <c r="X155" s="132"/>
      <c r="Y155" s="132"/>
      <c r="Z155" s="132"/>
      <c r="AA155" s="132"/>
    </row>
    <row r="156" spans="1:27" ht="20.100000000000001" hidden="1" customHeight="1">
      <c r="A156" s="305">
        <v>30601015</v>
      </c>
      <c r="B156" s="444" t="s">
        <v>443</v>
      </c>
      <c r="C156" s="444" t="s">
        <v>179</v>
      </c>
      <c r="D156" s="108">
        <v>6</v>
      </c>
      <c r="E156" s="108"/>
      <c r="F156" s="127"/>
      <c r="G156" s="128"/>
      <c r="H156" s="438">
        <f t="shared" si="64"/>
        <v>0</v>
      </c>
      <c r="I156" s="129"/>
      <c r="J156" s="130"/>
      <c r="K156" s="131"/>
      <c r="L156" s="129"/>
      <c r="M156" s="109"/>
      <c r="N156" s="130"/>
      <c r="O156" s="446"/>
      <c r="P156" s="446"/>
      <c r="Q156" s="446"/>
      <c r="R156" s="446"/>
      <c r="S156" s="446"/>
      <c r="T156" s="446"/>
      <c r="U156" s="446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305">
        <v>30101016</v>
      </c>
      <c r="B157" s="444" t="s">
        <v>443</v>
      </c>
      <c r="C157" s="444" t="s">
        <v>60</v>
      </c>
      <c r="D157" s="108">
        <v>6</v>
      </c>
      <c r="E157" s="108"/>
      <c r="F157" s="127"/>
      <c r="G157" s="128"/>
      <c r="H157" s="438">
        <f t="shared" si="64"/>
        <v>0</v>
      </c>
      <c r="I157" s="129"/>
      <c r="J157" s="130"/>
      <c r="K157" s="131"/>
      <c r="L157" s="129">
        <v>6</v>
      </c>
      <c r="M157" s="109"/>
      <c r="N157" s="130"/>
      <c r="O157" s="446"/>
      <c r="P157" s="446"/>
      <c r="Q157" s="446"/>
      <c r="R157" s="446"/>
      <c r="S157" s="446"/>
      <c r="T157" s="446"/>
      <c r="U157" s="446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299">
        <v>30700018</v>
      </c>
      <c r="B158" s="437" t="s">
        <v>240</v>
      </c>
      <c r="C158" s="126"/>
      <c r="D158" s="108">
        <v>7.3</v>
      </c>
      <c r="E158" s="108"/>
      <c r="F158" s="127"/>
      <c r="G158" s="128"/>
      <c r="H158" s="438">
        <f t="shared" si="64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2">IF(ISERROR(I158-K158),"",I158-K158)</f>
        <v/>
      </c>
      <c r="N158" s="130">
        <f t="shared" ref="N158:N159" si="73">SUM(O158:U158)</f>
        <v>0</v>
      </c>
      <c r="O158" s="446"/>
      <c r="P158" s="446"/>
      <c r="Q158" s="446"/>
      <c r="R158" s="446"/>
      <c r="S158" s="446"/>
      <c r="T158" s="446"/>
      <c r="U158" s="446"/>
      <c r="V158" s="132">
        <f t="shared" ref="V158:V159" si="74">SUM(X158:AA158)</f>
        <v>0</v>
      </c>
      <c r="W158" s="133" t="str">
        <f t="shared" ref="W158:W159" si="75">IF(ISERROR(V158/G158),"",V158/G158)</f>
        <v/>
      </c>
      <c r="X158" s="132"/>
      <c r="Y158" s="132"/>
      <c r="Z158" s="132"/>
      <c r="AA158" s="132"/>
    </row>
    <row r="159" spans="1:27" ht="20.100000000000001" hidden="1" customHeight="1">
      <c r="A159" s="299">
        <v>30700010</v>
      </c>
      <c r="B159" s="437" t="s">
        <v>241</v>
      </c>
      <c r="C159" s="126"/>
      <c r="D159" s="108">
        <f>78*120/1000</f>
        <v>9.36</v>
      </c>
      <c r="E159" s="108"/>
      <c r="F159" s="127"/>
      <c r="G159" s="128"/>
      <c r="H159" s="438">
        <f t="shared" si="64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3"/>
        <v>0</v>
      </c>
      <c r="O159" s="446"/>
      <c r="P159" s="446"/>
      <c r="Q159" s="446"/>
      <c r="R159" s="446"/>
      <c r="S159" s="446"/>
      <c r="T159" s="446"/>
      <c r="U159" s="446"/>
      <c r="V159" s="132">
        <f t="shared" si="74"/>
        <v>0</v>
      </c>
      <c r="W159" s="133" t="str">
        <f t="shared" si="75"/>
        <v/>
      </c>
      <c r="X159" s="132"/>
      <c r="Y159" s="132"/>
      <c r="Z159" s="132"/>
      <c r="AA159" s="132"/>
    </row>
    <row r="160" spans="1:27" ht="20.100000000000001" hidden="1" customHeight="1">
      <c r="A160" s="299">
        <v>30700015</v>
      </c>
      <c r="B160" s="437" t="s">
        <v>242</v>
      </c>
      <c r="C160" s="126"/>
      <c r="D160" s="108">
        <v>4.5</v>
      </c>
      <c r="E160" s="108"/>
      <c r="F160" s="127"/>
      <c r="G160" s="128"/>
      <c r="H160" s="438">
        <f t="shared" si="64"/>
        <v>0</v>
      </c>
      <c r="I160" s="129"/>
      <c r="J160" s="130"/>
      <c r="K160" s="131"/>
      <c r="L160" s="129"/>
      <c r="M160" s="109"/>
      <c r="N160" s="130"/>
      <c r="O160" s="446"/>
      <c r="P160" s="446"/>
      <c r="Q160" s="446"/>
      <c r="R160" s="446"/>
      <c r="S160" s="446"/>
      <c r="T160" s="446"/>
      <c r="U160" s="446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299">
        <v>30700012</v>
      </c>
      <c r="B161" s="437" t="s">
        <v>243</v>
      </c>
      <c r="C161" s="126"/>
      <c r="D161" s="108">
        <v>4.5</v>
      </c>
      <c r="E161" s="108"/>
      <c r="F161" s="127"/>
      <c r="G161" s="128"/>
      <c r="H161" s="438">
        <f t="shared" si="64"/>
        <v>0</v>
      </c>
      <c r="I161" s="129"/>
      <c r="J161" s="130"/>
      <c r="K161" s="131"/>
      <c r="L161" s="129"/>
      <c r="M161" s="109"/>
      <c r="N161" s="130"/>
      <c r="O161" s="446"/>
      <c r="P161" s="446"/>
      <c r="Q161" s="446"/>
      <c r="R161" s="446"/>
      <c r="S161" s="446"/>
      <c r="T161" s="446"/>
      <c r="U161" s="446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306">
        <v>30101063</v>
      </c>
      <c r="B162" s="254" t="s">
        <v>436</v>
      </c>
      <c r="C162" s="126"/>
      <c r="D162" s="108">
        <v>5.03</v>
      </c>
      <c r="E162" s="108"/>
      <c r="F162" s="127"/>
      <c r="G162" s="128"/>
      <c r="H162" s="438">
        <f t="shared" si="64"/>
        <v>0</v>
      </c>
      <c r="I162" s="129"/>
      <c r="J162" s="130"/>
      <c r="K162" s="131"/>
      <c r="L162" s="129"/>
      <c r="M162" s="109"/>
      <c r="N162" s="130"/>
      <c r="O162" s="446"/>
      <c r="P162" s="446"/>
      <c r="Q162" s="446"/>
      <c r="R162" s="446"/>
      <c r="S162" s="446"/>
      <c r="T162" s="446"/>
      <c r="U162" s="446"/>
      <c r="V162" s="132"/>
      <c r="W162" s="133"/>
      <c r="X162" s="132"/>
      <c r="Y162" s="132"/>
      <c r="Z162" s="132"/>
      <c r="AA162" s="132"/>
    </row>
    <row r="163" spans="1:27" ht="20.100000000000001" customHeight="1">
      <c r="A163" s="578" t="s">
        <v>244</v>
      </c>
      <c r="B163" s="579"/>
      <c r="C163" s="447" t="s">
        <v>202</v>
      </c>
      <c r="D163" s="143"/>
      <c r="E163" s="143"/>
      <c r="F163" s="144"/>
      <c r="G163" s="145">
        <f>SUM(G149:G161)</f>
        <v>126</v>
      </c>
      <c r="H163" s="146">
        <f>SUM(H149:H159)</f>
        <v>894.96</v>
      </c>
      <c r="I163" s="146">
        <f>SUM(I149:I161)</f>
        <v>6</v>
      </c>
      <c r="J163" s="130">
        <f t="array" ref="J163">IF(ISERROR(G163/I163),"",G163/I163)</f>
        <v>21</v>
      </c>
      <c r="K163" s="146">
        <f>SUM(K149:K159)</f>
        <v>26.139130434782608</v>
      </c>
      <c r="L163" s="147"/>
      <c r="M163" s="150">
        <f t="shared" ref="M163:V163" si="76">SUM(M149:M159)</f>
        <v>-20.139130434782608</v>
      </c>
      <c r="N163" s="146">
        <f t="shared" si="76"/>
        <v>0</v>
      </c>
      <c r="O163" s="148">
        <f t="shared" si="76"/>
        <v>0</v>
      </c>
      <c r="P163" s="148">
        <f t="shared" si="76"/>
        <v>0</v>
      </c>
      <c r="Q163" s="148">
        <f t="shared" si="76"/>
        <v>0</v>
      </c>
      <c r="R163" s="148">
        <f t="shared" si="76"/>
        <v>0</v>
      </c>
      <c r="S163" s="148">
        <f t="shared" si="76"/>
        <v>0</v>
      </c>
      <c r="T163" s="148">
        <f t="shared" si="76"/>
        <v>0</v>
      </c>
      <c r="U163" s="148">
        <f t="shared" si="76"/>
        <v>0</v>
      </c>
      <c r="V163" s="149">
        <f t="shared" si="76"/>
        <v>0</v>
      </c>
      <c r="W163" s="133">
        <f>IF(ISERROR(V163/G163),"",V163/G163)</f>
        <v>0</v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580" t="s">
        <v>246</v>
      </c>
      <c r="B164" s="581"/>
      <c r="C164" s="581"/>
      <c r="D164" s="581"/>
      <c r="E164" s="581"/>
      <c r="F164" s="582"/>
      <c r="G164" s="154">
        <f>SUM(G28,G86,G121,G137,G148,G163)</f>
        <v>5975</v>
      </c>
      <c r="H164" s="154">
        <f>SUM(H28,H86,H121,H137,H148,H163)</f>
        <v>30379.84</v>
      </c>
      <c r="I164" s="154">
        <f>SUM(I28,I86,I121,I137,I148,I163)</f>
        <v>294.5</v>
      </c>
      <c r="J164" s="155">
        <f t="array" ref="J164">IF(ISERROR(G164/I164),"",G164/I164)</f>
        <v>20.288624787775891</v>
      </c>
      <c r="K164" s="154">
        <f>SUM(K28,K86,K121,K137,K148,K163)</f>
        <v>280.0507684474756</v>
      </c>
      <c r="L164" s="155">
        <f>IF(ISERROR(G164/K164),"",G164/K164)</f>
        <v>21.335417264247322</v>
      </c>
      <c r="M164" s="154">
        <f t="shared" ref="M164:AA164" si="77">SUM(M28,M86,M121,M137,M148,M163)</f>
        <v>14.449231552524402</v>
      </c>
      <c r="N164" s="154">
        <f t="shared" si="77"/>
        <v>0</v>
      </c>
      <c r="O164" s="154">
        <f t="shared" si="77"/>
        <v>0</v>
      </c>
      <c r="P164" s="154">
        <f t="shared" si="77"/>
        <v>0</v>
      </c>
      <c r="Q164" s="154">
        <f t="shared" si="77"/>
        <v>0</v>
      </c>
      <c r="R164" s="154">
        <f t="shared" si="77"/>
        <v>0</v>
      </c>
      <c r="S164" s="154">
        <f t="shared" si="77"/>
        <v>0</v>
      </c>
      <c r="T164" s="154">
        <f t="shared" si="77"/>
        <v>0</v>
      </c>
      <c r="U164" s="154">
        <f t="shared" si="77"/>
        <v>0</v>
      </c>
      <c r="V164" s="154">
        <f t="shared" si="77"/>
        <v>0</v>
      </c>
      <c r="W164" s="154">
        <f t="shared" si="77"/>
        <v>0</v>
      </c>
      <c r="X164" s="154">
        <f t="shared" si="77"/>
        <v>0</v>
      </c>
      <c r="Y164" s="154">
        <f t="shared" si="77"/>
        <v>0</v>
      </c>
      <c r="Z164" s="154">
        <f t="shared" si="77"/>
        <v>0</v>
      </c>
      <c r="AA164" s="154">
        <f t="shared" si="77"/>
        <v>0</v>
      </c>
    </row>
    <row r="165" spans="1:27" ht="20.100000000000001" customHeight="1">
      <c r="A165" s="583" t="s">
        <v>476</v>
      </c>
      <c r="B165" s="440" t="s">
        <v>247</v>
      </c>
      <c r="C165" s="586" t="s">
        <v>248</v>
      </c>
      <c r="D165" s="587"/>
      <c r="E165" s="588" t="s">
        <v>249</v>
      </c>
      <c r="F165" s="588"/>
      <c r="G165" s="591" t="s">
        <v>250</v>
      </c>
      <c r="H165" s="591"/>
      <c r="I165" s="588" t="s">
        <v>251</v>
      </c>
      <c r="J165" s="588"/>
      <c r="K165" s="588" t="s">
        <v>252</v>
      </c>
      <c r="L165" s="588"/>
      <c r="M165" s="588" t="s">
        <v>253</v>
      </c>
      <c r="N165" s="588"/>
      <c r="O165" s="588" t="s">
        <v>254</v>
      </c>
      <c r="P165" s="591" t="s">
        <v>255</v>
      </c>
      <c r="Q165" s="591"/>
      <c r="R165" s="591" t="s">
        <v>252</v>
      </c>
      <c r="S165" s="591"/>
      <c r="T165" s="591" t="s">
        <v>256</v>
      </c>
      <c r="U165" s="591"/>
      <c r="V165" s="591" t="s">
        <v>257</v>
      </c>
      <c r="W165" s="591"/>
      <c r="X165" s="591" t="s">
        <v>252</v>
      </c>
      <c r="Y165" s="591"/>
      <c r="Z165" s="591" t="s">
        <v>256</v>
      </c>
      <c r="AA165" s="591"/>
    </row>
    <row r="166" spans="1:27" ht="20.100000000000001" customHeight="1">
      <c r="A166" s="584"/>
      <c r="B166" s="440" t="s">
        <v>258</v>
      </c>
      <c r="C166" s="586">
        <v>1</v>
      </c>
      <c r="D166" s="587"/>
      <c r="E166" s="590">
        <f>C166*11</f>
        <v>11</v>
      </c>
      <c r="F166" s="590"/>
      <c r="G166" s="591">
        <v>1</v>
      </c>
      <c r="H166" s="591"/>
      <c r="I166" s="590">
        <f>G166*11</f>
        <v>11</v>
      </c>
      <c r="J166" s="590"/>
      <c r="K166" s="590">
        <f>E166-I166</f>
        <v>0</v>
      </c>
      <c r="L166" s="590"/>
      <c r="M166" s="592">
        <f>IF(ISERROR(K166/E166),"",K166/E166)</f>
        <v>0</v>
      </c>
      <c r="N166" s="592"/>
      <c r="O166" s="588"/>
      <c r="P166" s="591" t="s">
        <v>201</v>
      </c>
      <c r="Q166" s="591"/>
      <c r="R166" s="593">
        <f>SUM(O28:U28)</f>
        <v>0</v>
      </c>
      <c r="S166" s="593"/>
      <c r="T166" s="594" t="str">
        <f t="array" ref="T166">IF(ISERROR(R166/R173),"",R166/R173)</f>
        <v/>
      </c>
      <c r="U166" s="594"/>
      <c r="V166" s="591" t="s">
        <v>259</v>
      </c>
      <c r="W166" s="591"/>
      <c r="X166" s="595">
        <f>SUM(P27,P85,P120,P136,P147,P161)</f>
        <v>0</v>
      </c>
      <c r="Y166" s="595"/>
      <c r="Z166" s="594" t="str">
        <f t="array" ref="Z166">IF(ISERROR(X166/X173),"",X166/X173)</f>
        <v/>
      </c>
      <c r="AA166" s="594"/>
    </row>
    <row r="167" spans="1:27" ht="20.100000000000001" customHeight="1">
      <c r="A167" s="584"/>
      <c r="B167" s="440" t="s">
        <v>260</v>
      </c>
      <c r="C167" s="586">
        <v>1</v>
      </c>
      <c r="D167" s="587"/>
      <c r="E167" s="590">
        <f>C167*11</f>
        <v>11</v>
      </c>
      <c r="F167" s="590"/>
      <c r="G167" s="591">
        <v>1</v>
      </c>
      <c r="H167" s="591"/>
      <c r="I167" s="590">
        <f>G167*11</f>
        <v>11</v>
      </c>
      <c r="J167" s="590"/>
      <c r="K167" s="590">
        <f>E167-I167</f>
        <v>0</v>
      </c>
      <c r="L167" s="590"/>
      <c r="M167" s="592">
        <f>IF(ISERROR(K167/E167),"",K167/E167)</f>
        <v>0</v>
      </c>
      <c r="N167" s="592"/>
      <c r="O167" s="588"/>
      <c r="P167" s="591" t="s">
        <v>216</v>
      </c>
      <c r="Q167" s="591"/>
      <c r="R167" s="593">
        <f>SUM(O86:U86)</f>
        <v>0</v>
      </c>
      <c r="S167" s="593"/>
      <c r="T167" s="594" t="str">
        <f>IF(ISERROR(R167/R173),"",R167/R173)</f>
        <v/>
      </c>
      <c r="U167" s="594"/>
      <c r="V167" s="591" t="s">
        <v>261</v>
      </c>
      <c r="W167" s="591"/>
      <c r="X167" s="595">
        <f>SUM(P28,P86,P121,P137,P148,P163)</f>
        <v>0</v>
      </c>
      <c r="Y167" s="595"/>
      <c r="Z167" s="594" t="str">
        <f>IF(ISERROR(X167/X173),"",X167/X173)</f>
        <v/>
      </c>
      <c r="AA167" s="594"/>
    </row>
    <row r="168" spans="1:27" ht="20.100000000000001" customHeight="1">
      <c r="A168" s="584"/>
      <c r="B168" s="440" t="s">
        <v>262</v>
      </c>
      <c r="C168" s="586">
        <v>1</v>
      </c>
      <c r="D168" s="587"/>
      <c r="E168" s="590">
        <f>C168*8</f>
        <v>8</v>
      </c>
      <c r="F168" s="590"/>
      <c r="G168" s="591">
        <v>1</v>
      </c>
      <c r="H168" s="591"/>
      <c r="I168" s="590">
        <f>G168*8</f>
        <v>8</v>
      </c>
      <c r="J168" s="590"/>
      <c r="K168" s="590">
        <f>E168-I168</f>
        <v>0</v>
      </c>
      <c r="L168" s="590"/>
      <c r="M168" s="592">
        <f>IF(ISERROR(K168/E168),"",K168/E168)</f>
        <v>0</v>
      </c>
      <c r="N168" s="592"/>
      <c r="O168" s="588"/>
      <c r="P168" s="591" t="s">
        <v>224</v>
      </c>
      <c r="Q168" s="591"/>
      <c r="R168" s="593">
        <f>SUM(O121:U121)</f>
        <v>0</v>
      </c>
      <c r="S168" s="593"/>
      <c r="T168" s="594" t="str">
        <f>IF(ISERROR(R168/R173),"",R168/R173)</f>
        <v/>
      </c>
      <c r="U168" s="594"/>
      <c r="V168" s="591" t="s">
        <v>263</v>
      </c>
      <c r="W168" s="591"/>
      <c r="X168" s="595">
        <f>SUM(P29,P87,P122,P138,P149,P164)</f>
        <v>0</v>
      </c>
      <c r="Y168" s="595"/>
      <c r="Z168" s="594" t="str">
        <f>IF(ISERROR(X168/X173),"",X168/X173)</f>
        <v/>
      </c>
      <c r="AA168" s="594"/>
    </row>
    <row r="169" spans="1:27" ht="20.100000000000001" customHeight="1">
      <c r="A169" s="584"/>
      <c r="B169" s="440" t="s">
        <v>264</v>
      </c>
      <c r="C169" s="586">
        <v>1</v>
      </c>
      <c r="D169" s="587"/>
      <c r="E169" s="590">
        <f>C169*11</f>
        <v>11</v>
      </c>
      <c r="F169" s="590"/>
      <c r="G169" s="591">
        <v>1</v>
      </c>
      <c r="H169" s="591"/>
      <c r="I169" s="590">
        <f>G169*11</f>
        <v>11</v>
      </c>
      <c r="J169" s="590"/>
      <c r="K169" s="590">
        <f>E169-I169</f>
        <v>0</v>
      </c>
      <c r="L169" s="590"/>
      <c r="M169" s="592">
        <f>IF(ISERROR(K169/E169),"",K169/E169)</f>
        <v>0</v>
      </c>
      <c r="N169" s="592"/>
      <c r="O169" s="588"/>
      <c r="P169" s="591" t="s">
        <v>231</v>
      </c>
      <c r="Q169" s="591"/>
      <c r="R169" s="593">
        <f>SUM(O137:U137)</f>
        <v>0</v>
      </c>
      <c r="S169" s="593"/>
      <c r="T169" s="594" t="str">
        <f>IF(ISERROR(R169/R173),"",R169/R173)</f>
        <v/>
      </c>
      <c r="U169" s="594"/>
      <c r="V169" s="591" t="s">
        <v>265</v>
      </c>
      <c r="W169" s="591"/>
      <c r="X169" s="595">
        <f>SUM(P31,P88,P123,P139,P150,P165)</f>
        <v>0</v>
      </c>
      <c r="Y169" s="595"/>
      <c r="Z169" s="594" t="str">
        <f>IF(ISERROR(X169/X173),"",X169/X173)</f>
        <v/>
      </c>
      <c r="AA169" s="594"/>
    </row>
    <row r="170" spans="1:27" ht="20.100000000000001" customHeight="1">
      <c r="A170" s="585"/>
      <c r="B170" s="440" t="s">
        <v>266</v>
      </c>
      <c r="C170" s="596">
        <f>SUM(C166:D169)</f>
        <v>4</v>
      </c>
      <c r="D170" s="597"/>
      <c r="E170" s="590">
        <f>SUM(E166:F169)</f>
        <v>41</v>
      </c>
      <c r="F170" s="590"/>
      <c r="G170" s="591">
        <f>SUM(G166:H169)</f>
        <v>4</v>
      </c>
      <c r="H170" s="591"/>
      <c r="I170" s="590">
        <f>SUM(I166:J169)</f>
        <v>41</v>
      </c>
      <c r="J170" s="590"/>
      <c r="K170" s="590">
        <f>SUM(K166:L169)</f>
        <v>0</v>
      </c>
      <c r="L170" s="590"/>
      <c r="M170" s="592">
        <f>IF(ISERROR(K170/E170),"",K170/E170)</f>
        <v>0</v>
      </c>
      <c r="N170" s="592"/>
      <c r="O170" s="588"/>
      <c r="P170" s="591" t="s">
        <v>234</v>
      </c>
      <c r="Q170" s="591"/>
      <c r="R170" s="593">
        <f>SUM(O148:U148)</f>
        <v>0</v>
      </c>
      <c r="S170" s="593"/>
      <c r="T170" s="594" t="str">
        <f>IF(ISERROR(R170/R173),"",R170/R173)</f>
        <v/>
      </c>
      <c r="U170" s="594"/>
      <c r="V170" s="591" t="s">
        <v>267</v>
      </c>
      <c r="W170" s="591"/>
      <c r="X170" s="595">
        <f>SUM(P32,P89,P124,P140,P151,P166)</f>
        <v>0</v>
      </c>
      <c r="Y170" s="595"/>
      <c r="Z170" s="594" t="str">
        <f>IF(ISERROR(X170/X173),"",X170/X173)</f>
        <v/>
      </c>
      <c r="AA170" s="594"/>
    </row>
    <row r="171" spans="1:27" ht="20.100000000000001" customHeight="1">
      <c r="A171" s="307" t="s">
        <v>477</v>
      </c>
      <c r="B171" s="440">
        <f>G164</f>
        <v>5975</v>
      </c>
      <c r="C171" s="598" t="s">
        <v>269</v>
      </c>
      <c r="D171" s="599"/>
      <c r="E171" s="591">
        <f>H164</f>
        <v>30379.84</v>
      </c>
      <c r="F171" s="591"/>
      <c r="G171" s="591" t="s">
        <v>270</v>
      </c>
      <c r="H171" s="591"/>
      <c r="I171" s="600">
        <f>L164</f>
        <v>21.335417264247322</v>
      </c>
      <c r="J171" s="600"/>
      <c r="K171" s="588" t="s">
        <v>271</v>
      </c>
      <c r="L171" s="588"/>
      <c r="M171" s="600">
        <f>J164</f>
        <v>20.288624787775891</v>
      </c>
      <c r="N171" s="600"/>
      <c r="O171" s="588"/>
      <c r="P171" s="591" t="s">
        <v>244</v>
      </c>
      <c r="Q171" s="591"/>
      <c r="R171" s="593">
        <f>SUM(O163:U163)</f>
        <v>0</v>
      </c>
      <c r="S171" s="593"/>
      <c r="T171" s="594" t="str">
        <f>IF(ISERROR(R171/R173),"",R171/R173)</f>
        <v/>
      </c>
      <c r="U171" s="594"/>
      <c r="V171" s="591" t="s">
        <v>272</v>
      </c>
      <c r="W171" s="591"/>
      <c r="X171" s="595">
        <f>SUM(P33,P90,P125,P141,P152,P167)</f>
        <v>0</v>
      </c>
      <c r="Y171" s="595"/>
      <c r="Z171" s="594" t="str">
        <f>IF(ISERROR(X171/X173),"",X171/X173)</f>
        <v/>
      </c>
      <c r="AA171" s="594"/>
    </row>
    <row r="172" spans="1:27" ht="20.100000000000001" customHeight="1">
      <c r="A172" s="308" t="s">
        <v>478</v>
      </c>
      <c r="B172" s="440">
        <f>I164+C170</f>
        <v>298.5</v>
      </c>
      <c r="C172" s="601" t="s">
        <v>251</v>
      </c>
      <c r="D172" s="602"/>
      <c r="E172" s="603">
        <f>K164+I170</f>
        <v>321.0507684474756</v>
      </c>
      <c r="F172" s="603"/>
      <c r="G172" s="591" t="s">
        <v>274</v>
      </c>
      <c r="H172" s="591"/>
      <c r="I172" s="600">
        <f>B172-E172</f>
        <v>-22.550768447475605</v>
      </c>
      <c r="J172" s="600"/>
      <c r="K172" s="588" t="s">
        <v>275</v>
      </c>
      <c r="L172" s="588"/>
      <c r="M172" s="592">
        <f>IF(ISERROR(I172/E172),"",I172/E172)</f>
        <v>-7.0240506062407837E-2</v>
      </c>
      <c r="N172" s="592"/>
      <c r="O172" s="588"/>
      <c r="P172" s="591" t="s">
        <v>245</v>
      </c>
      <c r="Q172" s="591"/>
      <c r="R172" s="593"/>
      <c r="S172" s="593"/>
      <c r="T172" s="594" t="str">
        <f>IF(ISERROR(R172/R173),"",R172/R173)</f>
        <v/>
      </c>
      <c r="U172" s="594"/>
      <c r="V172" s="591" t="s">
        <v>264</v>
      </c>
      <c r="W172" s="591"/>
      <c r="X172" s="595"/>
      <c r="Y172" s="595"/>
      <c r="Z172" s="594" t="str">
        <f>IF(ISERROR(X172/X173),"",X172/X173)</f>
        <v/>
      </c>
      <c r="AA172" s="594"/>
    </row>
    <row r="173" spans="1:27" ht="20.100000000000001" customHeight="1">
      <c r="A173" s="308" t="s">
        <v>479</v>
      </c>
      <c r="B173" s="440">
        <f>N164</f>
        <v>0</v>
      </c>
      <c r="C173" s="601" t="s">
        <v>277</v>
      </c>
      <c r="D173" s="602"/>
      <c r="E173" s="594">
        <f>IF(ISERROR(B173/B172),"",B173/B172)</f>
        <v>0</v>
      </c>
      <c r="F173" s="594"/>
      <c r="G173" s="591" t="s">
        <v>278</v>
      </c>
      <c r="H173" s="591"/>
      <c r="I173" s="588">
        <f>V164</f>
        <v>0</v>
      </c>
      <c r="J173" s="588"/>
      <c r="K173" s="588" t="s">
        <v>279</v>
      </c>
      <c r="L173" s="588"/>
      <c r="M173" s="592">
        <f t="array" ref="M173">IF(ISERROR(I173/B171),"",I173/B171)</f>
        <v>0</v>
      </c>
      <c r="N173" s="592"/>
      <c r="O173" s="588"/>
      <c r="P173" s="591" t="s">
        <v>266</v>
      </c>
      <c r="Q173" s="591"/>
      <c r="R173" s="593">
        <f>SUM(R166:S172)</f>
        <v>0</v>
      </c>
      <c r="S173" s="593"/>
      <c r="T173" s="594"/>
      <c r="U173" s="594"/>
      <c r="V173" s="591" t="s">
        <v>266</v>
      </c>
      <c r="W173" s="591"/>
      <c r="X173" s="595">
        <f>SUM(X166:Y172)</f>
        <v>0</v>
      </c>
      <c r="Y173" s="595"/>
      <c r="Z173" s="594"/>
      <c r="AA173" s="594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4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604" t="s">
        <v>480</v>
      </c>
      <c r="B175" s="607" t="s">
        <v>280</v>
      </c>
      <c r="C175" s="607" t="s">
        <v>281</v>
      </c>
      <c r="D175" s="607" t="s">
        <v>282</v>
      </c>
      <c r="E175" s="610" t="s">
        <v>283</v>
      </c>
      <c r="F175" s="623" t="s">
        <v>284</v>
      </c>
      <c r="G175" s="588" t="s">
        <v>285</v>
      </c>
      <c r="H175" s="588"/>
      <c r="I175" s="607" t="s">
        <v>286</v>
      </c>
      <c r="J175" s="613" t="s">
        <v>271</v>
      </c>
      <c r="K175" s="616" t="s">
        <v>287</v>
      </c>
      <c r="L175" s="607" t="s">
        <v>270</v>
      </c>
      <c r="M175" s="619" t="s">
        <v>288</v>
      </c>
      <c r="N175" s="621" t="s">
        <v>252</v>
      </c>
      <c r="O175" s="588" t="s">
        <v>289</v>
      </c>
      <c r="P175" s="588"/>
      <c r="Q175" s="588"/>
      <c r="R175" s="588"/>
      <c r="S175" s="588"/>
      <c r="T175" s="588"/>
      <c r="U175" s="588"/>
      <c r="V175" s="588" t="s">
        <v>290</v>
      </c>
      <c r="W175" s="621" t="s">
        <v>291</v>
      </c>
      <c r="X175" s="588" t="s">
        <v>292</v>
      </c>
      <c r="Y175" s="588"/>
      <c r="Z175" s="588"/>
      <c r="AA175" s="588"/>
    </row>
    <row r="176" spans="1:27" ht="21.95" customHeight="1">
      <c r="A176" s="605"/>
      <c r="B176" s="608"/>
      <c r="C176" s="608"/>
      <c r="D176" s="608"/>
      <c r="E176" s="611"/>
      <c r="F176" s="624"/>
      <c r="G176" s="588"/>
      <c r="H176" s="588"/>
      <c r="I176" s="608"/>
      <c r="J176" s="614"/>
      <c r="K176" s="617"/>
      <c r="L176" s="608"/>
      <c r="M176" s="620"/>
      <c r="N176" s="621"/>
      <c r="O176" s="588" t="s">
        <v>259</v>
      </c>
      <c r="P176" s="588" t="s">
        <v>261</v>
      </c>
      <c r="Q176" s="588" t="s">
        <v>263</v>
      </c>
      <c r="R176" s="622" t="s">
        <v>265</v>
      </c>
      <c r="S176" s="591" t="s">
        <v>267</v>
      </c>
      <c r="T176" s="588" t="s">
        <v>272</v>
      </c>
      <c r="U176" s="588" t="s">
        <v>264</v>
      </c>
      <c r="V176" s="588"/>
      <c r="W176" s="621"/>
      <c r="X176" s="588" t="s">
        <v>293</v>
      </c>
      <c r="Y176" s="588" t="s">
        <v>294</v>
      </c>
      <c r="Z176" s="588" t="s">
        <v>295</v>
      </c>
      <c r="AA176" s="588" t="s">
        <v>264</v>
      </c>
    </row>
    <row r="177" spans="1:27" ht="21.95" customHeight="1">
      <c r="A177" s="606"/>
      <c r="B177" s="609"/>
      <c r="C177" s="609"/>
      <c r="D177" s="609"/>
      <c r="E177" s="612"/>
      <c r="F177" s="625"/>
      <c r="G177" s="348" t="s">
        <v>542</v>
      </c>
      <c r="H177" s="444" t="s">
        <v>297</v>
      </c>
      <c r="I177" s="609"/>
      <c r="J177" s="615"/>
      <c r="K177" s="618"/>
      <c r="L177" s="609"/>
      <c r="M177" s="620"/>
      <c r="N177" s="621"/>
      <c r="O177" s="588"/>
      <c r="P177" s="588"/>
      <c r="Q177" s="588"/>
      <c r="R177" s="622"/>
      <c r="S177" s="591"/>
      <c r="T177" s="588"/>
      <c r="U177" s="588"/>
      <c r="V177" s="588"/>
      <c r="W177" s="621"/>
      <c r="X177" s="588"/>
      <c r="Y177" s="588"/>
      <c r="Z177" s="588"/>
      <c r="AA177" s="588"/>
    </row>
    <row r="178" spans="1:27" ht="20.100000000000001" customHeight="1">
      <c r="A178" s="299">
        <v>30100030</v>
      </c>
      <c r="B178" s="437" t="s">
        <v>178</v>
      </c>
      <c r="C178" s="126" t="s">
        <v>179</v>
      </c>
      <c r="D178" s="108">
        <v>5.03</v>
      </c>
      <c r="E178" s="108"/>
      <c r="F178" s="127">
        <v>42740</v>
      </c>
      <c r="G178" s="128">
        <f>108+84+108</f>
        <v>300</v>
      </c>
      <c r="H178" s="438">
        <f t="shared" ref="H178:H187" si="78">D178*G178</f>
        <v>1509</v>
      </c>
      <c r="I178" s="129">
        <v>11.5</v>
      </c>
      <c r="J178" s="130">
        <f t="array" ref="J178">IF(ISERROR(G178/I178),"",G178/I178)</f>
        <v>26.086956521739129</v>
      </c>
      <c r="K178" s="131">
        <f t="array" ref="K178">IF(ISERROR(G178/L178),"",G178/L178)</f>
        <v>18.75</v>
      </c>
      <c r="L178" s="129">
        <v>16</v>
      </c>
      <c r="M178" s="109">
        <f t="shared" ref="M178:M187" si="79">IF(ISERROR(I178-K178),"",I178-K178)</f>
        <v>-7.25</v>
      </c>
      <c r="N178" s="130">
        <f>SUM(O178:U178)</f>
        <v>0</v>
      </c>
      <c r="O178" s="446"/>
      <c r="P178" s="446"/>
      <c r="Q178" s="446"/>
      <c r="R178" s="446"/>
      <c r="S178" s="446"/>
      <c r="T178" s="446"/>
      <c r="U178" s="446"/>
      <c r="V178" s="132">
        <f t="shared" ref="V178:V183" si="80">SUM(X178:AA178)</f>
        <v>0</v>
      </c>
      <c r="W178" s="133">
        <f t="shared" ref="W178:W183" si="81">IF(ISERROR(V178/G178),"",V178/G178)</f>
        <v>0</v>
      </c>
      <c r="X178" s="132"/>
      <c r="Y178" s="132"/>
      <c r="Z178" s="132"/>
      <c r="AA178" s="132"/>
    </row>
    <row r="179" spans="1:27" ht="20.100000000000001" hidden="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28"/>
      <c r="H179" s="438">
        <f t="shared" si="78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9"/>
        <v>0</v>
      </c>
      <c r="N179" s="130">
        <f t="shared" ref="N179:N187" si="82">SUM(O179:U179)</f>
        <v>0</v>
      </c>
      <c r="O179" s="446"/>
      <c r="P179" s="446"/>
      <c r="Q179" s="446"/>
      <c r="R179" s="446"/>
      <c r="S179" s="446"/>
      <c r="T179" s="446"/>
      <c r="U179" s="446"/>
      <c r="V179" s="132">
        <f t="shared" si="80"/>
        <v>0</v>
      </c>
      <c r="W179" s="133" t="str">
        <f t="shared" si="81"/>
        <v/>
      </c>
      <c r="X179" s="132"/>
      <c r="Y179" s="132"/>
      <c r="Z179" s="132"/>
      <c r="AA179" s="132"/>
    </row>
    <row r="180" spans="1:27" ht="20.100000000000001" hidden="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28"/>
      <c r="H180" s="438">
        <f t="shared" si="78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9"/>
        <v>0</v>
      </c>
      <c r="N180" s="130">
        <f t="shared" si="82"/>
        <v>0</v>
      </c>
      <c r="O180" s="446"/>
      <c r="P180" s="446"/>
      <c r="Q180" s="446"/>
      <c r="R180" s="446"/>
      <c r="S180" s="446"/>
      <c r="T180" s="446"/>
      <c r="U180" s="446"/>
      <c r="V180" s="132">
        <f t="shared" si="80"/>
        <v>0</v>
      </c>
      <c r="W180" s="133" t="str">
        <f t="shared" si="81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/>
      <c r="G181" s="128"/>
      <c r="H181" s="438">
        <f t="shared" si="78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19</v>
      </c>
      <c r="M181" s="109">
        <f t="shared" si="79"/>
        <v>0</v>
      </c>
      <c r="N181" s="130">
        <f t="shared" si="82"/>
        <v>0</v>
      </c>
      <c r="O181" s="446"/>
      <c r="P181" s="446"/>
      <c r="Q181" s="446"/>
      <c r="R181" s="446"/>
      <c r="S181" s="446"/>
      <c r="T181" s="446"/>
      <c r="U181" s="446"/>
      <c r="V181" s="132">
        <f t="shared" si="80"/>
        <v>0</v>
      </c>
      <c r="W181" s="133" t="str">
        <f t="shared" si="81"/>
        <v/>
      </c>
      <c r="X181" s="132"/>
      <c r="Y181" s="132"/>
      <c r="Z181" s="132"/>
      <c r="AA181" s="132"/>
    </row>
    <row r="182" spans="1:27" ht="20.100000000000001" hidden="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/>
      <c r="G182" s="128"/>
      <c r="H182" s="438">
        <f t="shared" si="78"/>
        <v>0</v>
      </c>
      <c r="I182" s="129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20</v>
      </c>
      <c r="M182" s="109">
        <f t="shared" si="79"/>
        <v>0</v>
      </c>
      <c r="N182" s="130">
        <f t="shared" si="82"/>
        <v>0</v>
      </c>
      <c r="O182" s="446"/>
      <c r="P182" s="446"/>
      <c r="Q182" s="446"/>
      <c r="R182" s="446"/>
      <c r="S182" s="446"/>
      <c r="T182" s="446"/>
      <c r="U182" s="446"/>
      <c r="V182" s="132">
        <f t="shared" si="80"/>
        <v>0</v>
      </c>
      <c r="W182" s="133" t="str">
        <f t="shared" si="81"/>
        <v/>
      </c>
      <c r="X182" s="132"/>
      <c r="Y182" s="132"/>
      <c r="Z182" s="132"/>
      <c r="AA182" s="132"/>
    </row>
    <row r="183" spans="1:27" ht="20.100000000000001" hidden="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58"/>
      <c r="G183" s="137"/>
      <c r="H183" s="438">
        <f t="shared" si="78"/>
        <v>0</v>
      </c>
      <c r="I183" s="138"/>
      <c r="J183" s="130" t="str">
        <f t="array" ref="J183">IF(ISERROR(G183/I183),"",G183/I183)</f>
        <v/>
      </c>
      <c r="K183" s="131">
        <f t="array" ref="K183">IF(ISERROR(G183/L183),"",G183/L183)</f>
        <v>0</v>
      </c>
      <c r="L183" s="129">
        <v>19</v>
      </c>
      <c r="M183" s="109">
        <f t="shared" si="79"/>
        <v>0</v>
      </c>
      <c r="N183" s="130">
        <f t="shared" si="82"/>
        <v>0</v>
      </c>
      <c r="O183" s="446"/>
      <c r="P183" s="446"/>
      <c r="Q183" s="446"/>
      <c r="R183" s="446"/>
      <c r="S183" s="446"/>
      <c r="T183" s="446"/>
      <c r="U183" s="446"/>
      <c r="V183" s="132">
        <f t="shared" si="80"/>
        <v>0</v>
      </c>
      <c r="W183" s="133" t="str">
        <f t="shared" si="81"/>
        <v/>
      </c>
      <c r="X183" s="132"/>
      <c r="Y183" s="132"/>
      <c r="Z183" s="132"/>
      <c r="AA183" s="132"/>
    </row>
    <row r="184" spans="1:27" ht="20.100000000000001" hidden="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/>
      <c r="G184" s="128"/>
      <c r="H184" s="438">
        <f t="shared" si="78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9"/>
        <v>0</v>
      </c>
      <c r="N184" s="130">
        <f t="shared" si="82"/>
        <v>0</v>
      </c>
      <c r="O184" s="446"/>
      <c r="P184" s="446"/>
      <c r="Q184" s="446"/>
      <c r="R184" s="446"/>
      <c r="S184" s="446"/>
      <c r="T184" s="446"/>
      <c r="U184" s="446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28"/>
      <c r="H185" s="438">
        <f t="shared" si="78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79"/>
        <v>0</v>
      </c>
      <c r="N185" s="130">
        <f t="shared" si="82"/>
        <v>0</v>
      </c>
      <c r="O185" s="446"/>
      <c r="P185" s="446"/>
      <c r="Q185" s="446"/>
      <c r="R185" s="446"/>
      <c r="S185" s="446"/>
      <c r="T185" s="446"/>
      <c r="U185" s="446"/>
      <c r="V185" s="132"/>
      <c r="W185" s="133"/>
      <c r="X185" s="132"/>
      <c r="Y185" s="132"/>
      <c r="Z185" s="132"/>
      <c r="AA185" s="132"/>
    </row>
    <row r="186" spans="1:27" ht="20.10000000000000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>
        <v>42739</v>
      </c>
      <c r="G186" s="128">
        <f>100*7+68</f>
        <v>768</v>
      </c>
      <c r="H186" s="438">
        <f t="shared" si="78"/>
        <v>3870.7200000000003</v>
      </c>
      <c r="I186" s="438">
        <f>11.5*5</f>
        <v>57.5</v>
      </c>
      <c r="J186" s="130">
        <f t="array" ref="J186">IF(ISERROR(G186/I186),"",G186/I186)</f>
        <v>13.356521739130434</v>
      </c>
      <c r="K186" s="131">
        <f t="array" ref="K186">IF(ISERROR(G186/L186),"",G186/L186)</f>
        <v>45.176470588235297</v>
      </c>
      <c r="L186" s="129">
        <v>17</v>
      </c>
      <c r="M186" s="109">
        <f t="shared" si="79"/>
        <v>12.323529411764703</v>
      </c>
      <c r="N186" s="130">
        <f t="shared" si="82"/>
        <v>0</v>
      </c>
      <c r="O186" s="446"/>
      <c r="P186" s="446"/>
      <c r="Q186" s="446"/>
      <c r="R186" s="446"/>
      <c r="S186" s="446"/>
      <c r="T186" s="446"/>
      <c r="U186" s="446"/>
      <c r="V186" s="132">
        <f>SUM(X186:AA186)</f>
        <v>0</v>
      </c>
      <c r="W186" s="133">
        <f>IF(ISERROR(V186/G186),"",V186/G186)</f>
        <v>0</v>
      </c>
      <c r="X186" s="132"/>
      <c r="Y186" s="132"/>
      <c r="Z186" s="132"/>
      <c r="AA186" s="132"/>
    </row>
    <row r="187" spans="1:27" ht="20.100000000000001" hidden="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/>
      <c r="G187" s="128"/>
      <c r="H187" s="438">
        <f t="shared" si="78"/>
        <v>0</v>
      </c>
      <c r="I187" s="438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 t="shared" si="79"/>
        <v>0</v>
      </c>
      <c r="N187" s="130">
        <f t="shared" si="82"/>
        <v>0</v>
      </c>
      <c r="O187" s="446"/>
      <c r="P187" s="446"/>
      <c r="Q187" s="446"/>
      <c r="R187" s="446"/>
      <c r="S187" s="446"/>
      <c r="T187" s="446"/>
      <c r="U187" s="446"/>
      <c r="V187" s="132">
        <f>SUM(X187:AA187)</f>
        <v>0</v>
      </c>
      <c r="W187" s="133" t="str">
        <f>IF(ISERROR(V187/G187),"",V187/G187)</f>
        <v/>
      </c>
      <c r="X187" s="132"/>
      <c r="Y187" s="132"/>
      <c r="Z187" s="132"/>
      <c r="AA187" s="132"/>
    </row>
    <row r="188" spans="1:27" ht="20.100000000000001" hidden="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28"/>
      <c r="H188" s="438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446"/>
      <c r="P188" s="446"/>
      <c r="Q188" s="446"/>
      <c r="R188" s="446"/>
      <c r="S188" s="446"/>
      <c r="T188" s="446"/>
      <c r="U188" s="446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28"/>
      <c r="H189" s="438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446"/>
      <c r="P189" s="446"/>
      <c r="Q189" s="446"/>
      <c r="R189" s="446"/>
      <c r="S189" s="446"/>
      <c r="T189" s="446"/>
      <c r="U189" s="446"/>
      <c r="V189" s="132"/>
      <c r="W189" s="133"/>
      <c r="X189" s="132"/>
      <c r="Y189" s="132"/>
      <c r="Z189" s="132"/>
      <c r="AA189" s="132"/>
    </row>
    <row r="190" spans="1:27" ht="20.100000000000001" hidden="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E190" s="108"/>
      <c r="F190" s="127"/>
      <c r="G190" s="128"/>
      <c r="H190" s="438">
        <f t="shared" ref="H190:H198" si="83">D190*G190</f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19</v>
      </c>
      <c r="M190" s="109">
        <f t="shared" ref="M190:M198" si="84">IF(ISERROR(I190-K190),"",I190-K190)</f>
        <v>0</v>
      </c>
      <c r="N190" s="130">
        <f t="shared" ref="N190:N192" si="85">SUM(O190:U190)</f>
        <v>0</v>
      </c>
      <c r="O190" s="446"/>
      <c r="P190" s="446"/>
      <c r="Q190" s="446"/>
      <c r="R190" s="446"/>
      <c r="S190" s="446"/>
      <c r="T190" s="446"/>
      <c r="U190" s="446"/>
      <c r="V190" s="132">
        <f t="shared" ref="V190:V192" si="86">SUM(X190:AA190)</f>
        <v>0</v>
      </c>
      <c r="W190" s="133" t="str">
        <f t="shared" ref="W190:W192" si="87">IF(ISERROR(V190/G190),"",V190/G190)</f>
        <v/>
      </c>
      <c r="X190" s="132"/>
      <c r="Y190" s="132"/>
      <c r="Z190" s="132"/>
      <c r="AA190" s="132"/>
    </row>
    <row r="191" spans="1:27" ht="20.100000000000001" hidden="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27"/>
      <c r="G191" s="128"/>
      <c r="H191" s="438">
        <f t="shared" si="83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4"/>
        <v>0</v>
      </c>
      <c r="N191" s="130">
        <f t="shared" si="85"/>
        <v>0</v>
      </c>
      <c r="O191" s="446"/>
      <c r="P191" s="446"/>
      <c r="Q191" s="446"/>
      <c r="R191" s="446"/>
      <c r="S191" s="446"/>
      <c r="T191" s="446"/>
      <c r="U191" s="446"/>
      <c r="V191" s="132">
        <f t="shared" si="86"/>
        <v>0</v>
      </c>
      <c r="W191" s="133" t="str">
        <f t="shared" si="87"/>
        <v/>
      </c>
      <c r="X191" s="132"/>
      <c r="Y191" s="132"/>
      <c r="Z191" s="132"/>
      <c r="AA191" s="132"/>
    </row>
    <row r="192" spans="1:27" ht="20.100000000000001" hidden="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/>
      <c r="G192" s="128"/>
      <c r="H192" s="438">
        <f t="shared" si="83"/>
        <v>0</v>
      </c>
      <c r="I192" s="129"/>
      <c r="J192" s="130" t="str">
        <f t="array" ref="J192">IF(ISERROR(G192/I192),"",G192/I192)</f>
        <v/>
      </c>
      <c r="K192" s="131">
        <f t="array" ref="K192">IF(ISERROR(G192/L192),"",G192/L192)</f>
        <v>0</v>
      </c>
      <c r="L192" s="129">
        <v>23</v>
      </c>
      <c r="M192" s="109">
        <f t="shared" si="84"/>
        <v>0</v>
      </c>
      <c r="N192" s="130">
        <f t="shared" si="85"/>
        <v>0</v>
      </c>
      <c r="O192" s="446"/>
      <c r="P192" s="446"/>
      <c r="Q192" s="446"/>
      <c r="R192" s="446"/>
      <c r="S192" s="446"/>
      <c r="T192" s="446"/>
      <c r="U192" s="446"/>
      <c r="V192" s="132">
        <f t="shared" si="86"/>
        <v>0</v>
      </c>
      <c r="W192" s="133" t="str">
        <f t="shared" si="87"/>
        <v/>
      </c>
      <c r="X192" s="132"/>
      <c r="Y192" s="132"/>
      <c r="Z192" s="132"/>
      <c r="AA192" s="132"/>
    </row>
    <row r="193" spans="1:27" ht="20.100000000000001" hidden="1" customHeight="1">
      <c r="A193" s="300">
        <v>30100003</v>
      </c>
      <c r="B193" s="141" t="s">
        <v>198</v>
      </c>
      <c r="C193" s="444" t="s">
        <v>190</v>
      </c>
      <c r="D193" s="108">
        <v>4.8</v>
      </c>
      <c r="E193" s="108"/>
      <c r="F193" s="127"/>
      <c r="G193" s="128"/>
      <c r="H193" s="438">
        <f t="shared" si="83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4"/>
        <v>0</v>
      </c>
      <c r="N193" s="130"/>
      <c r="O193" s="446"/>
      <c r="P193" s="446"/>
      <c r="Q193" s="446"/>
      <c r="R193" s="446"/>
      <c r="S193" s="446"/>
      <c r="T193" s="446"/>
      <c r="U193" s="446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30100004</v>
      </c>
      <c r="B194" s="141" t="s">
        <v>198</v>
      </c>
      <c r="C194" s="444" t="s">
        <v>187</v>
      </c>
      <c r="D194" s="108">
        <v>4.8</v>
      </c>
      <c r="E194" s="108"/>
      <c r="F194" s="127"/>
      <c r="G194" s="128"/>
      <c r="H194" s="438">
        <f t="shared" si="83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4"/>
        <v>0</v>
      </c>
      <c r="N194" s="130"/>
      <c r="O194" s="446"/>
      <c r="P194" s="446"/>
      <c r="Q194" s="446"/>
      <c r="R194" s="446"/>
      <c r="S194" s="446"/>
      <c r="T194" s="446"/>
      <c r="U194" s="446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30100006</v>
      </c>
      <c r="B195" s="141" t="s">
        <v>198</v>
      </c>
      <c r="C195" s="444" t="s">
        <v>179</v>
      </c>
      <c r="D195" s="108">
        <v>4.8</v>
      </c>
      <c r="E195" s="108"/>
      <c r="F195" s="127"/>
      <c r="G195" s="128"/>
      <c r="H195" s="438">
        <f t="shared" si="83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4"/>
        <v>0</v>
      </c>
      <c r="N195" s="130"/>
      <c r="O195" s="446"/>
      <c r="P195" s="446"/>
      <c r="Q195" s="446"/>
      <c r="R195" s="446"/>
      <c r="S195" s="446"/>
      <c r="T195" s="446"/>
      <c r="U195" s="446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30100005</v>
      </c>
      <c r="B196" s="141" t="s">
        <v>198</v>
      </c>
      <c r="C196" s="444" t="s">
        <v>199</v>
      </c>
      <c r="D196" s="108">
        <v>4.8</v>
      </c>
      <c r="E196" s="108"/>
      <c r="F196" s="127"/>
      <c r="G196" s="128"/>
      <c r="H196" s="438">
        <f t="shared" si="83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4"/>
        <v>0</v>
      </c>
      <c r="N196" s="130"/>
      <c r="O196" s="446"/>
      <c r="P196" s="446"/>
      <c r="Q196" s="446"/>
      <c r="R196" s="446"/>
      <c r="S196" s="446"/>
      <c r="T196" s="446"/>
      <c r="U196" s="446"/>
      <c r="V196" s="132"/>
      <c r="W196" s="133"/>
      <c r="X196" s="132"/>
      <c r="Y196" s="132"/>
      <c r="Z196" s="132"/>
      <c r="AA196" s="132"/>
    </row>
    <row r="197" spans="1:27" ht="20.100000000000001" hidden="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/>
      <c r="G197" s="128"/>
      <c r="H197" s="438">
        <f t="shared" si="83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4"/>
        <v>0</v>
      </c>
      <c r="N197" s="130">
        <f t="shared" ref="N197:N198" si="88">SUM(O197:U197)</f>
        <v>0</v>
      </c>
      <c r="O197" s="446"/>
      <c r="P197" s="446"/>
      <c r="Q197" s="446"/>
      <c r="R197" s="446"/>
      <c r="S197" s="446"/>
      <c r="T197" s="446"/>
      <c r="U197" s="446"/>
      <c r="V197" s="132">
        <f t="shared" ref="V197:V198" si="89">SUM(X197:AA197)</f>
        <v>0</v>
      </c>
      <c r="W197" s="133" t="str">
        <f t="shared" ref="W197:W198" si="90">IF(ISERROR(V197/G197),"",V197/G197)</f>
        <v/>
      </c>
      <c r="X197" s="132"/>
      <c r="Y197" s="132"/>
      <c r="Z197" s="132"/>
      <c r="AA197" s="132"/>
    </row>
    <row r="198" spans="1:27" ht="20.100000000000001" hidden="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42"/>
      <c r="G198" s="128"/>
      <c r="H198" s="438">
        <f t="shared" si="83"/>
        <v>0</v>
      </c>
      <c r="I198" s="129"/>
      <c r="J198" s="130" t="str">
        <f t="array" ref="J198">IF(ISERROR(G198/I198),"",G198/I198)</f>
        <v/>
      </c>
      <c r="K198" s="131">
        <f t="array" ref="K198">IF(ISERROR(G198/L198),"",G198/L198)</f>
        <v>0</v>
      </c>
      <c r="L198" s="129">
        <v>23.5</v>
      </c>
      <c r="M198" s="109">
        <f t="shared" si="84"/>
        <v>0</v>
      </c>
      <c r="N198" s="130">
        <f t="shared" si="88"/>
        <v>0</v>
      </c>
      <c r="O198" s="446"/>
      <c r="P198" s="446"/>
      <c r="Q198" s="446"/>
      <c r="R198" s="446"/>
      <c r="S198" s="446"/>
      <c r="T198" s="446"/>
      <c r="U198" s="446"/>
      <c r="V198" s="132">
        <f t="shared" si="89"/>
        <v>0</v>
      </c>
      <c r="W198" s="133" t="str">
        <f t="shared" si="90"/>
        <v/>
      </c>
      <c r="X198" s="132"/>
      <c r="Y198" s="132"/>
      <c r="Z198" s="132"/>
      <c r="AA198" s="132"/>
    </row>
    <row r="199" spans="1:27" ht="20.100000000000001" customHeight="1">
      <c r="A199" s="578" t="s">
        <v>201</v>
      </c>
      <c r="B199" s="579"/>
      <c r="C199" s="447" t="s">
        <v>202</v>
      </c>
      <c r="D199" s="143"/>
      <c r="E199" s="143"/>
      <c r="F199" s="144"/>
      <c r="G199" s="145">
        <f>SUM(G178:G198)</f>
        <v>1068</v>
      </c>
      <c r="H199" s="146">
        <f>SUM(H178:H198)</f>
        <v>5379.72</v>
      </c>
      <c r="I199" s="146">
        <f>SUM(I178:I198)</f>
        <v>69</v>
      </c>
      <c r="J199" s="130">
        <f t="array" ref="J199">IF(ISERROR(G199/I199),"",G199/I199)</f>
        <v>15.478260869565217</v>
      </c>
      <c r="K199" s="146">
        <f>SUM(K178:K198)</f>
        <v>63.926470588235297</v>
      </c>
      <c r="L199" s="147"/>
      <c r="M199" s="150">
        <f t="shared" ref="M199:AA199" si="91">SUM(M178:M198)</f>
        <v>5.073529411764703</v>
      </c>
      <c r="N199" s="146">
        <f t="shared" si="91"/>
        <v>0</v>
      </c>
      <c r="O199" s="148">
        <f t="shared" si="91"/>
        <v>0</v>
      </c>
      <c r="P199" s="148">
        <f t="shared" si="91"/>
        <v>0</v>
      </c>
      <c r="Q199" s="148">
        <f t="shared" si="91"/>
        <v>0</v>
      </c>
      <c r="R199" s="148">
        <f t="shared" si="91"/>
        <v>0</v>
      </c>
      <c r="S199" s="148">
        <f t="shared" si="91"/>
        <v>0</v>
      </c>
      <c r="T199" s="148">
        <f t="shared" si="91"/>
        <v>0</v>
      </c>
      <c r="U199" s="148">
        <f t="shared" si="91"/>
        <v>0</v>
      </c>
      <c r="V199" s="149">
        <f t="shared" si="91"/>
        <v>0</v>
      </c>
      <c r="W199" s="133">
        <f t="shared" si="91"/>
        <v>0</v>
      </c>
      <c r="X199" s="149">
        <f t="shared" si="91"/>
        <v>0</v>
      </c>
      <c r="Y199" s="149">
        <f t="shared" si="91"/>
        <v>0</v>
      </c>
      <c r="Z199" s="149">
        <f t="shared" si="91"/>
        <v>0</v>
      </c>
      <c r="AA199" s="149">
        <f t="shared" si="91"/>
        <v>0</v>
      </c>
    </row>
    <row r="200" spans="1:27" ht="20.100000000000001" customHeight="1">
      <c r="A200" s="300">
        <v>30100012</v>
      </c>
      <c r="B200" s="437" t="s">
        <v>206</v>
      </c>
      <c r="C200" s="126" t="s">
        <v>199</v>
      </c>
      <c r="D200" s="108">
        <v>5.03</v>
      </c>
      <c r="E200" s="108"/>
      <c r="F200" s="127">
        <v>42739</v>
      </c>
      <c r="G200" s="128">
        <f>108*4+18+1</f>
        <v>451</v>
      </c>
      <c r="H200" s="438">
        <f t="shared" ref="H200:H256" si="92">D200*G200</f>
        <v>2268.5300000000002</v>
      </c>
      <c r="I200" s="129">
        <f>5*2</f>
        <v>10</v>
      </c>
      <c r="J200" s="130">
        <f t="array" ref="J200">IF(ISERROR(G200/I200),"",G200/I200)</f>
        <v>45.1</v>
      </c>
      <c r="K200" s="131">
        <f t="array" ref="K200">IF(ISERROR(G200/L200),"",G200/L200)</f>
        <v>8.6730769230769234</v>
      </c>
      <c r="L200" s="129">
        <v>52</v>
      </c>
      <c r="M200" s="109">
        <f t="shared" ref="M200:M201" si="93">IF(ISERROR(I200-K200),"",I200-K200)</f>
        <v>1.3269230769230766</v>
      </c>
      <c r="N200" s="130">
        <f t="shared" ref="N200" si="94">SUM(O200:U200)</f>
        <v>0</v>
      </c>
      <c r="O200" s="442"/>
      <c r="P200" s="442"/>
      <c r="Q200" s="442"/>
      <c r="R200" s="442"/>
      <c r="S200" s="442"/>
      <c r="T200" s="442"/>
      <c r="U200" s="442"/>
      <c r="V200" s="132">
        <f t="shared" ref="V200" si="95">SUM(X200:AA200)</f>
        <v>0</v>
      </c>
      <c r="W200" s="133">
        <f t="shared" ref="W200" si="96">IF(ISERROR(V200/G200),"",V200/G200)</f>
        <v>0</v>
      </c>
      <c r="X200" s="132"/>
      <c r="Y200" s="132"/>
      <c r="Z200" s="132"/>
      <c r="AA200" s="132"/>
    </row>
    <row r="201" spans="1:27" ht="20.100000000000001" customHeight="1">
      <c r="A201" s="300">
        <v>30100011</v>
      </c>
      <c r="B201" s="437" t="s">
        <v>425</v>
      </c>
      <c r="C201" s="187" t="s">
        <v>427</v>
      </c>
      <c r="D201" s="108">
        <v>5.03</v>
      </c>
      <c r="E201" s="108"/>
      <c r="F201" s="127">
        <v>42739</v>
      </c>
      <c r="G201" s="452">
        <f>80+2</f>
        <v>82</v>
      </c>
      <c r="H201" s="438">
        <f t="shared" si="92"/>
        <v>412.46000000000004</v>
      </c>
      <c r="I201" s="129">
        <v>1</v>
      </c>
      <c r="J201" s="130">
        <f t="array" ref="J201">IF(ISERROR(G201/I201),"",G201/I201)</f>
        <v>82</v>
      </c>
      <c r="K201" s="131">
        <f t="array" ref="K201">IF(ISERROR(G201/L201),"",G201/L201)</f>
        <v>1.5769230769230769</v>
      </c>
      <c r="L201" s="129">
        <v>52</v>
      </c>
      <c r="M201" s="109">
        <f t="shared" si="93"/>
        <v>-0.57692307692307687</v>
      </c>
      <c r="N201" s="130"/>
      <c r="O201" s="442"/>
      <c r="P201" s="442"/>
      <c r="Q201" s="442"/>
      <c r="R201" s="442"/>
      <c r="S201" s="442"/>
      <c r="T201" s="442"/>
      <c r="U201" s="442"/>
      <c r="V201" s="132"/>
      <c r="W201" s="133"/>
      <c r="X201" s="132"/>
      <c r="Y201" s="132"/>
      <c r="Z201" s="132"/>
      <c r="AA201" s="132"/>
    </row>
    <row r="202" spans="1:27" ht="20.100000000000001" customHeight="1">
      <c r="A202" s="300">
        <v>30100010</v>
      </c>
      <c r="B202" s="437" t="s">
        <v>206</v>
      </c>
      <c r="C202" s="126" t="s">
        <v>186</v>
      </c>
      <c r="D202" s="108">
        <v>5.03</v>
      </c>
      <c r="E202" s="108"/>
      <c r="F202" s="127">
        <v>42739</v>
      </c>
      <c r="G202" s="128">
        <f>108*5+48</f>
        <v>588</v>
      </c>
      <c r="H202" s="438">
        <f t="shared" si="92"/>
        <v>2957.6400000000003</v>
      </c>
      <c r="I202" s="129">
        <f>6.5*2</f>
        <v>13</v>
      </c>
      <c r="J202" s="130">
        <f t="array" ref="J202">IF(ISERROR(G202/I202),"",G202/I202)</f>
        <v>45.230769230769234</v>
      </c>
      <c r="K202" s="131">
        <f t="array" ref="K202">IF(ISERROR(G202/L202),"",G202/L202)</f>
        <v>11.307692307692308</v>
      </c>
      <c r="L202" s="129">
        <v>52</v>
      </c>
      <c r="M202" s="109">
        <f t="shared" ref="M202" si="97">IF(ISERROR(I202-K202),"",I202-K202)</f>
        <v>1.6923076923076916</v>
      </c>
      <c r="N202" s="130">
        <f t="shared" ref="N202:N204" si="98">SUM(O202:U202)</f>
        <v>0</v>
      </c>
      <c r="O202" s="442"/>
      <c r="P202" s="442"/>
      <c r="Q202" s="442"/>
      <c r="R202" s="442"/>
      <c r="S202" s="442"/>
      <c r="T202" s="442"/>
      <c r="U202" s="442"/>
      <c r="V202" s="132">
        <f t="shared" ref="V202:V204" si="99">SUM(X202:AA202)</f>
        <v>0</v>
      </c>
      <c r="W202" s="133">
        <f t="shared" ref="W202:W204" si="100">IF(ISERROR(V202/G202),"",V202/G202)</f>
        <v>0</v>
      </c>
      <c r="X202" s="132"/>
      <c r="Y202" s="132"/>
      <c r="Z202" s="132"/>
      <c r="AA202" s="132"/>
    </row>
    <row r="203" spans="1:27" ht="20.100000000000001" hidden="1" customHeight="1">
      <c r="A203" s="300">
        <v>30100014</v>
      </c>
      <c r="B203" s="437" t="s">
        <v>206</v>
      </c>
      <c r="C203" s="126" t="s">
        <v>203</v>
      </c>
      <c r="D203" s="108">
        <v>5.03</v>
      </c>
      <c r="E203" s="108"/>
      <c r="F203" s="127"/>
      <c r="G203" s="128"/>
      <c r="H203" s="438">
        <f t="shared" si="92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>IF(ISERROR(I203-K203),"",I203-K203)</f>
        <v>0</v>
      </c>
      <c r="N203" s="130">
        <f t="shared" si="98"/>
        <v>0</v>
      </c>
      <c r="O203" s="442"/>
      <c r="P203" s="442"/>
      <c r="Q203" s="442"/>
      <c r="R203" s="442"/>
      <c r="S203" s="442"/>
      <c r="T203" s="442"/>
      <c r="U203" s="442"/>
      <c r="V203" s="132">
        <f t="shared" si="99"/>
        <v>0</v>
      </c>
      <c r="W203" s="133" t="str">
        <f t="shared" si="100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30100013</v>
      </c>
      <c r="B204" s="437" t="s">
        <v>206</v>
      </c>
      <c r="C204" s="126" t="s">
        <v>207</v>
      </c>
      <c r="D204" s="108">
        <v>5.03</v>
      </c>
      <c r="E204" s="108"/>
      <c r="F204" s="127"/>
      <c r="G204" s="128"/>
      <c r="H204" s="438">
        <f t="shared" si="92"/>
        <v>0</v>
      </c>
      <c r="I204" s="129"/>
      <c r="J204" s="130" t="str">
        <f t="array" ref="J204">IF(ISERROR(G204/I204),"",G204/I204)</f>
        <v/>
      </c>
      <c r="K204" s="131">
        <f t="array" ref="K204">IF(ISERROR(G204/L204),"",G204/L204)</f>
        <v>0</v>
      </c>
      <c r="L204" s="129">
        <v>52</v>
      </c>
      <c r="M204" s="109">
        <f t="shared" ref="M204" si="101">IF(ISERROR(I204-K204),"",I204-K204)</f>
        <v>0</v>
      </c>
      <c r="N204" s="130">
        <f t="shared" si="98"/>
        <v>0</v>
      </c>
      <c r="O204" s="442"/>
      <c r="P204" s="442"/>
      <c r="Q204" s="442"/>
      <c r="R204" s="442"/>
      <c r="S204" s="442"/>
      <c r="T204" s="442"/>
      <c r="U204" s="442"/>
      <c r="V204" s="132">
        <f t="shared" si="99"/>
        <v>0</v>
      </c>
      <c r="W204" s="133" t="str">
        <f t="shared" si="100"/>
        <v/>
      </c>
      <c r="X204" s="132"/>
      <c r="Y204" s="132"/>
      <c r="Z204" s="132"/>
      <c r="AA204" s="132"/>
    </row>
    <row r="205" spans="1:27" ht="20.100000000000001" hidden="1" customHeight="1">
      <c r="A205" s="300">
        <v>30100016</v>
      </c>
      <c r="B205" s="437" t="s">
        <v>414</v>
      </c>
      <c r="C205" s="187" t="s">
        <v>415</v>
      </c>
      <c r="D205" s="108">
        <v>5.03</v>
      </c>
      <c r="E205" s="108"/>
      <c r="F205" s="127"/>
      <c r="G205" s="128"/>
      <c r="H205" s="438">
        <f t="shared" si="92"/>
        <v>0</v>
      </c>
      <c r="I205" s="129"/>
      <c r="J205" s="130"/>
      <c r="K205" s="131"/>
      <c r="L205" s="129">
        <v>52</v>
      </c>
      <c r="M205" s="109"/>
      <c r="N205" s="130"/>
      <c r="O205" s="442"/>
      <c r="P205" s="442"/>
      <c r="Q205" s="442"/>
      <c r="R205" s="442"/>
      <c r="S205" s="442"/>
      <c r="T205" s="442"/>
      <c r="U205" s="442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30100017</v>
      </c>
      <c r="B206" s="437" t="s">
        <v>414</v>
      </c>
      <c r="C206" s="187" t="s">
        <v>416</v>
      </c>
      <c r="D206" s="108">
        <v>5.03</v>
      </c>
      <c r="E206" s="108"/>
      <c r="F206" s="127"/>
      <c r="G206" s="128"/>
      <c r="H206" s="438">
        <f t="shared" si="92"/>
        <v>0</v>
      </c>
      <c r="I206" s="129"/>
      <c r="J206" s="130"/>
      <c r="K206" s="131"/>
      <c r="L206" s="129">
        <v>52</v>
      </c>
      <c r="M206" s="109"/>
      <c r="N206" s="130"/>
      <c r="O206" s="442"/>
      <c r="P206" s="442"/>
      <c r="Q206" s="442"/>
      <c r="R206" s="442"/>
      <c r="S206" s="442"/>
      <c r="T206" s="442"/>
      <c r="U206" s="442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30100015</v>
      </c>
      <c r="B207" s="437" t="s">
        <v>414</v>
      </c>
      <c r="C207" s="187" t="s">
        <v>61</v>
      </c>
      <c r="D207" s="108">
        <v>5.03</v>
      </c>
      <c r="E207" s="108"/>
      <c r="F207" s="127"/>
      <c r="G207" s="128"/>
      <c r="H207" s="438">
        <f t="shared" si="92"/>
        <v>0</v>
      </c>
      <c r="I207" s="129"/>
      <c r="J207" s="130"/>
      <c r="K207" s="131"/>
      <c r="L207" s="129">
        <v>52</v>
      </c>
      <c r="M207" s="109"/>
      <c r="N207" s="130"/>
      <c r="O207" s="442"/>
      <c r="P207" s="442"/>
      <c r="Q207" s="442"/>
      <c r="R207" s="442"/>
      <c r="S207" s="442"/>
      <c r="T207" s="442"/>
      <c r="U207" s="442"/>
      <c r="V207" s="132"/>
      <c r="W207" s="133"/>
      <c r="X207" s="132"/>
      <c r="Y207" s="132"/>
      <c r="Z207" s="132"/>
      <c r="AA207" s="132"/>
    </row>
    <row r="208" spans="1:27" ht="20.100000000000001" hidden="1" customHeight="1">
      <c r="A208" s="300">
        <v>30100027</v>
      </c>
      <c r="B208" s="437" t="s">
        <v>208</v>
      </c>
      <c r="C208" s="126" t="s">
        <v>179</v>
      </c>
      <c r="D208" s="108">
        <v>5.08</v>
      </c>
      <c r="E208" s="108"/>
      <c r="F208" s="127"/>
      <c r="G208" s="128"/>
      <c r="H208" s="438">
        <f t="shared" si="92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ref="M208:M237" si="102">IF(ISERROR(I208-K208),"",I208-K208)</f>
        <v>0</v>
      </c>
      <c r="N208" s="130">
        <f t="shared" ref="N208:N237" si="103">SUM(O208:U208)</f>
        <v>0</v>
      </c>
      <c r="O208" s="442"/>
      <c r="P208" s="442"/>
      <c r="Q208" s="442"/>
      <c r="R208" s="442"/>
      <c r="S208" s="442"/>
      <c r="T208" s="442"/>
      <c r="U208" s="442"/>
      <c r="V208" s="132">
        <f t="shared" ref="V208:V219" si="104">SUM(X208:AA208)</f>
        <v>0</v>
      </c>
      <c r="W208" s="133" t="str">
        <f t="shared" ref="W208:W219" si="105">IF(ISERROR(V208/G208),"",V208/G208)</f>
        <v/>
      </c>
      <c r="X208" s="132"/>
      <c r="Y208" s="132"/>
      <c r="Z208" s="132"/>
      <c r="AA208" s="132"/>
    </row>
    <row r="209" spans="1:27" ht="20.100000000000001" hidden="1" customHeight="1">
      <c r="A209" s="300">
        <v>30100023</v>
      </c>
      <c r="B209" s="437" t="s">
        <v>208</v>
      </c>
      <c r="C209" s="126" t="s">
        <v>204</v>
      </c>
      <c r="D209" s="108">
        <v>5.08</v>
      </c>
      <c r="E209" s="108"/>
      <c r="F209" s="127"/>
      <c r="G209" s="128"/>
      <c r="H209" s="438">
        <f t="shared" si="92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2"/>
        <v>0</v>
      </c>
      <c r="N209" s="130">
        <f t="shared" si="103"/>
        <v>0</v>
      </c>
      <c r="O209" s="442"/>
      <c r="P209" s="442"/>
      <c r="Q209" s="442"/>
      <c r="R209" s="442"/>
      <c r="S209" s="442"/>
      <c r="T209" s="442"/>
      <c r="U209" s="442"/>
      <c r="V209" s="132">
        <f t="shared" si="104"/>
        <v>0</v>
      </c>
      <c r="W209" s="133" t="str">
        <f t="shared" si="105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30100024</v>
      </c>
      <c r="B210" s="437" t="s">
        <v>208</v>
      </c>
      <c r="C210" s="126" t="s">
        <v>205</v>
      </c>
      <c r="D210" s="108">
        <v>5.08</v>
      </c>
      <c r="E210" s="108"/>
      <c r="F210" s="127"/>
      <c r="G210" s="128"/>
      <c r="H210" s="438">
        <f t="shared" si="92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2"/>
        <v>0</v>
      </c>
      <c r="N210" s="130">
        <f t="shared" si="103"/>
        <v>0</v>
      </c>
      <c r="O210" s="442"/>
      <c r="P210" s="442"/>
      <c r="Q210" s="442"/>
      <c r="R210" s="442"/>
      <c r="S210" s="442"/>
      <c r="T210" s="442"/>
      <c r="U210" s="442"/>
      <c r="V210" s="132">
        <f t="shared" si="104"/>
        <v>0</v>
      </c>
      <c r="W210" s="133" t="str">
        <f t="shared" si="105"/>
        <v/>
      </c>
      <c r="X210" s="132"/>
      <c r="Y210" s="132"/>
      <c r="Z210" s="132"/>
      <c r="AA210" s="132"/>
    </row>
    <row r="211" spans="1:27" ht="20.100000000000001" customHeight="1">
      <c r="A211" s="300">
        <v>30100022</v>
      </c>
      <c r="B211" s="437" t="s">
        <v>208</v>
      </c>
      <c r="C211" s="126" t="s">
        <v>186</v>
      </c>
      <c r="D211" s="108">
        <v>5.08</v>
      </c>
      <c r="E211" s="108"/>
      <c r="F211" s="127">
        <v>42740</v>
      </c>
      <c r="G211" s="128">
        <f>108*3+63</f>
        <v>387</v>
      </c>
      <c r="H211" s="438">
        <f t="shared" si="92"/>
        <v>1965.96</v>
      </c>
      <c r="I211" s="129">
        <f>6.5*3</f>
        <v>19.5</v>
      </c>
      <c r="J211" s="130">
        <f t="array" ref="J211">IF(ISERROR(G211/I211),"",G211/I211)</f>
        <v>19.846153846153847</v>
      </c>
      <c r="K211" s="131">
        <f t="array" ref="K211">IF(ISERROR(G211/L211),"",G211/L211)</f>
        <v>18.428571428571427</v>
      </c>
      <c r="L211" s="129">
        <v>21</v>
      </c>
      <c r="M211" s="109">
        <f t="shared" si="102"/>
        <v>1.071428571428573</v>
      </c>
      <c r="N211" s="130">
        <f t="shared" si="103"/>
        <v>0</v>
      </c>
      <c r="O211" s="442"/>
      <c r="P211" s="442"/>
      <c r="Q211" s="442"/>
      <c r="R211" s="442"/>
      <c r="S211" s="442"/>
      <c r="T211" s="442"/>
      <c r="U211" s="442"/>
      <c r="V211" s="132">
        <f t="shared" si="104"/>
        <v>0</v>
      </c>
      <c r="W211" s="133">
        <f t="shared" si="105"/>
        <v>0</v>
      </c>
      <c r="X211" s="132"/>
      <c r="Y211" s="132"/>
      <c r="Z211" s="132"/>
      <c r="AA211" s="132"/>
    </row>
    <row r="212" spans="1:27" ht="20.100000000000001" customHeight="1">
      <c r="A212" s="300">
        <v>30100029</v>
      </c>
      <c r="B212" s="437" t="s">
        <v>208</v>
      </c>
      <c r="C212" s="126" t="s">
        <v>203</v>
      </c>
      <c r="D212" s="108">
        <v>5.08</v>
      </c>
      <c r="E212" s="108"/>
      <c r="F212" s="127">
        <v>42740</v>
      </c>
      <c r="G212" s="128">
        <f>108+17+108+108</f>
        <v>341</v>
      </c>
      <c r="H212" s="438">
        <f t="shared" si="92"/>
        <v>1732.28</v>
      </c>
      <c r="I212" s="129">
        <f>5*3</f>
        <v>15</v>
      </c>
      <c r="J212" s="130">
        <f t="array" ref="J212">IF(ISERROR(G212/I212),"",G212/I212)</f>
        <v>22.733333333333334</v>
      </c>
      <c r="K212" s="131">
        <f t="array" ref="K212">IF(ISERROR(G212/L212),"",G212/L212)</f>
        <v>16.238095238095237</v>
      </c>
      <c r="L212" s="129">
        <v>21</v>
      </c>
      <c r="M212" s="109">
        <f t="shared" si="102"/>
        <v>-1.2380952380952372</v>
      </c>
      <c r="N212" s="130">
        <f t="shared" si="103"/>
        <v>0</v>
      </c>
      <c r="O212" s="442"/>
      <c r="P212" s="442"/>
      <c r="Q212" s="442"/>
      <c r="R212" s="442"/>
      <c r="S212" s="442"/>
      <c r="T212" s="442"/>
      <c r="U212" s="442"/>
      <c r="V212" s="132">
        <f t="shared" si="104"/>
        <v>0</v>
      </c>
      <c r="W212" s="133">
        <f t="shared" si="105"/>
        <v>0</v>
      </c>
      <c r="X212" s="132"/>
      <c r="Y212" s="132"/>
      <c r="Z212" s="132"/>
      <c r="AA212" s="132"/>
    </row>
    <row r="213" spans="1:27" ht="20.100000000000001" hidden="1" customHeight="1">
      <c r="A213" s="300">
        <v>30100026</v>
      </c>
      <c r="B213" s="437" t="s">
        <v>208</v>
      </c>
      <c r="C213" s="126" t="s">
        <v>199</v>
      </c>
      <c r="D213" s="108">
        <v>5.08</v>
      </c>
      <c r="E213" s="108"/>
      <c r="F213" s="127"/>
      <c r="G213" s="128"/>
      <c r="H213" s="438">
        <f t="shared" si="92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2"/>
        <v>0</v>
      </c>
      <c r="N213" s="130">
        <f t="shared" si="103"/>
        <v>0</v>
      </c>
      <c r="O213" s="446"/>
      <c r="P213" s="446"/>
      <c r="Q213" s="446"/>
      <c r="R213" s="446"/>
      <c r="S213" s="446"/>
      <c r="T213" s="446"/>
      <c r="U213" s="446"/>
      <c r="V213" s="132">
        <f t="shared" si="104"/>
        <v>0</v>
      </c>
      <c r="W213" s="133" t="str">
        <f t="shared" si="105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30100025</v>
      </c>
      <c r="B214" s="437" t="s">
        <v>208</v>
      </c>
      <c r="C214" s="126" t="s">
        <v>187</v>
      </c>
      <c r="D214" s="108">
        <v>5.08</v>
      </c>
      <c r="E214" s="108"/>
      <c r="F214" s="127"/>
      <c r="G214" s="128"/>
      <c r="H214" s="438">
        <f t="shared" si="92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2"/>
        <v>0</v>
      </c>
      <c r="N214" s="130">
        <f t="shared" si="103"/>
        <v>0</v>
      </c>
      <c r="O214" s="442"/>
      <c r="P214" s="442"/>
      <c r="Q214" s="442"/>
      <c r="R214" s="442"/>
      <c r="S214" s="442"/>
      <c r="T214" s="442"/>
      <c r="U214" s="442"/>
      <c r="V214" s="132">
        <f t="shared" si="104"/>
        <v>0</v>
      </c>
      <c r="W214" s="133" t="str">
        <f t="shared" si="105"/>
        <v/>
      </c>
      <c r="X214" s="132"/>
      <c r="Y214" s="132"/>
      <c r="Z214" s="132"/>
      <c r="AA214" s="132"/>
    </row>
    <row r="215" spans="1:27" ht="20.100000000000001" hidden="1" customHeight="1">
      <c r="A215" s="300">
        <v>30100028</v>
      </c>
      <c r="B215" s="437" t="s">
        <v>208</v>
      </c>
      <c r="C215" s="126" t="s">
        <v>207</v>
      </c>
      <c r="D215" s="108">
        <v>5.08</v>
      </c>
      <c r="E215" s="108"/>
      <c r="F215" s="127"/>
      <c r="G215" s="128"/>
      <c r="H215" s="438">
        <f t="shared" si="92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21</v>
      </c>
      <c r="M215" s="109">
        <f t="shared" si="102"/>
        <v>0</v>
      </c>
      <c r="N215" s="130">
        <f t="shared" si="103"/>
        <v>0</v>
      </c>
      <c r="O215" s="446"/>
      <c r="P215" s="446"/>
      <c r="Q215" s="446"/>
      <c r="R215" s="446"/>
      <c r="S215" s="446"/>
      <c r="T215" s="446"/>
      <c r="U215" s="446"/>
      <c r="V215" s="132">
        <f t="shared" si="104"/>
        <v>0</v>
      </c>
      <c r="W215" s="133" t="str">
        <f t="shared" si="105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30100032</v>
      </c>
      <c r="B216" s="437" t="s">
        <v>209</v>
      </c>
      <c r="C216" s="126" t="s">
        <v>194</v>
      </c>
      <c r="D216" s="108">
        <v>5.03</v>
      </c>
      <c r="E216" s="108"/>
      <c r="F216" s="127"/>
      <c r="G216" s="128"/>
      <c r="H216" s="438">
        <f t="shared" si="92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2"/>
        <v>0</v>
      </c>
      <c r="N216" s="130">
        <f t="shared" si="103"/>
        <v>0</v>
      </c>
      <c r="O216" s="442"/>
      <c r="P216" s="442"/>
      <c r="Q216" s="442"/>
      <c r="R216" s="442"/>
      <c r="S216" s="442"/>
      <c r="T216" s="442"/>
      <c r="U216" s="442"/>
      <c r="V216" s="132">
        <f t="shared" si="104"/>
        <v>0</v>
      </c>
      <c r="W216" s="133" t="str">
        <f t="shared" si="105"/>
        <v/>
      </c>
      <c r="X216" s="132"/>
      <c r="Y216" s="132"/>
      <c r="Z216" s="132"/>
      <c r="AA216" s="132"/>
    </row>
    <row r="217" spans="1:27" ht="20.100000000000001" hidden="1" customHeight="1">
      <c r="A217" s="300">
        <v>30100033</v>
      </c>
      <c r="B217" s="437" t="s">
        <v>209</v>
      </c>
      <c r="C217" s="126" t="s">
        <v>179</v>
      </c>
      <c r="D217" s="108">
        <v>5.03</v>
      </c>
      <c r="E217" s="108"/>
      <c r="F217" s="127"/>
      <c r="G217" s="128"/>
      <c r="H217" s="438">
        <f t="shared" si="92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2"/>
        <v>0</v>
      </c>
      <c r="N217" s="130">
        <f t="shared" si="103"/>
        <v>0</v>
      </c>
      <c r="O217" s="442"/>
      <c r="P217" s="442"/>
      <c r="Q217" s="442"/>
      <c r="R217" s="442"/>
      <c r="S217" s="442"/>
      <c r="T217" s="442"/>
      <c r="U217" s="442"/>
      <c r="V217" s="132">
        <f t="shared" si="104"/>
        <v>0</v>
      </c>
      <c r="W217" s="133" t="str">
        <f t="shared" si="105"/>
        <v/>
      </c>
      <c r="X217" s="132"/>
      <c r="Y217" s="132"/>
      <c r="Z217" s="132"/>
      <c r="AA217" s="132"/>
    </row>
    <row r="218" spans="1:27" ht="20.100000000000001" customHeight="1">
      <c r="A218" s="300">
        <v>30100062</v>
      </c>
      <c r="B218" s="437" t="s">
        <v>209</v>
      </c>
      <c r="C218" s="126" t="s">
        <v>195</v>
      </c>
      <c r="D218" s="108">
        <v>5.03</v>
      </c>
      <c r="E218" s="108"/>
      <c r="F218" s="127">
        <v>42737</v>
      </c>
      <c r="G218" s="128">
        <f>108+108+108+40</f>
        <v>364</v>
      </c>
      <c r="H218" s="438">
        <f t="shared" si="92"/>
        <v>1830.92</v>
      </c>
      <c r="I218" s="129">
        <v>6.5</v>
      </c>
      <c r="J218" s="130">
        <f t="array" ref="J218">IF(ISERROR(G218/I218),"",G218/I218)</f>
        <v>56</v>
      </c>
      <c r="K218" s="131">
        <f t="array" ref="K218">IF(ISERROR(G218/L218),"",G218/L218)</f>
        <v>6.5</v>
      </c>
      <c r="L218" s="129">
        <v>56</v>
      </c>
      <c r="M218" s="109">
        <f t="shared" si="102"/>
        <v>0</v>
      </c>
      <c r="N218" s="130">
        <f t="shared" si="103"/>
        <v>0</v>
      </c>
      <c r="O218" s="442"/>
      <c r="P218" s="442"/>
      <c r="Q218" s="442"/>
      <c r="R218" s="442"/>
      <c r="S218" s="442"/>
      <c r="T218" s="442"/>
      <c r="U218" s="442"/>
      <c r="V218" s="132">
        <f t="shared" si="104"/>
        <v>0</v>
      </c>
      <c r="W218" s="133">
        <f t="shared" si="105"/>
        <v>0</v>
      </c>
      <c r="X218" s="132"/>
      <c r="Y218" s="132"/>
      <c r="Z218" s="132"/>
      <c r="AA218" s="132"/>
    </row>
    <row r="219" spans="1:27" ht="20.100000000000001" hidden="1" customHeight="1">
      <c r="A219" s="300">
        <v>30100031</v>
      </c>
      <c r="B219" s="437" t="s">
        <v>209</v>
      </c>
      <c r="C219" s="126" t="s">
        <v>204</v>
      </c>
      <c r="D219" s="108">
        <v>5.03</v>
      </c>
      <c r="E219" s="108"/>
      <c r="F219" s="127"/>
      <c r="G219" s="128"/>
      <c r="H219" s="438">
        <f t="shared" si="92"/>
        <v>0</v>
      </c>
      <c r="I219" s="129"/>
      <c r="J219" s="130" t="str">
        <f t="array" ref="J219">IF(ISERROR(G219/I219),"",G219/I219)</f>
        <v/>
      </c>
      <c r="K219" s="131">
        <f t="array" ref="K219">IF(ISERROR(G219/L219),"",G219/L219)</f>
        <v>0</v>
      </c>
      <c r="L219" s="129">
        <v>56</v>
      </c>
      <c r="M219" s="109">
        <f t="shared" si="102"/>
        <v>0</v>
      </c>
      <c r="N219" s="130">
        <f t="shared" si="103"/>
        <v>0</v>
      </c>
      <c r="O219" s="442"/>
      <c r="P219" s="442"/>
      <c r="Q219" s="442"/>
      <c r="R219" s="442"/>
      <c r="S219" s="442"/>
      <c r="T219" s="442"/>
      <c r="U219" s="442"/>
      <c r="V219" s="132">
        <f t="shared" si="104"/>
        <v>0</v>
      </c>
      <c r="W219" s="133" t="str">
        <f t="shared" si="105"/>
        <v/>
      </c>
      <c r="X219" s="132"/>
      <c r="Y219" s="132"/>
      <c r="Z219" s="132"/>
      <c r="AA219" s="132"/>
    </row>
    <row r="220" spans="1:27" ht="20.100000000000001" hidden="1" customHeight="1">
      <c r="A220" s="300">
        <v>30100019</v>
      </c>
      <c r="B220" s="437" t="s">
        <v>382</v>
      </c>
      <c r="C220" s="187" t="s">
        <v>383</v>
      </c>
      <c r="D220" s="108">
        <v>5.03</v>
      </c>
      <c r="E220" s="108"/>
      <c r="F220" s="127"/>
      <c r="G220" s="128"/>
      <c r="H220" s="438">
        <f t="shared" si="92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2"/>
        <v>0</v>
      </c>
      <c r="N220" s="130">
        <f t="shared" si="103"/>
        <v>0</v>
      </c>
      <c r="O220" s="442"/>
      <c r="P220" s="442"/>
      <c r="Q220" s="442"/>
      <c r="R220" s="442"/>
      <c r="S220" s="442"/>
      <c r="T220" s="442"/>
      <c r="U220" s="442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30100020</v>
      </c>
      <c r="B221" s="437" t="s">
        <v>382</v>
      </c>
      <c r="C221" s="187" t="s">
        <v>384</v>
      </c>
      <c r="D221" s="108">
        <v>5.03</v>
      </c>
      <c r="E221" s="108"/>
      <c r="F221" s="127"/>
      <c r="G221" s="128"/>
      <c r="H221" s="438">
        <f t="shared" si="92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2"/>
        <v>0</v>
      </c>
      <c r="N221" s="130">
        <f t="shared" si="103"/>
        <v>0</v>
      </c>
      <c r="O221" s="442"/>
      <c r="P221" s="442"/>
      <c r="Q221" s="442"/>
      <c r="R221" s="442"/>
      <c r="S221" s="442"/>
      <c r="T221" s="442"/>
      <c r="U221" s="442"/>
      <c r="V221" s="132"/>
      <c r="W221" s="133"/>
      <c r="X221" s="132"/>
      <c r="Y221" s="132"/>
      <c r="Z221" s="132"/>
      <c r="AA221" s="132"/>
    </row>
    <row r="222" spans="1:27" ht="20.100000000000001" customHeight="1">
      <c r="A222" s="300">
        <v>30100021</v>
      </c>
      <c r="B222" s="437" t="s">
        <v>382</v>
      </c>
      <c r="C222" s="187" t="s">
        <v>389</v>
      </c>
      <c r="D222" s="108">
        <v>5.03</v>
      </c>
      <c r="E222" s="108"/>
      <c r="F222" s="127">
        <v>42739</v>
      </c>
      <c r="G222" s="128">
        <f>90+90*6+33+39</f>
        <v>702</v>
      </c>
      <c r="H222" s="438">
        <f t="shared" si="92"/>
        <v>3531.0600000000004</v>
      </c>
      <c r="I222" s="129">
        <v>11.5</v>
      </c>
      <c r="J222" s="130">
        <f t="array" ref="J222">IF(ISERROR(G222/I222),"",G222/I222)</f>
        <v>61.043478260869563</v>
      </c>
      <c r="K222" s="131">
        <f t="array" ref="K222">IF(ISERROR(G222/L222),"",G222/L222)</f>
        <v>13</v>
      </c>
      <c r="L222" s="129">
        <v>54</v>
      </c>
      <c r="M222" s="109">
        <f t="shared" si="102"/>
        <v>-1.5</v>
      </c>
      <c r="N222" s="130">
        <f t="shared" si="103"/>
        <v>0</v>
      </c>
      <c r="O222" s="442"/>
      <c r="P222" s="442"/>
      <c r="Q222" s="442"/>
      <c r="R222" s="442"/>
      <c r="S222" s="442"/>
      <c r="T222" s="442"/>
      <c r="U222" s="442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0">
        <v>30100018</v>
      </c>
      <c r="B223" s="437" t="s">
        <v>382</v>
      </c>
      <c r="C223" s="187" t="s">
        <v>391</v>
      </c>
      <c r="D223" s="108">
        <v>5.03</v>
      </c>
      <c r="E223" s="108"/>
      <c r="F223" s="127"/>
      <c r="G223" s="128"/>
      <c r="H223" s="438">
        <f t="shared" si="92"/>
        <v>0</v>
      </c>
      <c r="I223" s="129"/>
      <c r="J223" s="130"/>
      <c r="K223" s="131">
        <f t="array" ref="K223">IF(ISERROR(G223/L223),"",G223/L223)</f>
        <v>0</v>
      </c>
      <c r="L223" s="129">
        <v>54</v>
      </c>
      <c r="M223" s="109">
        <f t="shared" si="102"/>
        <v>0</v>
      </c>
      <c r="N223" s="130">
        <f t="shared" si="103"/>
        <v>0</v>
      </c>
      <c r="O223" s="442"/>
      <c r="P223" s="442"/>
      <c r="Q223" s="442"/>
      <c r="R223" s="442"/>
      <c r="S223" s="442"/>
      <c r="T223" s="442"/>
      <c r="U223" s="442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30700007</v>
      </c>
      <c r="B224" s="437" t="s">
        <v>418</v>
      </c>
      <c r="C224" s="187" t="s">
        <v>364</v>
      </c>
      <c r="D224" s="108">
        <v>5.03</v>
      </c>
      <c r="E224" s="108"/>
      <c r="F224" s="127"/>
      <c r="G224" s="128"/>
      <c r="H224" s="438">
        <f t="shared" si="92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2"/>
        <v>0</v>
      </c>
      <c r="N224" s="130">
        <f t="shared" si="103"/>
        <v>0</v>
      </c>
      <c r="O224" s="442"/>
      <c r="P224" s="442"/>
      <c r="Q224" s="442"/>
      <c r="R224" s="442"/>
      <c r="S224" s="442"/>
      <c r="T224" s="442"/>
      <c r="U224" s="442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30700006</v>
      </c>
      <c r="B225" s="437" t="s">
        <v>418</v>
      </c>
      <c r="C225" s="187" t="s">
        <v>365</v>
      </c>
      <c r="D225" s="108">
        <v>5.03</v>
      </c>
      <c r="E225" s="108"/>
      <c r="F225" s="127"/>
      <c r="G225" s="128"/>
      <c r="H225" s="438">
        <f t="shared" si="92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2"/>
        <v>0</v>
      </c>
      <c r="N225" s="130">
        <f t="shared" si="103"/>
        <v>0</v>
      </c>
      <c r="O225" s="442"/>
      <c r="P225" s="442"/>
      <c r="Q225" s="442"/>
      <c r="R225" s="442"/>
      <c r="S225" s="442"/>
      <c r="T225" s="442"/>
      <c r="U225" s="442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30700008</v>
      </c>
      <c r="B226" s="437" t="s">
        <v>418</v>
      </c>
      <c r="C226" s="187" t="s">
        <v>366</v>
      </c>
      <c r="D226" s="108">
        <v>5.03</v>
      </c>
      <c r="E226" s="108"/>
      <c r="F226" s="127"/>
      <c r="G226" s="128"/>
      <c r="H226" s="438">
        <f t="shared" si="92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2"/>
        <v>0</v>
      </c>
      <c r="N226" s="130">
        <f t="shared" si="103"/>
        <v>0</v>
      </c>
      <c r="O226" s="442"/>
      <c r="P226" s="442"/>
      <c r="Q226" s="442"/>
      <c r="R226" s="442"/>
      <c r="S226" s="442"/>
      <c r="T226" s="442"/>
      <c r="U226" s="442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3">
        <v>30700009</v>
      </c>
      <c r="B227" s="437" t="s">
        <v>418</v>
      </c>
      <c r="C227" s="187" t="s">
        <v>367</v>
      </c>
      <c r="D227" s="108">
        <v>5.03</v>
      </c>
      <c r="E227" s="108"/>
      <c r="F227" s="127"/>
      <c r="G227" s="128"/>
      <c r="H227" s="438">
        <f t="shared" si="92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102"/>
        <v>0</v>
      </c>
      <c r="N227" s="130">
        <f t="shared" si="103"/>
        <v>0</v>
      </c>
      <c r="O227" s="442"/>
      <c r="P227" s="442"/>
      <c r="Q227" s="442"/>
      <c r="R227" s="442"/>
      <c r="S227" s="442"/>
      <c r="T227" s="442"/>
      <c r="U227" s="442"/>
      <c r="V227" s="132"/>
      <c r="W227" s="133"/>
      <c r="X227" s="132"/>
      <c r="Y227" s="132"/>
      <c r="Z227" s="132"/>
      <c r="AA227" s="132"/>
    </row>
    <row r="228" spans="1:27" ht="20.100000000000001" hidden="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/>
      <c r="G228" s="128"/>
      <c r="H228" s="438">
        <f t="shared" si="92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2"/>
        <v>0</v>
      </c>
      <c r="N228" s="130">
        <f t="shared" si="103"/>
        <v>0</v>
      </c>
      <c r="O228" s="446"/>
      <c r="P228" s="446"/>
      <c r="Q228" s="446"/>
      <c r="R228" s="446"/>
      <c r="S228" s="446"/>
      <c r="T228" s="446"/>
      <c r="U228" s="446"/>
      <c r="V228" s="132">
        <f t="shared" ref="V228:V237" si="106">SUM(X228:AA228)</f>
        <v>0</v>
      </c>
      <c r="W228" s="133" t="str">
        <f t="shared" ref="W228:W237" si="107">IF(ISERROR(V228/G228),"",V228/G228)</f>
        <v/>
      </c>
      <c r="X228" s="132"/>
      <c r="Y228" s="132"/>
      <c r="Z228" s="132"/>
      <c r="AA228" s="132"/>
    </row>
    <row r="229" spans="1:27" ht="20.100000000000001" hidden="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/>
      <c r="G229" s="128"/>
      <c r="H229" s="438">
        <f t="shared" si="92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2"/>
        <v>0</v>
      </c>
      <c r="N229" s="130">
        <f t="shared" si="103"/>
        <v>0</v>
      </c>
      <c r="O229" s="446"/>
      <c r="P229" s="446"/>
      <c r="Q229" s="446"/>
      <c r="R229" s="446"/>
      <c r="S229" s="446"/>
      <c r="T229" s="446"/>
      <c r="U229" s="446"/>
      <c r="V229" s="132">
        <f t="shared" si="106"/>
        <v>0</v>
      </c>
      <c r="W229" s="133" t="str">
        <f t="shared" si="107"/>
        <v/>
      </c>
      <c r="X229" s="132"/>
      <c r="Y229" s="132"/>
      <c r="Z229" s="132"/>
      <c r="AA229" s="132"/>
    </row>
    <row r="230" spans="1:27" ht="20.100000000000001" hidden="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/>
      <c r="G230" s="128"/>
      <c r="H230" s="438">
        <f t="shared" si="92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40</v>
      </c>
      <c r="M230" s="109">
        <f t="shared" si="102"/>
        <v>0</v>
      </c>
      <c r="N230" s="130">
        <f t="shared" si="103"/>
        <v>0</v>
      </c>
      <c r="O230" s="446"/>
      <c r="P230" s="446"/>
      <c r="Q230" s="446"/>
      <c r="R230" s="446"/>
      <c r="S230" s="446"/>
      <c r="T230" s="446"/>
      <c r="U230" s="446"/>
      <c r="V230" s="132">
        <f t="shared" si="106"/>
        <v>0</v>
      </c>
      <c r="W230" s="133" t="str">
        <f t="shared" si="107"/>
        <v/>
      </c>
      <c r="X230" s="132"/>
      <c r="Y230" s="132"/>
      <c r="Z230" s="132"/>
      <c r="AA230" s="132"/>
    </row>
    <row r="231" spans="1:27" ht="20.100000000000001" hidden="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28"/>
      <c r="H231" s="438">
        <f t="shared" si="92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2"/>
        <v>0</v>
      </c>
      <c r="N231" s="130">
        <f t="shared" si="103"/>
        <v>0</v>
      </c>
      <c r="O231" s="446"/>
      <c r="P231" s="446"/>
      <c r="Q231" s="446"/>
      <c r="R231" s="446"/>
      <c r="S231" s="446"/>
      <c r="T231" s="446"/>
      <c r="U231" s="446"/>
      <c r="V231" s="132">
        <f t="shared" si="106"/>
        <v>0</v>
      </c>
      <c r="W231" s="133" t="str">
        <f t="shared" si="107"/>
        <v/>
      </c>
      <c r="X231" s="132"/>
      <c r="Y231" s="132"/>
      <c r="Z231" s="132"/>
      <c r="AA231" s="132"/>
    </row>
    <row r="232" spans="1:27" ht="20.100000000000001" hidden="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28"/>
      <c r="H232" s="438">
        <f t="shared" si="92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2"/>
        <v>0</v>
      </c>
      <c r="N232" s="130">
        <f t="shared" si="103"/>
        <v>0</v>
      </c>
      <c r="O232" s="446"/>
      <c r="P232" s="446"/>
      <c r="Q232" s="446"/>
      <c r="R232" s="446"/>
      <c r="S232" s="446"/>
      <c r="T232" s="446"/>
      <c r="U232" s="446"/>
      <c r="V232" s="132">
        <f t="shared" si="106"/>
        <v>0</v>
      </c>
      <c r="W232" s="133" t="str">
        <f t="shared" si="107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28"/>
      <c r="H233" s="438">
        <f t="shared" si="92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2"/>
        <v>0</v>
      </c>
      <c r="N233" s="130">
        <f t="shared" si="103"/>
        <v>0</v>
      </c>
      <c r="O233" s="446"/>
      <c r="P233" s="446"/>
      <c r="Q233" s="446"/>
      <c r="R233" s="446"/>
      <c r="S233" s="446"/>
      <c r="T233" s="446"/>
      <c r="U233" s="446"/>
      <c r="V233" s="132">
        <f t="shared" si="106"/>
        <v>0</v>
      </c>
      <c r="W233" s="133" t="str">
        <f t="shared" si="107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28"/>
      <c r="H234" s="438">
        <f t="shared" si="92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2"/>
        <v>0</v>
      </c>
      <c r="N234" s="130">
        <f t="shared" si="103"/>
        <v>0</v>
      </c>
      <c r="O234" s="446"/>
      <c r="P234" s="446"/>
      <c r="Q234" s="446"/>
      <c r="R234" s="446"/>
      <c r="S234" s="446"/>
      <c r="T234" s="446"/>
      <c r="U234" s="446"/>
      <c r="V234" s="132">
        <f t="shared" si="106"/>
        <v>0</v>
      </c>
      <c r="W234" s="133" t="str">
        <f t="shared" si="107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/>
      <c r="G235" s="128"/>
      <c r="H235" s="438">
        <f t="shared" si="92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2"/>
        <v>0</v>
      </c>
      <c r="N235" s="130">
        <f t="shared" si="103"/>
        <v>0</v>
      </c>
      <c r="O235" s="446"/>
      <c r="P235" s="446"/>
      <c r="Q235" s="446"/>
      <c r="R235" s="446"/>
      <c r="S235" s="446"/>
      <c r="T235" s="446"/>
      <c r="U235" s="446"/>
      <c r="V235" s="132">
        <f t="shared" si="106"/>
        <v>0</v>
      </c>
      <c r="W235" s="133" t="str">
        <f t="shared" si="107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/>
      <c r="G236" s="128"/>
      <c r="H236" s="438">
        <f t="shared" si="92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2"/>
        <v>0</v>
      </c>
      <c r="N236" s="130">
        <f t="shared" si="103"/>
        <v>0</v>
      </c>
      <c r="O236" s="446"/>
      <c r="P236" s="446"/>
      <c r="Q236" s="446"/>
      <c r="R236" s="446"/>
      <c r="S236" s="446"/>
      <c r="T236" s="446"/>
      <c r="U236" s="446"/>
      <c r="V236" s="132">
        <f t="shared" si="106"/>
        <v>0</v>
      </c>
      <c r="W236" s="133" t="str">
        <f t="shared" si="107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/>
      <c r="G237" s="128"/>
      <c r="H237" s="438">
        <f t="shared" si="92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50</v>
      </c>
      <c r="M237" s="109">
        <f t="shared" si="102"/>
        <v>0</v>
      </c>
      <c r="N237" s="130">
        <f t="shared" si="103"/>
        <v>0</v>
      </c>
      <c r="O237" s="446"/>
      <c r="P237" s="446"/>
      <c r="Q237" s="446"/>
      <c r="R237" s="446"/>
      <c r="S237" s="446"/>
      <c r="T237" s="446"/>
      <c r="U237" s="446"/>
      <c r="V237" s="132">
        <f t="shared" si="106"/>
        <v>0</v>
      </c>
      <c r="W237" s="133" t="str">
        <f t="shared" si="107"/>
        <v/>
      </c>
      <c r="X237" s="132"/>
      <c r="Y237" s="132"/>
      <c r="Z237" s="132"/>
      <c r="AA237" s="132"/>
    </row>
    <row r="238" spans="1:27" ht="20.100000000000001" hidden="1" customHeight="1">
      <c r="A238" s="300">
        <v>30100043</v>
      </c>
      <c r="B238" s="134" t="s">
        <v>429</v>
      </c>
      <c r="C238" s="187" t="s">
        <v>427</v>
      </c>
      <c r="D238" s="108">
        <v>5.03</v>
      </c>
      <c r="E238" s="108"/>
      <c r="F238" s="127"/>
      <c r="G238" s="128"/>
      <c r="H238" s="438">
        <f t="shared" si="92"/>
        <v>0</v>
      </c>
      <c r="I238" s="129"/>
      <c r="J238" s="130"/>
      <c r="K238" s="131"/>
      <c r="L238" s="129">
        <v>50</v>
      </c>
      <c r="M238" s="109"/>
      <c r="N238" s="130"/>
      <c r="O238" s="446"/>
      <c r="P238" s="446"/>
      <c r="Q238" s="446"/>
      <c r="R238" s="446"/>
      <c r="S238" s="446"/>
      <c r="T238" s="446"/>
      <c r="U238" s="446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/>
      <c r="G239" s="128"/>
      <c r="H239" s="438">
        <f t="shared" si="92"/>
        <v>0</v>
      </c>
      <c r="I239" s="129"/>
      <c r="J239" s="130"/>
      <c r="K239" s="131">
        <f t="array" ref="K239">IF(ISERROR(G239/L239),"",G239/L239)</f>
        <v>0</v>
      </c>
      <c r="L239" s="129">
        <v>50</v>
      </c>
      <c r="M239" s="109">
        <f t="shared" ref="M239:M250" si="108">IF(ISERROR(I239-K239),"",I239-K239)</f>
        <v>0</v>
      </c>
      <c r="N239" s="130"/>
      <c r="O239" s="446"/>
      <c r="P239" s="446"/>
      <c r="Q239" s="446"/>
      <c r="R239" s="446"/>
      <c r="S239" s="446"/>
      <c r="T239" s="446"/>
      <c r="U239" s="446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/>
      <c r="G240" s="128"/>
      <c r="H240" s="438">
        <f t="shared" si="92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8"/>
        <v>0</v>
      </c>
      <c r="N240" s="130">
        <f t="shared" ref="N240:N241" si="109">SUM(O240:U240)</f>
        <v>0</v>
      </c>
      <c r="O240" s="446"/>
      <c r="P240" s="446"/>
      <c r="Q240" s="446"/>
      <c r="R240" s="446"/>
      <c r="S240" s="446"/>
      <c r="T240" s="446"/>
      <c r="U240" s="446"/>
      <c r="V240" s="132">
        <f t="shared" ref="V240:V241" si="110">SUM(X240:AA240)</f>
        <v>0</v>
      </c>
      <c r="W240" s="133" t="str">
        <f t="shared" ref="W240:W241" si="111">IF(ISERROR(V240/G240),"",V240/G240)</f>
        <v/>
      </c>
      <c r="X240" s="132"/>
      <c r="Y240" s="132"/>
      <c r="Z240" s="132"/>
      <c r="AA240" s="132"/>
    </row>
    <row r="241" spans="1:27" ht="20.100000000000001" hidden="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/>
      <c r="G241" s="128"/>
      <c r="H241" s="438">
        <f t="shared" si="92"/>
        <v>0</v>
      </c>
      <c r="I241" s="129"/>
      <c r="J241" s="130" t="str">
        <f t="array" ref="J241">IF(ISERROR(G241/I241),"",G241/I241)</f>
        <v/>
      </c>
      <c r="K241" s="131">
        <f t="array" ref="K241">IF(ISERROR(G241/L241),"",G241/L241)</f>
        <v>0</v>
      </c>
      <c r="L241" s="129">
        <v>21.5</v>
      </c>
      <c r="M241" s="109">
        <f t="shared" si="108"/>
        <v>0</v>
      </c>
      <c r="N241" s="130">
        <f t="shared" si="109"/>
        <v>0</v>
      </c>
      <c r="O241" s="446"/>
      <c r="P241" s="446"/>
      <c r="Q241" s="446"/>
      <c r="R241" s="446"/>
      <c r="S241" s="446"/>
      <c r="T241" s="446"/>
      <c r="U241" s="446"/>
      <c r="V241" s="132">
        <f t="shared" si="110"/>
        <v>0</v>
      </c>
      <c r="W241" s="133" t="str">
        <f t="shared" si="111"/>
        <v/>
      </c>
      <c r="X241" s="132"/>
      <c r="Y241" s="132"/>
      <c r="Z241" s="132"/>
      <c r="AA241" s="132"/>
    </row>
    <row r="242" spans="1:27" ht="20.100000000000001" hidden="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28"/>
      <c r="H242" s="438">
        <f t="shared" si="92"/>
        <v>0</v>
      </c>
      <c r="I242" s="129"/>
      <c r="J242" s="130"/>
      <c r="K242" s="131"/>
      <c r="L242" s="129"/>
      <c r="M242" s="109">
        <f t="shared" si="108"/>
        <v>0</v>
      </c>
      <c r="N242" s="130"/>
      <c r="O242" s="446"/>
      <c r="P242" s="446"/>
      <c r="Q242" s="446"/>
      <c r="R242" s="446"/>
      <c r="S242" s="446"/>
      <c r="T242" s="446"/>
      <c r="U242" s="446"/>
      <c r="V242" s="132"/>
      <c r="W242" s="133"/>
      <c r="X242" s="132"/>
      <c r="Y242" s="132"/>
      <c r="Z242" s="132"/>
      <c r="AA242" s="132"/>
    </row>
    <row r="243" spans="1:27" ht="20.100000000000001" hidden="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28"/>
      <c r="H243" s="438">
        <f t="shared" si="92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8"/>
        <v/>
      </c>
      <c r="N243" s="130">
        <f t="shared" ref="N243:N246" si="112">SUM(O243:U243)</f>
        <v>0</v>
      </c>
      <c r="O243" s="446"/>
      <c r="P243" s="446"/>
      <c r="Q243" s="446"/>
      <c r="R243" s="446"/>
      <c r="S243" s="446"/>
      <c r="T243" s="446"/>
      <c r="U243" s="446"/>
      <c r="V243" s="132">
        <f t="shared" ref="V243:V246" si="113">SUM(X243:AA243)</f>
        <v>0</v>
      </c>
      <c r="W243" s="133" t="str">
        <f t="shared" ref="W243:W246" si="114">IF(ISERROR(V243/G243),"",V243/G243)</f>
        <v/>
      </c>
      <c r="X243" s="132"/>
      <c r="Y243" s="132"/>
      <c r="Z243" s="132"/>
      <c r="AA243" s="132"/>
    </row>
    <row r="244" spans="1:27" ht="20.100000000000001" hidden="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28"/>
      <c r="H244" s="438">
        <f t="shared" si="92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8"/>
        <v/>
      </c>
      <c r="N244" s="130">
        <f t="shared" si="112"/>
        <v>0</v>
      </c>
      <c r="O244" s="446"/>
      <c r="P244" s="446"/>
      <c r="Q244" s="446"/>
      <c r="R244" s="446"/>
      <c r="S244" s="446"/>
      <c r="T244" s="446"/>
      <c r="U244" s="446"/>
      <c r="V244" s="132">
        <f t="shared" si="113"/>
        <v>0</v>
      </c>
      <c r="W244" s="133" t="str">
        <f t="shared" si="114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28"/>
      <c r="H245" s="438">
        <f t="shared" si="92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8"/>
        <v/>
      </c>
      <c r="N245" s="130">
        <f t="shared" si="112"/>
        <v>0</v>
      </c>
      <c r="O245" s="446"/>
      <c r="P245" s="446"/>
      <c r="Q245" s="446"/>
      <c r="R245" s="446"/>
      <c r="S245" s="446"/>
      <c r="T245" s="446"/>
      <c r="U245" s="446"/>
      <c r="V245" s="132">
        <f t="shared" si="113"/>
        <v>0</v>
      </c>
      <c r="W245" s="133" t="str">
        <f t="shared" si="114"/>
        <v/>
      </c>
      <c r="X245" s="132"/>
      <c r="Y245" s="132"/>
      <c r="Z245" s="132"/>
      <c r="AA245" s="132"/>
    </row>
    <row r="246" spans="1:27" ht="20.100000000000001" hidden="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28"/>
      <c r="H246" s="438">
        <f t="shared" si="92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8"/>
        <v/>
      </c>
      <c r="N246" s="130">
        <f t="shared" si="112"/>
        <v>0</v>
      </c>
      <c r="O246" s="446"/>
      <c r="P246" s="446"/>
      <c r="Q246" s="446"/>
      <c r="R246" s="446"/>
      <c r="S246" s="446"/>
      <c r="T246" s="446"/>
      <c r="U246" s="446"/>
      <c r="V246" s="132">
        <f t="shared" si="113"/>
        <v>0</v>
      </c>
      <c r="W246" s="133" t="str">
        <f t="shared" si="114"/>
        <v/>
      </c>
      <c r="X246" s="132"/>
      <c r="Y246" s="132"/>
      <c r="Z246" s="132"/>
      <c r="AA246" s="132"/>
    </row>
    <row r="247" spans="1:27" ht="20.100000000000001" hidden="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28"/>
      <c r="H247" s="438">
        <f t="shared" si="92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8"/>
        <v>0</v>
      </c>
      <c r="N247" s="130"/>
      <c r="O247" s="446"/>
      <c r="P247" s="446"/>
      <c r="Q247" s="446"/>
      <c r="R247" s="446"/>
      <c r="S247" s="446"/>
      <c r="T247" s="446"/>
      <c r="U247" s="446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28"/>
      <c r="H248" s="438">
        <f t="shared" si="92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8"/>
        <v>0</v>
      </c>
      <c r="N248" s="130"/>
      <c r="O248" s="446"/>
      <c r="P248" s="446"/>
      <c r="Q248" s="446"/>
      <c r="R248" s="446"/>
      <c r="S248" s="446"/>
      <c r="T248" s="446"/>
      <c r="U248" s="446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28"/>
      <c r="H249" s="438">
        <f t="shared" si="92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8"/>
        <v>0</v>
      </c>
      <c r="N249" s="130"/>
      <c r="O249" s="446"/>
      <c r="P249" s="446"/>
      <c r="Q249" s="446"/>
      <c r="R249" s="446"/>
      <c r="S249" s="446"/>
      <c r="T249" s="446"/>
      <c r="U249" s="446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28"/>
      <c r="H250" s="438">
        <f t="shared" si="92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8"/>
        <v>0</v>
      </c>
      <c r="N250" s="130"/>
      <c r="O250" s="446"/>
      <c r="P250" s="446"/>
      <c r="Q250" s="446"/>
      <c r="R250" s="446"/>
      <c r="S250" s="446"/>
      <c r="T250" s="446"/>
      <c r="U250" s="446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28"/>
      <c r="H251" s="438">
        <f t="shared" si="92"/>
        <v>0</v>
      </c>
      <c r="I251" s="129"/>
      <c r="J251" s="130"/>
      <c r="K251" s="131"/>
      <c r="L251" s="129">
        <v>4</v>
      </c>
      <c r="M251" s="109"/>
      <c r="N251" s="130"/>
      <c r="O251" s="446"/>
      <c r="P251" s="446"/>
      <c r="Q251" s="446"/>
      <c r="R251" s="446"/>
      <c r="S251" s="446"/>
      <c r="T251" s="446"/>
      <c r="U251" s="446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28"/>
      <c r="H252" s="438">
        <f t="shared" si="92"/>
        <v>0</v>
      </c>
      <c r="I252" s="129"/>
      <c r="J252" s="130"/>
      <c r="K252" s="131"/>
      <c r="L252" s="129">
        <v>4</v>
      </c>
      <c r="M252" s="109"/>
      <c r="N252" s="130"/>
      <c r="O252" s="446"/>
      <c r="P252" s="446"/>
      <c r="Q252" s="446"/>
      <c r="R252" s="446"/>
      <c r="S252" s="446"/>
      <c r="T252" s="446"/>
      <c r="U252" s="446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28"/>
      <c r="H253" s="438">
        <f t="shared" si="92"/>
        <v>0</v>
      </c>
      <c r="I253" s="129"/>
      <c r="J253" s="130"/>
      <c r="K253" s="131"/>
      <c r="L253" s="129">
        <v>4</v>
      </c>
      <c r="M253" s="109"/>
      <c r="N253" s="130"/>
      <c r="O253" s="446"/>
      <c r="P253" s="446"/>
      <c r="Q253" s="446"/>
      <c r="R253" s="446"/>
      <c r="S253" s="446"/>
      <c r="T253" s="446"/>
      <c r="U253" s="446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28"/>
      <c r="H254" s="438">
        <f t="shared" si="92"/>
        <v>0</v>
      </c>
      <c r="I254" s="129"/>
      <c r="J254" s="130"/>
      <c r="K254" s="131"/>
      <c r="L254" s="129">
        <v>4</v>
      </c>
      <c r="M254" s="109"/>
      <c r="N254" s="130"/>
      <c r="O254" s="446"/>
      <c r="P254" s="446"/>
      <c r="Q254" s="446"/>
      <c r="R254" s="446"/>
      <c r="S254" s="446"/>
      <c r="T254" s="446"/>
      <c r="U254" s="446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28"/>
      <c r="H255" s="438">
        <f t="shared" si="92"/>
        <v>0</v>
      </c>
      <c r="I255" s="129"/>
      <c r="J255" s="130"/>
      <c r="K255" s="131"/>
      <c r="L255" s="129">
        <v>4</v>
      </c>
      <c r="M255" s="109"/>
      <c r="N255" s="130"/>
      <c r="O255" s="446"/>
      <c r="P255" s="446"/>
      <c r="Q255" s="446"/>
      <c r="R255" s="446"/>
      <c r="S255" s="446"/>
      <c r="T255" s="446"/>
      <c r="U255" s="446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28"/>
      <c r="H256" s="438">
        <f t="shared" si="92"/>
        <v>0</v>
      </c>
      <c r="I256" s="129"/>
      <c r="J256" s="130"/>
      <c r="K256" s="131"/>
      <c r="L256" s="129">
        <v>4</v>
      </c>
      <c r="M256" s="109"/>
      <c r="N256" s="130"/>
      <c r="O256" s="446"/>
      <c r="P256" s="446"/>
      <c r="Q256" s="446"/>
      <c r="R256" s="446"/>
      <c r="S256" s="446"/>
      <c r="T256" s="446"/>
      <c r="U256" s="446"/>
      <c r="V256" s="132"/>
      <c r="W256" s="133"/>
      <c r="X256" s="132"/>
      <c r="Y256" s="132"/>
      <c r="Z256" s="132"/>
      <c r="AA256" s="132"/>
    </row>
    <row r="257" spans="1:27" ht="20.100000000000001" customHeight="1">
      <c r="A257" s="589" t="s">
        <v>216</v>
      </c>
      <c r="B257" s="589"/>
      <c r="C257" s="447" t="s">
        <v>202</v>
      </c>
      <c r="D257" s="143"/>
      <c r="E257" s="143"/>
      <c r="F257" s="144"/>
      <c r="G257" s="145">
        <f>SUM(G200:G256)</f>
        <v>2915</v>
      </c>
      <c r="H257" s="146">
        <f>SUM(H200:H256)</f>
        <v>14698.850000000002</v>
      </c>
      <c r="I257" s="146">
        <f>SUM(I200:I256)</f>
        <v>76.5</v>
      </c>
      <c r="J257" s="130">
        <f t="array" ref="J257">IF(ISERROR(G257/I257),"",G257/I257)</f>
        <v>38.104575163398692</v>
      </c>
      <c r="K257" s="146">
        <f>SUM(K200:K256)</f>
        <v>75.724358974358978</v>
      </c>
      <c r="L257" s="147"/>
      <c r="M257" s="150">
        <f t="shared" ref="M257:V257" si="115">SUM(M200:M256)</f>
        <v>0.77564102564102733</v>
      </c>
      <c r="N257" s="146">
        <f t="shared" si="115"/>
        <v>0</v>
      </c>
      <c r="O257" s="148">
        <f t="shared" si="115"/>
        <v>0</v>
      </c>
      <c r="P257" s="148">
        <f t="shared" si="115"/>
        <v>0</v>
      </c>
      <c r="Q257" s="148">
        <f t="shared" si="115"/>
        <v>0</v>
      </c>
      <c r="R257" s="148">
        <f t="shared" si="115"/>
        <v>0</v>
      </c>
      <c r="S257" s="148">
        <f t="shared" si="115"/>
        <v>0</v>
      </c>
      <c r="T257" s="148">
        <f t="shared" si="115"/>
        <v>0</v>
      </c>
      <c r="U257" s="148">
        <f t="shared" si="115"/>
        <v>0</v>
      </c>
      <c r="V257" s="149">
        <f t="shared" si="115"/>
        <v>0</v>
      </c>
      <c r="W257" s="133">
        <f t="shared" ref="W257:W264" si="116">IF(ISERROR(V257/G257),"",V257/G257)</f>
        <v>0</v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hidden="1" customHeight="1">
      <c r="A258" s="299">
        <v>30400012</v>
      </c>
      <c r="B258" s="437" t="s">
        <v>217</v>
      </c>
      <c r="C258" s="126" t="s">
        <v>179</v>
      </c>
      <c r="D258" s="108">
        <v>5.03</v>
      </c>
      <c r="E258" s="108"/>
      <c r="F258" s="127"/>
      <c r="G258" s="128"/>
      <c r="H258" s="438">
        <f t="shared" ref="H258:H291" si="117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8">IF(ISERROR(I258-K258),"",I258-K258)</f>
        <v>0</v>
      </c>
      <c r="N258" s="130">
        <f t="shared" ref="N258:N265" si="119">SUM(O258:U258)</f>
        <v>0</v>
      </c>
      <c r="O258" s="446"/>
      <c r="P258" s="446"/>
      <c r="Q258" s="446"/>
      <c r="R258" s="446"/>
      <c r="S258" s="446"/>
      <c r="T258" s="446"/>
      <c r="U258" s="446"/>
      <c r="V258" s="132">
        <f t="shared" ref="V258:V264" si="120">SUM(X258:AA258)</f>
        <v>0</v>
      </c>
      <c r="W258" s="133" t="str">
        <f t="shared" si="116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30400010</v>
      </c>
      <c r="B259" s="437" t="s">
        <v>217</v>
      </c>
      <c r="C259" s="126" t="s">
        <v>186</v>
      </c>
      <c r="D259" s="108">
        <v>5.03</v>
      </c>
      <c r="E259" s="108"/>
      <c r="F259" s="127"/>
      <c r="G259" s="128"/>
      <c r="H259" s="438">
        <f t="shared" si="117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8"/>
        <v>0</v>
      </c>
      <c r="N259" s="130">
        <f t="shared" si="119"/>
        <v>0</v>
      </c>
      <c r="O259" s="446"/>
      <c r="P259" s="446"/>
      <c r="Q259" s="446"/>
      <c r="R259" s="446"/>
      <c r="S259" s="446"/>
      <c r="T259" s="446"/>
      <c r="U259" s="446"/>
      <c r="V259" s="132">
        <f t="shared" si="120"/>
        <v>0</v>
      </c>
      <c r="W259" s="133" t="str">
        <f t="shared" si="116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30400011</v>
      </c>
      <c r="B260" s="437" t="s">
        <v>217</v>
      </c>
      <c r="C260" s="126" t="s">
        <v>204</v>
      </c>
      <c r="D260" s="108">
        <v>5.03</v>
      </c>
      <c r="E260" s="108"/>
      <c r="F260" s="127"/>
      <c r="G260" s="128"/>
      <c r="H260" s="438">
        <f t="shared" si="117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8.8000000000000007</v>
      </c>
      <c r="M260" s="109">
        <f t="shared" si="118"/>
        <v>0</v>
      </c>
      <c r="N260" s="130">
        <f t="shared" si="119"/>
        <v>0</v>
      </c>
      <c r="O260" s="446"/>
      <c r="P260" s="446"/>
      <c r="Q260" s="446"/>
      <c r="R260" s="446"/>
      <c r="S260" s="446"/>
      <c r="T260" s="446"/>
      <c r="U260" s="446"/>
      <c r="V260" s="132">
        <f t="shared" si="120"/>
        <v>0</v>
      </c>
      <c r="W260" s="133" t="str">
        <f t="shared" si="116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28"/>
      <c r="H261" s="438">
        <f t="shared" si="117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8"/>
        <v>0</v>
      </c>
      <c r="N261" s="130">
        <f t="shared" si="119"/>
        <v>0</v>
      </c>
      <c r="O261" s="446"/>
      <c r="P261" s="446"/>
      <c r="Q261" s="446"/>
      <c r="R261" s="446"/>
      <c r="S261" s="446"/>
      <c r="T261" s="446"/>
      <c r="U261" s="446"/>
      <c r="V261" s="132">
        <f t="shared" si="120"/>
        <v>0</v>
      </c>
      <c r="W261" s="133" t="str">
        <f t="shared" si="116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/>
      <c r="G262" s="128"/>
      <c r="H262" s="438">
        <f t="shared" si="117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8"/>
        <v>0</v>
      </c>
      <c r="N262" s="130">
        <f t="shared" si="119"/>
        <v>0</v>
      </c>
      <c r="O262" s="446"/>
      <c r="P262" s="446"/>
      <c r="Q262" s="446"/>
      <c r="R262" s="446"/>
      <c r="S262" s="446"/>
      <c r="T262" s="446"/>
      <c r="U262" s="446"/>
      <c r="V262" s="132">
        <f t="shared" si="120"/>
        <v>0</v>
      </c>
      <c r="W262" s="133" t="str">
        <f t="shared" si="116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/>
      <c r="G263" s="128"/>
      <c r="H263" s="438">
        <f t="shared" si="117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8"/>
        <v>0</v>
      </c>
      <c r="N263" s="130">
        <f t="shared" si="119"/>
        <v>0</v>
      </c>
      <c r="O263" s="446"/>
      <c r="P263" s="446"/>
      <c r="Q263" s="446"/>
      <c r="R263" s="446"/>
      <c r="S263" s="446"/>
      <c r="T263" s="446"/>
      <c r="U263" s="446"/>
      <c r="V263" s="132">
        <f t="shared" si="120"/>
        <v>0</v>
      </c>
      <c r="W263" s="133" t="str">
        <f t="shared" si="116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/>
      <c r="G264" s="128"/>
      <c r="H264" s="438">
        <f t="shared" si="117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9.3000000000000007</v>
      </c>
      <c r="M264" s="109">
        <f t="shared" si="118"/>
        <v>0</v>
      </c>
      <c r="N264" s="130">
        <f t="shared" si="119"/>
        <v>0</v>
      </c>
      <c r="O264" s="446"/>
      <c r="P264" s="446"/>
      <c r="Q264" s="446"/>
      <c r="R264" s="446"/>
      <c r="S264" s="446"/>
      <c r="T264" s="446"/>
      <c r="U264" s="446"/>
      <c r="V264" s="132">
        <f t="shared" si="120"/>
        <v>0</v>
      </c>
      <c r="W264" s="133" t="str">
        <f t="shared" si="116"/>
        <v/>
      </c>
      <c r="X264" s="132"/>
      <c r="Y264" s="132"/>
      <c r="Z264" s="132"/>
      <c r="AA264" s="132"/>
    </row>
    <row r="265" spans="1:27" ht="20.100000000000001" hidden="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/>
      <c r="G265" s="128"/>
      <c r="H265" s="438">
        <f t="shared" si="117"/>
        <v>0</v>
      </c>
      <c r="I265" s="129"/>
      <c r="J265" s="130"/>
      <c r="K265" s="131">
        <f t="array" ref="K265">IF(ISERROR(G265/L265),"",G265/L265)</f>
        <v>0</v>
      </c>
      <c r="L265" s="129">
        <v>9.3000000000000007</v>
      </c>
      <c r="M265" s="109">
        <f t="shared" si="118"/>
        <v>0</v>
      </c>
      <c r="N265" s="130">
        <f t="shared" si="119"/>
        <v>0</v>
      </c>
      <c r="O265" s="446"/>
      <c r="P265" s="446"/>
      <c r="Q265" s="446"/>
      <c r="R265" s="446"/>
      <c r="S265" s="446"/>
      <c r="T265" s="446"/>
      <c r="U265" s="446"/>
      <c r="V265" s="132"/>
      <c r="W265" s="133"/>
      <c r="X265" s="132"/>
      <c r="Y265" s="132"/>
      <c r="Z265" s="132"/>
      <c r="AA265" s="132"/>
    </row>
    <row r="266" spans="1:27" ht="20.100000000000001" hidden="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28"/>
      <c r="H266" s="438">
        <f t="shared" si="117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46"/>
      <c r="P266" s="446"/>
      <c r="Q266" s="446"/>
      <c r="R266" s="446"/>
      <c r="S266" s="446"/>
      <c r="T266" s="446"/>
      <c r="U266" s="446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28"/>
      <c r="H267" s="438">
        <f t="shared" si="117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446"/>
      <c r="P267" s="446"/>
      <c r="Q267" s="446"/>
      <c r="R267" s="446"/>
      <c r="S267" s="446"/>
      <c r="T267" s="446"/>
      <c r="U267" s="446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28"/>
      <c r="H268" s="438">
        <f t="shared" si="117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446"/>
      <c r="P268" s="446"/>
      <c r="Q268" s="446"/>
      <c r="R268" s="446"/>
      <c r="S268" s="446"/>
      <c r="T268" s="446"/>
      <c r="U268" s="446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28"/>
      <c r="H269" s="438">
        <f t="shared" si="117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446"/>
      <c r="P269" s="446"/>
      <c r="Q269" s="446"/>
      <c r="R269" s="446"/>
      <c r="S269" s="446"/>
      <c r="T269" s="446"/>
      <c r="U269" s="446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28"/>
      <c r="H270" s="438">
        <f t="shared" si="117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7" si="121">IF(ISERROR(I270-K270),"",I270-K270)</f>
        <v>0</v>
      </c>
      <c r="N270" s="130">
        <f t="shared" ref="N270:N285" si="122">SUM(O270:U270)</f>
        <v>0</v>
      </c>
      <c r="O270" s="446"/>
      <c r="P270" s="446"/>
      <c r="Q270" s="446"/>
      <c r="R270" s="446"/>
      <c r="S270" s="446"/>
      <c r="T270" s="446"/>
      <c r="U270" s="446"/>
      <c r="V270" s="132">
        <f t="shared" ref="V270:V273" si="123">SUM(X270:AA270)</f>
        <v>0</v>
      </c>
      <c r="W270" s="133" t="str">
        <f t="shared" ref="W270:W277" si="124">IF(ISERROR(V270/G270),"",V270/G270)</f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28"/>
      <c r="H271" s="438">
        <f t="shared" si="117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1"/>
        <v/>
      </c>
      <c r="N271" s="130">
        <f t="shared" si="122"/>
        <v>0</v>
      </c>
      <c r="O271" s="446"/>
      <c r="P271" s="446"/>
      <c r="Q271" s="446"/>
      <c r="R271" s="446"/>
      <c r="S271" s="446"/>
      <c r="T271" s="446"/>
      <c r="U271" s="446"/>
      <c r="V271" s="132">
        <f t="shared" si="123"/>
        <v>0</v>
      </c>
      <c r="W271" s="133" t="str">
        <f t="shared" si="124"/>
        <v/>
      </c>
      <c r="X271" s="132"/>
      <c r="Y271" s="132"/>
      <c r="Z271" s="132"/>
      <c r="AA271" s="132"/>
    </row>
    <row r="272" spans="1:27" ht="20.100000000000001" hidden="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28"/>
      <c r="H272" s="438">
        <f t="shared" si="117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1"/>
        <v/>
      </c>
      <c r="N272" s="130">
        <f t="shared" si="122"/>
        <v>0</v>
      </c>
      <c r="O272" s="446"/>
      <c r="P272" s="446"/>
      <c r="Q272" s="446"/>
      <c r="R272" s="446"/>
      <c r="S272" s="446"/>
      <c r="T272" s="446"/>
      <c r="U272" s="446"/>
      <c r="V272" s="132">
        <f t="shared" si="123"/>
        <v>0</v>
      </c>
      <c r="W272" s="133" t="str">
        <f t="shared" si="124"/>
        <v/>
      </c>
      <c r="X272" s="132"/>
      <c r="Y272" s="132"/>
      <c r="Z272" s="132"/>
      <c r="AA272" s="132"/>
    </row>
    <row r="273" spans="1:27" ht="20.100000000000001" hidden="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28"/>
      <c r="H273" s="438">
        <f t="shared" si="117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21"/>
        <v/>
      </c>
      <c r="N273" s="130">
        <f t="shared" si="122"/>
        <v>0</v>
      </c>
      <c r="O273" s="446"/>
      <c r="P273" s="446"/>
      <c r="Q273" s="446"/>
      <c r="R273" s="446"/>
      <c r="S273" s="446"/>
      <c r="T273" s="446"/>
      <c r="U273" s="446"/>
      <c r="V273" s="132">
        <f t="shared" si="123"/>
        <v>0</v>
      </c>
      <c r="W273" s="133" t="str">
        <f t="shared" si="124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30600005</v>
      </c>
      <c r="B274" s="437" t="s">
        <v>222</v>
      </c>
      <c r="C274" s="126" t="s">
        <v>181</v>
      </c>
      <c r="D274" s="108">
        <v>9.36</v>
      </c>
      <c r="E274" s="108"/>
      <c r="F274" s="127"/>
      <c r="G274" s="128"/>
      <c r="H274" s="438">
        <f t="shared" si="117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1"/>
        <v>0</v>
      </c>
      <c r="N274" s="130">
        <f t="shared" si="122"/>
        <v>0</v>
      </c>
      <c r="O274" s="446"/>
      <c r="P274" s="446"/>
      <c r="Q274" s="446"/>
      <c r="R274" s="446"/>
      <c r="S274" s="446"/>
      <c r="T274" s="446"/>
      <c r="U274" s="446"/>
      <c r="V274" s="132">
        <f t="shared" ref="V274:V277" si="125">SUM(X274:AA274)</f>
        <v>0</v>
      </c>
      <c r="W274" s="133" t="str">
        <f t="shared" si="124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30600008</v>
      </c>
      <c r="B275" s="437" t="s">
        <v>222</v>
      </c>
      <c r="C275" s="126" t="s">
        <v>179</v>
      </c>
      <c r="D275" s="108">
        <v>9.36</v>
      </c>
      <c r="E275" s="108"/>
      <c r="F275" s="127"/>
      <c r="G275" s="128"/>
      <c r="H275" s="438">
        <f t="shared" si="117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1"/>
        <v>0</v>
      </c>
      <c r="N275" s="130">
        <f t="shared" si="122"/>
        <v>0</v>
      </c>
      <c r="O275" s="446"/>
      <c r="P275" s="446"/>
      <c r="Q275" s="446"/>
      <c r="R275" s="446"/>
      <c r="S275" s="446"/>
      <c r="T275" s="446"/>
      <c r="U275" s="446"/>
      <c r="V275" s="132">
        <f t="shared" si="125"/>
        <v>0</v>
      </c>
      <c r="W275" s="133" t="str">
        <f t="shared" si="124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30600007</v>
      </c>
      <c r="B276" s="437" t="s">
        <v>222</v>
      </c>
      <c r="C276" s="126" t="s">
        <v>221</v>
      </c>
      <c r="D276" s="108">
        <v>9.36</v>
      </c>
      <c r="E276" s="108"/>
      <c r="F276" s="127"/>
      <c r="G276" s="128"/>
      <c r="H276" s="438">
        <f t="shared" si="117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1"/>
        <v>0</v>
      </c>
      <c r="N276" s="130">
        <f t="shared" si="122"/>
        <v>0</v>
      </c>
      <c r="O276" s="446"/>
      <c r="P276" s="446"/>
      <c r="Q276" s="446"/>
      <c r="R276" s="446"/>
      <c r="S276" s="446"/>
      <c r="T276" s="446"/>
      <c r="U276" s="446"/>
      <c r="V276" s="132">
        <f t="shared" si="125"/>
        <v>0</v>
      </c>
      <c r="W276" s="133" t="str">
        <f t="shared" si="124"/>
        <v/>
      </c>
      <c r="X276" s="132"/>
      <c r="Y276" s="132"/>
      <c r="Z276" s="132"/>
      <c r="AA276" s="132"/>
    </row>
    <row r="277" spans="1:27" ht="20.100000000000001" hidden="1" customHeight="1">
      <c r="A277" s="304">
        <v>30600006</v>
      </c>
      <c r="B277" s="437" t="s">
        <v>222</v>
      </c>
      <c r="C277" s="126" t="s">
        <v>186</v>
      </c>
      <c r="D277" s="108">
        <v>9.36</v>
      </c>
      <c r="E277" s="108"/>
      <c r="F277" s="127"/>
      <c r="G277" s="128"/>
      <c r="H277" s="438">
        <f t="shared" si="117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21"/>
        <v>0</v>
      </c>
      <c r="N277" s="130">
        <f t="shared" si="122"/>
        <v>0</v>
      </c>
      <c r="O277" s="446"/>
      <c r="P277" s="446"/>
      <c r="Q277" s="446"/>
      <c r="R277" s="446"/>
      <c r="S277" s="446"/>
      <c r="T277" s="446"/>
      <c r="U277" s="446"/>
      <c r="V277" s="132">
        <f t="shared" si="125"/>
        <v>0</v>
      </c>
      <c r="W277" s="133" t="str">
        <f t="shared" si="124"/>
        <v/>
      </c>
      <c r="X277" s="132"/>
      <c r="Y277" s="132"/>
      <c r="Z277" s="132"/>
      <c r="AA277" s="132"/>
    </row>
    <row r="278" spans="1:27" ht="20.100000000000001" hidden="1" customHeight="1">
      <c r="A278" s="299">
        <v>30400026</v>
      </c>
      <c r="B278" s="437" t="s">
        <v>393</v>
      </c>
      <c r="C278" s="187" t="s">
        <v>395</v>
      </c>
      <c r="D278" s="108">
        <v>5</v>
      </c>
      <c r="E278" s="108"/>
      <c r="F278" s="127"/>
      <c r="G278" s="128"/>
      <c r="H278" s="438">
        <f t="shared" si="117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1"/>
        <v>0</v>
      </c>
      <c r="N278" s="130">
        <f t="shared" si="122"/>
        <v>0</v>
      </c>
      <c r="O278" s="446"/>
      <c r="P278" s="446"/>
      <c r="Q278" s="446"/>
      <c r="R278" s="446"/>
      <c r="S278" s="446"/>
      <c r="T278" s="446"/>
      <c r="U278" s="446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30400028</v>
      </c>
      <c r="B279" s="437" t="s">
        <v>393</v>
      </c>
      <c r="C279" s="187" t="s">
        <v>402</v>
      </c>
      <c r="D279" s="108">
        <v>5</v>
      </c>
      <c r="E279" s="108"/>
      <c r="F279" s="127"/>
      <c r="G279" s="128"/>
      <c r="H279" s="438">
        <f t="shared" si="117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1"/>
        <v>0</v>
      </c>
      <c r="N279" s="130">
        <f t="shared" si="122"/>
        <v>0</v>
      </c>
      <c r="O279" s="446"/>
      <c r="P279" s="446"/>
      <c r="Q279" s="446"/>
      <c r="R279" s="446"/>
      <c r="S279" s="446"/>
      <c r="T279" s="446"/>
      <c r="U279" s="446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>
        <v>30400027</v>
      </c>
      <c r="B280" s="437" t="s">
        <v>404</v>
      </c>
      <c r="C280" s="187" t="s">
        <v>405</v>
      </c>
      <c r="D280" s="108">
        <v>5</v>
      </c>
      <c r="E280" s="108"/>
      <c r="F280" s="127"/>
      <c r="G280" s="128"/>
      <c r="H280" s="438">
        <f t="shared" si="117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1"/>
        <v>0</v>
      </c>
      <c r="N280" s="130">
        <f t="shared" si="122"/>
        <v>0</v>
      </c>
      <c r="O280" s="446"/>
      <c r="P280" s="446"/>
      <c r="Q280" s="446"/>
      <c r="R280" s="446"/>
      <c r="S280" s="446"/>
      <c r="T280" s="446"/>
      <c r="U280" s="446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/>
      <c r="B281" s="437" t="s">
        <v>342</v>
      </c>
      <c r="C281" s="187" t="s">
        <v>372</v>
      </c>
      <c r="D281" s="108">
        <v>5</v>
      </c>
      <c r="E281" s="108"/>
      <c r="F281" s="127"/>
      <c r="G281" s="128"/>
      <c r="H281" s="438">
        <f t="shared" si="117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1"/>
        <v>0</v>
      </c>
      <c r="N281" s="130">
        <f t="shared" si="122"/>
        <v>0</v>
      </c>
      <c r="O281" s="446"/>
      <c r="P281" s="446"/>
      <c r="Q281" s="446"/>
      <c r="R281" s="446"/>
      <c r="S281" s="446"/>
      <c r="T281" s="446"/>
      <c r="U281" s="446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30600009</v>
      </c>
      <c r="B282" s="437" t="s">
        <v>343</v>
      </c>
      <c r="C282" s="126" t="s">
        <v>345</v>
      </c>
      <c r="D282" s="108">
        <v>5</v>
      </c>
      <c r="E282" s="108"/>
      <c r="F282" s="127"/>
      <c r="G282" s="128"/>
      <c r="H282" s="438">
        <f t="shared" si="117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1"/>
        <v>0</v>
      </c>
      <c r="N282" s="130">
        <f t="shared" si="122"/>
        <v>0</v>
      </c>
      <c r="O282" s="446"/>
      <c r="P282" s="446"/>
      <c r="Q282" s="446"/>
      <c r="R282" s="446"/>
      <c r="S282" s="446"/>
      <c r="T282" s="446"/>
      <c r="U282" s="446"/>
      <c r="V282" s="132"/>
      <c r="W282" s="133"/>
      <c r="X282" s="132"/>
      <c r="Y282" s="132"/>
      <c r="Z282" s="132"/>
      <c r="AA282" s="132"/>
    </row>
    <row r="283" spans="1:27" ht="20.100000000000001" customHeight="1">
      <c r="A283" s="299">
        <v>30600010</v>
      </c>
      <c r="B283" s="437" t="s">
        <v>343</v>
      </c>
      <c r="C283" s="126" t="s">
        <v>347</v>
      </c>
      <c r="D283" s="108">
        <v>5</v>
      </c>
      <c r="E283" s="108"/>
      <c r="F283" s="127">
        <v>42737</v>
      </c>
      <c r="G283" s="128">
        <f>74+90</f>
        <v>164</v>
      </c>
      <c r="H283" s="438">
        <f t="shared" si="117"/>
        <v>820</v>
      </c>
      <c r="I283" s="129">
        <f>2.5*10</f>
        <v>25</v>
      </c>
      <c r="J283" s="130">
        <f t="array" ref="J283">IF(ISERROR(G283/I283),"",G283/I283)</f>
        <v>6.56</v>
      </c>
      <c r="K283" s="131">
        <f t="array" ref="K283">IF(ISERROR(G283/L283),"",G283/L283)</f>
        <v>32.799999999999997</v>
      </c>
      <c r="L283" s="129">
        <v>5</v>
      </c>
      <c r="M283" s="109">
        <f t="shared" si="121"/>
        <v>-7.7999999999999972</v>
      </c>
      <c r="N283" s="130">
        <f t="shared" si="122"/>
        <v>0</v>
      </c>
      <c r="O283" s="446"/>
      <c r="P283" s="446"/>
      <c r="Q283" s="446"/>
      <c r="R283" s="446"/>
      <c r="S283" s="446"/>
      <c r="T283" s="446"/>
      <c r="U283" s="446"/>
      <c r="V283" s="132"/>
      <c r="W283" s="133"/>
      <c r="X283" s="132"/>
      <c r="Y283" s="132"/>
      <c r="Z283" s="132"/>
      <c r="AA283" s="132"/>
    </row>
    <row r="284" spans="1:27" ht="20.100000000000001" hidden="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/>
      <c r="G284" s="128"/>
      <c r="H284" s="438">
        <f t="shared" si="117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1"/>
        <v>0</v>
      </c>
      <c r="N284" s="130">
        <f t="shared" si="122"/>
        <v>0</v>
      </c>
      <c r="O284" s="446"/>
      <c r="P284" s="446"/>
      <c r="Q284" s="446"/>
      <c r="R284" s="446"/>
      <c r="S284" s="446"/>
      <c r="T284" s="446"/>
      <c r="U284" s="446"/>
      <c r="V284" s="132">
        <f t="shared" ref="V284:V285" si="126">SUM(X284:AA284)</f>
        <v>0</v>
      </c>
      <c r="W284" s="133" t="str">
        <f t="shared" ref="W284:W285" si="127">IF(ISERROR(V284/G284),"",V284/G284)</f>
        <v/>
      </c>
      <c r="X284" s="132"/>
      <c r="Y284" s="132"/>
      <c r="Z284" s="132"/>
      <c r="AA284" s="132"/>
    </row>
    <row r="285" spans="1:27" ht="20.100000000000001" hidden="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28"/>
      <c r="H285" s="438">
        <f t="shared" si="117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21"/>
        <v>0</v>
      </c>
      <c r="N285" s="130">
        <f t="shared" si="122"/>
        <v>0</v>
      </c>
      <c r="O285" s="446"/>
      <c r="P285" s="446"/>
      <c r="Q285" s="446"/>
      <c r="R285" s="446"/>
      <c r="S285" s="446"/>
      <c r="T285" s="446"/>
      <c r="U285" s="446"/>
      <c r="V285" s="132">
        <f t="shared" si="126"/>
        <v>0</v>
      </c>
      <c r="W285" s="133" t="str">
        <f t="shared" si="127"/>
        <v/>
      </c>
      <c r="X285" s="132"/>
      <c r="Y285" s="132"/>
      <c r="Z285" s="132"/>
      <c r="AA285" s="132"/>
    </row>
    <row r="286" spans="1:27" ht="20.100000000000001" hidden="1" customHeight="1">
      <c r="A286" s="299">
        <v>30400004</v>
      </c>
      <c r="B286" s="151" t="s">
        <v>419</v>
      </c>
      <c r="C286" s="187" t="s">
        <v>73</v>
      </c>
      <c r="D286" s="108">
        <v>5.03</v>
      </c>
      <c r="E286" s="108"/>
      <c r="F286" s="127"/>
      <c r="G286" s="128"/>
      <c r="H286" s="438">
        <f t="shared" si="117"/>
        <v>0</v>
      </c>
      <c r="I286" s="129"/>
      <c r="J286" s="130"/>
      <c r="K286" s="131"/>
      <c r="L286" s="129">
        <v>24</v>
      </c>
      <c r="M286" s="109"/>
      <c r="N286" s="130"/>
      <c r="O286" s="446"/>
      <c r="P286" s="446"/>
      <c r="Q286" s="446"/>
      <c r="R286" s="446"/>
      <c r="S286" s="446"/>
      <c r="T286" s="446"/>
      <c r="U286" s="446"/>
      <c r="V286" s="132"/>
      <c r="W286" s="133"/>
      <c r="X286" s="132"/>
      <c r="Y286" s="132"/>
      <c r="Z286" s="132"/>
      <c r="AA286" s="132"/>
    </row>
    <row r="287" spans="1:27" ht="20.10000000000000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>
        <v>42740</v>
      </c>
      <c r="G287" s="452">
        <f>90*6-90+9</f>
        <v>459</v>
      </c>
      <c r="H287" s="438">
        <f t="shared" si="117"/>
        <v>2308.77</v>
      </c>
      <c r="I287" s="129">
        <f>9.5*10</f>
        <v>95</v>
      </c>
      <c r="J287" s="130">
        <f t="array" ref="J287">IF(ISERROR(G287/I287),"",G287/I287)</f>
        <v>4.8315789473684214</v>
      </c>
      <c r="K287" s="131"/>
      <c r="L287" s="129">
        <v>24</v>
      </c>
      <c r="M287" s="109">
        <f t="shared" si="121"/>
        <v>95</v>
      </c>
      <c r="N287" s="130"/>
      <c r="O287" s="446"/>
      <c r="P287" s="446"/>
      <c r="Q287" s="446"/>
      <c r="R287" s="446"/>
      <c r="S287" s="446"/>
      <c r="T287" s="446"/>
      <c r="U287" s="446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/>
      <c r="G288" s="128"/>
      <c r="H288" s="438">
        <f t="shared" si="117"/>
        <v>0</v>
      </c>
      <c r="I288" s="129"/>
      <c r="J288" s="130"/>
      <c r="K288" s="131"/>
      <c r="L288" s="129">
        <v>24</v>
      </c>
      <c r="M288" s="109"/>
      <c r="N288" s="130"/>
      <c r="O288" s="446"/>
      <c r="P288" s="446"/>
      <c r="Q288" s="446"/>
      <c r="R288" s="446"/>
      <c r="S288" s="446"/>
      <c r="T288" s="446"/>
      <c r="U288" s="446"/>
      <c r="V288" s="132"/>
      <c r="W288" s="133"/>
      <c r="X288" s="132"/>
      <c r="Y288" s="132"/>
      <c r="Z288" s="132"/>
      <c r="AA288" s="132"/>
    </row>
    <row r="289" spans="1:27" ht="20.100000000000001" hidden="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/>
      <c r="G289" s="128"/>
      <c r="H289" s="438">
        <f t="shared" si="117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ref="M289:M291" si="128">IF(ISERROR(I289-K289),"",I289-K289)</f>
        <v>0</v>
      </c>
      <c r="N289" s="130">
        <f t="shared" ref="N289:N291" si="129">SUM(O289:U289)</f>
        <v>0</v>
      </c>
      <c r="O289" s="446"/>
      <c r="P289" s="446"/>
      <c r="Q289" s="446"/>
      <c r="R289" s="446"/>
      <c r="S289" s="446"/>
      <c r="T289" s="446"/>
      <c r="U289" s="446"/>
      <c r="V289" s="132">
        <f t="shared" ref="V289:V291" si="130">SUM(X289:AA289)</f>
        <v>0</v>
      </c>
      <c r="W289" s="133" t="str">
        <f t="shared" ref="W289:W313" si="131">IF(ISERROR(V289/G289),"",V289/G289)</f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28"/>
      <c r="H290" s="438">
        <f t="shared" si="117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8"/>
        <v>0</v>
      </c>
      <c r="N290" s="130">
        <f t="shared" si="129"/>
        <v>0</v>
      </c>
      <c r="O290" s="446"/>
      <c r="P290" s="446"/>
      <c r="Q290" s="446"/>
      <c r="R290" s="446"/>
      <c r="S290" s="446"/>
      <c r="T290" s="446"/>
      <c r="U290" s="446"/>
      <c r="V290" s="132">
        <f t="shared" si="130"/>
        <v>0</v>
      </c>
      <c r="W290" s="133" t="str">
        <f t="shared" si="131"/>
        <v/>
      </c>
      <c r="X290" s="132"/>
      <c r="Y290" s="132"/>
      <c r="Z290" s="132"/>
      <c r="AA290" s="132"/>
    </row>
    <row r="291" spans="1:27" ht="20.100000000000001" hidden="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/>
      <c r="G291" s="128"/>
      <c r="H291" s="438">
        <f t="shared" si="117"/>
        <v>0</v>
      </c>
      <c r="I291" s="129"/>
      <c r="J291" s="130" t="str">
        <f t="array" ref="J291">IF(ISERROR(G291/I291),"",G291/I291)</f>
        <v/>
      </c>
      <c r="K291" s="438">
        <f t="array" ref="K291">IF(ISERROR(G291/L291),"",G291/L291)</f>
        <v>0</v>
      </c>
      <c r="L291" s="129">
        <v>9</v>
      </c>
      <c r="M291" s="109">
        <f t="shared" si="128"/>
        <v>0</v>
      </c>
      <c r="N291" s="130">
        <f t="shared" si="129"/>
        <v>0</v>
      </c>
      <c r="O291" s="446"/>
      <c r="P291" s="446"/>
      <c r="Q291" s="446"/>
      <c r="R291" s="446"/>
      <c r="S291" s="446"/>
      <c r="T291" s="446"/>
      <c r="U291" s="446"/>
      <c r="V291" s="132">
        <f t="shared" si="130"/>
        <v>0</v>
      </c>
      <c r="W291" s="133" t="str">
        <f t="shared" si="131"/>
        <v/>
      </c>
      <c r="X291" s="132"/>
      <c r="Y291" s="132"/>
      <c r="Z291" s="132"/>
      <c r="AA291" s="132"/>
    </row>
    <row r="292" spans="1:27" ht="20.100000000000001" customHeight="1">
      <c r="A292" s="578" t="s">
        <v>224</v>
      </c>
      <c r="B292" s="579"/>
      <c r="C292" s="447" t="s">
        <v>202</v>
      </c>
      <c r="D292" s="143"/>
      <c r="E292" s="143"/>
      <c r="F292" s="144"/>
      <c r="G292" s="145">
        <f>SUM(G258:G291)</f>
        <v>623</v>
      </c>
      <c r="H292" s="146">
        <f>SUM(H258:H291)</f>
        <v>3128.77</v>
      </c>
      <c r="I292" s="146">
        <f>SUM(I258:I291)</f>
        <v>120</v>
      </c>
      <c r="J292" s="130">
        <f t="array" ref="J292">IF(ISERROR(G292/I292),"",G292/I292)</f>
        <v>5.1916666666666664</v>
      </c>
      <c r="K292" s="146">
        <f>SUM(K258:K291)</f>
        <v>32.799999999999997</v>
      </c>
      <c r="L292" s="147"/>
      <c r="M292" s="150">
        <f t="shared" ref="M292:V292" si="132">SUM(M258:M291)</f>
        <v>87.2</v>
      </c>
      <c r="N292" s="146">
        <f t="shared" si="132"/>
        <v>0</v>
      </c>
      <c r="O292" s="148">
        <f t="shared" si="132"/>
        <v>0</v>
      </c>
      <c r="P292" s="148">
        <f t="shared" si="132"/>
        <v>0</v>
      </c>
      <c r="Q292" s="148">
        <f t="shared" si="132"/>
        <v>0</v>
      </c>
      <c r="R292" s="148">
        <f t="shared" si="132"/>
        <v>0</v>
      </c>
      <c r="S292" s="148">
        <f t="shared" si="132"/>
        <v>0</v>
      </c>
      <c r="T292" s="148">
        <f t="shared" si="132"/>
        <v>0</v>
      </c>
      <c r="U292" s="148">
        <f t="shared" si="132"/>
        <v>0</v>
      </c>
      <c r="V292" s="149">
        <f t="shared" si="132"/>
        <v>0</v>
      </c>
      <c r="W292" s="133">
        <f t="shared" si="131"/>
        <v>0</v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hidden="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/>
      <c r="G293" s="128"/>
      <c r="H293" s="438">
        <f t="shared" ref="H293:H307" si="133">D293*G293</f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ref="M293:M307" si="134">IF(ISERROR(I293-K293),"",I293-K293)</f>
        <v>0</v>
      </c>
      <c r="N293" s="130">
        <f t="shared" ref="N293:N307" si="135">SUM(O293:U293)</f>
        <v>0</v>
      </c>
      <c r="O293" s="446"/>
      <c r="P293" s="446"/>
      <c r="Q293" s="446"/>
      <c r="R293" s="446"/>
      <c r="S293" s="446"/>
      <c r="T293" s="446"/>
      <c r="U293" s="446"/>
      <c r="V293" s="132">
        <f t="shared" ref="V293:V307" si="136">SUM(X293:AA293)</f>
        <v>0</v>
      </c>
      <c r="W293" s="133" t="str">
        <f t="shared" si="131"/>
        <v/>
      </c>
      <c r="X293" s="132"/>
      <c r="Y293" s="132"/>
      <c r="Z293" s="132"/>
      <c r="AA293" s="132"/>
    </row>
    <row r="294" spans="1:27" ht="20.100000000000001" hidden="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/>
      <c r="G294" s="128"/>
      <c r="H294" s="438">
        <f t="shared" si="133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25</v>
      </c>
      <c r="M294" s="109">
        <f t="shared" si="134"/>
        <v>0</v>
      </c>
      <c r="N294" s="130">
        <f t="shared" si="135"/>
        <v>0</v>
      </c>
      <c r="O294" s="446"/>
      <c r="P294" s="446"/>
      <c r="Q294" s="446"/>
      <c r="R294" s="446"/>
      <c r="S294" s="446"/>
      <c r="T294" s="446"/>
      <c r="U294" s="446"/>
      <c r="V294" s="132">
        <f t="shared" si="136"/>
        <v>0</v>
      </c>
      <c r="W294" s="133" t="str">
        <f t="shared" si="131"/>
        <v/>
      </c>
      <c r="X294" s="132"/>
      <c r="Y294" s="132"/>
      <c r="Z294" s="132"/>
      <c r="AA294" s="132"/>
    </row>
    <row r="295" spans="1:27" ht="20.100000000000001" hidden="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/>
      <c r="G295" s="128"/>
      <c r="H295" s="438">
        <f t="shared" si="133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20</v>
      </c>
      <c r="M295" s="109">
        <f t="shared" si="134"/>
        <v>0</v>
      </c>
      <c r="N295" s="130">
        <f t="shared" si="135"/>
        <v>0</v>
      </c>
      <c r="O295" s="446"/>
      <c r="P295" s="446"/>
      <c r="Q295" s="446"/>
      <c r="R295" s="446"/>
      <c r="S295" s="446"/>
      <c r="T295" s="446"/>
      <c r="U295" s="446"/>
      <c r="V295" s="132">
        <f t="shared" si="136"/>
        <v>0</v>
      </c>
      <c r="W295" s="133" t="str">
        <f t="shared" si="131"/>
        <v/>
      </c>
      <c r="X295" s="132"/>
      <c r="Y295" s="132"/>
      <c r="Z295" s="132"/>
      <c r="AA295" s="132"/>
    </row>
    <row r="296" spans="1:27" ht="20.100000000000001" hidden="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28"/>
      <c r="H296" s="438">
        <f t="shared" si="133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4"/>
        <v>0</v>
      </c>
      <c r="N296" s="130">
        <f t="shared" si="135"/>
        <v>0</v>
      </c>
      <c r="O296" s="446"/>
      <c r="P296" s="446"/>
      <c r="Q296" s="446"/>
      <c r="R296" s="446"/>
      <c r="S296" s="446"/>
      <c r="T296" s="446"/>
      <c r="U296" s="446"/>
      <c r="V296" s="132">
        <f t="shared" si="136"/>
        <v>0</v>
      </c>
      <c r="W296" s="133" t="str">
        <f t="shared" si="131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30100054</v>
      </c>
      <c r="B297" s="140" t="s">
        <v>227</v>
      </c>
      <c r="C297" s="443" t="s">
        <v>203</v>
      </c>
      <c r="D297" s="108">
        <v>5.03</v>
      </c>
      <c r="E297" s="108"/>
      <c r="F297" s="127"/>
      <c r="G297" s="128"/>
      <c r="H297" s="438">
        <f t="shared" si="133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4"/>
        <v>0</v>
      </c>
      <c r="N297" s="130">
        <f t="shared" si="135"/>
        <v>0</v>
      </c>
      <c r="O297" s="446"/>
      <c r="P297" s="446"/>
      <c r="Q297" s="446"/>
      <c r="R297" s="446"/>
      <c r="S297" s="446"/>
      <c r="T297" s="446"/>
      <c r="U297" s="446"/>
      <c r="V297" s="132">
        <f t="shared" si="136"/>
        <v>0</v>
      </c>
      <c r="W297" s="133" t="str">
        <f t="shared" si="131"/>
        <v/>
      </c>
      <c r="X297" s="132"/>
      <c r="Y297" s="132"/>
      <c r="Z297" s="132"/>
      <c r="AA297" s="132"/>
    </row>
    <row r="298" spans="1:27" ht="20.100000000000001" hidden="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/>
      <c r="G298" s="128"/>
      <c r="H298" s="438">
        <f t="shared" si="133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4"/>
        <v>0</v>
      </c>
      <c r="N298" s="130">
        <f t="shared" si="135"/>
        <v>0</v>
      </c>
      <c r="O298" s="446"/>
      <c r="P298" s="446"/>
      <c r="Q298" s="446"/>
      <c r="R298" s="446"/>
      <c r="S298" s="446"/>
      <c r="T298" s="446"/>
      <c r="U298" s="446"/>
      <c r="V298" s="132">
        <f t="shared" si="136"/>
        <v>0</v>
      </c>
      <c r="W298" s="133" t="str">
        <f t="shared" si="131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28"/>
      <c r="H299" s="438">
        <f t="shared" si="133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4"/>
        <v>0</v>
      </c>
      <c r="N299" s="130">
        <f t="shared" si="135"/>
        <v>0</v>
      </c>
      <c r="O299" s="446"/>
      <c r="P299" s="446"/>
      <c r="Q299" s="446"/>
      <c r="R299" s="446"/>
      <c r="S299" s="446"/>
      <c r="T299" s="446"/>
      <c r="U299" s="446"/>
      <c r="V299" s="132">
        <f t="shared" si="136"/>
        <v>0</v>
      </c>
      <c r="W299" s="133" t="str">
        <f t="shared" si="131"/>
        <v/>
      </c>
      <c r="X299" s="132"/>
      <c r="Y299" s="132"/>
      <c r="Z299" s="132"/>
      <c r="AA299" s="132"/>
    </row>
    <row r="300" spans="1:27" ht="20.100000000000001" hidden="1" customHeight="1">
      <c r="A300" s="299"/>
      <c r="B300" s="140" t="s">
        <v>227</v>
      </c>
      <c r="C300" s="443" t="s">
        <v>228</v>
      </c>
      <c r="D300" s="108">
        <v>5.03</v>
      </c>
      <c r="E300" s="108"/>
      <c r="F300" s="127"/>
      <c r="G300" s="128"/>
      <c r="H300" s="438">
        <f t="shared" si="133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4"/>
        <v>0</v>
      </c>
      <c r="N300" s="130">
        <f t="shared" si="135"/>
        <v>0</v>
      </c>
      <c r="O300" s="446"/>
      <c r="P300" s="446"/>
      <c r="Q300" s="446"/>
      <c r="R300" s="446"/>
      <c r="S300" s="446"/>
      <c r="T300" s="446"/>
      <c r="U300" s="446"/>
      <c r="V300" s="132">
        <f t="shared" si="136"/>
        <v>0</v>
      </c>
      <c r="W300" s="133" t="str">
        <f t="shared" si="131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30101067</v>
      </c>
      <c r="B301" s="140" t="s">
        <v>229</v>
      </c>
      <c r="C301" s="443" t="s">
        <v>212</v>
      </c>
      <c r="D301" s="108">
        <v>5.03</v>
      </c>
      <c r="E301" s="108"/>
      <c r="F301" s="127"/>
      <c r="G301" s="128"/>
      <c r="H301" s="438">
        <f t="shared" si="133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4"/>
        <v/>
      </c>
      <c r="N301" s="130">
        <f t="shared" si="135"/>
        <v>0</v>
      </c>
      <c r="O301" s="446"/>
      <c r="P301" s="446"/>
      <c r="Q301" s="446"/>
      <c r="R301" s="446"/>
      <c r="S301" s="446"/>
      <c r="T301" s="446"/>
      <c r="U301" s="446"/>
      <c r="V301" s="132">
        <f t="shared" si="136"/>
        <v>0</v>
      </c>
      <c r="W301" s="133" t="str">
        <f t="shared" si="131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30101068</v>
      </c>
      <c r="B302" s="140" t="s">
        <v>229</v>
      </c>
      <c r="C302" s="443" t="s">
        <v>203</v>
      </c>
      <c r="D302" s="108">
        <v>5.03</v>
      </c>
      <c r="E302" s="108"/>
      <c r="F302" s="127"/>
      <c r="G302" s="128"/>
      <c r="H302" s="438">
        <f t="shared" si="133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4"/>
        <v/>
      </c>
      <c r="N302" s="130">
        <f t="shared" si="135"/>
        <v>0</v>
      </c>
      <c r="O302" s="446"/>
      <c r="P302" s="446"/>
      <c r="Q302" s="446"/>
      <c r="R302" s="446"/>
      <c r="S302" s="446"/>
      <c r="T302" s="446"/>
      <c r="U302" s="446"/>
      <c r="V302" s="132">
        <f t="shared" si="136"/>
        <v>0</v>
      </c>
      <c r="W302" s="133" t="str">
        <f t="shared" si="131"/>
        <v/>
      </c>
      <c r="X302" s="132"/>
      <c r="Y302" s="132"/>
      <c r="Z302" s="132"/>
      <c r="AA302" s="132"/>
    </row>
    <row r="303" spans="1:27" ht="20.100000000000001" hidden="1" customHeight="1">
      <c r="A303" s="299">
        <v>30101069</v>
      </c>
      <c r="B303" s="140" t="s">
        <v>229</v>
      </c>
      <c r="C303" s="443" t="s">
        <v>186</v>
      </c>
      <c r="D303" s="108">
        <v>5.03</v>
      </c>
      <c r="E303" s="108"/>
      <c r="F303" s="127"/>
      <c r="G303" s="128"/>
      <c r="H303" s="438">
        <f t="shared" si="133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4"/>
        <v/>
      </c>
      <c r="N303" s="130">
        <f t="shared" si="135"/>
        <v>0</v>
      </c>
      <c r="O303" s="446"/>
      <c r="P303" s="446"/>
      <c r="Q303" s="446"/>
      <c r="R303" s="446"/>
      <c r="S303" s="446"/>
      <c r="T303" s="446"/>
      <c r="U303" s="446"/>
      <c r="V303" s="132">
        <f t="shared" si="136"/>
        <v>0</v>
      </c>
      <c r="W303" s="133" t="str">
        <f t="shared" si="131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30101070</v>
      </c>
      <c r="B304" s="140" t="s">
        <v>229</v>
      </c>
      <c r="C304" s="443" t="s">
        <v>228</v>
      </c>
      <c r="D304" s="108">
        <v>5.03</v>
      </c>
      <c r="E304" s="108"/>
      <c r="F304" s="127"/>
      <c r="G304" s="128"/>
      <c r="H304" s="438">
        <f t="shared" si="133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4"/>
        <v/>
      </c>
      <c r="N304" s="130">
        <f t="shared" si="135"/>
        <v>0</v>
      </c>
      <c r="O304" s="446"/>
      <c r="P304" s="446"/>
      <c r="Q304" s="446"/>
      <c r="R304" s="446"/>
      <c r="S304" s="446"/>
      <c r="T304" s="446"/>
      <c r="U304" s="446"/>
      <c r="V304" s="132">
        <f t="shared" si="136"/>
        <v>0</v>
      </c>
      <c r="W304" s="133" t="str">
        <f t="shared" si="131"/>
        <v/>
      </c>
      <c r="X304" s="132"/>
      <c r="Y304" s="132"/>
      <c r="Z304" s="132"/>
      <c r="AA304" s="132"/>
    </row>
    <row r="305" spans="1:27" ht="20.100000000000001" hidden="1" customHeight="1">
      <c r="A305" s="299">
        <v>30101071</v>
      </c>
      <c r="B305" s="140" t="s">
        <v>229</v>
      </c>
      <c r="C305" s="443" t="s">
        <v>199</v>
      </c>
      <c r="D305" s="108">
        <v>5.03</v>
      </c>
      <c r="E305" s="108"/>
      <c r="F305" s="127"/>
      <c r="G305" s="128"/>
      <c r="H305" s="438">
        <f t="shared" si="133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4"/>
        <v/>
      </c>
      <c r="N305" s="130">
        <f t="shared" si="135"/>
        <v>0</v>
      </c>
      <c r="O305" s="446"/>
      <c r="P305" s="446"/>
      <c r="Q305" s="446"/>
      <c r="R305" s="446"/>
      <c r="S305" s="446"/>
      <c r="T305" s="446"/>
      <c r="U305" s="446"/>
      <c r="V305" s="132">
        <f t="shared" si="136"/>
        <v>0</v>
      </c>
      <c r="W305" s="133" t="str">
        <f t="shared" si="131"/>
        <v/>
      </c>
      <c r="X305" s="132"/>
      <c r="Y305" s="132"/>
      <c r="Z305" s="132"/>
      <c r="AA305" s="132"/>
    </row>
    <row r="306" spans="1:27" ht="20.10000000000000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>
        <v>42740</v>
      </c>
      <c r="G306" s="128">
        <f>90*7</f>
        <v>630</v>
      </c>
      <c r="H306" s="438">
        <f t="shared" si="133"/>
        <v>3187.7999999999997</v>
      </c>
      <c r="I306" s="129">
        <f>9*3</f>
        <v>27</v>
      </c>
      <c r="J306" s="130">
        <f t="array" ref="J306">IF(ISERROR(G306/I306),"",G306/I306)</f>
        <v>23.333333333333332</v>
      </c>
      <c r="K306" s="131">
        <f t="array" ref="K306">IF(ISERROR(G306/L306),"",G306/L306)</f>
        <v>25.2</v>
      </c>
      <c r="L306" s="129">
        <v>25</v>
      </c>
      <c r="M306" s="109">
        <f t="shared" si="134"/>
        <v>1.8000000000000007</v>
      </c>
      <c r="N306" s="130">
        <f t="shared" si="135"/>
        <v>0</v>
      </c>
      <c r="O306" s="446"/>
      <c r="P306" s="446"/>
      <c r="Q306" s="446"/>
      <c r="R306" s="446"/>
      <c r="S306" s="446"/>
      <c r="T306" s="446"/>
      <c r="U306" s="446"/>
      <c r="V306" s="132">
        <f t="shared" si="136"/>
        <v>0</v>
      </c>
      <c r="W306" s="133">
        <f t="shared" si="131"/>
        <v>0</v>
      </c>
      <c r="X306" s="132"/>
      <c r="Y306" s="132"/>
      <c r="Z306" s="132"/>
      <c r="AA306" s="132"/>
    </row>
    <row r="307" spans="1:27" ht="20.10000000000000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>
        <v>42740</v>
      </c>
      <c r="G307" s="128">
        <f>48+42+90*2+12</f>
        <v>282</v>
      </c>
      <c r="H307" s="438">
        <f t="shared" si="133"/>
        <v>1426.9199999999998</v>
      </c>
      <c r="I307" s="129">
        <f>2.5*3</f>
        <v>7.5</v>
      </c>
      <c r="J307" s="130">
        <f t="array" ref="J307">IF(ISERROR(G307/I307),"",G307/I307)</f>
        <v>37.6</v>
      </c>
      <c r="K307" s="131">
        <f t="array" ref="K307">IF(ISERROR(G307/L307),"",G307/L307)</f>
        <v>11.28</v>
      </c>
      <c r="L307" s="129">
        <v>25</v>
      </c>
      <c r="M307" s="109">
        <f t="shared" si="134"/>
        <v>-3.7799999999999994</v>
      </c>
      <c r="N307" s="130">
        <f t="shared" si="135"/>
        <v>0</v>
      </c>
      <c r="O307" s="446"/>
      <c r="P307" s="446"/>
      <c r="Q307" s="446"/>
      <c r="R307" s="446"/>
      <c r="S307" s="446"/>
      <c r="T307" s="446"/>
      <c r="U307" s="446"/>
      <c r="V307" s="132">
        <f t="shared" si="136"/>
        <v>0</v>
      </c>
      <c r="W307" s="133">
        <f t="shared" si="131"/>
        <v>0</v>
      </c>
      <c r="X307" s="132"/>
      <c r="Y307" s="132"/>
      <c r="Z307" s="132"/>
      <c r="AA307" s="132"/>
    </row>
    <row r="308" spans="1:27" ht="20.100000000000001" customHeight="1">
      <c r="A308" s="578" t="s">
        <v>231</v>
      </c>
      <c r="B308" s="579"/>
      <c r="C308" s="447" t="s">
        <v>202</v>
      </c>
      <c r="D308" s="143"/>
      <c r="E308" s="143"/>
      <c r="F308" s="144"/>
      <c r="G308" s="145">
        <f>SUM(G293:G307)</f>
        <v>912</v>
      </c>
      <c r="H308" s="146">
        <f>SUM(H293:H307)</f>
        <v>4614.7199999999993</v>
      </c>
      <c r="I308" s="146">
        <f>SUM(I293:I307)</f>
        <v>34.5</v>
      </c>
      <c r="J308" s="130">
        <f t="array" ref="J308">IF(ISERROR(G308/I308),"",G308/I308)</f>
        <v>26.434782608695652</v>
      </c>
      <c r="K308" s="146">
        <f>SUM(K293:K307)</f>
        <v>36.479999999999997</v>
      </c>
      <c r="L308" s="146"/>
      <c r="M308" s="150">
        <f>SUM(M293:M307)</f>
        <v>-1.9799999999999986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>
        <f t="shared" si="131"/>
        <v>0</v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hidden="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28"/>
      <c r="H309" s="438">
        <f t="shared" ref="H309:H318" si="137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3" si="138">IF(ISERROR(I309-K309),"",I309-K309)</f>
        <v>0</v>
      </c>
      <c r="N309" s="130">
        <f t="shared" ref="N309:N313" si="139">SUM(O309:U309)</f>
        <v>0</v>
      </c>
      <c r="O309" s="446"/>
      <c r="P309" s="446"/>
      <c r="Q309" s="446"/>
      <c r="R309" s="446"/>
      <c r="S309" s="446"/>
      <c r="T309" s="446"/>
      <c r="U309" s="446"/>
      <c r="V309" s="132">
        <f t="shared" ref="V309:V313" si="140">SUM(X309:AA309)</f>
        <v>0</v>
      </c>
      <c r="W309" s="133" t="str">
        <f t="shared" si="131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28"/>
      <c r="H310" s="438">
        <f t="shared" si="137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8"/>
        <v>0</v>
      </c>
      <c r="N310" s="130">
        <f t="shared" si="139"/>
        <v>0</v>
      </c>
      <c r="O310" s="446"/>
      <c r="P310" s="446"/>
      <c r="Q310" s="446"/>
      <c r="R310" s="446"/>
      <c r="S310" s="446"/>
      <c r="T310" s="446"/>
      <c r="U310" s="446"/>
      <c r="V310" s="132">
        <f t="shared" si="140"/>
        <v>0</v>
      </c>
      <c r="W310" s="133" t="str">
        <f t="shared" si="131"/>
        <v/>
      </c>
      <c r="X310" s="132"/>
      <c r="Y310" s="132"/>
      <c r="Z310" s="132"/>
      <c r="AA310" s="132"/>
    </row>
    <row r="311" spans="1:27" ht="20.100000000000001" hidden="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28"/>
      <c r="H311" s="438">
        <f t="shared" si="137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8"/>
        <v>0</v>
      </c>
      <c r="N311" s="130">
        <f t="shared" si="139"/>
        <v>0</v>
      </c>
      <c r="O311" s="446"/>
      <c r="P311" s="446"/>
      <c r="Q311" s="446"/>
      <c r="R311" s="446"/>
      <c r="S311" s="446"/>
      <c r="T311" s="446"/>
      <c r="U311" s="446"/>
      <c r="V311" s="132">
        <f t="shared" si="140"/>
        <v>0</v>
      </c>
      <c r="W311" s="133" t="str">
        <f t="shared" si="131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28"/>
      <c r="H312" s="438">
        <f t="shared" si="137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8"/>
        <v>0</v>
      </c>
      <c r="N312" s="130">
        <f t="shared" si="139"/>
        <v>0</v>
      </c>
      <c r="O312" s="446"/>
      <c r="P312" s="446"/>
      <c r="Q312" s="446"/>
      <c r="R312" s="446"/>
      <c r="S312" s="446"/>
      <c r="T312" s="446"/>
      <c r="U312" s="446"/>
      <c r="V312" s="132">
        <f t="shared" si="140"/>
        <v>0</v>
      </c>
      <c r="W312" s="133" t="str">
        <f t="shared" si="131"/>
        <v/>
      </c>
      <c r="X312" s="132"/>
      <c r="Y312" s="132"/>
      <c r="Z312" s="132"/>
      <c r="AA312" s="132"/>
    </row>
    <row r="313" spans="1:27" ht="20.100000000000001" hidden="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28"/>
      <c r="H313" s="438">
        <f t="shared" si="137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38"/>
        <v>0</v>
      </c>
      <c r="N313" s="130">
        <f t="shared" si="139"/>
        <v>0</v>
      </c>
      <c r="O313" s="446"/>
      <c r="P313" s="446"/>
      <c r="Q313" s="446"/>
      <c r="R313" s="446"/>
      <c r="S313" s="446"/>
      <c r="T313" s="446"/>
      <c r="U313" s="446"/>
      <c r="V313" s="132">
        <f t="shared" si="140"/>
        <v>0</v>
      </c>
      <c r="W313" s="133" t="str">
        <f t="shared" si="131"/>
        <v/>
      </c>
      <c r="X313" s="132"/>
      <c r="Y313" s="132"/>
      <c r="Z313" s="132"/>
      <c r="AA313" s="132"/>
    </row>
    <row r="314" spans="1:27" ht="20.100000000000001" hidden="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/>
      <c r="G314" s="128"/>
      <c r="H314" s="438">
        <f t="shared" si="137"/>
        <v>0</v>
      </c>
      <c r="I314" s="129"/>
      <c r="J314" s="130"/>
      <c r="K314" s="131"/>
      <c r="L314" s="129">
        <v>13.5</v>
      </c>
      <c r="M314" s="109"/>
      <c r="N314" s="130"/>
      <c r="O314" s="446"/>
      <c r="P314" s="446"/>
      <c r="Q314" s="446"/>
      <c r="R314" s="446"/>
      <c r="S314" s="446"/>
      <c r="T314" s="446"/>
      <c r="U314" s="446"/>
      <c r="V314" s="132"/>
      <c r="W314" s="133"/>
      <c r="X314" s="132"/>
      <c r="Y314" s="132"/>
      <c r="Z314" s="132"/>
      <c r="AA314" s="132"/>
    </row>
    <row r="315" spans="1:27" ht="20.100000000000001" hidden="1" customHeight="1">
      <c r="A315" s="300">
        <v>30400020</v>
      </c>
      <c r="B315" s="134" t="s">
        <v>439</v>
      </c>
      <c r="C315" s="187" t="s">
        <v>74</v>
      </c>
      <c r="D315" s="108">
        <v>5.03</v>
      </c>
      <c r="E315" s="108"/>
      <c r="F315" s="127"/>
      <c r="G315" s="128"/>
      <c r="H315" s="438">
        <f t="shared" si="137"/>
        <v>0</v>
      </c>
      <c r="I315" s="129"/>
      <c r="J315" s="130"/>
      <c r="K315" s="131"/>
      <c r="L315" s="129">
        <v>13.5</v>
      </c>
      <c r="M315" s="109"/>
      <c r="N315" s="130"/>
      <c r="O315" s="446"/>
      <c r="P315" s="446"/>
      <c r="Q315" s="446"/>
      <c r="R315" s="446"/>
      <c r="S315" s="446"/>
      <c r="T315" s="446"/>
      <c r="U315" s="446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30400021</v>
      </c>
      <c r="B316" s="134" t="s">
        <v>439</v>
      </c>
      <c r="C316" s="187" t="s">
        <v>53</v>
      </c>
      <c r="D316" s="108">
        <v>5.03</v>
      </c>
      <c r="E316" s="108"/>
      <c r="F316" s="127"/>
      <c r="G316" s="128"/>
      <c r="H316" s="438">
        <f t="shared" si="137"/>
        <v>0</v>
      </c>
      <c r="I316" s="129"/>
      <c r="J316" s="130"/>
      <c r="K316" s="131"/>
      <c r="L316" s="129">
        <v>13.5</v>
      </c>
      <c r="M316" s="109"/>
      <c r="N316" s="130"/>
      <c r="O316" s="446"/>
      <c r="P316" s="446"/>
      <c r="Q316" s="446"/>
      <c r="R316" s="446"/>
      <c r="S316" s="446"/>
      <c r="T316" s="446"/>
      <c r="U316" s="446"/>
      <c r="V316" s="132"/>
      <c r="W316" s="133"/>
      <c r="X316" s="132"/>
      <c r="Y316" s="132"/>
      <c r="Z316" s="132"/>
      <c r="AA316" s="132"/>
    </row>
    <row r="317" spans="1:27" ht="20.10000000000000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>
        <v>42737</v>
      </c>
      <c r="G317" s="128">
        <f>90*7</f>
        <v>630</v>
      </c>
      <c r="H317" s="438">
        <f t="shared" si="137"/>
        <v>3168.9</v>
      </c>
      <c r="I317" s="129">
        <f>11.5*4</f>
        <v>46</v>
      </c>
      <c r="J317" s="130">
        <f t="array" ref="J317">IF(ISERROR(G317/I317),"",G317/I317)</f>
        <v>13.695652173913043</v>
      </c>
      <c r="K317" s="131">
        <f t="array" ref="K317">IF(ISERROR(G317/L317),"",G317/L317)</f>
        <v>46.666666666666664</v>
      </c>
      <c r="L317" s="129">
        <v>13.5</v>
      </c>
      <c r="M317" s="109">
        <f t="shared" ref="M317" si="141">IF(ISERROR(I317-K317),"",I317-K317)</f>
        <v>-0.6666666666666643</v>
      </c>
      <c r="N317" s="130"/>
      <c r="O317" s="446"/>
      <c r="P317" s="446"/>
      <c r="Q317" s="446"/>
      <c r="R317" s="446"/>
      <c r="S317" s="446"/>
      <c r="T317" s="446"/>
      <c r="U317" s="446"/>
      <c r="V317" s="132"/>
      <c r="W317" s="133"/>
      <c r="X317" s="132"/>
      <c r="Y317" s="132"/>
      <c r="Z317" s="132"/>
      <c r="AA317" s="132"/>
    </row>
    <row r="318" spans="1:27" ht="20.100000000000001" hidden="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28"/>
      <c r="H318" s="438">
        <f t="shared" si="137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ref="M318" si="142">IF(ISERROR(I318-K318),"",I318-K318)</f>
        <v>0</v>
      </c>
      <c r="N318" s="130">
        <f t="shared" ref="N318" si="143">SUM(O318:U318)</f>
        <v>0</v>
      </c>
      <c r="O318" s="446"/>
      <c r="P318" s="446"/>
      <c r="Q318" s="446"/>
      <c r="R318" s="446"/>
      <c r="S318" s="446"/>
      <c r="T318" s="446"/>
      <c r="U318" s="446"/>
      <c r="V318" s="132">
        <f t="shared" ref="V318" si="144">SUM(X318:AA318)</f>
        <v>0</v>
      </c>
      <c r="W318" s="133" t="str">
        <f t="shared" ref="W318:W323" si="145">IF(ISERROR(V318/G318),"",V318/G318)</f>
        <v/>
      </c>
      <c r="X318" s="132"/>
      <c r="Y318" s="132"/>
      <c r="Z318" s="132"/>
      <c r="AA318" s="132"/>
    </row>
    <row r="319" spans="1:27" ht="20.100000000000001" customHeight="1">
      <c r="A319" s="578" t="s">
        <v>234</v>
      </c>
      <c r="B319" s="579"/>
      <c r="C319" s="447" t="s">
        <v>202</v>
      </c>
      <c r="D319" s="143"/>
      <c r="E319" s="143"/>
      <c r="F319" s="144"/>
      <c r="G319" s="145">
        <f>SUM(G309:G318)</f>
        <v>630</v>
      </c>
      <c r="H319" s="146">
        <f>SUM(H309:H318)</f>
        <v>3168.9</v>
      </c>
      <c r="I319" s="146">
        <f>SUM(I309:I318)</f>
        <v>46</v>
      </c>
      <c r="J319" s="130">
        <f t="array" ref="J319">IF(ISERROR(G319/I319),"",G319/I319)</f>
        <v>13.695652173913043</v>
      </c>
      <c r="K319" s="146">
        <f>SUM(K309:K318)</f>
        <v>46.666666666666664</v>
      </c>
      <c r="L319" s="147"/>
      <c r="M319" s="150">
        <f>SUM(M309:M318)</f>
        <v>-0.6666666666666643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>
        <f t="shared" si="145"/>
        <v>0</v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hidden="1" customHeight="1">
      <c r="A320" s="299">
        <v>30700013</v>
      </c>
      <c r="B320" s="141" t="s">
        <v>235</v>
      </c>
      <c r="C320" s="444"/>
      <c r="D320" s="108">
        <v>3.65</v>
      </c>
      <c r="E320" s="108"/>
      <c r="F320" s="153"/>
      <c r="G320" s="128"/>
      <c r="H320" s="438">
        <f t="shared" ref="H320:H333" si="146">D320*G320</f>
        <v>0</v>
      </c>
      <c r="I320" s="129"/>
      <c r="J320" s="130" t="str">
        <f t="array" ref="J320">IF(ISERROR(G320/I320),"",G320/I320)</f>
        <v/>
      </c>
      <c r="K320" s="438">
        <f t="array" ref="K320">IF(ISERROR(G320/L320),"",G320/L320)</f>
        <v>0</v>
      </c>
      <c r="L320" s="129">
        <v>5</v>
      </c>
      <c r="M320" s="109">
        <f t="shared" ref="M320:M323" si="147">IF(ISERROR(I320-K320),"",I320-K320)</f>
        <v>0</v>
      </c>
      <c r="N320" s="130">
        <f t="shared" ref="N320:N323" si="148">SUM(O320:U320)</f>
        <v>0</v>
      </c>
      <c r="O320" s="446"/>
      <c r="P320" s="446"/>
      <c r="Q320" s="446"/>
      <c r="R320" s="446"/>
      <c r="S320" s="446"/>
      <c r="T320" s="446"/>
      <c r="U320" s="446"/>
      <c r="V320" s="132">
        <f t="shared" ref="V320:V323" si="149">SUM(X320:AA320)</f>
        <v>0</v>
      </c>
      <c r="W320" s="133" t="str">
        <f t="shared" si="145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30700014</v>
      </c>
      <c r="B321" s="141" t="s">
        <v>236</v>
      </c>
      <c r="C321" s="444"/>
      <c r="D321" s="108">
        <v>6.58</v>
      </c>
      <c r="E321" s="108"/>
      <c r="F321" s="127"/>
      <c r="G321" s="128"/>
      <c r="H321" s="438">
        <f t="shared" si="146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</v>
      </c>
      <c r="M321" s="109">
        <f t="shared" si="147"/>
        <v>0</v>
      </c>
      <c r="N321" s="130">
        <f t="shared" si="148"/>
        <v>0</v>
      </c>
      <c r="O321" s="446"/>
      <c r="P321" s="446"/>
      <c r="Q321" s="446"/>
      <c r="R321" s="446"/>
      <c r="S321" s="446"/>
      <c r="T321" s="446"/>
      <c r="U321" s="446"/>
      <c r="V321" s="132">
        <f t="shared" si="149"/>
        <v>0</v>
      </c>
      <c r="W321" s="133" t="str">
        <f t="shared" si="145"/>
        <v/>
      </c>
      <c r="X321" s="132"/>
      <c r="Y321" s="132"/>
      <c r="Z321" s="132"/>
      <c r="AA321" s="132"/>
    </row>
    <row r="322" spans="1:27" ht="20.100000000000001" customHeight="1">
      <c r="A322" s="299">
        <v>30700016</v>
      </c>
      <c r="B322" s="141" t="s">
        <v>237</v>
      </c>
      <c r="C322" s="444"/>
      <c r="D322" s="108">
        <v>7.8</v>
      </c>
      <c r="E322" s="108"/>
      <c r="F322" s="127">
        <v>42737</v>
      </c>
      <c r="G322" s="128">
        <v>32</v>
      </c>
      <c r="H322" s="438">
        <f t="shared" si="146"/>
        <v>249.6</v>
      </c>
      <c r="I322" s="129">
        <v>6</v>
      </c>
      <c r="J322" s="130">
        <f t="array" ref="J322">IF(ISERROR(G322/I322),"",G322/I322)</f>
        <v>5.333333333333333</v>
      </c>
      <c r="K322" s="131">
        <f t="array" ref="K322">IF(ISERROR(G322/L322),"",G322/L322)</f>
        <v>6.9565217391304355</v>
      </c>
      <c r="L322" s="129">
        <v>4.5999999999999996</v>
      </c>
      <c r="M322" s="109">
        <f t="shared" si="147"/>
        <v>-0.95652173913043548</v>
      </c>
      <c r="N322" s="130">
        <f t="shared" si="148"/>
        <v>0</v>
      </c>
      <c r="O322" s="446"/>
      <c r="P322" s="446"/>
      <c r="Q322" s="446"/>
      <c r="R322" s="446"/>
      <c r="S322" s="446"/>
      <c r="T322" s="446"/>
      <c r="U322" s="446"/>
      <c r="V322" s="132">
        <f t="shared" si="149"/>
        <v>0</v>
      </c>
      <c r="W322" s="133">
        <f t="shared" si="145"/>
        <v>0</v>
      </c>
      <c r="X322" s="132"/>
      <c r="Y322" s="132"/>
      <c r="Z322" s="132"/>
      <c r="AA322" s="132"/>
    </row>
    <row r="323" spans="1:27" ht="20.100000000000001" customHeight="1">
      <c r="A323" s="299">
        <v>30700017</v>
      </c>
      <c r="B323" s="141" t="s">
        <v>238</v>
      </c>
      <c r="C323" s="444"/>
      <c r="D323" s="108">
        <v>4.4000000000000004</v>
      </c>
      <c r="E323" s="108"/>
      <c r="F323" s="127">
        <v>42738</v>
      </c>
      <c r="G323" s="128">
        <f>72+51+29</f>
        <v>152</v>
      </c>
      <c r="H323" s="438">
        <f t="shared" si="146"/>
        <v>668.80000000000007</v>
      </c>
      <c r="I323" s="129">
        <v>26</v>
      </c>
      <c r="J323" s="130">
        <f t="array" ref="J323">IF(ISERROR(G323/I323),"",G323/I323)</f>
        <v>5.8461538461538458</v>
      </c>
      <c r="K323" s="131">
        <f t="array" ref="K323">IF(ISERROR(G323/L323),"",G323/L323)</f>
        <v>26.206896551724139</v>
      </c>
      <c r="L323" s="129">
        <v>5.8</v>
      </c>
      <c r="M323" s="109">
        <f t="shared" si="147"/>
        <v>-0.20689655172413879</v>
      </c>
      <c r="N323" s="130">
        <f t="shared" si="148"/>
        <v>0</v>
      </c>
      <c r="O323" s="446"/>
      <c r="P323" s="446"/>
      <c r="Q323" s="446"/>
      <c r="R323" s="446"/>
      <c r="S323" s="446"/>
      <c r="T323" s="446"/>
      <c r="U323" s="446"/>
      <c r="V323" s="132">
        <f t="shared" si="149"/>
        <v>0</v>
      </c>
      <c r="W323" s="133">
        <f t="shared" si="145"/>
        <v>0</v>
      </c>
      <c r="X323" s="132"/>
      <c r="Y323" s="132"/>
      <c r="Z323" s="132"/>
      <c r="AA323" s="132"/>
    </row>
    <row r="324" spans="1:27" ht="20.100000000000001" hidden="1" customHeight="1">
      <c r="A324" s="299">
        <v>30700001</v>
      </c>
      <c r="B324" s="127" t="s">
        <v>359</v>
      </c>
      <c r="C324" s="444"/>
      <c r="D324" s="108"/>
      <c r="E324" s="108"/>
      <c r="F324" s="127"/>
      <c r="G324" s="128"/>
      <c r="H324" s="438">
        <f t="shared" si="146"/>
        <v>0</v>
      </c>
      <c r="I324" s="129"/>
      <c r="J324" s="130"/>
      <c r="K324" s="131"/>
      <c r="L324" s="129">
        <v>6</v>
      </c>
      <c r="M324" s="109"/>
      <c r="N324" s="130"/>
      <c r="O324" s="446"/>
      <c r="P324" s="446"/>
      <c r="Q324" s="446"/>
      <c r="R324" s="446"/>
      <c r="S324" s="446"/>
      <c r="T324" s="446"/>
      <c r="U324" s="446"/>
      <c r="V324" s="132"/>
      <c r="W324" s="133"/>
      <c r="X324" s="132"/>
      <c r="Y324" s="132"/>
      <c r="Z324" s="132"/>
      <c r="AA324" s="132"/>
    </row>
    <row r="325" spans="1:27" ht="20.100000000000001" hidden="1" customHeight="1">
      <c r="A325" s="305"/>
      <c r="B325" s="444" t="s">
        <v>239</v>
      </c>
      <c r="C325" s="444" t="s">
        <v>179</v>
      </c>
      <c r="D325" s="108">
        <v>6.04</v>
      </c>
      <c r="E325" s="108"/>
      <c r="F325" s="127"/>
      <c r="G325" s="128"/>
      <c r="H325" s="438">
        <f t="shared" si="146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6" si="150">IF(ISERROR(I325-K325),"",I325-K325)</f>
        <v>0</v>
      </c>
      <c r="N325" s="130">
        <f t="shared" ref="N325:N326" si="151">SUM(O325:U325)</f>
        <v>0</v>
      </c>
      <c r="O325" s="446"/>
      <c r="P325" s="446"/>
      <c r="Q325" s="446"/>
      <c r="R325" s="446"/>
      <c r="S325" s="446"/>
      <c r="T325" s="446"/>
      <c r="U325" s="446"/>
      <c r="V325" s="132">
        <f t="shared" ref="V325:V326" si="152">SUM(X325:AA325)</f>
        <v>0</v>
      </c>
      <c r="W325" s="133" t="str">
        <f t="shared" ref="W325:W326" si="153">IF(ISERROR(V325/G325),"",V325/G325)</f>
        <v/>
      </c>
      <c r="X325" s="132"/>
      <c r="Y325" s="132"/>
      <c r="Z325" s="132"/>
      <c r="AA325" s="132"/>
    </row>
    <row r="326" spans="1:27" ht="20.100000000000001" hidden="1" customHeight="1">
      <c r="A326" s="305">
        <v>30700019</v>
      </c>
      <c r="B326" s="444" t="s">
        <v>239</v>
      </c>
      <c r="C326" s="444" t="s">
        <v>186</v>
      </c>
      <c r="D326" s="108">
        <v>6.04</v>
      </c>
      <c r="E326" s="108"/>
      <c r="F326" s="127"/>
      <c r="G326" s="128"/>
      <c r="H326" s="438">
        <f t="shared" si="146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50"/>
        <v>0</v>
      </c>
      <c r="N326" s="130">
        <f t="shared" si="151"/>
        <v>0</v>
      </c>
      <c r="O326" s="446"/>
      <c r="P326" s="446"/>
      <c r="Q326" s="446"/>
      <c r="R326" s="446"/>
      <c r="S326" s="446"/>
      <c r="T326" s="446"/>
      <c r="U326" s="446"/>
      <c r="V326" s="132">
        <f t="shared" si="152"/>
        <v>0</v>
      </c>
      <c r="W326" s="133" t="str">
        <f t="shared" si="153"/>
        <v/>
      </c>
      <c r="X326" s="132"/>
      <c r="Y326" s="132"/>
      <c r="Z326" s="132"/>
      <c r="AA326" s="132"/>
    </row>
    <row r="327" spans="1:27" ht="20.100000000000001" hidden="1" customHeight="1">
      <c r="A327" s="305">
        <v>30601015</v>
      </c>
      <c r="B327" s="444" t="s">
        <v>443</v>
      </c>
      <c r="C327" s="444" t="s">
        <v>179</v>
      </c>
      <c r="D327" s="108">
        <v>6</v>
      </c>
      <c r="E327" s="108"/>
      <c r="F327" s="127"/>
      <c r="G327" s="128"/>
      <c r="H327" s="438">
        <f t="shared" si="146"/>
        <v>0</v>
      </c>
      <c r="I327" s="129"/>
      <c r="J327" s="130"/>
      <c r="K327" s="131"/>
      <c r="L327" s="129"/>
      <c r="M327" s="109"/>
      <c r="N327" s="130"/>
      <c r="O327" s="446"/>
      <c r="P327" s="446"/>
      <c r="Q327" s="446"/>
      <c r="R327" s="446"/>
      <c r="S327" s="446"/>
      <c r="T327" s="446"/>
      <c r="U327" s="446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305">
        <v>30101016</v>
      </c>
      <c r="B328" s="444" t="s">
        <v>443</v>
      </c>
      <c r="C328" s="444" t="s">
        <v>60</v>
      </c>
      <c r="D328" s="108">
        <v>6</v>
      </c>
      <c r="E328" s="108"/>
      <c r="F328" s="127"/>
      <c r="G328" s="128"/>
      <c r="H328" s="438">
        <f t="shared" si="146"/>
        <v>0</v>
      </c>
      <c r="I328" s="129"/>
      <c r="J328" s="130"/>
      <c r="K328" s="131">
        <f t="array" ref="K328">IF(ISERROR(G328/L328),"",G328/L328)</f>
        <v>0</v>
      </c>
      <c r="L328" s="129">
        <v>6</v>
      </c>
      <c r="M328" s="109"/>
      <c r="N328" s="130"/>
      <c r="O328" s="446"/>
      <c r="P328" s="446"/>
      <c r="Q328" s="446"/>
      <c r="R328" s="446"/>
      <c r="S328" s="446"/>
      <c r="T328" s="446"/>
      <c r="U328" s="446"/>
      <c r="V328" s="132"/>
      <c r="W328" s="133"/>
      <c r="X328" s="132"/>
      <c r="Y328" s="132"/>
      <c r="Z328" s="132"/>
      <c r="AA328" s="132"/>
    </row>
    <row r="329" spans="1:27" ht="20.100000000000001" hidden="1" customHeight="1">
      <c r="A329" s="299">
        <v>30700018</v>
      </c>
      <c r="B329" s="437" t="s">
        <v>240</v>
      </c>
      <c r="C329" s="126"/>
      <c r="D329" s="108">
        <v>7.3</v>
      </c>
      <c r="E329" s="108"/>
      <c r="F329" s="127"/>
      <c r="G329" s="128"/>
      <c r="H329" s="438">
        <f t="shared" si="146"/>
        <v>0</v>
      </c>
      <c r="I329" s="129"/>
      <c r="J329" s="130"/>
      <c r="K329" s="131"/>
      <c r="L329" s="129"/>
      <c r="M329" s="109"/>
      <c r="N329" s="130"/>
      <c r="O329" s="446"/>
      <c r="P329" s="446"/>
      <c r="Q329" s="446"/>
      <c r="R329" s="446"/>
      <c r="S329" s="446"/>
      <c r="T329" s="446"/>
      <c r="U329" s="446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30700010</v>
      </c>
      <c r="B330" s="437" t="s">
        <v>241</v>
      </c>
      <c r="C330" s="126"/>
      <c r="D330" s="108">
        <f>78*120/1000</f>
        <v>9.36</v>
      </c>
      <c r="E330" s="108"/>
      <c r="F330" s="127"/>
      <c r="G330" s="128"/>
      <c r="H330" s="438">
        <f t="shared" si="146"/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4">SUM(O330:U330)</f>
        <v>0</v>
      </c>
      <c r="O330" s="446"/>
      <c r="P330" s="446"/>
      <c r="Q330" s="446"/>
      <c r="R330" s="446"/>
      <c r="S330" s="446"/>
      <c r="T330" s="446"/>
      <c r="U330" s="446"/>
      <c r="V330" s="132">
        <f t="shared" ref="V330" si="155">SUM(X330:AA330)</f>
        <v>0</v>
      </c>
      <c r="W330" s="133" t="str">
        <f t="shared" ref="W330" si="156">IF(ISERROR(V330/G330),"",V330/G330)</f>
        <v/>
      </c>
      <c r="X330" s="132"/>
      <c r="Y330" s="132"/>
      <c r="Z330" s="132"/>
      <c r="AA330" s="132"/>
    </row>
    <row r="331" spans="1:27" ht="20.100000000000001" hidden="1" customHeight="1">
      <c r="A331" s="299">
        <v>30700015</v>
      </c>
      <c r="B331" s="437" t="s">
        <v>242</v>
      </c>
      <c r="C331" s="126"/>
      <c r="D331" s="108">
        <v>4.5</v>
      </c>
      <c r="E331" s="108"/>
      <c r="F331" s="127"/>
      <c r="G331" s="128"/>
      <c r="H331" s="438">
        <f t="shared" si="146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446"/>
      <c r="P331" s="446"/>
      <c r="Q331" s="446"/>
      <c r="R331" s="446"/>
      <c r="S331" s="446"/>
      <c r="T331" s="446"/>
      <c r="U331" s="446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299">
        <v>30700012</v>
      </c>
      <c r="B332" s="437" t="s">
        <v>243</v>
      </c>
      <c r="C332" s="126"/>
      <c r="D332" s="108">
        <v>4.5</v>
      </c>
      <c r="E332" s="108"/>
      <c r="F332" s="127"/>
      <c r="G332" s="128"/>
      <c r="H332" s="438">
        <f t="shared" si="146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446"/>
      <c r="P332" s="446"/>
      <c r="Q332" s="446"/>
      <c r="R332" s="446"/>
      <c r="S332" s="446"/>
      <c r="T332" s="446"/>
      <c r="U332" s="446"/>
      <c r="V332" s="132"/>
      <c r="W332" s="133"/>
      <c r="X332" s="132"/>
      <c r="Y332" s="132"/>
      <c r="Z332" s="132"/>
      <c r="AA332" s="132"/>
    </row>
    <row r="333" spans="1:27" ht="20.100000000000001" hidden="1" customHeight="1">
      <c r="A333" s="299"/>
      <c r="B333" s="199" t="s">
        <v>438</v>
      </c>
      <c r="C333" s="126"/>
      <c r="D333" s="108">
        <v>4.5</v>
      </c>
      <c r="E333" s="108"/>
      <c r="F333" s="127"/>
      <c r="G333" s="128"/>
      <c r="H333" s="438">
        <f t="shared" si="146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446"/>
      <c r="P333" s="446"/>
      <c r="Q333" s="446"/>
      <c r="R333" s="446"/>
      <c r="S333" s="446"/>
      <c r="T333" s="446"/>
      <c r="U333" s="446"/>
      <c r="V333" s="132"/>
      <c r="W333" s="133"/>
      <c r="X333" s="132"/>
      <c r="Y333" s="132"/>
      <c r="Z333" s="132"/>
      <c r="AA333" s="132"/>
    </row>
    <row r="334" spans="1:27" ht="20.100000000000001" customHeight="1">
      <c r="A334" s="578" t="s">
        <v>244</v>
      </c>
      <c r="B334" s="579"/>
      <c r="C334" s="447" t="s">
        <v>202</v>
      </c>
      <c r="D334" s="143"/>
      <c r="E334" s="143"/>
      <c r="F334" s="144"/>
      <c r="G334" s="145">
        <f>SUM(G320:G333)</f>
        <v>184</v>
      </c>
      <c r="H334" s="146">
        <f>SUM(H320:H330)</f>
        <v>918.40000000000009</v>
      </c>
      <c r="I334" s="146">
        <f>SUM(I320:I333)</f>
        <v>32</v>
      </c>
      <c r="J334" s="130">
        <f t="array" ref="J334">IF(ISERROR(G334/I334),"",G334/I334)</f>
        <v>5.75</v>
      </c>
      <c r="K334" s="146">
        <f>SUM(K320:K330)</f>
        <v>33.163418290854572</v>
      </c>
      <c r="L334" s="147"/>
      <c r="M334" s="150">
        <f t="shared" ref="M334:AA334" si="157">SUM(M320:M330)</f>
        <v>-1.1634182908545743</v>
      </c>
      <c r="N334" s="146">
        <f t="shared" si="157"/>
        <v>0</v>
      </c>
      <c r="O334" s="148">
        <f t="shared" si="157"/>
        <v>0</v>
      </c>
      <c r="P334" s="148">
        <f t="shared" si="157"/>
        <v>0</v>
      </c>
      <c r="Q334" s="148">
        <f t="shared" si="157"/>
        <v>0</v>
      </c>
      <c r="R334" s="148">
        <f t="shared" si="157"/>
        <v>0</v>
      </c>
      <c r="S334" s="148">
        <f t="shared" si="157"/>
        <v>0</v>
      </c>
      <c r="T334" s="148">
        <f t="shared" si="157"/>
        <v>0</v>
      </c>
      <c r="U334" s="148">
        <f t="shared" si="157"/>
        <v>0</v>
      </c>
      <c r="V334" s="149">
        <f t="shared" si="157"/>
        <v>0</v>
      </c>
      <c r="W334" s="133">
        <f t="shared" si="157"/>
        <v>0</v>
      </c>
      <c r="X334" s="149">
        <f t="shared" si="157"/>
        <v>0</v>
      </c>
      <c r="Y334" s="149">
        <f t="shared" si="157"/>
        <v>0</v>
      </c>
      <c r="Z334" s="149">
        <f t="shared" si="157"/>
        <v>0</v>
      </c>
      <c r="AA334" s="149">
        <f t="shared" si="157"/>
        <v>0</v>
      </c>
    </row>
    <row r="335" spans="1:27" ht="20.100000000000001" customHeight="1">
      <c r="A335" s="580" t="s">
        <v>246</v>
      </c>
      <c r="B335" s="581"/>
      <c r="C335" s="581"/>
      <c r="D335" s="581"/>
      <c r="E335" s="581"/>
      <c r="F335" s="582"/>
      <c r="G335" s="154">
        <f>SUM(G199,G257,G292,G308,G319,G334)</f>
        <v>6332</v>
      </c>
      <c r="H335" s="154">
        <f>SUM(H199,H257,H292,H308,H319,H334)</f>
        <v>31909.360000000008</v>
      </c>
      <c r="I335" s="154">
        <f>SUM(I199,I257,I292,I308,I319,I334)</f>
        <v>378</v>
      </c>
      <c r="J335" s="155">
        <f t="array" ref="J335">IF(ISERROR(G335/I335),"",G335/I335)</f>
        <v>16.75132275132275</v>
      </c>
      <c r="K335" s="154">
        <f>SUM(K199,K257,K292,K308,K319,K334)</f>
        <v>288.76091452011548</v>
      </c>
      <c r="L335" s="155">
        <f>IF(ISERROR(G335/K335),"",G335/K335)</f>
        <v>21.928175461429717</v>
      </c>
      <c r="M335" s="154">
        <f t="shared" ref="M335:AA335" si="158">SUM(M199,M257,M292,M308,M319,M334)</f>
        <v>89.23908547988448</v>
      </c>
      <c r="N335" s="154">
        <f t="shared" si="158"/>
        <v>0</v>
      </c>
      <c r="O335" s="154">
        <f t="shared" si="158"/>
        <v>0</v>
      </c>
      <c r="P335" s="154">
        <f t="shared" si="158"/>
        <v>0</v>
      </c>
      <c r="Q335" s="154">
        <f t="shared" si="158"/>
        <v>0</v>
      </c>
      <c r="R335" s="154">
        <f t="shared" si="158"/>
        <v>0</v>
      </c>
      <c r="S335" s="154">
        <f t="shared" si="158"/>
        <v>0</v>
      </c>
      <c r="T335" s="154">
        <f t="shared" si="158"/>
        <v>0</v>
      </c>
      <c r="U335" s="154">
        <f t="shared" si="158"/>
        <v>0</v>
      </c>
      <c r="V335" s="154">
        <f t="shared" si="158"/>
        <v>0</v>
      </c>
      <c r="W335" s="154">
        <f t="shared" si="158"/>
        <v>0</v>
      </c>
      <c r="X335" s="154">
        <f t="shared" si="158"/>
        <v>0</v>
      </c>
      <c r="Y335" s="154">
        <f t="shared" si="158"/>
        <v>0</v>
      </c>
      <c r="Z335" s="154">
        <f t="shared" si="158"/>
        <v>0</v>
      </c>
      <c r="AA335" s="154">
        <f t="shared" si="158"/>
        <v>0</v>
      </c>
    </row>
    <row r="336" spans="1:27" ht="20.100000000000001" customHeight="1">
      <c r="A336" s="583" t="s">
        <v>476</v>
      </c>
      <c r="B336" s="440" t="s">
        <v>247</v>
      </c>
      <c r="C336" s="586" t="s">
        <v>248</v>
      </c>
      <c r="D336" s="587"/>
      <c r="E336" s="588" t="s">
        <v>249</v>
      </c>
      <c r="F336" s="588"/>
      <c r="G336" s="591" t="s">
        <v>250</v>
      </c>
      <c r="H336" s="591"/>
      <c r="I336" s="588" t="s">
        <v>251</v>
      </c>
      <c r="J336" s="588"/>
      <c r="K336" s="588" t="s">
        <v>252</v>
      </c>
      <c r="L336" s="588"/>
      <c r="M336" s="588" t="s">
        <v>253</v>
      </c>
      <c r="N336" s="588"/>
      <c r="O336" s="588" t="s">
        <v>254</v>
      </c>
      <c r="P336" s="591" t="s">
        <v>255</v>
      </c>
      <c r="Q336" s="591"/>
      <c r="R336" s="591" t="s">
        <v>252</v>
      </c>
      <c r="S336" s="591"/>
      <c r="T336" s="591" t="s">
        <v>256</v>
      </c>
      <c r="U336" s="591"/>
      <c r="V336" s="591" t="s">
        <v>257</v>
      </c>
      <c r="W336" s="591"/>
      <c r="X336" s="591" t="s">
        <v>252</v>
      </c>
      <c r="Y336" s="591"/>
      <c r="Z336" s="591" t="s">
        <v>256</v>
      </c>
      <c r="AA336" s="591"/>
    </row>
    <row r="337" spans="1:27" ht="20.100000000000001" customHeight="1">
      <c r="A337" s="584"/>
      <c r="B337" s="440" t="s">
        <v>258</v>
      </c>
      <c r="C337" s="626">
        <v>1</v>
      </c>
      <c r="D337" s="627"/>
      <c r="E337" s="590">
        <f>C337*11</f>
        <v>11</v>
      </c>
      <c r="F337" s="590"/>
      <c r="G337" s="591">
        <v>1</v>
      </c>
      <c r="H337" s="591"/>
      <c r="I337" s="590">
        <f>G337*11</f>
        <v>11</v>
      </c>
      <c r="J337" s="590"/>
      <c r="K337" s="590">
        <f>E337-I337</f>
        <v>0</v>
      </c>
      <c r="L337" s="590"/>
      <c r="M337" s="592">
        <f>IF(ISERROR(K337/E337),"",K337/E337)</f>
        <v>0</v>
      </c>
      <c r="N337" s="592"/>
      <c r="O337" s="588"/>
      <c r="P337" s="591" t="s">
        <v>201</v>
      </c>
      <c r="Q337" s="591"/>
      <c r="R337" s="593">
        <f>SUM(O199:U199)</f>
        <v>0</v>
      </c>
      <c r="S337" s="593"/>
      <c r="T337" s="594" t="str">
        <f t="array" ref="T337">IF(ISERROR(R337/R344),"",R337/R344)</f>
        <v/>
      </c>
      <c r="U337" s="594"/>
      <c r="V337" s="591" t="s">
        <v>259</v>
      </c>
      <c r="W337" s="591"/>
      <c r="X337" s="628">
        <f>SUM(P198,P256,P291,P307,P318,P333)</f>
        <v>0</v>
      </c>
      <c r="Y337" s="629"/>
      <c r="Z337" s="594" t="str">
        <f t="array" ref="Z337">IF(ISERROR(X337/X344),"",X337/X344)</f>
        <v/>
      </c>
      <c r="AA337" s="594"/>
    </row>
    <row r="338" spans="1:27" ht="20.100000000000001" customHeight="1">
      <c r="A338" s="584"/>
      <c r="B338" s="440" t="s">
        <v>260</v>
      </c>
      <c r="C338" s="586">
        <v>0</v>
      </c>
      <c r="D338" s="587"/>
      <c r="E338" s="590">
        <f>C338*11</f>
        <v>0</v>
      </c>
      <c r="F338" s="590"/>
      <c r="G338" s="591">
        <v>0</v>
      </c>
      <c r="H338" s="591"/>
      <c r="I338" s="590">
        <f>G338*11</f>
        <v>0</v>
      </c>
      <c r="J338" s="590"/>
      <c r="K338" s="590">
        <f>E338-I338</f>
        <v>0</v>
      </c>
      <c r="L338" s="590"/>
      <c r="M338" s="592" t="str">
        <f>IF(ISERROR(K338/E338),"",K338/E338)</f>
        <v/>
      </c>
      <c r="N338" s="592"/>
      <c r="O338" s="588"/>
      <c r="P338" s="591" t="s">
        <v>216</v>
      </c>
      <c r="Q338" s="591"/>
      <c r="R338" s="593">
        <f>SUM(O257:U257)</f>
        <v>0</v>
      </c>
      <c r="S338" s="593"/>
      <c r="T338" s="594" t="str">
        <f>IF(ISERROR(R338/R344),"",R338/R344)</f>
        <v/>
      </c>
      <c r="U338" s="594"/>
      <c r="V338" s="591" t="s">
        <v>261</v>
      </c>
      <c r="W338" s="591"/>
      <c r="X338" s="628">
        <f>SUM(P199,P257,P292,P308,P319,P334)</f>
        <v>0</v>
      </c>
      <c r="Y338" s="629"/>
      <c r="Z338" s="594" t="str">
        <f>IF(ISERROR(X338/X344),"",X338/X344)</f>
        <v/>
      </c>
      <c r="AA338" s="594"/>
    </row>
    <row r="339" spans="1:27" ht="20.100000000000001" customHeight="1">
      <c r="A339" s="584"/>
      <c r="B339" s="440" t="s">
        <v>262</v>
      </c>
      <c r="C339" s="586">
        <v>0</v>
      </c>
      <c r="D339" s="587"/>
      <c r="E339" s="590">
        <f>C339*8</f>
        <v>0</v>
      </c>
      <c r="F339" s="590"/>
      <c r="G339" s="591">
        <v>1</v>
      </c>
      <c r="H339" s="591"/>
      <c r="I339" s="590">
        <f>G339*8</f>
        <v>8</v>
      </c>
      <c r="J339" s="590"/>
      <c r="K339" s="590">
        <f>E339-I339</f>
        <v>-8</v>
      </c>
      <c r="L339" s="590"/>
      <c r="M339" s="592" t="str">
        <f>IF(ISERROR(K339/E339),"",K339/E339)</f>
        <v/>
      </c>
      <c r="N339" s="592"/>
      <c r="O339" s="588"/>
      <c r="P339" s="591" t="s">
        <v>224</v>
      </c>
      <c r="Q339" s="591"/>
      <c r="R339" s="593">
        <f>SUM(O292:U292)</f>
        <v>0</v>
      </c>
      <c r="S339" s="593"/>
      <c r="T339" s="594" t="str">
        <f>IF(ISERROR(R339/R344),"",R339/R344)</f>
        <v/>
      </c>
      <c r="U339" s="594"/>
      <c r="V339" s="591" t="s">
        <v>263</v>
      </c>
      <c r="W339" s="591"/>
      <c r="X339" s="628">
        <f>SUM(P200,P258,P293,P309,P320,P335)</f>
        <v>0</v>
      </c>
      <c r="Y339" s="629"/>
      <c r="Z339" s="594" t="str">
        <f>IF(ISERROR(X339/X344),"",X339/X344)</f>
        <v/>
      </c>
      <c r="AA339" s="594"/>
    </row>
    <row r="340" spans="1:27" ht="20.100000000000001" customHeight="1">
      <c r="A340" s="584"/>
      <c r="B340" s="440" t="s">
        <v>264</v>
      </c>
      <c r="C340" s="586">
        <v>1</v>
      </c>
      <c r="D340" s="587"/>
      <c r="E340" s="590">
        <f>C340*11</f>
        <v>11</v>
      </c>
      <c r="F340" s="590"/>
      <c r="G340" s="591">
        <v>1</v>
      </c>
      <c r="H340" s="591"/>
      <c r="I340" s="590">
        <f>G340*11</f>
        <v>11</v>
      </c>
      <c r="J340" s="590"/>
      <c r="K340" s="590">
        <f>E340-I340</f>
        <v>0</v>
      </c>
      <c r="L340" s="590"/>
      <c r="M340" s="592">
        <f>IF(ISERROR(K340/E340),"",K340/E340)</f>
        <v>0</v>
      </c>
      <c r="N340" s="592"/>
      <c r="O340" s="588"/>
      <c r="P340" s="591" t="s">
        <v>231</v>
      </c>
      <c r="Q340" s="591"/>
      <c r="R340" s="593">
        <f>SUM(O308:U308)</f>
        <v>0</v>
      </c>
      <c r="S340" s="593"/>
      <c r="T340" s="594" t="str">
        <f>IF(ISERROR(R340/R344),"",R340/R344)</f>
        <v/>
      </c>
      <c r="U340" s="594"/>
      <c r="V340" s="591" t="s">
        <v>265</v>
      </c>
      <c r="W340" s="591"/>
      <c r="X340" s="628">
        <f>SUM(P202,P259,P294,P310,P321,P336)</f>
        <v>0</v>
      </c>
      <c r="Y340" s="629"/>
      <c r="Z340" s="594" t="str">
        <f>IF(ISERROR(X340/X344),"",X340/X344)</f>
        <v/>
      </c>
      <c r="AA340" s="594"/>
    </row>
    <row r="341" spans="1:27" ht="20.100000000000001" customHeight="1">
      <c r="A341" s="585"/>
      <c r="B341" s="440" t="s">
        <v>266</v>
      </c>
      <c r="C341" s="596">
        <f>SUM(C337:D340)</f>
        <v>2</v>
      </c>
      <c r="D341" s="597"/>
      <c r="E341" s="590">
        <f>SUM(E337:F340)</f>
        <v>22</v>
      </c>
      <c r="F341" s="590"/>
      <c r="G341" s="591">
        <f>SUM(G337:H340)</f>
        <v>3</v>
      </c>
      <c r="H341" s="591"/>
      <c r="I341" s="590">
        <f>SUM(I337:J340)</f>
        <v>30</v>
      </c>
      <c r="J341" s="590"/>
      <c r="K341" s="590">
        <f>SUM(K337:L340)</f>
        <v>-8</v>
      </c>
      <c r="L341" s="590"/>
      <c r="M341" s="592">
        <f>IF(ISERROR(K341/E341),"",K341/E341)</f>
        <v>-0.36363636363636365</v>
      </c>
      <c r="N341" s="592"/>
      <c r="O341" s="588"/>
      <c r="P341" s="591" t="s">
        <v>234</v>
      </c>
      <c r="Q341" s="591"/>
      <c r="R341" s="593">
        <f>SUM(O319:U319)</f>
        <v>0</v>
      </c>
      <c r="S341" s="593"/>
      <c r="T341" s="594" t="str">
        <f>IF(ISERROR(R341/R344),"",R341/R344)</f>
        <v/>
      </c>
      <c r="U341" s="594"/>
      <c r="V341" s="591" t="s">
        <v>267</v>
      </c>
      <c r="W341" s="591"/>
      <c r="X341" s="628">
        <f>SUM(P203,P260,P295,P311,P322,P337)</f>
        <v>0</v>
      </c>
      <c r="Y341" s="629"/>
      <c r="Z341" s="594" t="str">
        <f>IF(ISERROR(X341/X344),"",X341/X344)</f>
        <v/>
      </c>
      <c r="AA341" s="594"/>
    </row>
    <row r="342" spans="1:27" ht="20.100000000000001" customHeight="1">
      <c r="A342" s="309" t="s">
        <v>477</v>
      </c>
      <c r="B342" s="440">
        <f>G335</f>
        <v>6332</v>
      </c>
      <c r="C342" s="598" t="s">
        <v>269</v>
      </c>
      <c r="D342" s="599"/>
      <c r="E342" s="591">
        <f>H335</f>
        <v>31909.360000000008</v>
      </c>
      <c r="F342" s="591"/>
      <c r="G342" s="591" t="s">
        <v>270</v>
      </c>
      <c r="H342" s="591"/>
      <c r="I342" s="600">
        <f>L335</f>
        <v>21.928175461429717</v>
      </c>
      <c r="J342" s="600"/>
      <c r="K342" s="588" t="s">
        <v>271</v>
      </c>
      <c r="L342" s="588"/>
      <c r="M342" s="600">
        <f>J335</f>
        <v>16.75132275132275</v>
      </c>
      <c r="N342" s="600"/>
      <c r="O342" s="588"/>
      <c r="P342" s="591" t="s">
        <v>244</v>
      </c>
      <c r="Q342" s="591"/>
      <c r="R342" s="593">
        <f>SUM(O334:U334)</f>
        <v>0</v>
      </c>
      <c r="S342" s="593"/>
      <c r="T342" s="594" t="str">
        <f>IF(ISERROR(R342/R344),"",R342/R344)</f>
        <v/>
      </c>
      <c r="U342" s="594"/>
      <c r="V342" s="591" t="s">
        <v>272</v>
      </c>
      <c r="W342" s="591"/>
      <c r="X342" s="628">
        <f>SUM(P204,P261,P296,P312,P323,P338)</f>
        <v>0</v>
      </c>
      <c r="Y342" s="629"/>
      <c r="Z342" s="594" t="str">
        <f>IF(ISERROR(X342/X344),"",X342/X344)</f>
        <v/>
      </c>
      <c r="AA342" s="594"/>
    </row>
    <row r="343" spans="1:27" ht="20.100000000000001" customHeight="1">
      <c r="A343" s="310" t="s">
        <v>478</v>
      </c>
      <c r="B343" s="440">
        <f>I335+C341</f>
        <v>380</v>
      </c>
      <c r="C343" s="601" t="s">
        <v>251</v>
      </c>
      <c r="D343" s="602"/>
      <c r="E343" s="603">
        <f>K335+I341</f>
        <v>318.76091452011548</v>
      </c>
      <c r="F343" s="603"/>
      <c r="G343" s="591" t="s">
        <v>274</v>
      </c>
      <c r="H343" s="591"/>
      <c r="I343" s="600">
        <f>B343-E343</f>
        <v>61.239085479884523</v>
      </c>
      <c r="J343" s="600"/>
      <c r="K343" s="588" t="s">
        <v>275</v>
      </c>
      <c r="L343" s="588"/>
      <c r="M343" s="592">
        <f>IF(ISERROR(I343/E343),"",I343/E343)</f>
        <v>0.19211604274657712</v>
      </c>
      <c r="N343" s="592"/>
      <c r="O343" s="588"/>
      <c r="P343" s="591" t="s">
        <v>245</v>
      </c>
      <c r="Q343" s="591"/>
      <c r="R343" s="593"/>
      <c r="S343" s="593"/>
      <c r="T343" s="594" t="str">
        <f>IF(ISERROR(R343/R344),"",R343/R344)</f>
        <v/>
      </c>
      <c r="U343" s="594"/>
      <c r="V343" s="591" t="s">
        <v>264</v>
      </c>
      <c r="W343" s="591"/>
      <c r="X343" s="628">
        <f>SUM(P205,P262,P297,P313,P324,P339)</f>
        <v>0</v>
      </c>
      <c r="Y343" s="629"/>
      <c r="Z343" s="594" t="str">
        <f>IF(ISERROR(X343/X344),"",X343/X344)</f>
        <v/>
      </c>
      <c r="AA343" s="594"/>
    </row>
    <row r="344" spans="1:27" ht="20.100000000000001" customHeight="1">
      <c r="A344" s="310" t="s">
        <v>479</v>
      </c>
      <c r="B344" s="440">
        <f>N335</f>
        <v>0</v>
      </c>
      <c r="C344" s="601" t="s">
        <v>277</v>
      </c>
      <c r="D344" s="602"/>
      <c r="E344" s="594">
        <f>IF(ISERROR(B344/B343),"",B344/B343)</f>
        <v>0</v>
      </c>
      <c r="F344" s="594"/>
      <c r="G344" s="591" t="s">
        <v>278</v>
      </c>
      <c r="H344" s="591"/>
      <c r="I344" s="588">
        <f>V335</f>
        <v>0</v>
      </c>
      <c r="J344" s="588"/>
      <c r="K344" s="588" t="s">
        <v>279</v>
      </c>
      <c r="L344" s="588"/>
      <c r="M344" s="592">
        <f t="array" ref="M344">IF(ISERROR(I344/B342),"",I344/B342)</f>
        <v>0</v>
      </c>
      <c r="N344" s="592"/>
      <c r="O344" s="588"/>
      <c r="P344" s="591" t="s">
        <v>266</v>
      </c>
      <c r="Q344" s="591"/>
      <c r="R344" s="593">
        <f>SUM(R337:S343)</f>
        <v>0</v>
      </c>
      <c r="S344" s="593"/>
      <c r="T344" s="594"/>
      <c r="U344" s="594"/>
      <c r="V344" s="591" t="s">
        <v>266</v>
      </c>
      <c r="W344" s="591"/>
      <c r="X344" s="595">
        <f>SUM(X337:Y343)</f>
        <v>0</v>
      </c>
      <c r="Y344" s="595"/>
      <c r="Z344" s="594"/>
      <c r="AA344" s="594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4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604" t="s">
        <v>480</v>
      </c>
      <c r="B346" s="607" t="s">
        <v>280</v>
      </c>
      <c r="C346" s="607" t="s">
        <v>281</v>
      </c>
      <c r="D346" s="607" t="s">
        <v>282</v>
      </c>
      <c r="E346" s="610" t="s">
        <v>283</v>
      </c>
      <c r="F346" s="623" t="s">
        <v>284</v>
      </c>
      <c r="G346" s="588" t="s">
        <v>285</v>
      </c>
      <c r="H346" s="588"/>
      <c r="I346" s="607" t="s">
        <v>286</v>
      </c>
      <c r="J346" s="613" t="s">
        <v>271</v>
      </c>
      <c r="K346" s="616" t="s">
        <v>287</v>
      </c>
      <c r="L346" s="607" t="s">
        <v>270</v>
      </c>
      <c r="M346" s="619" t="s">
        <v>288</v>
      </c>
      <c r="N346" s="621" t="s">
        <v>252</v>
      </c>
      <c r="O346" s="588" t="s">
        <v>289</v>
      </c>
      <c r="P346" s="588"/>
      <c r="Q346" s="588"/>
      <c r="R346" s="588"/>
      <c r="S346" s="588"/>
      <c r="T346" s="588"/>
      <c r="U346" s="588"/>
      <c r="V346" s="588" t="s">
        <v>290</v>
      </c>
      <c r="W346" s="621" t="s">
        <v>291</v>
      </c>
      <c r="X346" s="588" t="s">
        <v>292</v>
      </c>
      <c r="Y346" s="588"/>
      <c r="Z346" s="588"/>
      <c r="AA346" s="588"/>
    </row>
    <row r="347" spans="1:27" ht="21.95" customHeight="1">
      <c r="A347" s="605"/>
      <c r="B347" s="608"/>
      <c r="C347" s="608"/>
      <c r="D347" s="608"/>
      <c r="E347" s="611"/>
      <c r="F347" s="624"/>
      <c r="G347" s="588"/>
      <c r="H347" s="588"/>
      <c r="I347" s="608"/>
      <c r="J347" s="614"/>
      <c r="K347" s="617"/>
      <c r="L347" s="608"/>
      <c r="M347" s="620"/>
      <c r="N347" s="621"/>
      <c r="O347" s="588" t="s">
        <v>259</v>
      </c>
      <c r="P347" s="588" t="s">
        <v>261</v>
      </c>
      <c r="Q347" s="588" t="s">
        <v>263</v>
      </c>
      <c r="R347" s="622" t="s">
        <v>265</v>
      </c>
      <c r="S347" s="591" t="s">
        <v>267</v>
      </c>
      <c r="T347" s="588" t="s">
        <v>272</v>
      </c>
      <c r="U347" s="588" t="s">
        <v>264</v>
      </c>
      <c r="V347" s="588"/>
      <c r="W347" s="621"/>
      <c r="X347" s="588" t="s">
        <v>293</v>
      </c>
      <c r="Y347" s="588" t="s">
        <v>294</v>
      </c>
      <c r="Z347" s="588" t="s">
        <v>295</v>
      </c>
      <c r="AA347" s="588" t="s">
        <v>264</v>
      </c>
    </row>
    <row r="348" spans="1:27" ht="21.95" customHeight="1">
      <c r="A348" s="606"/>
      <c r="B348" s="609"/>
      <c r="C348" s="609"/>
      <c r="D348" s="609"/>
      <c r="E348" s="612"/>
      <c r="F348" s="625"/>
      <c r="G348" s="348" t="s">
        <v>296</v>
      </c>
      <c r="H348" s="444" t="s">
        <v>297</v>
      </c>
      <c r="I348" s="609"/>
      <c r="J348" s="615"/>
      <c r="K348" s="618"/>
      <c r="L348" s="609"/>
      <c r="M348" s="620"/>
      <c r="N348" s="621"/>
      <c r="O348" s="588"/>
      <c r="P348" s="588"/>
      <c r="Q348" s="588"/>
      <c r="R348" s="622"/>
      <c r="S348" s="591"/>
      <c r="T348" s="588"/>
      <c r="U348" s="588"/>
      <c r="V348" s="588"/>
      <c r="W348" s="621"/>
      <c r="X348" s="588"/>
      <c r="Y348" s="588"/>
      <c r="Z348" s="588"/>
      <c r="AA348" s="588"/>
    </row>
    <row r="349" spans="1:27" ht="20.100000000000001" hidden="1" customHeight="1">
      <c r="A349" s="299">
        <v>30100030</v>
      </c>
      <c r="B349" s="437" t="s">
        <v>178</v>
      </c>
      <c r="C349" s="126" t="s">
        <v>179</v>
      </c>
      <c r="D349" s="108">
        <v>5.03</v>
      </c>
      <c r="E349" s="108"/>
      <c r="F349" s="127"/>
      <c r="G349" s="128"/>
      <c r="H349" s="438">
        <f t="shared" ref="H349:H369" si="159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58" si="160">IF(ISERROR(I349-K349),"",I349-K349)</f>
        <v>0</v>
      </c>
      <c r="N349" s="130">
        <f t="shared" ref="N349:N354" si="161">SUM(O349:U349)</f>
        <v>0</v>
      </c>
      <c r="O349" s="446"/>
      <c r="P349" s="446"/>
      <c r="Q349" s="446"/>
      <c r="R349" s="446"/>
      <c r="S349" s="446"/>
      <c r="T349" s="446"/>
      <c r="U349" s="446"/>
      <c r="V349" s="132">
        <f t="shared" ref="V349:V354" si="162">SUM(X349:AA349)</f>
        <v>0</v>
      </c>
      <c r="W349" s="133" t="str">
        <f t="shared" ref="W349:W354" si="163">IF(ISERROR(V349/G349),"",V349/G349)</f>
        <v/>
      </c>
      <c r="X349" s="132"/>
      <c r="Y349" s="132"/>
      <c r="Z349" s="132"/>
      <c r="AA349" s="132"/>
    </row>
    <row r="350" spans="1:27" ht="20.100000000000001" hidden="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28"/>
      <c r="H350" s="438">
        <f t="shared" si="159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60"/>
        <v>0</v>
      </c>
      <c r="N350" s="130">
        <f t="shared" si="161"/>
        <v>0</v>
      </c>
      <c r="O350" s="446"/>
      <c r="P350" s="446"/>
      <c r="Q350" s="446"/>
      <c r="R350" s="446"/>
      <c r="S350" s="446"/>
      <c r="T350" s="446"/>
      <c r="U350" s="446"/>
      <c r="V350" s="132">
        <f t="shared" si="162"/>
        <v>0</v>
      </c>
      <c r="W350" s="133" t="str">
        <f t="shared" si="163"/>
        <v/>
      </c>
      <c r="X350" s="132"/>
      <c r="Y350" s="132"/>
      <c r="Z350" s="132"/>
      <c r="AA350" s="132"/>
    </row>
    <row r="351" spans="1:27" ht="20.100000000000001" hidden="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28"/>
      <c r="H351" s="438">
        <f t="shared" si="159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60"/>
        <v>0</v>
      </c>
      <c r="N351" s="130">
        <f t="shared" si="161"/>
        <v>0</v>
      </c>
      <c r="O351" s="446"/>
      <c r="P351" s="446"/>
      <c r="Q351" s="446"/>
      <c r="R351" s="446"/>
      <c r="S351" s="446"/>
      <c r="T351" s="446"/>
      <c r="U351" s="446"/>
      <c r="V351" s="132">
        <f t="shared" si="162"/>
        <v>0</v>
      </c>
      <c r="W351" s="133" t="str">
        <f t="shared" si="163"/>
        <v/>
      </c>
      <c r="X351" s="132"/>
      <c r="Y351" s="132"/>
      <c r="Z351" s="132"/>
      <c r="AA351" s="132"/>
    </row>
    <row r="352" spans="1:27" ht="20.100000000000001" hidden="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28"/>
      <c r="H352" s="438">
        <f t="shared" si="159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60"/>
        <v>0</v>
      </c>
      <c r="N352" s="130">
        <f t="shared" si="161"/>
        <v>0</v>
      </c>
      <c r="O352" s="446"/>
      <c r="P352" s="446"/>
      <c r="Q352" s="446"/>
      <c r="R352" s="446"/>
      <c r="S352" s="446"/>
      <c r="T352" s="446"/>
      <c r="U352" s="446"/>
      <c r="V352" s="132">
        <f t="shared" si="162"/>
        <v>0</v>
      </c>
      <c r="W352" s="133" t="str">
        <f t="shared" si="163"/>
        <v/>
      </c>
      <c r="X352" s="132"/>
      <c r="Y352" s="132"/>
      <c r="Z352" s="132"/>
      <c r="AA352" s="132"/>
    </row>
    <row r="353" spans="1:27" ht="20.100000000000001" hidden="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28"/>
      <c r="H353" s="438">
        <f t="shared" si="159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60"/>
        <v>0</v>
      </c>
      <c r="N353" s="130">
        <f t="shared" si="161"/>
        <v>0</v>
      </c>
      <c r="O353" s="446"/>
      <c r="P353" s="446"/>
      <c r="Q353" s="446"/>
      <c r="R353" s="446"/>
      <c r="S353" s="446"/>
      <c r="T353" s="446"/>
      <c r="U353" s="446"/>
      <c r="V353" s="132">
        <f t="shared" si="162"/>
        <v>0</v>
      </c>
      <c r="W353" s="133" t="str">
        <f t="shared" si="163"/>
        <v/>
      </c>
      <c r="X353" s="132"/>
      <c r="Y353" s="132"/>
      <c r="Z353" s="132"/>
      <c r="AA353" s="132"/>
    </row>
    <row r="354" spans="1:27" ht="20.100000000000001" hidden="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137"/>
      <c r="H354" s="438">
        <f t="shared" si="159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60"/>
        <v>0</v>
      </c>
      <c r="N354" s="130">
        <f t="shared" si="161"/>
        <v>0</v>
      </c>
      <c r="O354" s="446"/>
      <c r="P354" s="446"/>
      <c r="Q354" s="446"/>
      <c r="R354" s="446"/>
      <c r="S354" s="446"/>
      <c r="T354" s="446"/>
      <c r="U354" s="446"/>
      <c r="V354" s="132">
        <f t="shared" si="162"/>
        <v>0</v>
      </c>
      <c r="W354" s="133" t="str">
        <f t="shared" si="163"/>
        <v/>
      </c>
      <c r="X354" s="132"/>
      <c r="Y354" s="132"/>
      <c r="Z354" s="132"/>
      <c r="AA354" s="132"/>
    </row>
    <row r="355" spans="1:27" ht="20.100000000000001" hidden="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28"/>
      <c r="H355" s="438">
        <f t="shared" si="159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60"/>
        <v>0</v>
      </c>
      <c r="N355" s="130"/>
      <c r="O355" s="446"/>
      <c r="P355" s="446"/>
      <c r="Q355" s="446"/>
      <c r="R355" s="446"/>
      <c r="S355" s="446"/>
      <c r="T355" s="446"/>
      <c r="U355" s="446"/>
      <c r="V355" s="132"/>
      <c r="W355" s="133"/>
      <c r="X355" s="132"/>
      <c r="Y355" s="132"/>
      <c r="Z355" s="132"/>
      <c r="AA355" s="132"/>
    </row>
    <row r="356" spans="1:27" ht="20.100000000000001" hidden="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28"/>
      <c r="H356" s="438">
        <f t="shared" si="159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60"/>
        <v>0</v>
      </c>
      <c r="N356" s="130"/>
      <c r="O356" s="446"/>
      <c r="P356" s="446"/>
      <c r="Q356" s="446"/>
      <c r="R356" s="446"/>
      <c r="S356" s="446"/>
      <c r="T356" s="446"/>
      <c r="U356" s="446"/>
      <c r="V356" s="132"/>
      <c r="W356" s="133"/>
      <c r="X356" s="132"/>
      <c r="Y356" s="132"/>
      <c r="Z356" s="132"/>
      <c r="AA356" s="132"/>
    </row>
    <row r="357" spans="1:27" ht="20.100000000000001" hidden="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28"/>
      <c r="H357" s="438">
        <f t="shared" si="159"/>
        <v>0</v>
      </c>
      <c r="I357" s="438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60"/>
        <v>0</v>
      </c>
      <c r="N357" s="130">
        <f>SUM(O357:U357)</f>
        <v>0</v>
      </c>
      <c r="O357" s="446"/>
      <c r="P357" s="446"/>
      <c r="Q357" s="446"/>
      <c r="R357" s="446"/>
      <c r="S357" s="446"/>
      <c r="T357" s="446"/>
      <c r="U357" s="446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hidden="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28"/>
      <c r="H358" s="438">
        <f t="shared" si="159"/>
        <v>0</v>
      </c>
      <c r="I358" s="438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60"/>
        <v>0</v>
      </c>
      <c r="N358" s="130">
        <f>SUM(O358:U358)</f>
        <v>0</v>
      </c>
      <c r="O358" s="446"/>
      <c r="P358" s="446"/>
      <c r="Q358" s="446"/>
      <c r="R358" s="446"/>
      <c r="S358" s="446"/>
      <c r="T358" s="446"/>
      <c r="U358" s="446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hidden="1" customHeight="1">
      <c r="A359" s="302">
        <v>30100063</v>
      </c>
      <c r="B359" s="134" t="s">
        <v>191</v>
      </c>
      <c r="C359" s="126" t="s">
        <v>192</v>
      </c>
      <c r="D359" s="108">
        <v>5.03</v>
      </c>
      <c r="E359" s="108"/>
      <c r="F359" s="126"/>
      <c r="G359" s="128"/>
      <c r="H359" s="438">
        <f t="shared" si="159"/>
        <v>0</v>
      </c>
      <c r="I359" s="438"/>
      <c r="J359" s="130"/>
      <c r="K359" s="131"/>
      <c r="L359" s="129"/>
      <c r="M359" s="109"/>
      <c r="N359" s="130"/>
      <c r="O359" s="446"/>
      <c r="P359" s="446"/>
      <c r="Q359" s="446"/>
      <c r="R359" s="446"/>
      <c r="S359" s="446"/>
      <c r="T359" s="446"/>
      <c r="U359" s="446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30100061</v>
      </c>
      <c r="B360" s="134" t="s">
        <v>191</v>
      </c>
      <c r="C360" s="126" t="s">
        <v>193</v>
      </c>
      <c r="D360" s="108">
        <v>5.03</v>
      </c>
      <c r="E360" s="108"/>
      <c r="F360" s="126"/>
      <c r="G360" s="128"/>
      <c r="H360" s="438">
        <f t="shared" si="159"/>
        <v>0</v>
      </c>
      <c r="I360" s="438"/>
      <c r="J360" s="130"/>
      <c r="K360" s="131"/>
      <c r="L360" s="129"/>
      <c r="M360" s="109"/>
      <c r="N360" s="130"/>
      <c r="O360" s="446"/>
      <c r="P360" s="446"/>
      <c r="Q360" s="446"/>
      <c r="R360" s="446"/>
      <c r="S360" s="446"/>
      <c r="T360" s="446"/>
      <c r="U360" s="446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28"/>
      <c r="H361" s="438">
        <f t="shared" si="159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ref="M361:M369" si="164">IF(ISERROR(I361-K361),"",I361-K361)</f>
        <v>0</v>
      </c>
      <c r="N361" s="130">
        <f t="shared" ref="N361:N363" si="165">SUM(O361:U361)</f>
        <v>0</v>
      </c>
      <c r="O361" s="446"/>
      <c r="P361" s="446"/>
      <c r="Q361" s="446"/>
      <c r="R361" s="446"/>
      <c r="S361" s="446"/>
      <c r="T361" s="446"/>
      <c r="U361" s="446"/>
      <c r="V361" s="132">
        <f t="shared" ref="V361:V363" si="166">SUM(X361:AA361)</f>
        <v>0</v>
      </c>
      <c r="W361" s="133" t="str">
        <f t="shared" ref="W361:W363" si="167">IF(ISERROR(V361/G361),"",V361/G361)</f>
        <v/>
      </c>
      <c r="X361" s="132"/>
      <c r="Y361" s="132"/>
      <c r="Z361" s="132"/>
      <c r="AA361" s="132"/>
    </row>
    <row r="362" spans="1:27" ht="20.100000000000001" hidden="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28"/>
      <c r="H362" s="438">
        <f t="shared" si="159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4"/>
        <v>0</v>
      </c>
      <c r="N362" s="130">
        <f t="shared" si="165"/>
        <v>0</v>
      </c>
      <c r="O362" s="446"/>
      <c r="P362" s="446"/>
      <c r="Q362" s="446"/>
      <c r="R362" s="446"/>
      <c r="S362" s="446"/>
      <c r="T362" s="446"/>
      <c r="U362" s="446"/>
      <c r="V362" s="132">
        <f t="shared" si="166"/>
        <v>0</v>
      </c>
      <c r="W362" s="133" t="str">
        <f t="shared" si="167"/>
        <v/>
      </c>
      <c r="X362" s="132"/>
      <c r="Y362" s="132"/>
      <c r="Z362" s="132"/>
      <c r="AA362" s="132"/>
    </row>
    <row r="363" spans="1:27" ht="20.100000000000001" hidden="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28"/>
      <c r="H363" s="438">
        <f t="shared" si="159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4"/>
        <v>0</v>
      </c>
      <c r="N363" s="130">
        <f t="shared" si="165"/>
        <v>0</v>
      </c>
      <c r="O363" s="446"/>
      <c r="P363" s="446"/>
      <c r="Q363" s="446"/>
      <c r="R363" s="446"/>
      <c r="S363" s="446"/>
      <c r="T363" s="446"/>
      <c r="U363" s="446"/>
      <c r="V363" s="132">
        <f t="shared" si="166"/>
        <v>0</v>
      </c>
      <c r="W363" s="133" t="str">
        <f t="shared" si="167"/>
        <v/>
      </c>
      <c r="X363" s="132"/>
      <c r="Y363" s="132"/>
      <c r="Z363" s="132"/>
      <c r="AA363" s="132"/>
    </row>
    <row r="364" spans="1:27" ht="20.100000000000001" hidden="1" customHeight="1">
      <c r="A364" s="300">
        <v>30100003</v>
      </c>
      <c r="B364" s="141" t="s">
        <v>198</v>
      </c>
      <c r="C364" s="444" t="s">
        <v>190</v>
      </c>
      <c r="D364" s="108">
        <v>4.8</v>
      </c>
      <c r="E364" s="108"/>
      <c r="F364" s="127"/>
      <c r="G364" s="128"/>
      <c r="H364" s="438">
        <f t="shared" si="159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4"/>
        <v>0</v>
      </c>
      <c r="N364" s="130"/>
      <c r="O364" s="446"/>
      <c r="P364" s="446"/>
      <c r="Q364" s="446"/>
      <c r="R364" s="446"/>
      <c r="S364" s="446"/>
      <c r="T364" s="446"/>
      <c r="U364" s="446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30100004</v>
      </c>
      <c r="B365" s="141" t="s">
        <v>198</v>
      </c>
      <c r="C365" s="444" t="s">
        <v>187</v>
      </c>
      <c r="D365" s="108">
        <v>4.8</v>
      </c>
      <c r="E365" s="108"/>
      <c r="F365" s="127"/>
      <c r="G365" s="128"/>
      <c r="H365" s="438">
        <f t="shared" si="159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4"/>
        <v>0</v>
      </c>
      <c r="N365" s="130"/>
      <c r="O365" s="446"/>
      <c r="P365" s="446"/>
      <c r="Q365" s="446"/>
      <c r="R365" s="446"/>
      <c r="S365" s="446"/>
      <c r="T365" s="446"/>
      <c r="U365" s="446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30100006</v>
      </c>
      <c r="B366" s="141" t="s">
        <v>198</v>
      </c>
      <c r="C366" s="444" t="s">
        <v>179</v>
      </c>
      <c r="D366" s="108">
        <v>4.8</v>
      </c>
      <c r="E366" s="108"/>
      <c r="F366" s="127"/>
      <c r="G366" s="128"/>
      <c r="H366" s="438">
        <f t="shared" si="159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4"/>
        <v>0</v>
      </c>
      <c r="N366" s="130"/>
      <c r="O366" s="446"/>
      <c r="P366" s="446"/>
      <c r="Q366" s="446"/>
      <c r="R366" s="446"/>
      <c r="S366" s="446"/>
      <c r="T366" s="446"/>
      <c r="U366" s="446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0">
        <v>30100005</v>
      </c>
      <c r="B367" s="141" t="s">
        <v>198</v>
      </c>
      <c r="C367" s="444" t="s">
        <v>199</v>
      </c>
      <c r="D367" s="108">
        <v>4.8</v>
      </c>
      <c r="E367" s="108"/>
      <c r="F367" s="127"/>
      <c r="G367" s="128"/>
      <c r="H367" s="438">
        <f t="shared" si="159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4"/>
        <v>0</v>
      </c>
      <c r="N367" s="130"/>
      <c r="O367" s="446"/>
      <c r="P367" s="446"/>
      <c r="Q367" s="446"/>
      <c r="R367" s="446"/>
      <c r="S367" s="446"/>
      <c r="T367" s="446"/>
      <c r="U367" s="446"/>
      <c r="V367" s="132"/>
      <c r="W367" s="133"/>
      <c r="X367" s="132"/>
      <c r="Y367" s="132"/>
      <c r="Z367" s="132"/>
      <c r="AA367" s="132"/>
    </row>
    <row r="368" spans="1:27" ht="20.100000000000001" hidden="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28"/>
      <c r="H368" s="438">
        <f t="shared" si="159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4"/>
        <v>0</v>
      </c>
      <c r="N368" s="130">
        <f t="shared" ref="N368:N369" si="168">SUM(O368:U368)</f>
        <v>0</v>
      </c>
      <c r="O368" s="446"/>
      <c r="P368" s="446"/>
      <c r="Q368" s="446"/>
      <c r="R368" s="446"/>
      <c r="S368" s="446"/>
      <c r="T368" s="446"/>
      <c r="U368" s="446"/>
      <c r="V368" s="132">
        <f t="shared" ref="V368:V369" si="169">SUM(X368:AA368)</f>
        <v>0</v>
      </c>
      <c r="W368" s="133" t="str">
        <f t="shared" ref="W368:W369" si="170">IF(ISERROR(V368/G368),"",V368/G368)</f>
        <v/>
      </c>
      <c r="X368" s="132"/>
      <c r="Y368" s="132"/>
      <c r="Z368" s="132"/>
      <c r="AA368" s="132"/>
    </row>
    <row r="369" spans="1:27" ht="20.100000000000001" hidden="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28"/>
      <c r="H369" s="438">
        <f t="shared" si="159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4"/>
        <v>0</v>
      </c>
      <c r="N369" s="130">
        <f t="shared" si="168"/>
        <v>0</v>
      </c>
      <c r="O369" s="446"/>
      <c r="P369" s="446"/>
      <c r="Q369" s="446"/>
      <c r="R369" s="446"/>
      <c r="S369" s="446"/>
      <c r="T369" s="446"/>
      <c r="U369" s="446"/>
      <c r="V369" s="132">
        <f t="shared" si="169"/>
        <v>0</v>
      </c>
      <c r="W369" s="133" t="str">
        <f t="shared" si="170"/>
        <v/>
      </c>
      <c r="X369" s="132"/>
      <c r="Y369" s="132"/>
      <c r="Z369" s="132"/>
      <c r="AA369" s="132"/>
    </row>
    <row r="370" spans="1:27" ht="20.100000000000001" hidden="1" customHeight="1">
      <c r="A370" s="578" t="s">
        <v>201</v>
      </c>
      <c r="B370" s="579"/>
      <c r="C370" s="447" t="s">
        <v>202</v>
      </c>
      <c r="D370" s="143"/>
      <c r="E370" s="143"/>
      <c r="F370" s="144"/>
      <c r="G370" s="145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71">SUM(M349:M369)</f>
        <v>0</v>
      </c>
      <c r="N370" s="146">
        <f t="shared" si="171"/>
        <v>0</v>
      </c>
      <c r="O370" s="148">
        <f t="shared" si="171"/>
        <v>0</v>
      </c>
      <c r="P370" s="148">
        <f t="shared" si="171"/>
        <v>0</v>
      </c>
      <c r="Q370" s="148">
        <f t="shared" si="171"/>
        <v>0</v>
      </c>
      <c r="R370" s="148">
        <f t="shared" si="171"/>
        <v>0</v>
      </c>
      <c r="S370" s="148">
        <f t="shared" si="171"/>
        <v>0</v>
      </c>
      <c r="T370" s="148">
        <f t="shared" si="171"/>
        <v>0</v>
      </c>
      <c r="U370" s="148">
        <f t="shared" si="171"/>
        <v>0</v>
      </c>
      <c r="V370" s="149">
        <f t="shared" si="171"/>
        <v>0</v>
      </c>
      <c r="W370" s="133">
        <f t="shared" si="171"/>
        <v>0</v>
      </c>
      <c r="X370" s="149">
        <f t="shared" si="171"/>
        <v>0</v>
      </c>
      <c r="Y370" s="149">
        <f t="shared" si="171"/>
        <v>0</v>
      </c>
      <c r="Z370" s="149">
        <f t="shared" si="171"/>
        <v>0</v>
      </c>
      <c r="AA370" s="149">
        <f t="shared" si="171"/>
        <v>0</v>
      </c>
    </row>
    <row r="371" spans="1:27" ht="20.100000000000001" hidden="1" customHeight="1">
      <c r="A371" s="300">
        <v>30100012</v>
      </c>
      <c r="B371" s="437" t="s">
        <v>206</v>
      </c>
      <c r="C371" s="126" t="s">
        <v>199</v>
      </c>
      <c r="D371" s="108">
        <v>5.03</v>
      </c>
      <c r="E371" s="108"/>
      <c r="F371" s="127"/>
      <c r="G371" s="128"/>
      <c r="H371" s="438">
        <f t="shared" ref="H371:H427" si="172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" si="173">IF(ISERROR(I371-K371),"",I371-K371)</f>
        <v>0</v>
      </c>
      <c r="N371" s="130">
        <f t="shared" ref="N371" si="174">SUM(O371:U371)</f>
        <v>0</v>
      </c>
      <c r="O371" s="442"/>
      <c r="P371" s="442"/>
      <c r="Q371" s="442"/>
      <c r="R371" s="442"/>
      <c r="S371" s="442"/>
      <c r="T371" s="442"/>
      <c r="U371" s="442"/>
      <c r="V371" s="132">
        <f t="shared" ref="V371" si="175">SUM(X371:AA371)</f>
        <v>0</v>
      </c>
      <c r="W371" s="133" t="str">
        <f t="shared" ref="W371" si="176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30100011</v>
      </c>
      <c r="B372" s="437" t="s">
        <v>425</v>
      </c>
      <c r="C372" s="187" t="s">
        <v>427</v>
      </c>
      <c r="D372" s="108">
        <v>5.03</v>
      </c>
      <c r="E372" s="108"/>
      <c r="F372" s="127"/>
      <c r="G372" s="128"/>
      <c r="H372" s="438">
        <f t="shared" si="172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442"/>
      <c r="P372" s="442"/>
      <c r="Q372" s="442"/>
      <c r="R372" s="442"/>
      <c r="S372" s="442"/>
      <c r="T372" s="442"/>
      <c r="U372" s="442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0">
        <v>30100010</v>
      </c>
      <c r="B373" s="437" t="s">
        <v>206</v>
      </c>
      <c r="C373" s="126" t="s">
        <v>186</v>
      </c>
      <c r="D373" s="108">
        <v>5.03</v>
      </c>
      <c r="E373" s="108"/>
      <c r="F373" s="127"/>
      <c r="G373" s="128"/>
      <c r="H373" s="438">
        <f t="shared" si="172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ref="M373:M408" si="177">IF(ISERROR(I373-K373),"",I373-K373)</f>
        <v>0</v>
      </c>
      <c r="N373" s="130">
        <f t="shared" ref="N373:N375" si="178">SUM(O373:U373)</f>
        <v>0</v>
      </c>
      <c r="O373" s="442"/>
      <c r="P373" s="442"/>
      <c r="Q373" s="442"/>
      <c r="R373" s="442"/>
      <c r="S373" s="442"/>
      <c r="T373" s="442"/>
      <c r="U373" s="442"/>
      <c r="V373" s="132">
        <f t="shared" ref="V373:V375" si="179">SUM(X373:AA373)</f>
        <v>0</v>
      </c>
      <c r="W373" s="133" t="str">
        <f t="shared" ref="W373:W375" si="180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0">
        <v>30100014</v>
      </c>
      <c r="B374" s="437" t="s">
        <v>206</v>
      </c>
      <c r="C374" s="126" t="s">
        <v>203</v>
      </c>
      <c r="D374" s="108">
        <v>5.03</v>
      </c>
      <c r="E374" s="108"/>
      <c r="F374" s="127"/>
      <c r="G374" s="128"/>
      <c r="H374" s="438">
        <f t="shared" si="172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7"/>
        <v>0</v>
      </c>
      <c r="N374" s="130">
        <f t="shared" si="178"/>
        <v>0</v>
      </c>
      <c r="O374" s="442"/>
      <c r="P374" s="442"/>
      <c r="Q374" s="442"/>
      <c r="R374" s="442"/>
      <c r="S374" s="442"/>
      <c r="T374" s="442"/>
      <c r="U374" s="442"/>
      <c r="V374" s="132">
        <f t="shared" si="179"/>
        <v>0</v>
      </c>
      <c r="W374" s="133" t="str">
        <f t="shared" si="180"/>
        <v/>
      </c>
      <c r="X374" s="132"/>
      <c r="Y374" s="132"/>
      <c r="Z374" s="132"/>
      <c r="AA374" s="132"/>
    </row>
    <row r="375" spans="1:27" ht="20.100000000000001" hidden="1" customHeight="1">
      <c r="A375" s="300">
        <v>30100013</v>
      </c>
      <c r="B375" s="437" t="s">
        <v>206</v>
      </c>
      <c r="C375" s="126" t="s">
        <v>207</v>
      </c>
      <c r="D375" s="108">
        <v>5.03</v>
      </c>
      <c r="E375" s="108"/>
      <c r="F375" s="127"/>
      <c r="G375" s="128"/>
      <c r="H375" s="438">
        <f t="shared" si="172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7"/>
        <v>0</v>
      </c>
      <c r="N375" s="130">
        <f t="shared" si="178"/>
        <v>0</v>
      </c>
      <c r="O375" s="442"/>
      <c r="P375" s="442"/>
      <c r="Q375" s="442"/>
      <c r="R375" s="442"/>
      <c r="S375" s="442"/>
      <c r="T375" s="442"/>
      <c r="U375" s="442"/>
      <c r="V375" s="132">
        <f t="shared" si="179"/>
        <v>0</v>
      </c>
      <c r="W375" s="133" t="str">
        <f t="shared" si="180"/>
        <v/>
      </c>
      <c r="X375" s="132"/>
      <c r="Y375" s="132"/>
      <c r="Z375" s="132"/>
      <c r="AA375" s="132"/>
    </row>
    <row r="376" spans="1:27" ht="20.100000000000001" hidden="1" customHeight="1">
      <c r="A376" s="300">
        <v>30100016</v>
      </c>
      <c r="B376" s="437" t="s">
        <v>414</v>
      </c>
      <c r="C376" s="187" t="s">
        <v>415</v>
      </c>
      <c r="D376" s="108"/>
      <c r="E376" s="108"/>
      <c r="F376" s="127"/>
      <c r="G376" s="128"/>
      <c r="H376" s="438">
        <f t="shared" si="172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7"/>
        <v>0</v>
      </c>
      <c r="N376" s="130"/>
      <c r="O376" s="442"/>
      <c r="P376" s="442"/>
      <c r="Q376" s="442"/>
      <c r="R376" s="442"/>
      <c r="S376" s="442"/>
      <c r="T376" s="442"/>
      <c r="U376" s="442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30100017</v>
      </c>
      <c r="B377" s="437" t="s">
        <v>414</v>
      </c>
      <c r="C377" s="187" t="s">
        <v>416</v>
      </c>
      <c r="D377" s="108"/>
      <c r="E377" s="108"/>
      <c r="F377" s="127"/>
      <c r="G377" s="128"/>
      <c r="H377" s="438">
        <f t="shared" si="172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7"/>
        <v>0</v>
      </c>
      <c r="N377" s="130"/>
      <c r="O377" s="442"/>
      <c r="P377" s="442"/>
      <c r="Q377" s="442"/>
      <c r="R377" s="442"/>
      <c r="S377" s="442"/>
      <c r="T377" s="442"/>
      <c r="U377" s="442"/>
      <c r="V377" s="132"/>
      <c r="W377" s="133"/>
      <c r="X377" s="132"/>
      <c r="Y377" s="132"/>
      <c r="Z377" s="132"/>
      <c r="AA377" s="132"/>
    </row>
    <row r="378" spans="1:27" ht="20.100000000000001" hidden="1" customHeight="1">
      <c r="A378" s="300">
        <v>30100015</v>
      </c>
      <c r="B378" s="437" t="s">
        <v>414</v>
      </c>
      <c r="C378" s="187" t="s">
        <v>61</v>
      </c>
      <c r="D378" s="108"/>
      <c r="E378" s="108"/>
      <c r="F378" s="127"/>
      <c r="G378" s="128"/>
      <c r="H378" s="438">
        <f t="shared" si="172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7"/>
        <v>0</v>
      </c>
      <c r="N378" s="130"/>
      <c r="O378" s="442"/>
      <c r="P378" s="442"/>
      <c r="Q378" s="442"/>
      <c r="R378" s="442"/>
      <c r="S378" s="442"/>
      <c r="T378" s="442"/>
      <c r="U378" s="442"/>
      <c r="V378" s="132"/>
      <c r="W378" s="133"/>
      <c r="X378" s="132"/>
      <c r="Y378" s="132"/>
      <c r="Z378" s="132"/>
      <c r="AA378" s="132"/>
    </row>
    <row r="379" spans="1:27" ht="20.100000000000001" hidden="1" customHeight="1">
      <c r="A379" s="300">
        <v>30100027</v>
      </c>
      <c r="B379" s="437" t="s">
        <v>208</v>
      </c>
      <c r="C379" s="126" t="s">
        <v>179</v>
      </c>
      <c r="D379" s="108">
        <v>5.08</v>
      </c>
      <c r="E379" s="108"/>
      <c r="F379" s="127"/>
      <c r="G379" s="128"/>
      <c r="H379" s="438">
        <f t="shared" si="172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7"/>
        <v>0</v>
      </c>
      <c r="N379" s="130">
        <f t="shared" ref="N379:N394" si="181">SUM(O379:U379)</f>
        <v>0</v>
      </c>
      <c r="O379" s="442"/>
      <c r="P379" s="442"/>
      <c r="Q379" s="442"/>
      <c r="R379" s="442"/>
      <c r="S379" s="442"/>
      <c r="T379" s="442"/>
      <c r="U379" s="442"/>
      <c r="V379" s="132">
        <f t="shared" ref="V379:V390" si="182">SUM(X379:AA379)</f>
        <v>0</v>
      </c>
      <c r="W379" s="133" t="str">
        <f t="shared" ref="W379:W390" si="183">IF(ISERROR(V379/G379),"",V379/G379)</f>
        <v/>
      </c>
      <c r="X379" s="132"/>
      <c r="Y379" s="132"/>
      <c r="Z379" s="132"/>
      <c r="AA379" s="132"/>
    </row>
    <row r="380" spans="1:27" ht="20.100000000000001" hidden="1" customHeight="1">
      <c r="A380" s="300">
        <v>30100023</v>
      </c>
      <c r="B380" s="437" t="s">
        <v>208</v>
      </c>
      <c r="C380" s="126" t="s">
        <v>204</v>
      </c>
      <c r="D380" s="108">
        <v>5.08</v>
      </c>
      <c r="E380" s="108"/>
      <c r="F380" s="127"/>
      <c r="G380" s="128"/>
      <c r="H380" s="438">
        <f t="shared" si="172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7"/>
        <v>0</v>
      </c>
      <c r="N380" s="130">
        <f t="shared" si="181"/>
        <v>0</v>
      </c>
      <c r="O380" s="442"/>
      <c r="P380" s="442"/>
      <c r="Q380" s="442"/>
      <c r="R380" s="442"/>
      <c r="S380" s="442"/>
      <c r="T380" s="442"/>
      <c r="U380" s="442"/>
      <c r="V380" s="132">
        <f t="shared" si="182"/>
        <v>0</v>
      </c>
      <c r="W380" s="133" t="str">
        <f t="shared" si="183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30100024</v>
      </c>
      <c r="B381" s="437" t="s">
        <v>208</v>
      </c>
      <c r="C381" s="126" t="s">
        <v>205</v>
      </c>
      <c r="D381" s="108">
        <v>5.08</v>
      </c>
      <c r="E381" s="108"/>
      <c r="F381" s="127"/>
      <c r="G381" s="128"/>
      <c r="H381" s="438">
        <f t="shared" si="172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7"/>
        <v>0</v>
      </c>
      <c r="N381" s="130">
        <f t="shared" si="181"/>
        <v>0</v>
      </c>
      <c r="O381" s="442"/>
      <c r="P381" s="442"/>
      <c r="Q381" s="442"/>
      <c r="R381" s="442"/>
      <c r="S381" s="442"/>
      <c r="T381" s="442"/>
      <c r="U381" s="442"/>
      <c r="V381" s="132">
        <f t="shared" si="182"/>
        <v>0</v>
      </c>
      <c r="W381" s="133" t="str">
        <f t="shared" si="183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30100022</v>
      </c>
      <c r="B382" s="437" t="s">
        <v>208</v>
      </c>
      <c r="C382" s="126" t="s">
        <v>186</v>
      </c>
      <c r="D382" s="108">
        <v>5.08</v>
      </c>
      <c r="E382" s="108"/>
      <c r="F382" s="127"/>
      <c r="G382" s="128"/>
      <c r="H382" s="438">
        <f t="shared" si="172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7"/>
        <v>0</v>
      </c>
      <c r="N382" s="130">
        <f t="shared" si="181"/>
        <v>0</v>
      </c>
      <c r="O382" s="442"/>
      <c r="P382" s="442"/>
      <c r="Q382" s="442"/>
      <c r="R382" s="442"/>
      <c r="S382" s="442"/>
      <c r="T382" s="442"/>
      <c r="U382" s="442"/>
      <c r="V382" s="132">
        <f t="shared" si="182"/>
        <v>0</v>
      </c>
      <c r="W382" s="133" t="str">
        <f t="shared" si="183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30100029</v>
      </c>
      <c r="B383" s="437" t="s">
        <v>208</v>
      </c>
      <c r="C383" s="126" t="s">
        <v>203</v>
      </c>
      <c r="D383" s="108">
        <v>5.08</v>
      </c>
      <c r="E383" s="108"/>
      <c r="F383" s="127"/>
      <c r="G383" s="128"/>
      <c r="H383" s="438">
        <f t="shared" si="172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7"/>
        <v>0</v>
      </c>
      <c r="N383" s="130">
        <f t="shared" si="181"/>
        <v>0</v>
      </c>
      <c r="O383" s="442"/>
      <c r="P383" s="442"/>
      <c r="Q383" s="442"/>
      <c r="R383" s="442"/>
      <c r="S383" s="442"/>
      <c r="T383" s="442"/>
      <c r="U383" s="442"/>
      <c r="V383" s="132">
        <f t="shared" si="182"/>
        <v>0</v>
      </c>
      <c r="W383" s="133" t="str">
        <f t="shared" si="183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30100026</v>
      </c>
      <c r="B384" s="437" t="s">
        <v>208</v>
      </c>
      <c r="C384" s="126" t="s">
        <v>199</v>
      </c>
      <c r="D384" s="108">
        <v>5.08</v>
      </c>
      <c r="E384" s="108"/>
      <c r="F384" s="127"/>
      <c r="G384" s="128"/>
      <c r="H384" s="438">
        <f t="shared" si="172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7"/>
        <v>0</v>
      </c>
      <c r="N384" s="130">
        <f t="shared" si="181"/>
        <v>0</v>
      </c>
      <c r="O384" s="446"/>
      <c r="P384" s="446"/>
      <c r="Q384" s="446"/>
      <c r="R384" s="446"/>
      <c r="S384" s="446"/>
      <c r="T384" s="446"/>
      <c r="U384" s="446"/>
      <c r="V384" s="132">
        <f t="shared" si="182"/>
        <v>0</v>
      </c>
      <c r="W384" s="133" t="str">
        <f t="shared" si="183"/>
        <v/>
      </c>
      <c r="X384" s="132"/>
      <c r="Y384" s="132"/>
      <c r="Z384" s="132"/>
      <c r="AA384" s="132"/>
    </row>
    <row r="385" spans="1:27" ht="20.100000000000001" hidden="1" customHeight="1">
      <c r="A385" s="300">
        <v>30100025</v>
      </c>
      <c r="B385" s="437" t="s">
        <v>208</v>
      </c>
      <c r="C385" s="126" t="s">
        <v>187</v>
      </c>
      <c r="D385" s="108">
        <v>5.08</v>
      </c>
      <c r="E385" s="108"/>
      <c r="F385" s="127"/>
      <c r="G385" s="128"/>
      <c r="H385" s="438">
        <f t="shared" si="172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7"/>
        <v>0</v>
      </c>
      <c r="N385" s="130">
        <f t="shared" si="181"/>
        <v>0</v>
      </c>
      <c r="O385" s="442"/>
      <c r="P385" s="442"/>
      <c r="Q385" s="442"/>
      <c r="R385" s="442"/>
      <c r="S385" s="442"/>
      <c r="T385" s="442"/>
      <c r="U385" s="442"/>
      <c r="V385" s="132">
        <f t="shared" si="182"/>
        <v>0</v>
      </c>
      <c r="W385" s="133" t="str">
        <f t="shared" si="183"/>
        <v/>
      </c>
      <c r="X385" s="132"/>
      <c r="Y385" s="132"/>
      <c r="Z385" s="132"/>
      <c r="AA385" s="132"/>
    </row>
    <row r="386" spans="1:27" ht="20.100000000000001" hidden="1" customHeight="1">
      <c r="A386" s="300">
        <v>30100028</v>
      </c>
      <c r="B386" s="437" t="s">
        <v>208</v>
      </c>
      <c r="C386" s="126" t="s">
        <v>207</v>
      </c>
      <c r="D386" s="108">
        <v>5.08</v>
      </c>
      <c r="E386" s="108"/>
      <c r="F386" s="127"/>
      <c r="G386" s="128"/>
      <c r="H386" s="438">
        <f t="shared" si="172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7"/>
        <v>0</v>
      </c>
      <c r="N386" s="130">
        <f t="shared" si="181"/>
        <v>0</v>
      </c>
      <c r="O386" s="446"/>
      <c r="P386" s="446"/>
      <c r="Q386" s="446"/>
      <c r="R386" s="446"/>
      <c r="S386" s="446"/>
      <c r="T386" s="446"/>
      <c r="U386" s="446"/>
      <c r="V386" s="132">
        <f t="shared" si="182"/>
        <v>0</v>
      </c>
      <c r="W386" s="133" t="str">
        <f t="shared" si="183"/>
        <v/>
      </c>
      <c r="X386" s="132"/>
      <c r="Y386" s="132"/>
      <c r="Z386" s="132"/>
      <c r="AA386" s="132"/>
    </row>
    <row r="387" spans="1:27" ht="20.100000000000001" hidden="1" customHeight="1">
      <c r="A387" s="300">
        <v>30100032</v>
      </c>
      <c r="B387" s="437" t="s">
        <v>209</v>
      </c>
      <c r="C387" s="126" t="s">
        <v>194</v>
      </c>
      <c r="D387" s="108">
        <v>5.03</v>
      </c>
      <c r="E387" s="108"/>
      <c r="F387" s="127"/>
      <c r="G387" s="128"/>
      <c r="H387" s="438">
        <f t="shared" si="172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7"/>
        <v>0</v>
      </c>
      <c r="N387" s="130">
        <f t="shared" si="181"/>
        <v>0</v>
      </c>
      <c r="O387" s="442"/>
      <c r="P387" s="442"/>
      <c r="Q387" s="442"/>
      <c r="R387" s="442"/>
      <c r="S387" s="442"/>
      <c r="T387" s="442"/>
      <c r="U387" s="442"/>
      <c r="V387" s="132">
        <f t="shared" si="182"/>
        <v>0</v>
      </c>
      <c r="W387" s="133" t="str">
        <f t="shared" si="183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30100033</v>
      </c>
      <c r="B388" s="437" t="s">
        <v>209</v>
      </c>
      <c r="C388" s="126" t="s">
        <v>179</v>
      </c>
      <c r="D388" s="108">
        <v>5.03</v>
      </c>
      <c r="E388" s="108"/>
      <c r="F388" s="127"/>
      <c r="G388" s="128"/>
      <c r="H388" s="438">
        <f t="shared" si="172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7"/>
        <v>0</v>
      </c>
      <c r="N388" s="130">
        <f t="shared" si="181"/>
        <v>0</v>
      </c>
      <c r="O388" s="442"/>
      <c r="P388" s="442"/>
      <c r="Q388" s="442"/>
      <c r="R388" s="442"/>
      <c r="S388" s="442"/>
      <c r="T388" s="442"/>
      <c r="U388" s="442"/>
      <c r="V388" s="132">
        <f t="shared" si="182"/>
        <v>0</v>
      </c>
      <c r="W388" s="133" t="str">
        <f t="shared" si="183"/>
        <v/>
      </c>
      <c r="X388" s="132"/>
      <c r="Y388" s="132"/>
      <c r="Z388" s="132"/>
      <c r="AA388" s="132"/>
    </row>
    <row r="389" spans="1:27" ht="20.100000000000001" hidden="1" customHeight="1">
      <c r="A389" s="300">
        <v>30100062</v>
      </c>
      <c r="B389" s="437" t="s">
        <v>209</v>
      </c>
      <c r="C389" s="126" t="s">
        <v>195</v>
      </c>
      <c r="D389" s="108">
        <v>5.03</v>
      </c>
      <c r="E389" s="108"/>
      <c r="F389" s="127"/>
      <c r="G389" s="128"/>
      <c r="H389" s="438">
        <f t="shared" si="172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7"/>
        <v>0</v>
      </c>
      <c r="N389" s="130">
        <f t="shared" si="181"/>
        <v>0</v>
      </c>
      <c r="O389" s="442"/>
      <c r="P389" s="442"/>
      <c r="Q389" s="442"/>
      <c r="R389" s="442"/>
      <c r="S389" s="442"/>
      <c r="T389" s="442"/>
      <c r="U389" s="442"/>
      <c r="V389" s="132">
        <f t="shared" si="182"/>
        <v>0</v>
      </c>
      <c r="W389" s="133" t="str">
        <f t="shared" si="183"/>
        <v/>
      </c>
      <c r="X389" s="132"/>
      <c r="Y389" s="132"/>
      <c r="Z389" s="132"/>
      <c r="AA389" s="132"/>
    </row>
    <row r="390" spans="1:27" ht="20.100000000000001" hidden="1" customHeight="1">
      <c r="A390" s="300">
        <v>30100031</v>
      </c>
      <c r="B390" s="437" t="s">
        <v>209</v>
      </c>
      <c r="C390" s="126" t="s">
        <v>204</v>
      </c>
      <c r="D390" s="108">
        <v>5.03</v>
      </c>
      <c r="E390" s="108"/>
      <c r="F390" s="127"/>
      <c r="G390" s="128"/>
      <c r="H390" s="438">
        <f t="shared" si="172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7"/>
        <v>0</v>
      </c>
      <c r="N390" s="130">
        <f t="shared" si="181"/>
        <v>0</v>
      </c>
      <c r="O390" s="442"/>
      <c r="P390" s="442"/>
      <c r="Q390" s="442"/>
      <c r="R390" s="442"/>
      <c r="S390" s="442"/>
      <c r="T390" s="442"/>
      <c r="U390" s="442"/>
      <c r="V390" s="132">
        <f t="shared" si="182"/>
        <v>0</v>
      </c>
      <c r="W390" s="133" t="str">
        <f t="shared" si="183"/>
        <v/>
      </c>
      <c r="X390" s="132"/>
      <c r="Y390" s="132"/>
      <c r="Z390" s="132"/>
      <c r="AA390" s="132"/>
    </row>
    <row r="391" spans="1:27" ht="20.100000000000001" hidden="1" customHeight="1">
      <c r="A391" s="300">
        <v>30100019</v>
      </c>
      <c r="B391" s="437" t="s">
        <v>382</v>
      </c>
      <c r="C391" s="187" t="s">
        <v>383</v>
      </c>
      <c r="D391" s="108">
        <v>5.03</v>
      </c>
      <c r="E391" s="108"/>
      <c r="F391" s="127"/>
      <c r="G391" s="128"/>
      <c r="H391" s="438">
        <f t="shared" si="172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7"/>
        <v>0</v>
      </c>
      <c r="N391" s="130">
        <f t="shared" si="181"/>
        <v>0</v>
      </c>
      <c r="O391" s="442"/>
      <c r="P391" s="442"/>
      <c r="Q391" s="442"/>
      <c r="R391" s="442"/>
      <c r="S391" s="442"/>
      <c r="T391" s="442"/>
      <c r="U391" s="442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30100020</v>
      </c>
      <c r="B392" s="437" t="s">
        <v>382</v>
      </c>
      <c r="C392" s="187" t="s">
        <v>384</v>
      </c>
      <c r="D392" s="108">
        <v>5.03</v>
      </c>
      <c r="E392" s="108"/>
      <c r="F392" s="127"/>
      <c r="G392" s="128"/>
      <c r="H392" s="438">
        <f t="shared" si="172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7"/>
        <v>0</v>
      </c>
      <c r="N392" s="130">
        <f t="shared" si="181"/>
        <v>0</v>
      </c>
      <c r="O392" s="442"/>
      <c r="P392" s="442"/>
      <c r="Q392" s="442"/>
      <c r="R392" s="442"/>
      <c r="S392" s="442"/>
      <c r="T392" s="442"/>
      <c r="U392" s="442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0">
        <v>30100021</v>
      </c>
      <c r="B393" s="437" t="s">
        <v>382</v>
      </c>
      <c r="C393" s="187" t="s">
        <v>389</v>
      </c>
      <c r="D393" s="108">
        <v>5.03</v>
      </c>
      <c r="E393" s="108"/>
      <c r="F393" s="127"/>
      <c r="G393" s="128"/>
      <c r="H393" s="438">
        <f t="shared" si="172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7"/>
        <v>0</v>
      </c>
      <c r="N393" s="130">
        <f t="shared" si="181"/>
        <v>0</v>
      </c>
      <c r="O393" s="442"/>
      <c r="P393" s="442"/>
      <c r="Q393" s="442"/>
      <c r="R393" s="442"/>
      <c r="S393" s="442"/>
      <c r="T393" s="442"/>
      <c r="U393" s="442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0">
        <v>30100018</v>
      </c>
      <c r="B394" s="437" t="s">
        <v>382</v>
      </c>
      <c r="C394" s="187" t="s">
        <v>391</v>
      </c>
      <c r="D394" s="108">
        <v>5.03</v>
      </c>
      <c r="E394" s="108"/>
      <c r="F394" s="127"/>
      <c r="G394" s="128"/>
      <c r="H394" s="438">
        <f t="shared" si="172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7"/>
        <v>0</v>
      </c>
      <c r="N394" s="130">
        <f t="shared" si="181"/>
        <v>0</v>
      </c>
      <c r="O394" s="442"/>
      <c r="P394" s="442"/>
      <c r="Q394" s="442"/>
      <c r="R394" s="442"/>
      <c r="S394" s="442"/>
      <c r="T394" s="442"/>
      <c r="U394" s="442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30700007</v>
      </c>
      <c r="B395" s="437" t="s">
        <v>418</v>
      </c>
      <c r="C395" s="187" t="s">
        <v>364</v>
      </c>
      <c r="D395" s="108">
        <v>5.03</v>
      </c>
      <c r="E395" s="108"/>
      <c r="F395" s="127"/>
      <c r="G395" s="128"/>
      <c r="H395" s="438">
        <f t="shared" si="172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7"/>
        <v>0</v>
      </c>
      <c r="N395" s="130"/>
      <c r="O395" s="442"/>
      <c r="P395" s="442"/>
      <c r="Q395" s="442"/>
      <c r="R395" s="442"/>
      <c r="S395" s="442"/>
      <c r="T395" s="442"/>
      <c r="U395" s="442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30700006</v>
      </c>
      <c r="B396" s="437" t="s">
        <v>418</v>
      </c>
      <c r="C396" s="187" t="s">
        <v>365</v>
      </c>
      <c r="D396" s="108">
        <v>5.03</v>
      </c>
      <c r="E396" s="108"/>
      <c r="F396" s="127"/>
      <c r="G396" s="128"/>
      <c r="H396" s="438">
        <f t="shared" si="172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7"/>
        <v>0</v>
      </c>
      <c r="N396" s="130"/>
      <c r="O396" s="442"/>
      <c r="P396" s="442"/>
      <c r="Q396" s="442"/>
      <c r="R396" s="442"/>
      <c r="S396" s="442"/>
      <c r="T396" s="442"/>
      <c r="U396" s="442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3">
        <v>30700008</v>
      </c>
      <c r="B397" s="437" t="s">
        <v>418</v>
      </c>
      <c r="C397" s="187" t="s">
        <v>366</v>
      </c>
      <c r="D397" s="108">
        <v>5.03</v>
      </c>
      <c r="E397" s="108"/>
      <c r="F397" s="127"/>
      <c r="G397" s="128"/>
      <c r="H397" s="438">
        <f t="shared" si="172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7"/>
        <v>0</v>
      </c>
      <c r="N397" s="130"/>
      <c r="O397" s="442"/>
      <c r="P397" s="442"/>
      <c r="Q397" s="442"/>
      <c r="R397" s="442"/>
      <c r="S397" s="442"/>
      <c r="T397" s="442"/>
      <c r="U397" s="442"/>
      <c r="V397" s="132"/>
      <c r="W397" s="133"/>
      <c r="X397" s="132"/>
      <c r="Y397" s="132"/>
      <c r="Z397" s="132"/>
      <c r="AA397" s="132"/>
    </row>
    <row r="398" spans="1:27" ht="20.100000000000001" hidden="1" customHeight="1">
      <c r="A398" s="303">
        <v>30700009</v>
      </c>
      <c r="B398" s="437" t="s">
        <v>418</v>
      </c>
      <c r="C398" s="187" t="s">
        <v>367</v>
      </c>
      <c r="D398" s="108">
        <v>5.03</v>
      </c>
      <c r="E398" s="108"/>
      <c r="F398" s="127"/>
      <c r="G398" s="128"/>
      <c r="H398" s="438">
        <f t="shared" si="172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7"/>
        <v>0</v>
      </c>
      <c r="N398" s="130"/>
      <c r="O398" s="442"/>
      <c r="P398" s="442"/>
      <c r="Q398" s="442"/>
      <c r="R398" s="442"/>
      <c r="S398" s="442"/>
      <c r="T398" s="442"/>
      <c r="U398" s="442"/>
      <c r="V398" s="132"/>
      <c r="W398" s="133"/>
      <c r="X398" s="132"/>
      <c r="Y398" s="132"/>
      <c r="Z398" s="132"/>
      <c r="AA398" s="132"/>
    </row>
    <row r="399" spans="1:27" ht="20.100000000000001" hidden="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28"/>
      <c r="H399" s="438">
        <f t="shared" si="172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7"/>
        <v>0</v>
      </c>
      <c r="N399" s="130">
        <f t="shared" ref="N399:N408" si="184">SUM(O399:U399)</f>
        <v>0</v>
      </c>
      <c r="O399" s="446"/>
      <c r="P399" s="446"/>
      <c r="Q399" s="446"/>
      <c r="R399" s="446"/>
      <c r="S399" s="446"/>
      <c r="T399" s="446"/>
      <c r="U399" s="446"/>
      <c r="V399" s="132">
        <f t="shared" ref="V399:V408" si="185">SUM(X399:AA399)</f>
        <v>0</v>
      </c>
      <c r="W399" s="133" t="str">
        <f t="shared" ref="W399:W408" si="186">IF(ISERROR(V399/G399),"",V399/G399)</f>
        <v/>
      </c>
      <c r="X399" s="132"/>
      <c r="Y399" s="132"/>
      <c r="Z399" s="132"/>
      <c r="AA399" s="132"/>
    </row>
    <row r="400" spans="1:27" ht="20.100000000000001" hidden="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28"/>
      <c r="H400" s="438">
        <f t="shared" si="172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77"/>
        <v>0</v>
      </c>
      <c r="N400" s="130">
        <f t="shared" si="184"/>
        <v>0</v>
      </c>
      <c r="O400" s="446"/>
      <c r="P400" s="446"/>
      <c r="Q400" s="446"/>
      <c r="R400" s="446"/>
      <c r="S400" s="446"/>
      <c r="T400" s="446"/>
      <c r="U400" s="446"/>
      <c r="V400" s="132">
        <f t="shared" si="185"/>
        <v>0</v>
      </c>
      <c r="W400" s="133" t="str">
        <f t="shared" si="186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28"/>
      <c r="H401" s="438">
        <f t="shared" si="172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77"/>
        <v>0</v>
      </c>
      <c r="N401" s="130">
        <f t="shared" si="184"/>
        <v>0</v>
      </c>
      <c r="O401" s="446"/>
      <c r="P401" s="446"/>
      <c r="Q401" s="446"/>
      <c r="R401" s="446"/>
      <c r="S401" s="446"/>
      <c r="T401" s="446"/>
      <c r="U401" s="446"/>
      <c r="V401" s="132">
        <f t="shared" si="185"/>
        <v>0</v>
      </c>
      <c r="W401" s="133" t="str">
        <f t="shared" si="186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28"/>
      <c r="H402" s="438">
        <f t="shared" si="172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7"/>
        <v>0</v>
      </c>
      <c r="N402" s="130">
        <f t="shared" si="184"/>
        <v>0</v>
      </c>
      <c r="O402" s="446"/>
      <c r="P402" s="446"/>
      <c r="Q402" s="446"/>
      <c r="R402" s="446"/>
      <c r="S402" s="446"/>
      <c r="T402" s="446"/>
      <c r="U402" s="446"/>
      <c r="V402" s="132">
        <f t="shared" si="185"/>
        <v>0</v>
      </c>
      <c r="W402" s="133" t="str">
        <f t="shared" si="186"/>
        <v/>
      </c>
      <c r="X402" s="132"/>
      <c r="Y402" s="132"/>
      <c r="Z402" s="132"/>
      <c r="AA402" s="132"/>
    </row>
    <row r="403" spans="1:27" ht="20.100000000000001" hidden="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28"/>
      <c r="H403" s="438">
        <f t="shared" si="172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7"/>
        <v>0</v>
      </c>
      <c r="N403" s="130">
        <f t="shared" si="184"/>
        <v>0</v>
      </c>
      <c r="O403" s="446"/>
      <c r="P403" s="446"/>
      <c r="Q403" s="446"/>
      <c r="R403" s="446"/>
      <c r="S403" s="446"/>
      <c r="T403" s="446"/>
      <c r="U403" s="446"/>
      <c r="V403" s="132">
        <f t="shared" si="185"/>
        <v>0</v>
      </c>
      <c r="W403" s="133" t="str">
        <f t="shared" si="186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28"/>
      <c r="H404" s="438">
        <f t="shared" si="172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7"/>
        <v>0</v>
      </c>
      <c r="N404" s="130">
        <f t="shared" si="184"/>
        <v>0</v>
      </c>
      <c r="O404" s="446"/>
      <c r="P404" s="446"/>
      <c r="Q404" s="446"/>
      <c r="R404" s="446"/>
      <c r="S404" s="446"/>
      <c r="T404" s="446"/>
      <c r="U404" s="446"/>
      <c r="V404" s="132">
        <f t="shared" si="185"/>
        <v>0</v>
      </c>
      <c r="W404" s="133" t="str">
        <f t="shared" si="186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28"/>
      <c r="H405" s="438">
        <f t="shared" si="172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7"/>
        <v>0</v>
      </c>
      <c r="N405" s="130">
        <f t="shared" si="184"/>
        <v>0</v>
      </c>
      <c r="O405" s="446"/>
      <c r="P405" s="446"/>
      <c r="Q405" s="446"/>
      <c r="R405" s="446"/>
      <c r="S405" s="446"/>
      <c r="T405" s="446"/>
      <c r="U405" s="446"/>
      <c r="V405" s="132">
        <f t="shared" si="185"/>
        <v>0</v>
      </c>
      <c r="W405" s="133" t="str">
        <f t="shared" si="186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28"/>
      <c r="H406" s="438">
        <f t="shared" si="172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7"/>
        <v>0</v>
      </c>
      <c r="N406" s="130">
        <f t="shared" si="184"/>
        <v>0</v>
      </c>
      <c r="O406" s="446"/>
      <c r="P406" s="446"/>
      <c r="Q406" s="446"/>
      <c r="R406" s="446"/>
      <c r="S406" s="446"/>
      <c r="T406" s="446"/>
      <c r="U406" s="446"/>
      <c r="V406" s="132">
        <f t="shared" si="185"/>
        <v>0</v>
      </c>
      <c r="W406" s="133" t="str">
        <f t="shared" si="186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28"/>
      <c r="H407" s="438">
        <f t="shared" si="172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77"/>
        <v>0</v>
      </c>
      <c r="N407" s="130">
        <f t="shared" si="184"/>
        <v>0</v>
      </c>
      <c r="O407" s="446"/>
      <c r="P407" s="446"/>
      <c r="Q407" s="446"/>
      <c r="R407" s="446"/>
      <c r="S407" s="446"/>
      <c r="T407" s="446"/>
      <c r="U407" s="446"/>
      <c r="V407" s="132">
        <f t="shared" si="185"/>
        <v>0</v>
      </c>
      <c r="W407" s="133" t="str">
        <f t="shared" si="186"/>
        <v/>
      </c>
      <c r="X407" s="132"/>
      <c r="Y407" s="132"/>
      <c r="Z407" s="132"/>
      <c r="AA407" s="132"/>
    </row>
    <row r="408" spans="1:27" ht="20.100000000000001" hidden="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28"/>
      <c r="H408" s="438">
        <f t="shared" si="172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77"/>
        <v>0</v>
      </c>
      <c r="N408" s="130">
        <f t="shared" si="184"/>
        <v>0</v>
      </c>
      <c r="O408" s="446"/>
      <c r="P408" s="446"/>
      <c r="Q408" s="446"/>
      <c r="R408" s="446"/>
      <c r="S408" s="446"/>
      <c r="T408" s="446"/>
      <c r="U408" s="446"/>
      <c r="V408" s="132">
        <f t="shared" si="185"/>
        <v>0</v>
      </c>
      <c r="W408" s="133" t="str">
        <f t="shared" si="186"/>
        <v/>
      </c>
      <c r="X408" s="132"/>
      <c r="Y408" s="132"/>
      <c r="Z408" s="132"/>
      <c r="AA408" s="132"/>
    </row>
    <row r="409" spans="1:27" ht="20.100000000000001" hidden="1" customHeight="1">
      <c r="A409" s="300">
        <v>30100043</v>
      </c>
      <c r="B409" s="134" t="s">
        <v>429</v>
      </c>
      <c r="C409" s="187" t="s">
        <v>427</v>
      </c>
      <c r="D409" s="108">
        <v>50.3</v>
      </c>
      <c r="E409" s="108"/>
      <c r="F409" s="127"/>
      <c r="G409" s="128"/>
      <c r="H409" s="438">
        <f t="shared" si="172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446"/>
      <c r="P409" s="446"/>
      <c r="Q409" s="446"/>
      <c r="R409" s="446"/>
      <c r="S409" s="446"/>
      <c r="T409" s="446"/>
      <c r="U409" s="446"/>
      <c r="V409" s="132"/>
      <c r="W409" s="133"/>
      <c r="X409" s="132"/>
      <c r="Y409" s="132"/>
      <c r="Z409" s="132"/>
      <c r="AA409" s="132"/>
    </row>
    <row r="410" spans="1:27" ht="20.100000000000001" hidden="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28"/>
      <c r="H410" s="438">
        <f t="shared" si="172"/>
        <v>0</v>
      </c>
      <c r="I410" s="129"/>
      <c r="J410" s="130"/>
      <c r="K410" s="131"/>
      <c r="L410" s="129">
        <v>50</v>
      </c>
      <c r="M410" s="109"/>
      <c r="N410" s="130"/>
      <c r="O410" s="446"/>
      <c r="P410" s="446"/>
      <c r="Q410" s="446"/>
      <c r="R410" s="446"/>
      <c r="S410" s="446"/>
      <c r="T410" s="446"/>
      <c r="U410" s="446"/>
      <c r="V410" s="132"/>
      <c r="W410" s="133"/>
      <c r="X410" s="132"/>
      <c r="Y410" s="132"/>
      <c r="Z410" s="132"/>
      <c r="AA410" s="132"/>
    </row>
    <row r="411" spans="1:27" ht="20.100000000000001" hidden="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28"/>
      <c r="H411" s="438">
        <f t="shared" si="172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7">IF(ISERROR(I411-K411),"",I411-K411)</f>
        <v>0</v>
      </c>
      <c r="N411" s="130">
        <f t="shared" ref="N411:N412" si="188">SUM(O411:U411)</f>
        <v>0</v>
      </c>
      <c r="O411" s="446"/>
      <c r="P411" s="446"/>
      <c r="Q411" s="446"/>
      <c r="R411" s="446"/>
      <c r="S411" s="446"/>
      <c r="T411" s="446"/>
      <c r="U411" s="446"/>
      <c r="V411" s="132">
        <f t="shared" ref="V411:V412" si="189">SUM(X411:AA411)</f>
        <v>0</v>
      </c>
      <c r="W411" s="133" t="str">
        <f t="shared" ref="W411:W412" si="190">IF(ISERROR(V411/G411),"",V411/G411)</f>
        <v/>
      </c>
      <c r="X411" s="132"/>
      <c r="Y411" s="132"/>
      <c r="Z411" s="132"/>
      <c r="AA411" s="132"/>
    </row>
    <row r="412" spans="1:27" ht="20.100000000000001" hidden="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28"/>
      <c r="H412" s="438">
        <f t="shared" si="172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7"/>
        <v>0</v>
      </c>
      <c r="N412" s="130">
        <f t="shared" si="188"/>
        <v>0</v>
      </c>
      <c r="O412" s="446"/>
      <c r="P412" s="446"/>
      <c r="Q412" s="446"/>
      <c r="R412" s="446"/>
      <c r="S412" s="446"/>
      <c r="T412" s="446"/>
      <c r="U412" s="446"/>
      <c r="V412" s="132">
        <f t="shared" si="189"/>
        <v>0</v>
      </c>
      <c r="W412" s="133" t="str">
        <f t="shared" si="190"/>
        <v/>
      </c>
      <c r="X412" s="132"/>
      <c r="Y412" s="132"/>
      <c r="Z412" s="132"/>
      <c r="AA412" s="132"/>
    </row>
    <row r="413" spans="1:27" ht="20.100000000000001" hidden="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28"/>
      <c r="H413" s="438">
        <f t="shared" si="172"/>
        <v>0</v>
      </c>
      <c r="I413" s="129"/>
      <c r="J413" s="130"/>
      <c r="K413" s="131"/>
      <c r="L413" s="129"/>
      <c r="M413" s="109"/>
      <c r="N413" s="130"/>
      <c r="O413" s="446"/>
      <c r="P413" s="446"/>
      <c r="Q413" s="446"/>
      <c r="R413" s="446"/>
      <c r="S413" s="446"/>
      <c r="T413" s="446"/>
      <c r="U413" s="446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28"/>
      <c r="H414" s="438">
        <f t="shared" si="172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91">IF(ISERROR(I414-K414),"",I414-K414)</f>
        <v/>
      </c>
      <c r="N414" s="130">
        <f t="shared" ref="N414:N417" si="192">SUM(O414:U414)</f>
        <v>0</v>
      </c>
      <c r="O414" s="446"/>
      <c r="P414" s="446"/>
      <c r="Q414" s="446"/>
      <c r="R414" s="446"/>
      <c r="S414" s="446"/>
      <c r="T414" s="446"/>
      <c r="U414" s="446"/>
      <c r="V414" s="132">
        <f t="shared" ref="V414:V417" si="193">SUM(X414:AA414)</f>
        <v>0</v>
      </c>
      <c r="W414" s="133" t="str">
        <f t="shared" ref="W414:W417" si="194">IF(ISERROR(V414/G414),"",V414/G414)</f>
        <v/>
      </c>
      <c r="X414" s="132"/>
      <c r="Y414" s="132"/>
      <c r="Z414" s="132"/>
      <c r="AA414" s="132"/>
    </row>
    <row r="415" spans="1:27" ht="20.100000000000001" hidden="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28"/>
      <c r="H415" s="438">
        <f t="shared" si="172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1"/>
        <v/>
      </c>
      <c r="N415" s="130">
        <f t="shared" si="192"/>
        <v>0</v>
      </c>
      <c r="O415" s="446"/>
      <c r="P415" s="446"/>
      <c r="Q415" s="446"/>
      <c r="R415" s="446"/>
      <c r="S415" s="446"/>
      <c r="T415" s="446"/>
      <c r="U415" s="446"/>
      <c r="V415" s="132">
        <f t="shared" si="193"/>
        <v>0</v>
      </c>
      <c r="W415" s="133" t="str">
        <f t="shared" si="194"/>
        <v/>
      </c>
      <c r="X415" s="132"/>
      <c r="Y415" s="132"/>
      <c r="Z415" s="132"/>
      <c r="AA415" s="132"/>
    </row>
    <row r="416" spans="1:27" ht="20.100000000000001" hidden="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28"/>
      <c r="H416" s="438">
        <f t="shared" si="172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91"/>
        <v/>
      </c>
      <c r="N416" s="130">
        <f t="shared" si="192"/>
        <v>0</v>
      </c>
      <c r="O416" s="446"/>
      <c r="P416" s="446"/>
      <c r="Q416" s="446"/>
      <c r="R416" s="446"/>
      <c r="S416" s="446"/>
      <c r="T416" s="446"/>
      <c r="U416" s="446"/>
      <c r="V416" s="132">
        <f t="shared" si="193"/>
        <v>0</v>
      </c>
      <c r="W416" s="133" t="str">
        <f t="shared" si="194"/>
        <v/>
      </c>
      <c r="X416" s="132"/>
      <c r="Y416" s="132"/>
      <c r="Z416" s="132"/>
      <c r="AA416" s="132"/>
    </row>
    <row r="417" spans="1:27" ht="20.100000000000001" hidden="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28"/>
      <c r="H417" s="438">
        <f t="shared" si="172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91"/>
        <v/>
      </c>
      <c r="N417" s="130">
        <f t="shared" si="192"/>
        <v>0</v>
      </c>
      <c r="O417" s="446"/>
      <c r="P417" s="446"/>
      <c r="Q417" s="446"/>
      <c r="R417" s="446"/>
      <c r="S417" s="446"/>
      <c r="T417" s="446"/>
      <c r="U417" s="446"/>
      <c r="V417" s="132">
        <f t="shared" si="193"/>
        <v>0</v>
      </c>
      <c r="W417" s="133" t="str">
        <f t="shared" si="194"/>
        <v/>
      </c>
      <c r="X417" s="132"/>
      <c r="Y417" s="132"/>
      <c r="Z417" s="132"/>
      <c r="AA417" s="132"/>
    </row>
    <row r="418" spans="1:27" ht="20.100000000000001" hidden="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28"/>
      <c r="H418" s="438">
        <f t="shared" si="172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1"/>
        <v>0</v>
      </c>
      <c r="N418" s="130"/>
      <c r="O418" s="446"/>
      <c r="P418" s="446"/>
      <c r="Q418" s="446"/>
      <c r="R418" s="446"/>
      <c r="S418" s="446"/>
      <c r="T418" s="446"/>
      <c r="U418" s="446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28"/>
      <c r="H419" s="438">
        <f t="shared" si="172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1"/>
        <v>0</v>
      </c>
      <c r="N419" s="130"/>
      <c r="O419" s="446"/>
      <c r="P419" s="446"/>
      <c r="Q419" s="446"/>
      <c r="R419" s="446"/>
      <c r="S419" s="446"/>
      <c r="T419" s="446"/>
      <c r="U419" s="446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28"/>
      <c r="H420" s="438">
        <f t="shared" si="172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91"/>
        <v>0</v>
      </c>
      <c r="N420" s="130"/>
      <c r="O420" s="446"/>
      <c r="P420" s="446"/>
      <c r="Q420" s="446"/>
      <c r="R420" s="446"/>
      <c r="S420" s="446"/>
      <c r="T420" s="446"/>
      <c r="U420" s="446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28"/>
      <c r="H421" s="438">
        <f t="shared" si="172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91"/>
        <v>0</v>
      </c>
      <c r="N421" s="130"/>
      <c r="O421" s="446"/>
      <c r="P421" s="446"/>
      <c r="Q421" s="446"/>
      <c r="R421" s="446"/>
      <c r="S421" s="446"/>
      <c r="T421" s="446"/>
      <c r="U421" s="446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28"/>
      <c r="H422" s="438">
        <f t="shared" si="172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1"/>
        <v>0</v>
      </c>
      <c r="N422" s="130"/>
      <c r="O422" s="446"/>
      <c r="P422" s="446"/>
      <c r="Q422" s="446"/>
      <c r="R422" s="446"/>
      <c r="S422" s="446"/>
      <c r="T422" s="446"/>
      <c r="U422" s="446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28"/>
      <c r="H423" s="438">
        <f t="shared" si="172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1"/>
        <v>0</v>
      </c>
      <c r="N423" s="130"/>
      <c r="O423" s="446"/>
      <c r="P423" s="446"/>
      <c r="Q423" s="446"/>
      <c r="R423" s="446"/>
      <c r="S423" s="446"/>
      <c r="T423" s="446"/>
      <c r="U423" s="446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28"/>
      <c r="H424" s="438">
        <f t="shared" si="172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1"/>
        <v>0</v>
      </c>
      <c r="N424" s="130"/>
      <c r="O424" s="446"/>
      <c r="P424" s="446"/>
      <c r="Q424" s="446"/>
      <c r="R424" s="446"/>
      <c r="S424" s="446"/>
      <c r="T424" s="446"/>
      <c r="U424" s="446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28"/>
      <c r="H425" s="438">
        <f t="shared" si="172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1"/>
        <v>0</v>
      </c>
      <c r="N425" s="130"/>
      <c r="O425" s="446"/>
      <c r="P425" s="446"/>
      <c r="Q425" s="446"/>
      <c r="R425" s="446"/>
      <c r="S425" s="446"/>
      <c r="T425" s="446"/>
      <c r="U425" s="446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28"/>
      <c r="H426" s="438">
        <f t="shared" si="172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91"/>
        <v>0</v>
      </c>
      <c r="N426" s="130"/>
      <c r="O426" s="446"/>
      <c r="P426" s="446"/>
      <c r="Q426" s="446"/>
      <c r="R426" s="446"/>
      <c r="S426" s="446"/>
      <c r="T426" s="446"/>
      <c r="U426" s="446"/>
      <c r="V426" s="132"/>
      <c r="W426" s="133"/>
      <c r="X426" s="132"/>
      <c r="Y426" s="132"/>
      <c r="Z426" s="132"/>
      <c r="AA426" s="132"/>
    </row>
    <row r="427" spans="1:27" ht="20.100000000000001" hidden="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28"/>
      <c r="H427" s="438">
        <f t="shared" si="172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91"/>
        <v>0</v>
      </c>
      <c r="N427" s="130"/>
      <c r="O427" s="446"/>
      <c r="P427" s="446"/>
      <c r="Q427" s="446"/>
      <c r="R427" s="446"/>
      <c r="S427" s="446"/>
      <c r="T427" s="446"/>
      <c r="U427" s="446"/>
      <c r="V427" s="132"/>
      <c r="W427" s="133"/>
      <c r="X427" s="132"/>
      <c r="Y427" s="132"/>
      <c r="Z427" s="132"/>
      <c r="AA427" s="132"/>
    </row>
    <row r="428" spans="1:27" ht="20.100000000000001" hidden="1" customHeight="1">
      <c r="A428" s="589" t="s">
        <v>216</v>
      </c>
      <c r="B428" s="589"/>
      <c r="C428" s="447" t="s">
        <v>202</v>
      </c>
      <c r="D428" s="143"/>
      <c r="E428" s="143"/>
      <c r="F428" s="144"/>
      <c r="G428" s="145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5">SUM(M371:M427)</f>
        <v>0</v>
      </c>
      <c r="N428" s="146">
        <f t="shared" si="195"/>
        <v>0</v>
      </c>
      <c r="O428" s="148">
        <f t="shared" si="195"/>
        <v>0</v>
      </c>
      <c r="P428" s="148">
        <f t="shared" si="195"/>
        <v>0</v>
      </c>
      <c r="Q428" s="148">
        <f t="shared" si="195"/>
        <v>0</v>
      </c>
      <c r="R428" s="148">
        <f t="shared" si="195"/>
        <v>0</v>
      </c>
      <c r="S428" s="148">
        <f t="shared" si="195"/>
        <v>0</v>
      </c>
      <c r="T428" s="148">
        <f t="shared" si="195"/>
        <v>0</v>
      </c>
      <c r="U428" s="148">
        <f t="shared" si="195"/>
        <v>0</v>
      </c>
      <c r="V428" s="149">
        <f t="shared" si="195"/>
        <v>0</v>
      </c>
      <c r="W428" s="133" t="str">
        <f t="shared" ref="W428:W435" si="196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hidden="1" customHeight="1">
      <c r="A429" s="299">
        <v>30400012</v>
      </c>
      <c r="B429" s="437" t="s">
        <v>217</v>
      </c>
      <c r="C429" s="126" t="s">
        <v>179</v>
      </c>
      <c r="D429" s="108">
        <v>5.03</v>
      </c>
      <c r="E429" s="108"/>
      <c r="F429" s="127"/>
      <c r="G429" s="128"/>
      <c r="H429" s="438">
        <f t="shared" ref="H429:H462" si="197">D429*G429</f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ref="M429:M436" si="198">IF(ISERROR(I429-K429),"",I429-K429)</f>
        <v>0</v>
      </c>
      <c r="N429" s="130">
        <f t="shared" ref="N429:N436" si="199">SUM(O429:U429)</f>
        <v>0</v>
      </c>
      <c r="O429" s="446"/>
      <c r="P429" s="446"/>
      <c r="Q429" s="446"/>
      <c r="R429" s="446"/>
      <c r="S429" s="446"/>
      <c r="T429" s="446"/>
      <c r="U429" s="446"/>
      <c r="V429" s="132">
        <f t="shared" ref="V429:V435" si="200">SUM(X429:AA429)</f>
        <v>0</v>
      </c>
      <c r="W429" s="133" t="str">
        <f t="shared" si="196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30400010</v>
      </c>
      <c r="B430" s="437" t="s">
        <v>217</v>
      </c>
      <c r="C430" s="126" t="s">
        <v>186</v>
      </c>
      <c r="D430" s="108">
        <v>5.03</v>
      </c>
      <c r="E430" s="108"/>
      <c r="F430" s="127"/>
      <c r="G430" s="128"/>
      <c r="H430" s="438">
        <f t="shared" si="197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8.8000000000000007</v>
      </c>
      <c r="M430" s="109">
        <f t="shared" si="198"/>
        <v>0</v>
      </c>
      <c r="N430" s="130">
        <f t="shared" si="199"/>
        <v>0</v>
      </c>
      <c r="O430" s="446"/>
      <c r="P430" s="446"/>
      <c r="Q430" s="446"/>
      <c r="R430" s="446"/>
      <c r="S430" s="446"/>
      <c r="T430" s="446"/>
      <c r="U430" s="446"/>
      <c r="V430" s="132">
        <f t="shared" si="200"/>
        <v>0</v>
      </c>
      <c r="W430" s="133" t="str">
        <f t="shared" si="196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30400011</v>
      </c>
      <c r="B431" s="437" t="s">
        <v>217</v>
      </c>
      <c r="C431" s="126" t="s">
        <v>204</v>
      </c>
      <c r="D431" s="108">
        <v>5.03</v>
      </c>
      <c r="E431" s="108"/>
      <c r="F431" s="127"/>
      <c r="G431" s="128"/>
      <c r="H431" s="438">
        <f t="shared" si="197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8.8000000000000007</v>
      </c>
      <c r="M431" s="109">
        <f t="shared" si="198"/>
        <v>0</v>
      </c>
      <c r="N431" s="130">
        <f t="shared" si="199"/>
        <v>0</v>
      </c>
      <c r="O431" s="446"/>
      <c r="P431" s="446"/>
      <c r="Q431" s="446"/>
      <c r="R431" s="446"/>
      <c r="S431" s="446"/>
      <c r="T431" s="446"/>
      <c r="U431" s="446"/>
      <c r="V431" s="132">
        <f t="shared" si="200"/>
        <v>0</v>
      </c>
      <c r="W431" s="133" t="str">
        <f t="shared" si="196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28"/>
      <c r="H432" s="438">
        <f t="shared" si="197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8"/>
        <v>0</v>
      </c>
      <c r="N432" s="130">
        <f t="shared" si="199"/>
        <v>0</v>
      </c>
      <c r="O432" s="446"/>
      <c r="P432" s="446"/>
      <c r="Q432" s="446"/>
      <c r="R432" s="446"/>
      <c r="S432" s="446"/>
      <c r="T432" s="446"/>
      <c r="U432" s="446"/>
      <c r="V432" s="132">
        <f t="shared" si="200"/>
        <v>0</v>
      </c>
      <c r="W432" s="133" t="str">
        <f t="shared" si="196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/>
      <c r="G433" s="128"/>
      <c r="H433" s="438">
        <f t="shared" si="197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8"/>
        <v>0</v>
      </c>
      <c r="N433" s="130">
        <f t="shared" si="199"/>
        <v>0</v>
      </c>
      <c r="O433" s="446"/>
      <c r="P433" s="446"/>
      <c r="Q433" s="446"/>
      <c r="R433" s="446"/>
      <c r="S433" s="446"/>
      <c r="T433" s="446"/>
      <c r="U433" s="446"/>
      <c r="V433" s="132">
        <f t="shared" si="200"/>
        <v>0</v>
      </c>
      <c r="W433" s="133" t="str">
        <f t="shared" si="196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/>
      <c r="G434" s="128"/>
      <c r="H434" s="438">
        <f t="shared" si="197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9.3000000000000007</v>
      </c>
      <c r="M434" s="109">
        <f t="shared" si="198"/>
        <v>0</v>
      </c>
      <c r="N434" s="130">
        <f t="shared" si="199"/>
        <v>0</v>
      </c>
      <c r="O434" s="446"/>
      <c r="P434" s="446"/>
      <c r="Q434" s="446"/>
      <c r="R434" s="446"/>
      <c r="S434" s="446"/>
      <c r="T434" s="446"/>
      <c r="U434" s="446"/>
      <c r="V434" s="132">
        <f t="shared" si="200"/>
        <v>0</v>
      </c>
      <c r="W434" s="133" t="str">
        <f t="shared" si="196"/>
        <v/>
      </c>
      <c r="X434" s="132"/>
      <c r="Y434" s="132"/>
      <c r="Z434" s="132"/>
      <c r="AA434" s="132"/>
    </row>
    <row r="435" spans="1:27" ht="20.100000000000001" hidden="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/>
      <c r="G435" s="128"/>
      <c r="H435" s="438">
        <f t="shared" si="197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9.3000000000000007</v>
      </c>
      <c r="M435" s="109">
        <f t="shared" si="198"/>
        <v>0</v>
      </c>
      <c r="N435" s="130">
        <f t="shared" si="199"/>
        <v>0</v>
      </c>
      <c r="O435" s="446"/>
      <c r="P435" s="446"/>
      <c r="Q435" s="446"/>
      <c r="R435" s="446"/>
      <c r="S435" s="446"/>
      <c r="T435" s="446"/>
      <c r="U435" s="446"/>
      <c r="V435" s="132">
        <f t="shared" si="200"/>
        <v>0</v>
      </c>
      <c r="W435" s="133" t="str">
        <f t="shared" si="196"/>
        <v/>
      </c>
      <c r="X435" s="132"/>
      <c r="Y435" s="132"/>
      <c r="Z435" s="132"/>
      <c r="AA435" s="132"/>
    </row>
    <row r="436" spans="1:27" ht="20.100000000000001" hidden="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/>
      <c r="G436" s="128"/>
      <c r="H436" s="438">
        <f t="shared" si="197"/>
        <v>0</v>
      </c>
      <c r="I436" s="129"/>
      <c r="J436" s="130"/>
      <c r="K436" s="131">
        <f t="array" ref="K436">IF(ISERROR(G436/L436),"",G436/L436)</f>
        <v>0</v>
      </c>
      <c r="L436" s="129">
        <v>9.3000000000000007</v>
      </c>
      <c r="M436" s="109">
        <f t="shared" si="198"/>
        <v>0</v>
      </c>
      <c r="N436" s="130">
        <f t="shared" si="199"/>
        <v>0</v>
      </c>
      <c r="O436" s="446"/>
      <c r="P436" s="446"/>
      <c r="Q436" s="446"/>
      <c r="R436" s="446"/>
      <c r="S436" s="446"/>
      <c r="T436" s="446"/>
      <c r="U436" s="446"/>
      <c r="V436" s="132"/>
      <c r="W436" s="133"/>
      <c r="X436" s="132"/>
      <c r="Y436" s="132"/>
      <c r="Z436" s="132"/>
      <c r="AA436" s="132"/>
    </row>
    <row r="437" spans="1:27" ht="20.100000000000001" hidden="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28"/>
      <c r="H437" s="438">
        <f t="shared" si="197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446"/>
      <c r="P437" s="446"/>
      <c r="Q437" s="446"/>
      <c r="R437" s="446"/>
      <c r="S437" s="446"/>
      <c r="T437" s="446"/>
      <c r="U437" s="446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28"/>
      <c r="H438" s="438">
        <f t="shared" si="197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446"/>
      <c r="P438" s="446"/>
      <c r="Q438" s="446"/>
      <c r="R438" s="446"/>
      <c r="S438" s="446"/>
      <c r="T438" s="446"/>
      <c r="U438" s="446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28"/>
      <c r="H439" s="438">
        <f t="shared" si="197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446"/>
      <c r="P439" s="446"/>
      <c r="Q439" s="446"/>
      <c r="R439" s="446"/>
      <c r="S439" s="446"/>
      <c r="T439" s="446"/>
      <c r="U439" s="446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28"/>
      <c r="H440" s="438">
        <f t="shared" si="197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446"/>
      <c r="P440" s="446"/>
      <c r="Q440" s="446"/>
      <c r="R440" s="446"/>
      <c r="S440" s="446"/>
      <c r="T440" s="446"/>
      <c r="U440" s="446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hidden="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28"/>
      <c r="H441" s="438">
        <f t="shared" si="197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2" si="201">IF(ISERROR(I441-K441),"",I441-K441)</f>
        <v>0</v>
      </c>
      <c r="N441" s="130">
        <f t="shared" ref="N441:N456" si="202">SUM(O441:U441)</f>
        <v>0</v>
      </c>
      <c r="O441" s="446"/>
      <c r="P441" s="446"/>
      <c r="Q441" s="446"/>
      <c r="R441" s="446"/>
      <c r="S441" s="446"/>
      <c r="T441" s="446"/>
      <c r="U441" s="446"/>
      <c r="V441" s="132">
        <f t="shared" ref="V441:V444" si="203">SUM(X441:AA441)</f>
        <v>0</v>
      </c>
      <c r="W441" s="133" t="str">
        <f t="shared" ref="W441:W448" si="204">IF(ISERROR(V441/G441),"",V441/G441)</f>
        <v/>
      </c>
      <c r="X441" s="132"/>
      <c r="Y441" s="132"/>
      <c r="Z441" s="132"/>
      <c r="AA441" s="132"/>
    </row>
    <row r="442" spans="1:27" ht="20.100000000000001" hidden="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28"/>
      <c r="H442" s="438">
        <f t="shared" si="197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1"/>
        <v/>
      </c>
      <c r="N442" s="130">
        <f t="shared" si="202"/>
        <v>0</v>
      </c>
      <c r="O442" s="446"/>
      <c r="P442" s="446"/>
      <c r="Q442" s="446"/>
      <c r="R442" s="446"/>
      <c r="S442" s="446"/>
      <c r="T442" s="446"/>
      <c r="U442" s="446"/>
      <c r="V442" s="132">
        <f t="shared" si="203"/>
        <v>0</v>
      </c>
      <c r="W442" s="133" t="str">
        <f t="shared" si="204"/>
        <v/>
      </c>
      <c r="X442" s="132"/>
      <c r="Y442" s="132"/>
      <c r="Z442" s="132"/>
      <c r="AA442" s="132"/>
    </row>
    <row r="443" spans="1:27" ht="20.100000000000001" hidden="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28"/>
      <c r="H443" s="438">
        <f t="shared" si="197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201"/>
        <v/>
      </c>
      <c r="N443" s="130">
        <f t="shared" si="202"/>
        <v>0</v>
      </c>
      <c r="O443" s="446"/>
      <c r="P443" s="446"/>
      <c r="Q443" s="446"/>
      <c r="R443" s="446"/>
      <c r="S443" s="446"/>
      <c r="T443" s="446"/>
      <c r="U443" s="446"/>
      <c r="V443" s="132">
        <f t="shared" si="203"/>
        <v>0</v>
      </c>
      <c r="W443" s="133" t="str">
        <f t="shared" si="204"/>
        <v/>
      </c>
      <c r="X443" s="132"/>
      <c r="Y443" s="132"/>
      <c r="Z443" s="132"/>
      <c r="AA443" s="132"/>
    </row>
    <row r="444" spans="1:27" ht="20.100000000000001" hidden="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28"/>
      <c r="H444" s="438">
        <f t="shared" si="197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201"/>
        <v/>
      </c>
      <c r="N444" s="130">
        <f t="shared" si="202"/>
        <v>0</v>
      </c>
      <c r="O444" s="446"/>
      <c r="P444" s="446"/>
      <c r="Q444" s="446"/>
      <c r="R444" s="446"/>
      <c r="S444" s="446"/>
      <c r="T444" s="446"/>
      <c r="U444" s="446"/>
      <c r="V444" s="132">
        <f t="shared" si="203"/>
        <v>0</v>
      </c>
      <c r="W444" s="133" t="str">
        <f t="shared" si="204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30600005</v>
      </c>
      <c r="B445" s="437" t="s">
        <v>222</v>
      </c>
      <c r="C445" s="126" t="s">
        <v>181</v>
      </c>
      <c r="D445" s="108">
        <v>9.36</v>
      </c>
      <c r="E445" s="108"/>
      <c r="F445" s="127"/>
      <c r="G445" s="128"/>
      <c r="H445" s="438">
        <f t="shared" si="197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1"/>
        <v>0</v>
      </c>
      <c r="N445" s="130">
        <f t="shared" si="202"/>
        <v>0</v>
      </c>
      <c r="O445" s="446"/>
      <c r="P445" s="446"/>
      <c r="Q445" s="446"/>
      <c r="R445" s="446"/>
      <c r="S445" s="446"/>
      <c r="T445" s="446"/>
      <c r="U445" s="446"/>
      <c r="V445" s="132">
        <f t="shared" ref="V445:V448" si="205">SUM(X445:AA445)</f>
        <v>0</v>
      </c>
      <c r="W445" s="133" t="str">
        <f t="shared" si="204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30600008</v>
      </c>
      <c r="B446" s="437" t="s">
        <v>222</v>
      </c>
      <c r="C446" s="126" t="s">
        <v>179</v>
      </c>
      <c r="D446" s="108">
        <v>9.36</v>
      </c>
      <c r="E446" s="108"/>
      <c r="F446" s="127"/>
      <c r="G446" s="128"/>
      <c r="H446" s="438">
        <f t="shared" si="197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1"/>
        <v>0</v>
      </c>
      <c r="N446" s="130">
        <f t="shared" si="202"/>
        <v>0</v>
      </c>
      <c r="O446" s="446"/>
      <c r="P446" s="446"/>
      <c r="Q446" s="446"/>
      <c r="R446" s="446"/>
      <c r="S446" s="446"/>
      <c r="T446" s="446"/>
      <c r="U446" s="446"/>
      <c r="V446" s="132">
        <f t="shared" si="205"/>
        <v>0</v>
      </c>
      <c r="W446" s="133" t="str">
        <f t="shared" si="204"/>
        <v/>
      </c>
      <c r="X446" s="132"/>
      <c r="Y446" s="132"/>
      <c r="Z446" s="132"/>
      <c r="AA446" s="132"/>
    </row>
    <row r="447" spans="1:27" ht="20.100000000000001" hidden="1" customHeight="1">
      <c r="A447" s="304">
        <v>30600007</v>
      </c>
      <c r="B447" s="437" t="s">
        <v>222</v>
      </c>
      <c r="C447" s="126" t="s">
        <v>221</v>
      </c>
      <c r="D447" s="108">
        <v>9.36</v>
      </c>
      <c r="E447" s="108"/>
      <c r="F447" s="127"/>
      <c r="G447" s="128"/>
      <c r="H447" s="438">
        <f t="shared" si="197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201"/>
        <v>0</v>
      </c>
      <c r="N447" s="130">
        <f t="shared" si="202"/>
        <v>0</v>
      </c>
      <c r="O447" s="446"/>
      <c r="P447" s="446"/>
      <c r="Q447" s="446"/>
      <c r="R447" s="446"/>
      <c r="S447" s="446"/>
      <c r="T447" s="446"/>
      <c r="U447" s="446"/>
      <c r="V447" s="132">
        <f t="shared" si="205"/>
        <v>0</v>
      </c>
      <c r="W447" s="133" t="str">
        <f t="shared" si="204"/>
        <v/>
      </c>
      <c r="X447" s="132"/>
      <c r="Y447" s="132"/>
      <c r="Z447" s="132"/>
      <c r="AA447" s="132"/>
    </row>
    <row r="448" spans="1:27" ht="20.100000000000001" hidden="1" customHeight="1">
      <c r="A448" s="304">
        <v>30600006</v>
      </c>
      <c r="B448" s="437" t="s">
        <v>222</v>
      </c>
      <c r="C448" s="126" t="s">
        <v>186</v>
      </c>
      <c r="D448" s="108">
        <v>9.36</v>
      </c>
      <c r="E448" s="108"/>
      <c r="F448" s="127"/>
      <c r="G448" s="128"/>
      <c r="H448" s="438">
        <f t="shared" si="197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201"/>
        <v>0</v>
      </c>
      <c r="N448" s="130">
        <f t="shared" si="202"/>
        <v>0</v>
      </c>
      <c r="O448" s="446"/>
      <c r="P448" s="446"/>
      <c r="Q448" s="446"/>
      <c r="R448" s="446"/>
      <c r="S448" s="446"/>
      <c r="T448" s="446"/>
      <c r="U448" s="446"/>
      <c r="V448" s="132">
        <f t="shared" si="205"/>
        <v>0</v>
      </c>
      <c r="W448" s="133" t="str">
        <f t="shared" si="204"/>
        <v/>
      </c>
      <c r="X448" s="132"/>
      <c r="Y448" s="132"/>
      <c r="Z448" s="132"/>
      <c r="AA448" s="132"/>
    </row>
    <row r="449" spans="1:27" ht="20.100000000000001" hidden="1" customHeight="1">
      <c r="A449" s="299">
        <v>30400026</v>
      </c>
      <c r="B449" s="437" t="s">
        <v>393</v>
      </c>
      <c r="C449" s="187" t="s">
        <v>395</v>
      </c>
      <c r="D449" s="108">
        <v>5</v>
      </c>
      <c r="E449" s="108"/>
      <c r="F449" s="127"/>
      <c r="G449" s="128"/>
      <c r="H449" s="438">
        <f t="shared" si="197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1"/>
        <v>0</v>
      </c>
      <c r="N449" s="130">
        <f t="shared" si="202"/>
        <v>0</v>
      </c>
      <c r="O449" s="446"/>
      <c r="P449" s="446"/>
      <c r="Q449" s="446"/>
      <c r="R449" s="446"/>
      <c r="S449" s="446"/>
      <c r="T449" s="446"/>
      <c r="U449" s="446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>
        <v>30400028</v>
      </c>
      <c r="B450" s="437" t="s">
        <v>393</v>
      </c>
      <c r="C450" s="187" t="s">
        <v>402</v>
      </c>
      <c r="D450" s="108">
        <v>5</v>
      </c>
      <c r="E450" s="108"/>
      <c r="F450" s="127"/>
      <c r="G450" s="128"/>
      <c r="H450" s="438">
        <f t="shared" si="197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1"/>
        <v>0</v>
      </c>
      <c r="N450" s="130">
        <f t="shared" si="202"/>
        <v>0</v>
      </c>
      <c r="O450" s="446"/>
      <c r="P450" s="446"/>
      <c r="Q450" s="446"/>
      <c r="R450" s="446"/>
      <c r="S450" s="446"/>
      <c r="T450" s="446"/>
      <c r="U450" s="446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30400027</v>
      </c>
      <c r="B451" s="437" t="s">
        <v>404</v>
      </c>
      <c r="C451" s="187" t="s">
        <v>405</v>
      </c>
      <c r="D451" s="108">
        <v>5</v>
      </c>
      <c r="E451" s="108"/>
      <c r="F451" s="127"/>
      <c r="G451" s="128"/>
      <c r="H451" s="438">
        <f t="shared" si="197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1"/>
        <v>0</v>
      </c>
      <c r="N451" s="130">
        <f t="shared" si="202"/>
        <v>0</v>
      </c>
      <c r="O451" s="446"/>
      <c r="P451" s="446"/>
      <c r="Q451" s="446"/>
      <c r="R451" s="446"/>
      <c r="S451" s="446"/>
      <c r="T451" s="446"/>
      <c r="U451" s="446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/>
      <c r="B452" s="437" t="s">
        <v>342</v>
      </c>
      <c r="C452" s="187" t="s">
        <v>372</v>
      </c>
      <c r="D452" s="108">
        <v>5</v>
      </c>
      <c r="E452" s="108"/>
      <c r="F452" s="127"/>
      <c r="G452" s="128"/>
      <c r="H452" s="438">
        <f t="shared" si="197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1"/>
        <v>0</v>
      </c>
      <c r="N452" s="130">
        <f t="shared" si="202"/>
        <v>0</v>
      </c>
      <c r="O452" s="446"/>
      <c r="P452" s="446"/>
      <c r="Q452" s="446"/>
      <c r="R452" s="446"/>
      <c r="S452" s="446"/>
      <c r="T452" s="446"/>
      <c r="U452" s="446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30600009</v>
      </c>
      <c r="B453" s="437" t="s">
        <v>343</v>
      </c>
      <c r="C453" s="126" t="s">
        <v>345</v>
      </c>
      <c r="D453" s="108">
        <v>5</v>
      </c>
      <c r="E453" s="108"/>
      <c r="F453" s="127"/>
      <c r="G453" s="128"/>
      <c r="H453" s="438">
        <f t="shared" si="197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201"/>
        <v>0</v>
      </c>
      <c r="N453" s="130">
        <f t="shared" si="202"/>
        <v>0</v>
      </c>
      <c r="O453" s="446"/>
      <c r="P453" s="446"/>
      <c r="Q453" s="446"/>
      <c r="R453" s="446"/>
      <c r="S453" s="446"/>
      <c r="T453" s="446"/>
      <c r="U453" s="446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299">
        <v>30600010</v>
      </c>
      <c r="B454" s="437" t="s">
        <v>343</v>
      </c>
      <c r="C454" s="126" t="s">
        <v>347</v>
      </c>
      <c r="D454" s="108">
        <v>5</v>
      </c>
      <c r="E454" s="108"/>
      <c r="F454" s="127"/>
      <c r="G454" s="128"/>
      <c r="H454" s="438">
        <f t="shared" si="197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201"/>
        <v>0</v>
      </c>
      <c r="N454" s="130">
        <f t="shared" si="202"/>
        <v>0</v>
      </c>
      <c r="O454" s="446"/>
      <c r="P454" s="446"/>
      <c r="Q454" s="446"/>
      <c r="R454" s="446"/>
      <c r="S454" s="446"/>
      <c r="T454" s="446"/>
      <c r="U454" s="446"/>
      <c r="V454" s="132"/>
      <c r="W454" s="133"/>
      <c r="X454" s="132"/>
      <c r="Y454" s="132"/>
      <c r="Z454" s="132"/>
      <c r="AA454" s="132"/>
    </row>
    <row r="455" spans="1:27" ht="20.100000000000001" hidden="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/>
      <c r="G455" s="128"/>
      <c r="H455" s="438">
        <f t="shared" si="197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15.5</v>
      </c>
      <c r="M455" s="109">
        <f t="shared" si="201"/>
        <v>0</v>
      </c>
      <c r="N455" s="130">
        <f t="shared" si="202"/>
        <v>0</v>
      </c>
      <c r="O455" s="446"/>
      <c r="P455" s="446"/>
      <c r="Q455" s="446"/>
      <c r="R455" s="446"/>
      <c r="S455" s="446"/>
      <c r="T455" s="446"/>
      <c r="U455" s="446"/>
      <c r="V455" s="132">
        <f t="shared" ref="V455:V456" si="206">SUM(X455:AA455)</f>
        <v>0</v>
      </c>
      <c r="W455" s="133" t="str">
        <f t="shared" ref="W455:W456" si="207">IF(ISERROR(V455/G455),"",V455/G455)</f>
        <v/>
      </c>
      <c r="X455" s="132"/>
      <c r="Y455" s="132"/>
      <c r="Z455" s="132"/>
      <c r="AA455" s="132"/>
    </row>
    <row r="456" spans="1:27" ht="20.100000000000001" hidden="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/>
      <c r="G456" s="128"/>
      <c r="H456" s="438">
        <f t="shared" si="197"/>
        <v>0</v>
      </c>
      <c r="I456" s="129"/>
      <c r="J456" s="130" t="str">
        <f t="array" ref="J456">IF(ISERROR(G456/I456),"",G456/I456)</f>
        <v/>
      </c>
      <c r="K456" s="131">
        <f t="array" ref="K456">IF(ISERROR(G456/L456),"",G456/L456)</f>
        <v>0</v>
      </c>
      <c r="L456" s="129">
        <v>15.5</v>
      </c>
      <c r="M456" s="109">
        <f t="shared" si="201"/>
        <v>0</v>
      </c>
      <c r="N456" s="130">
        <f t="shared" si="202"/>
        <v>0</v>
      </c>
      <c r="O456" s="446"/>
      <c r="P456" s="446"/>
      <c r="Q456" s="446"/>
      <c r="R456" s="446"/>
      <c r="S456" s="446"/>
      <c r="T456" s="446"/>
      <c r="U456" s="446"/>
      <c r="V456" s="132">
        <f t="shared" si="206"/>
        <v>0</v>
      </c>
      <c r="W456" s="133" t="str">
        <f t="shared" si="207"/>
        <v/>
      </c>
      <c r="X456" s="132"/>
      <c r="Y456" s="132"/>
      <c r="Z456" s="132"/>
      <c r="AA456" s="132"/>
    </row>
    <row r="457" spans="1:27" ht="20.100000000000001" hidden="1" customHeight="1">
      <c r="A457" s="299">
        <v>30400004</v>
      </c>
      <c r="B457" s="151" t="s">
        <v>419</v>
      </c>
      <c r="C457" s="187" t="s">
        <v>73</v>
      </c>
      <c r="D457" s="108"/>
      <c r="E457" s="108"/>
      <c r="F457" s="127"/>
      <c r="G457" s="128"/>
      <c r="H457" s="438">
        <f t="shared" si="197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1"/>
        <v>0</v>
      </c>
      <c r="N457" s="130"/>
      <c r="O457" s="446"/>
      <c r="P457" s="446"/>
      <c r="Q457" s="446"/>
      <c r="R457" s="446"/>
      <c r="S457" s="446"/>
      <c r="T457" s="446"/>
      <c r="U457" s="446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28"/>
      <c r="H458" s="438">
        <f t="shared" si="197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201"/>
        <v>0</v>
      </c>
      <c r="N458" s="130"/>
      <c r="O458" s="446"/>
      <c r="P458" s="446"/>
      <c r="Q458" s="446"/>
      <c r="R458" s="446"/>
      <c r="S458" s="446"/>
      <c r="T458" s="446"/>
      <c r="U458" s="446"/>
      <c r="V458" s="132"/>
      <c r="W458" s="133"/>
      <c r="X458" s="132"/>
      <c r="Y458" s="132"/>
      <c r="Z458" s="132"/>
      <c r="AA458" s="132"/>
    </row>
    <row r="459" spans="1:27" ht="20.100000000000001" hidden="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28"/>
      <c r="H459" s="438">
        <f t="shared" si="197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201"/>
        <v>0</v>
      </c>
      <c r="N459" s="130"/>
      <c r="O459" s="446"/>
      <c r="P459" s="446"/>
      <c r="Q459" s="446"/>
      <c r="R459" s="446"/>
      <c r="S459" s="446"/>
      <c r="T459" s="446"/>
      <c r="U459" s="446"/>
      <c r="V459" s="132"/>
      <c r="W459" s="133"/>
      <c r="X459" s="132"/>
      <c r="Y459" s="132"/>
      <c r="Z459" s="132"/>
      <c r="AA459" s="132"/>
    </row>
    <row r="460" spans="1:27" ht="20.100000000000001" hidden="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28"/>
      <c r="H460" s="438">
        <f t="shared" si="197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201"/>
        <v>0</v>
      </c>
      <c r="N460" s="130">
        <f t="shared" ref="N460:N462" si="208">SUM(O460:U460)</f>
        <v>0</v>
      </c>
      <c r="O460" s="446"/>
      <c r="P460" s="446"/>
      <c r="Q460" s="446"/>
      <c r="R460" s="446"/>
      <c r="S460" s="446"/>
      <c r="T460" s="446"/>
      <c r="U460" s="446"/>
      <c r="V460" s="132">
        <f t="shared" ref="V460:V462" si="209">SUM(X460:AA460)</f>
        <v>0</v>
      </c>
      <c r="W460" s="133" t="str">
        <f t="shared" ref="W460:W484" si="210">IF(ISERROR(V460/G460),"",V460/G460)</f>
        <v/>
      </c>
      <c r="X460" s="132"/>
      <c r="Y460" s="132"/>
      <c r="Z460" s="132"/>
      <c r="AA460" s="132"/>
    </row>
    <row r="461" spans="1:27" ht="20.100000000000001" hidden="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28"/>
      <c r="H461" s="438">
        <f t="shared" si="197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si="201"/>
        <v>0</v>
      </c>
      <c r="N461" s="130">
        <f t="shared" si="208"/>
        <v>0</v>
      </c>
      <c r="O461" s="446"/>
      <c r="P461" s="446"/>
      <c r="Q461" s="446"/>
      <c r="R461" s="446"/>
      <c r="S461" s="446"/>
      <c r="T461" s="446"/>
      <c r="U461" s="446"/>
      <c r="V461" s="132">
        <f t="shared" si="209"/>
        <v>0</v>
      </c>
      <c r="W461" s="133" t="str">
        <f t="shared" si="210"/>
        <v/>
      </c>
      <c r="X461" s="132"/>
      <c r="Y461" s="132"/>
      <c r="Z461" s="132"/>
      <c r="AA461" s="132"/>
    </row>
    <row r="462" spans="1:27" ht="20.100000000000001" hidden="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28"/>
      <c r="H462" s="438">
        <f t="shared" si="197"/>
        <v>0</v>
      </c>
      <c r="I462" s="129"/>
      <c r="J462" s="130" t="str">
        <f t="array" ref="J462">IF(ISERROR(G462/I462),"",G462/I462)</f>
        <v/>
      </c>
      <c r="K462" s="438">
        <f t="array" ref="K462">IF(ISERROR(G462/L462),"",G462/L462)</f>
        <v>0</v>
      </c>
      <c r="L462" s="129">
        <v>9</v>
      </c>
      <c r="M462" s="109">
        <f t="shared" si="201"/>
        <v>0</v>
      </c>
      <c r="N462" s="130">
        <f t="shared" si="208"/>
        <v>0</v>
      </c>
      <c r="O462" s="446"/>
      <c r="P462" s="446"/>
      <c r="Q462" s="446"/>
      <c r="R462" s="446"/>
      <c r="S462" s="446"/>
      <c r="T462" s="446"/>
      <c r="U462" s="446"/>
      <c r="V462" s="132">
        <f t="shared" si="209"/>
        <v>0</v>
      </c>
      <c r="W462" s="133" t="str">
        <f t="shared" si="210"/>
        <v/>
      </c>
      <c r="X462" s="132"/>
      <c r="Y462" s="132"/>
      <c r="Z462" s="132"/>
      <c r="AA462" s="132"/>
    </row>
    <row r="463" spans="1:27" ht="20.100000000000001" hidden="1" customHeight="1">
      <c r="A463" s="578" t="s">
        <v>224</v>
      </c>
      <c r="B463" s="579"/>
      <c r="C463" s="447" t="s">
        <v>202</v>
      </c>
      <c r="D463" s="143"/>
      <c r="E463" s="143"/>
      <c r="F463" s="144"/>
      <c r="G463" s="145">
        <f>SUM(G429:G462)</f>
        <v>0</v>
      </c>
      <c r="H463" s="146">
        <f>SUM(H429:H462)</f>
        <v>0</v>
      </c>
      <c r="I463" s="146">
        <f>SUM(I429:I462)</f>
        <v>0</v>
      </c>
      <c r="J463" s="130" t="str">
        <f t="array" ref="J463">IF(ISERROR(G463/I463),"",G463/I463)</f>
        <v/>
      </c>
      <c r="K463" s="146">
        <f>SUM(K429:K462)</f>
        <v>0</v>
      </c>
      <c r="L463" s="147"/>
      <c r="M463" s="150">
        <f t="shared" ref="M463:V463" si="211">SUM(M429:M462)</f>
        <v>0</v>
      </c>
      <c r="N463" s="146">
        <f t="shared" si="211"/>
        <v>0</v>
      </c>
      <c r="O463" s="148">
        <f t="shared" si="211"/>
        <v>0</v>
      </c>
      <c r="P463" s="148">
        <f t="shared" si="211"/>
        <v>0</v>
      </c>
      <c r="Q463" s="148">
        <f t="shared" si="211"/>
        <v>0</v>
      </c>
      <c r="R463" s="148">
        <f t="shared" si="211"/>
        <v>0</v>
      </c>
      <c r="S463" s="148">
        <f t="shared" si="211"/>
        <v>0</v>
      </c>
      <c r="T463" s="148">
        <f t="shared" si="211"/>
        <v>0</v>
      </c>
      <c r="U463" s="148">
        <f t="shared" si="211"/>
        <v>0</v>
      </c>
      <c r="V463" s="149">
        <f t="shared" si="211"/>
        <v>0</v>
      </c>
      <c r="W463" s="133" t="str">
        <f t="shared" si="210"/>
        <v/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hidden="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28"/>
      <c r="H464" s="438">
        <f t="shared" ref="H464:H478" si="212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8" si="213">IF(ISERROR(I464-K464),"",I464-K464)</f>
        <v>0</v>
      </c>
      <c r="N464" s="130">
        <f t="shared" ref="N464:N478" si="214">SUM(O464:U464)</f>
        <v>0</v>
      </c>
      <c r="O464" s="446"/>
      <c r="P464" s="446"/>
      <c r="Q464" s="446"/>
      <c r="R464" s="446"/>
      <c r="S464" s="446"/>
      <c r="T464" s="446"/>
      <c r="U464" s="446"/>
      <c r="V464" s="132">
        <f t="shared" ref="V464:V478" si="215">SUM(X464:AA464)</f>
        <v>0</v>
      </c>
      <c r="W464" s="133" t="str">
        <f t="shared" si="210"/>
        <v/>
      </c>
      <c r="X464" s="132"/>
      <c r="Y464" s="132"/>
      <c r="Z464" s="132"/>
      <c r="AA464" s="132"/>
    </row>
    <row r="465" spans="1:27" ht="20.100000000000001" hidden="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28"/>
      <c r="H465" s="438">
        <f t="shared" si="212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3"/>
        <v>0</v>
      </c>
      <c r="N465" s="130">
        <f t="shared" si="214"/>
        <v>0</v>
      </c>
      <c r="O465" s="446"/>
      <c r="P465" s="446"/>
      <c r="Q465" s="446"/>
      <c r="R465" s="446"/>
      <c r="S465" s="446"/>
      <c r="T465" s="446"/>
      <c r="U465" s="446"/>
      <c r="V465" s="132">
        <f t="shared" si="215"/>
        <v>0</v>
      </c>
      <c r="W465" s="133" t="str">
        <f t="shared" si="210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28"/>
      <c r="H466" s="438">
        <f t="shared" si="212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3"/>
        <v>0</v>
      </c>
      <c r="N466" s="130">
        <f t="shared" si="214"/>
        <v>0</v>
      </c>
      <c r="O466" s="446"/>
      <c r="P466" s="446"/>
      <c r="Q466" s="446"/>
      <c r="R466" s="446"/>
      <c r="S466" s="446"/>
      <c r="T466" s="446"/>
      <c r="U466" s="446"/>
      <c r="V466" s="132">
        <f t="shared" si="215"/>
        <v>0</v>
      </c>
      <c r="W466" s="133" t="str">
        <f t="shared" si="210"/>
        <v/>
      </c>
      <c r="X466" s="132"/>
      <c r="Y466" s="132"/>
      <c r="Z466" s="132"/>
      <c r="AA466" s="132"/>
    </row>
    <row r="467" spans="1:27" ht="20.100000000000001" hidden="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28"/>
      <c r="H467" s="438">
        <f t="shared" si="212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3"/>
        <v>0</v>
      </c>
      <c r="N467" s="130">
        <f t="shared" si="214"/>
        <v>0</v>
      </c>
      <c r="O467" s="446"/>
      <c r="P467" s="446"/>
      <c r="Q467" s="446"/>
      <c r="R467" s="446"/>
      <c r="S467" s="446"/>
      <c r="T467" s="446"/>
      <c r="U467" s="446"/>
      <c r="V467" s="132">
        <f t="shared" si="215"/>
        <v>0</v>
      </c>
      <c r="W467" s="133" t="str">
        <f t="shared" si="210"/>
        <v/>
      </c>
      <c r="X467" s="132"/>
      <c r="Y467" s="132"/>
      <c r="Z467" s="132"/>
      <c r="AA467" s="132"/>
    </row>
    <row r="468" spans="1:27" ht="20.100000000000001" hidden="1" customHeight="1">
      <c r="A468" s="299">
        <v>30100054</v>
      </c>
      <c r="B468" s="140" t="s">
        <v>227</v>
      </c>
      <c r="C468" s="443" t="s">
        <v>203</v>
      </c>
      <c r="D468" s="108">
        <v>5.03</v>
      </c>
      <c r="E468" s="108"/>
      <c r="F468" s="127"/>
      <c r="G468" s="128"/>
      <c r="H468" s="438">
        <f t="shared" si="212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3"/>
        <v>0</v>
      </c>
      <c r="N468" s="130">
        <f t="shared" si="214"/>
        <v>0</v>
      </c>
      <c r="O468" s="446"/>
      <c r="P468" s="446"/>
      <c r="Q468" s="446"/>
      <c r="R468" s="446"/>
      <c r="S468" s="446"/>
      <c r="T468" s="446"/>
      <c r="U468" s="446"/>
      <c r="V468" s="132">
        <f t="shared" si="215"/>
        <v>0</v>
      </c>
      <c r="W468" s="133" t="str">
        <f t="shared" si="210"/>
        <v/>
      </c>
      <c r="X468" s="132"/>
      <c r="Y468" s="132"/>
      <c r="Z468" s="132"/>
      <c r="AA468" s="132"/>
    </row>
    <row r="469" spans="1:27" ht="20.100000000000001" hidden="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28"/>
      <c r="H469" s="438">
        <f t="shared" si="212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3"/>
        <v>0</v>
      </c>
      <c r="N469" s="130">
        <f t="shared" si="214"/>
        <v>0</v>
      </c>
      <c r="O469" s="446"/>
      <c r="P469" s="446"/>
      <c r="Q469" s="446"/>
      <c r="R469" s="446"/>
      <c r="S469" s="446"/>
      <c r="T469" s="446"/>
      <c r="U469" s="446"/>
      <c r="V469" s="132">
        <f t="shared" si="215"/>
        <v>0</v>
      </c>
      <c r="W469" s="133" t="str">
        <f t="shared" si="210"/>
        <v/>
      </c>
      <c r="X469" s="132"/>
      <c r="Y469" s="132"/>
      <c r="Z469" s="132"/>
      <c r="AA469" s="132"/>
    </row>
    <row r="470" spans="1:27" ht="20.100000000000001" hidden="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28"/>
      <c r="H470" s="438">
        <f t="shared" si="212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3"/>
        <v>0</v>
      </c>
      <c r="N470" s="130">
        <f t="shared" si="214"/>
        <v>0</v>
      </c>
      <c r="O470" s="446"/>
      <c r="P470" s="446"/>
      <c r="Q470" s="446"/>
      <c r="R470" s="446"/>
      <c r="S470" s="446"/>
      <c r="T470" s="446"/>
      <c r="U470" s="446"/>
      <c r="V470" s="132">
        <f t="shared" si="215"/>
        <v>0</v>
      </c>
      <c r="W470" s="133" t="str">
        <f t="shared" si="210"/>
        <v/>
      </c>
      <c r="X470" s="132"/>
      <c r="Y470" s="132"/>
      <c r="Z470" s="132"/>
      <c r="AA470" s="132"/>
    </row>
    <row r="471" spans="1:27" ht="20.100000000000001" hidden="1" customHeight="1">
      <c r="A471" s="299"/>
      <c r="B471" s="140" t="s">
        <v>227</v>
      </c>
      <c r="C471" s="443" t="s">
        <v>228</v>
      </c>
      <c r="D471" s="108">
        <v>5.03</v>
      </c>
      <c r="E471" s="108"/>
      <c r="F471" s="127"/>
      <c r="G471" s="128"/>
      <c r="H471" s="438">
        <f t="shared" si="212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3"/>
        <v>0</v>
      </c>
      <c r="N471" s="130">
        <f t="shared" si="214"/>
        <v>0</v>
      </c>
      <c r="O471" s="446"/>
      <c r="P471" s="446"/>
      <c r="Q471" s="446"/>
      <c r="R471" s="446"/>
      <c r="S471" s="446"/>
      <c r="T471" s="446"/>
      <c r="U471" s="446"/>
      <c r="V471" s="132">
        <f t="shared" si="215"/>
        <v>0</v>
      </c>
      <c r="W471" s="133" t="str">
        <f t="shared" si="210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30101067</v>
      </c>
      <c r="B472" s="140" t="s">
        <v>229</v>
      </c>
      <c r="C472" s="443" t="s">
        <v>212</v>
      </c>
      <c r="D472" s="108">
        <v>5.03</v>
      </c>
      <c r="E472" s="108"/>
      <c r="F472" s="127"/>
      <c r="G472" s="128"/>
      <c r="H472" s="438">
        <f t="shared" si="212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3"/>
        <v/>
      </c>
      <c r="N472" s="130">
        <f t="shared" si="214"/>
        <v>0</v>
      </c>
      <c r="O472" s="446"/>
      <c r="P472" s="446"/>
      <c r="Q472" s="446"/>
      <c r="R472" s="446"/>
      <c r="S472" s="446"/>
      <c r="T472" s="446"/>
      <c r="U472" s="446"/>
      <c r="V472" s="132">
        <f t="shared" si="215"/>
        <v>0</v>
      </c>
      <c r="W472" s="133" t="str">
        <f t="shared" si="210"/>
        <v/>
      </c>
      <c r="X472" s="132"/>
      <c r="Y472" s="132"/>
      <c r="Z472" s="132"/>
      <c r="AA472" s="132"/>
    </row>
    <row r="473" spans="1:27" ht="20.100000000000001" hidden="1" customHeight="1">
      <c r="A473" s="299">
        <v>30101068</v>
      </c>
      <c r="B473" s="140" t="s">
        <v>229</v>
      </c>
      <c r="C473" s="443" t="s">
        <v>203</v>
      </c>
      <c r="D473" s="108">
        <v>5.03</v>
      </c>
      <c r="E473" s="108"/>
      <c r="F473" s="127"/>
      <c r="G473" s="128"/>
      <c r="H473" s="438">
        <f t="shared" si="212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3"/>
        <v/>
      </c>
      <c r="N473" s="130">
        <f t="shared" si="214"/>
        <v>0</v>
      </c>
      <c r="O473" s="446"/>
      <c r="P473" s="446"/>
      <c r="Q473" s="446"/>
      <c r="R473" s="446"/>
      <c r="S473" s="446"/>
      <c r="T473" s="446"/>
      <c r="U473" s="446"/>
      <c r="V473" s="132">
        <f t="shared" si="215"/>
        <v>0</v>
      </c>
      <c r="W473" s="133" t="str">
        <f t="shared" si="210"/>
        <v/>
      </c>
      <c r="X473" s="132"/>
      <c r="Y473" s="132"/>
      <c r="Z473" s="132"/>
      <c r="AA473" s="132"/>
    </row>
    <row r="474" spans="1:27" ht="20.100000000000001" hidden="1" customHeight="1">
      <c r="A474" s="299">
        <v>30101069</v>
      </c>
      <c r="B474" s="140" t="s">
        <v>229</v>
      </c>
      <c r="C474" s="443" t="s">
        <v>186</v>
      </c>
      <c r="D474" s="108">
        <v>5.03</v>
      </c>
      <c r="E474" s="108"/>
      <c r="F474" s="127"/>
      <c r="G474" s="128"/>
      <c r="H474" s="438">
        <f t="shared" si="212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3"/>
        <v/>
      </c>
      <c r="N474" s="130">
        <f t="shared" si="214"/>
        <v>0</v>
      </c>
      <c r="O474" s="446"/>
      <c r="P474" s="446"/>
      <c r="Q474" s="446"/>
      <c r="R474" s="446"/>
      <c r="S474" s="446"/>
      <c r="T474" s="446"/>
      <c r="U474" s="446"/>
      <c r="V474" s="132">
        <f t="shared" si="215"/>
        <v>0</v>
      </c>
      <c r="W474" s="133" t="str">
        <f t="shared" si="210"/>
        <v/>
      </c>
      <c r="X474" s="132"/>
      <c r="Y474" s="132"/>
      <c r="Z474" s="132"/>
      <c r="AA474" s="132"/>
    </row>
    <row r="475" spans="1:27" ht="20.100000000000001" hidden="1" customHeight="1">
      <c r="A475" s="299">
        <v>30101070</v>
      </c>
      <c r="B475" s="140" t="s">
        <v>229</v>
      </c>
      <c r="C475" s="443" t="s">
        <v>228</v>
      </c>
      <c r="D475" s="108">
        <v>5.03</v>
      </c>
      <c r="E475" s="108"/>
      <c r="F475" s="127"/>
      <c r="G475" s="128"/>
      <c r="H475" s="438">
        <f t="shared" si="212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3"/>
        <v/>
      </c>
      <c r="N475" s="130">
        <f t="shared" si="214"/>
        <v>0</v>
      </c>
      <c r="O475" s="446"/>
      <c r="P475" s="446"/>
      <c r="Q475" s="446"/>
      <c r="R475" s="446"/>
      <c r="S475" s="446"/>
      <c r="T475" s="446"/>
      <c r="U475" s="446"/>
      <c r="V475" s="132">
        <f t="shared" si="215"/>
        <v>0</v>
      </c>
      <c r="W475" s="133" t="str">
        <f t="shared" si="210"/>
        <v/>
      </c>
      <c r="X475" s="132"/>
      <c r="Y475" s="132"/>
      <c r="Z475" s="132"/>
      <c r="AA475" s="132"/>
    </row>
    <row r="476" spans="1:27" ht="20.100000000000001" hidden="1" customHeight="1">
      <c r="A476" s="299">
        <v>30101071</v>
      </c>
      <c r="B476" s="140" t="s">
        <v>229</v>
      </c>
      <c r="C476" s="443" t="s">
        <v>199</v>
      </c>
      <c r="D476" s="108">
        <v>5.03</v>
      </c>
      <c r="E476" s="108"/>
      <c r="F476" s="127"/>
      <c r="G476" s="128"/>
      <c r="H476" s="438">
        <f t="shared" si="212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3"/>
        <v/>
      </c>
      <c r="N476" s="130">
        <f t="shared" si="214"/>
        <v>0</v>
      </c>
      <c r="O476" s="446"/>
      <c r="P476" s="446"/>
      <c r="Q476" s="446"/>
      <c r="R476" s="446"/>
      <c r="S476" s="446"/>
      <c r="T476" s="446"/>
      <c r="U476" s="446"/>
      <c r="V476" s="132">
        <f t="shared" si="215"/>
        <v>0</v>
      </c>
      <c r="W476" s="133" t="str">
        <f t="shared" si="210"/>
        <v/>
      </c>
      <c r="X476" s="132"/>
      <c r="Y476" s="132"/>
      <c r="Z476" s="132"/>
      <c r="AA476" s="132"/>
    </row>
    <row r="477" spans="1:27" ht="20.100000000000001" hidden="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28"/>
      <c r="H477" s="438">
        <f t="shared" si="212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si="213"/>
        <v>0</v>
      </c>
      <c r="N477" s="130">
        <f t="shared" si="214"/>
        <v>0</v>
      </c>
      <c r="O477" s="446"/>
      <c r="P477" s="446"/>
      <c r="Q477" s="446"/>
      <c r="R477" s="446"/>
      <c r="S477" s="446"/>
      <c r="T477" s="446"/>
      <c r="U477" s="446"/>
      <c r="V477" s="132">
        <f t="shared" si="215"/>
        <v>0</v>
      </c>
      <c r="W477" s="133" t="str">
        <f t="shared" si="210"/>
        <v/>
      </c>
      <c r="X477" s="132"/>
      <c r="Y477" s="132"/>
      <c r="Z477" s="132"/>
      <c r="AA477" s="132"/>
    </row>
    <row r="478" spans="1:27" ht="20.100000000000001" hidden="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28"/>
      <c r="H478" s="438">
        <f t="shared" si="212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3"/>
        <v>0</v>
      </c>
      <c r="N478" s="130">
        <f t="shared" si="214"/>
        <v>0</v>
      </c>
      <c r="O478" s="446"/>
      <c r="P478" s="446"/>
      <c r="Q478" s="446"/>
      <c r="R478" s="446"/>
      <c r="S478" s="446"/>
      <c r="T478" s="446"/>
      <c r="U478" s="446"/>
      <c r="V478" s="132">
        <f t="shared" si="215"/>
        <v>0</v>
      </c>
      <c r="W478" s="133" t="str">
        <f t="shared" si="210"/>
        <v/>
      </c>
      <c r="X478" s="132"/>
      <c r="Y478" s="132"/>
      <c r="Z478" s="132"/>
      <c r="AA478" s="132"/>
    </row>
    <row r="479" spans="1:27" ht="20.100000000000001" hidden="1" customHeight="1">
      <c r="A479" s="578" t="s">
        <v>231</v>
      </c>
      <c r="B479" s="579"/>
      <c r="C479" s="447" t="s">
        <v>202</v>
      </c>
      <c r="D479" s="143"/>
      <c r="E479" s="143"/>
      <c r="F479" s="144"/>
      <c r="G479" s="145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10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hidden="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28"/>
      <c r="H480" s="438">
        <f t="shared" ref="H480:H489" si="216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4" si="217">IF(ISERROR(I480-K480),"",I480-K480)</f>
        <v>0</v>
      </c>
      <c r="N480" s="130">
        <f t="shared" ref="N480:N484" si="218">SUM(O480:U480)</f>
        <v>0</v>
      </c>
      <c r="O480" s="446"/>
      <c r="P480" s="446"/>
      <c r="Q480" s="446"/>
      <c r="R480" s="446"/>
      <c r="S480" s="446"/>
      <c r="T480" s="446"/>
      <c r="U480" s="446"/>
      <c r="V480" s="132">
        <f t="shared" ref="V480:V484" si="219">SUM(X480:AA480)</f>
        <v>0</v>
      </c>
      <c r="W480" s="133" t="str">
        <f t="shared" si="210"/>
        <v/>
      </c>
      <c r="X480" s="132"/>
      <c r="Y480" s="132"/>
      <c r="Z480" s="132"/>
      <c r="AA480" s="132"/>
    </row>
    <row r="481" spans="1:27" ht="20.100000000000001" hidden="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28"/>
      <c r="H481" s="438">
        <f t="shared" si="216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7"/>
        <v>0</v>
      </c>
      <c r="N481" s="130">
        <f t="shared" si="218"/>
        <v>0</v>
      </c>
      <c r="O481" s="446"/>
      <c r="P481" s="446"/>
      <c r="Q481" s="446"/>
      <c r="R481" s="446"/>
      <c r="S481" s="446"/>
      <c r="T481" s="446"/>
      <c r="U481" s="446"/>
      <c r="V481" s="132">
        <f t="shared" si="219"/>
        <v>0</v>
      </c>
      <c r="W481" s="133" t="str">
        <f t="shared" si="210"/>
        <v/>
      </c>
      <c r="X481" s="132"/>
      <c r="Y481" s="132"/>
      <c r="Z481" s="132"/>
      <c r="AA481" s="132"/>
    </row>
    <row r="482" spans="1:27" ht="20.100000000000001" hidden="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28"/>
      <c r="H482" s="438">
        <f t="shared" si="216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7"/>
        <v>0</v>
      </c>
      <c r="N482" s="130">
        <f t="shared" si="218"/>
        <v>0</v>
      </c>
      <c r="O482" s="446"/>
      <c r="P482" s="446"/>
      <c r="Q482" s="446"/>
      <c r="R482" s="446"/>
      <c r="S482" s="446"/>
      <c r="T482" s="446"/>
      <c r="U482" s="446"/>
      <c r="V482" s="132">
        <f t="shared" si="219"/>
        <v>0</v>
      </c>
      <c r="W482" s="133" t="str">
        <f t="shared" si="210"/>
        <v/>
      </c>
      <c r="X482" s="132"/>
      <c r="Y482" s="132"/>
      <c r="Z482" s="132"/>
      <c r="AA482" s="132"/>
    </row>
    <row r="483" spans="1:27" ht="20.100000000000001" hidden="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28"/>
      <c r="H483" s="438">
        <f t="shared" si="216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17"/>
        <v>0</v>
      </c>
      <c r="N483" s="130">
        <f t="shared" si="218"/>
        <v>0</v>
      </c>
      <c r="O483" s="446"/>
      <c r="P483" s="446"/>
      <c r="Q483" s="446"/>
      <c r="R483" s="446"/>
      <c r="S483" s="446"/>
      <c r="T483" s="446"/>
      <c r="U483" s="446"/>
      <c r="V483" s="132">
        <f t="shared" si="219"/>
        <v>0</v>
      </c>
      <c r="W483" s="133" t="str">
        <f t="shared" si="210"/>
        <v/>
      </c>
      <c r="X483" s="132"/>
      <c r="Y483" s="132"/>
      <c r="Z483" s="132"/>
      <c r="AA483" s="132"/>
    </row>
    <row r="484" spans="1:27" ht="20.100000000000001" hidden="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28"/>
      <c r="H484" s="438">
        <f t="shared" si="216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17"/>
        <v>0</v>
      </c>
      <c r="N484" s="130">
        <f t="shared" si="218"/>
        <v>0</v>
      </c>
      <c r="O484" s="446"/>
      <c r="P484" s="446"/>
      <c r="Q484" s="446"/>
      <c r="R484" s="446"/>
      <c r="S484" s="446"/>
      <c r="T484" s="446"/>
      <c r="U484" s="446"/>
      <c r="V484" s="132">
        <f t="shared" si="219"/>
        <v>0</v>
      </c>
      <c r="W484" s="133" t="str">
        <f t="shared" si="210"/>
        <v/>
      </c>
      <c r="X484" s="132"/>
      <c r="Y484" s="132"/>
      <c r="Z484" s="132"/>
      <c r="AA484" s="132"/>
    </row>
    <row r="485" spans="1:27" ht="20.100000000000001" hidden="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28"/>
      <c r="H485" s="438">
        <f t="shared" si="216"/>
        <v>0</v>
      </c>
      <c r="I485" s="129"/>
      <c r="J485" s="130"/>
      <c r="K485" s="131"/>
      <c r="L485" s="129">
        <v>13.5</v>
      </c>
      <c r="M485" s="109"/>
      <c r="N485" s="130"/>
      <c r="O485" s="446"/>
      <c r="P485" s="446"/>
      <c r="Q485" s="446"/>
      <c r="R485" s="446"/>
      <c r="S485" s="446"/>
      <c r="T485" s="446"/>
      <c r="U485" s="446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30400020</v>
      </c>
      <c r="B486" s="134" t="s">
        <v>439</v>
      </c>
      <c r="C486" s="187" t="s">
        <v>74</v>
      </c>
      <c r="D486" s="108">
        <v>5.04</v>
      </c>
      <c r="E486" s="108"/>
      <c r="F486" s="127"/>
      <c r="G486" s="128"/>
      <c r="H486" s="438">
        <f t="shared" si="216"/>
        <v>0</v>
      </c>
      <c r="I486" s="129"/>
      <c r="J486" s="130"/>
      <c r="K486" s="131"/>
      <c r="L486" s="129">
        <v>13.5</v>
      </c>
      <c r="M486" s="109"/>
      <c r="N486" s="130"/>
      <c r="O486" s="446"/>
      <c r="P486" s="446"/>
      <c r="Q486" s="446"/>
      <c r="R486" s="446"/>
      <c r="S486" s="446"/>
      <c r="T486" s="446"/>
      <c r="U486" s="446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0">
        <v>30400021</v>
      </c>
      <c r="B487" s="134" t="s">
        <v>439</v>
      </c>
      <c r="C487" s="187" t="s">
        <v>53</v>
      </c>
      <c r="D487" s="108">
        <v>5.04</v>
      </c>
      <c r="E487" s="108"/>
      <c r="F487" s="127"/>
      <c r="G487" s="128"/>
      <c r="H487" s="438">
        <f t="shared" si="216"/>
        <v>0</v>
      </c>
      <c r="I487" s="129"/>
      <c r="J487" s="130"/>
      <c r="K487" s="131"/>
      <c r="L487" s="129">
        <v>13.5</v>
      </c>
      <c r="M487" s="109"/>
      <c r="N487" s="130"/>
      <c r="O487" s="446"/>
      <c r="P487" s="446"/>
      <c r="Q487" s="446"/>
      <c r="R487" s="446"/>
      <c r="S487" s="446"/>
      <c r="T487" s="446"/>
      <c r="U487" s="446"/>
      <c r="V487" s="132"/>
      <c r="W487" s="133"/>
      <c r="X487" s="132"/>
      <c r="Y487" s="132"/>
      <c r="Z487" s="132"/>
      <c r="AA487" s="132"/>
    </row>
    <row r="488" spans="1:27" ht="20.100000000000001" hidden="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28"/>
      <c r="H488" s="438">
        <f t="shared" si="216"/>
        <v>0</v>
      </c>
      <c r="I488" s="129"/>
      <c r="J488" s="130"/>
      <c r="K488" s="131"/>
      <c r="L488" s="129">
        <v>13.5</v>
      </c>
      <c r="M488" s="109"/>
      <c r="N488" s="130"/>
      <c r="O488" s="446"/>
      <c r="P488" s="446"/>
      <c r="Q488" s="446"/>
      <c r="R488" s="446"/>
      <c r="S488" s="446"/>
      <c r="T488" s="446"/>
      <c r="U488" s="446"/>
      <c r="V488" s="132"/>
      <c r="W488" s="133"/>
      <c r="X488" s="132"/>
      <c r="Y488" s="132"/>
      <c r="Z488" s="132"/>
      <c r="AA488" s="132"/>
    </row>
    <row r="489" spans="1:27" ht="20.100000000000001" hidden="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28"/>
      <c r="H489" s="438">
        <f t="shared" si="216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ref="M489" si="220">IF(ISERROR(I489-K489),"",I489-K489)</f>
        <v>0</v>
      </c>
      <c r="N489" s="130">
        <f t="shared" ref="N489" si="221">SUM(O489:U489)</f>
        <v>0</v>
      </c>
      <c r="O489" s="446"/>
      <c r="P489" s="446"/>
      <c r="Q489" s="446"/>
      <c r="R489" s="446"/>
      <c r="S489" s="446"/>
      <c r="T489" s="446"/>
      <c r="U489" s="446"/>
      <c r="V489" s="132">
        <f t="shared" ref="V489" si="222">SUM(X489:AA489)</f>
        <v>0</v>
      </c>
      <c r="W489" s="133" t="str">
        <f t="shared" ref="W489:W494" si="223">IF(ISERROR(V489/G489),"",V489/G489)</f>
        <v/>
      </c>
      <c r="X489" s="132"/>
      <c r="Y489" s="132"/>
      <c r="Z489" s="132"/>
      <c r="AA489" s="132"/>
    </row>
    <row r="490" spans="1:27" ht="20.100000000000001" hidden="1" customHeight="1">
      <c r="A490" s="578" t="s">
        <v>234</v>
      </c>
      <c r="B490" s="579"/>
      <c r="C490" s="447" t="s">
        <v>202</v>
      </c>
      <c r="D490" s="143"/>
      <c r="E490" s="143"/>
      <c r="F490" s="144"/>
      <c r="G490" s="145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3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hidden="1" customHeight="1">
      <c r="A491" s="299">
        <v>30700013</v>
      </c>
      <c r="B491" s="141" t="s">
        <v>235</v>
      </c>
      <c r="C491" s="444"/>
      <c r="D491" s="108">
        <v>3.65</v>
      </c>
      <c r="E491" s="108"/>
      <c r="F491" s="153"/>
      <c r="G491" s="128"/>
      <c r="H491" s="438">
        <f t="shared" ref="H491:H505" si="224">D491*G491</f>
        <v>0</v>
      </c>
      <c r="I491" s="129"/>
      <c r="J491" s="130" t="str">
        <f t="array" ref="J491">IF(ISERROR(G491/I491),"",G491/I491)</f>
        <v/>
      </c>
      <c r="K491" s="438">
        <f t="array" ref="K491">IF(ISERROR(G491/L491),"",G491/L491)</f>
        <v>0</v>
      </c>
      <c r="L491" s="129">
        <v>5</v>
      </c>
      <c r="M491" s="109">
        <f t="shared" ref="M491:M494" si="225">IF(ISERROR(I491-K491),"",I491-K491)</f>
        <v>0</v>
      </c>
      <c r="N491" s="130">
        <f t="shared" ref="N491:N494" si="226">SUM(O491:U491)</f>
        <v>0</v>
      </c>
      <c r="O491" s="446"/>
      <c r="P491" s="446"/>
      <c r="Q491" s="446"/>
      <c r="R491" s="446"/>
      <c r="S491" s="446"/>
      <c r="T491" s="446"/>
      <c r="U491" s="446"/>
      <c r="V491" s="132">
        <f t="shared" ref="V491:V494" si="227">SUM(X491:AA491)</f>
        <v>0</v>
      </c>
      <c r="W491" s="133" t="str">
        <f t="shared" si="223"/>
        <v/>
      </c>
      <c r="X491" s="132"/>
      <c r="Y491" s="132"/>
      <c r="Z491" s="132"/>
      <c r="AA491" s="132"/>
    </row>
    <row r="492" spans="1:27" ht="20.100000000000001" hidden="1" customHeight="1">
      <c r="A492" s="299">
        <v>30700014</v>
      </c>
      <c r="B492" s="141" t="s">
        <v>236</v>
      </c>
      <c r="C492" s="444"/>
      <c r="D492" s="108">
        <v>6.58</v>
      </c>
      <c r="E492" s="108"/>
      <c r="F492" s="127"/>
      <c r="G492" s="128"/>
      <c r="H492" s="438">
        <f t="shared" si="224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5"/>
        <v>0</v>
      </c>
      <c r="N492" s="130">
        <f t="shared" si="226"/>
        <v>0</v>
      </c>
      <c r="O492" s="446"/>
      <c r="P492" s="446"/>
      <c r="Q492" s="446"/>
      <c r="R492" s="446"/>
      <c r="S492" s="446"/>
      <c r="T492" s="446"/>
      <c r="U492" s="446"/>
      <c r="V492" s="132">
        <f t="shared" si="227"/>
        <v>0</v>
      </c>
      <c r="W492" s="133" t="str">
        <f t="shared" si="223"/>
        <v/>
      </c>
      <c r="X492" s="132"/>
      <c r="Y492" s="132"/>
      <c r="Z492" s="132"/>
      <c r="AA492" s="132"/>
    </row>
    <row r="493" spans="1:27" ht="20.100000000000001" hidden="1" customHeight="1">
      <c r="A493" s="299">
        <v>30700016</v>
      </c>
      <c r="B493" s="141" t="s">
        <v>237</v>
      </c>
      <c r="C493" s="444"/>
      <c r="D493" s="108">
        <v>7.8</v>
      </c>
      <c r="E493" s="108"/>
      <c r="F493" s="127"/>
      <c r="G493" s="128"/>
      <c r="H493" s="438">
        <f t="shared" si="224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5"/>
        <v>0</v>
      </c>
      <c r="N493" s="130">
        <f t="shared" si="226"/>
        <v>0</v>
      </c>
      <c r="O493" s="446"/>
      <c r="P493" s="446"/>
      <c r="Q493" s="446"/>
      <c r="R493" s="446"/>
      <c r="S493" s="446"/>
      <c r="T493" s="446"/>
      <c r="U493" s="446"/>
      <c r="V493" s="132">
        <f t="shared" si="227"/>
        <v>0</v>
      </c>
      <c r="W493" s="133" t="str">
        <f t="shared" si="223"/>
        <v/>
      </c>
      <c r="X493" s="132"/>
      <c r="Y493" s="132"/>
      <c r="Z493" s="132"/>
      <c r="AA493" s="132"/>
    </row>
    <row r="494" spans="1:27" ht="20.100000000000001" hidden="1" customHeight="1">
      <c r="A494" s="299">
        <v>30700017</v>
      </c>
      <c r="B494" s="141" t="s">
        <v>238</v>
      </c>
      <c r="C494" s="444"/>
      <c r="D494" s="108">
        <v>4.4000000000000004</v>
      </c>
      <c r="E494" s="108"/>
      <c r="F494" s="127"/>
      <c r="G494" s="128"/>
      <c r="H494" s="438">
        <f t="shared" si="224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5"/>
        <v>0</v>
      </c>
      <c r="N494" s="130">
        <f t="shared" si="226"/>
        <v>0</v>
      </c>
      <c r="O494" s="446"/>
      <c r="P494" s="446"/>
      <c r="Q494" s="446"/>
      <c r="R494" s="446"/>
      <c r="S494" s="446"/>
      <c r="T494" s="446"/>
      <c r="U494" s="446"/>
      <c r="V494" s="132">
        <f t="shared" si="227"/>
        <v>0</v>
      </c>
      <c r="W494" s="133" t="str">
        <f t="shared" si="223"/>
        <v/>
      </c>
      <c r="X494" s="132"/>
      <c r="Y494" s="132"/>
      <c r="Z494" s="132"/>
      <c r="AA494" s="132"/>
    </row>
    <row r="495" spans="1:27" ht="20.100000000000001" hidden="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28"/>
      <c r="H495" s="438">
        <f t="shared" si="224"/>
        <v>0</v>
      </c>
      <c r="I495" s="129"/>
      <c r="J495" s="130"/>
      <c r="K495" s="131"/>
      <c r="L495" s="129"/>
      <c r="M495" s="109"/>
      <c r="N495" s="130"/>
      <c r="O495" s="446"/>
      <c r="P495" s="446"/>
      <c r="Q495" s="446"/>
      <c r="R495" s="446"/>
      <c r="S495" s="446"/>
      <c r="T495" s="446"/>
      <c r="U495" s="446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299">
        <v>30700001</v>
      </c>
      <c r="B496" s="127" t="s">
        <v>359</v>
      </c>
      <c r="C496" s="444"/>
      <c r="D496" s="108"/>
      <c r="E496" s="108"/>
      <c r="F496" s="127"/>
      <c r="G496" s="128"/>
      <c r="H496" s="438">
        <f t="shared" si="224"/>
        <v>0</v>
      </c>
      <c r="I496" s="129"/>
      <c r="J496" s="130"/>
      <c r="K496" s="131"/>
      <c r="L496" s="129">
        <v>6</v>
      </c>
      <c r="M496" s="109"/>
      <c r="N496" s="130"/>
      <c r="O496" s="446"/>
      <c r="P496" s="446"/>
      <c r="Q496" s="446"/>
      <c r="R496" s="446"/>
      <c r="S496" s="446"/>
      <c r="T496" s="446"/>
      <c r="U496" s="446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/>
      <c r="B497" s="444" t="s">
        <v>239</v>
      </c>
      <c r="C497" s="444" t="s">
        <v>179</v>
      </c>
      <c r="D497" s="108">
        <v>6.04</v>
      </c>
      <c r="E497" s="108"/>
      <c r="F497" s="127"/>
      <c r="G497" s="128"/>
      <c r="H497" s="438">
        <f t="shared" si="224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498" si="228">IF(ISERROR(I497-K497),"",I497-K497)</f>
        <v>0</v>
      </c>
      <c r="N497" s="130">
        <f t="shared" ref="N497:N498" si="229">SUM(O497:U497)</f>
        <v>0</v>
      </c>
      <c r="O497" s="446"/>
      <c r="P497" s="446"/>
      <c r="Q497" s="446"/>
      <c r="R497" s="446"/>
      <c r="S497" s="446"/>
      <c r="T497" s="446"/>
      <c r="U497" s="446"/>
      <c r="V497" s="132">
        <f t="shared" ref="V497:V498" si="230">SUM(X497:AA497)</f>
        <v>0</v>
      </c>
      <c r="W497" s="133" t="str">
        <f t="shared" ref="W497:W498" si="231">IF(ISERROR(V497/G497),"",V497/G497)</f>
        <v/>
      </c>
      <c r="X497" s="132"/>
      <c r="Y497" s="132"/>
      <c r="Z497" s="132"/>
      <c r="AA497" s="132"/>
    </row>
    <row r="498" spans="1:27" ht="20.100000000000001" hidden="1" customHeight="1">
      <c r="A498" s="305">
        <v>30700019</v>
      </c>
      <c r="B498" s="444" t="s">
        <v>239</v>
      </c>
      <c r="C498" s="444" t="s">
        <v>186</v>
      </c>
      <c r="D498" s="108">
        <v>6.04</v>
      </c>
      <c r="E498" s="108"/>
      <c r="F498" s="127"/>
      <c r="G498" s="128"/>
      <c r="H498" s="438">
        <f t="shared" si="224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8"/>
        <v>0</v>
      </c>
      <c r="N498" s="130">
        <f t="shared" si="229"/>
        <v>0</v>
      </c>
      <c r="O498" s="446"/>
      <c r="P498" s="446"/>
      <c r="Q498" s="446"/>
      <c r="R498" s="446"/>
      <c r="S498" s="446"/>
      <c r="T498" s="446"/>
      <c r="U498" s="446"/>
      <c r="V498" s="132">
        <f t="shared" si="230"/>
        <v>0</v>
      </c>
      <c r="W498" s="133" t="str">
        <f t="shared" si="231"/>
        <v/>
      </c>
      <c r="X498" s="132"/>
      <c r="Y498" s="132"/>
      <c r="Z498" s="132"/>
      <c r="AA498" s="132"/>
    </row>
    <row r="499" spans="1:27" ht="20.100000000000001" hidden="1" customHeight="1">
      <c r="A499" s="305">
        <v>30601015</v>
      </c>
      <c r="B499" s="444" t="s">
        <v>443</v>
      </c>
      <c r="C499" s="444" t="s">
        <v>179</v>
      </c>
      <c r="D499" s="108"/>
      <c r="E499" s="108"/>
      <c r="F499" s="127"/>
      <c r="G499" s="128"/>
      <c r="H499" s="438">
        <f t="shared" si="224"/>
        <v>0</v>
      </c>
      <c r="I499" s="129"/>
      <c r="J499" s="130"/>
      <c r="K499" s="131"/>
      <c r="L499" s="129"/>
      <c r="M499" s="109"/>
      <c r="N499" s="130"/>
      <c r="O499" s="446"/>
      <c r="P499" s="446"/>
      <c r="Q499" s="446"/>
      <c r="R499" s="446"/>
      <c r="S499" s="446"/>
      <c r="T499" s="446"/>
      <c r="U499" s="446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305">
        <v>30101016</v>
      </c>
      <c r="B500" s="444" t="s">
        <v>443</v>
      </c>
      <c r="C500" s="444" t="s">
        <v>186</v>
      </c>
      <c r="D500" s="108"/>
      <c r="E500" s="108"/>
      <c r="F500" s="127"/>
      <c r="G500" s="128"/>
      <c r="H500" s="438">
        <f t="shared" si="224"/>
        <v>0</v>
      </c>
      <c r="I500" s="129"/>
      <c r="J500" s="130"/>
      <c r="K500" s="131"/>
      <c r="L500" s="129"/>
      <c r="M500" s="109"/>
      <c r="N500" s="130"/>
      <c r="O500" s="446"/>
      <c r="P500" s="446"/>
      <c r="Q500" s="446"/>
      <c r="R500" s="446"/>
      <c r="S500" s="446"/>
      <c r="T500" s="446"/>
      <c r="U500" s="446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30700018</v>
      </c>
      <c r="B501" s="437" t="s">
        <v>240</v>
      </c>
      <c r="C501" s="126"/>
      <c r="D501" s="108">
        <v>7.3</v>
      </c>
      <c r="E501" s="108"/>
      <c r="F501" s="127"/>
      <c r="G501" s="128"/>
      <c r="H501" s="438">
        <f t="shared" si="224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ref="M501" si="232">IF(ISERROR(I501-K501),"",I501-K501)</f>
        <v>0</v>
      </c>
      <c r="N501" s="130">
        <f t="shared" ref="N501" si="233">SUM(O501:U501)</f>
        <v>0</v>
      </c>
      <c r="O501" s="446"/>
      <c r="P501" s="446"/>
      <c r="Q501" s="446"/>
      <c r="R501" s="446"/>
      <c r="S501" s="446"/>
      <c r="T501" s="446"/>
      <c r="U501" s="446"/>
      <c r="V501" s="132">
        <f t="shared" ref="V501" si="234">SUM(X501:AA501)</f>
        <v>0</v>
      </c>
      <c r="W501" s="133" t="str">
        <f t="shared" ref="W501" si="235">IF(ISERROR(V501/G501),"",V501/G501)</f>
        <v/>
      </c>
      <c r="X501" s="132"/>
      <c r="Y501" s="132"/>
      <c r="Z501" s="132"/>
      <c r="AA501" s="132"/>
    </row>
    <row r="502" spans="1:27" ht="20.100000000000001" hidden="1" customHeight="1">
      <c r="A502" s="299">
        <v>30700010</v>
      </c>
      <c r="B502" s="437" t="s">
        <v>241</v>
      </c>
      <c r="C502" s="126"/>
      <c r="D502" s="108">
        <f>78*120/1000</f>
        <v>9.36</v>
      </c>
      <c r="E502" s="108"/>
      <c r="F502" s="127"/>
      <c r="G502" s="128"/>
      <c r="H502" s="438">
        <f t="shared" si="224"/>
        <v>0</v>
      </c>
      <c r="I502" s="129"/>
      <c r="J502" s="130"/>
      <c r="K502" s="131"/>
      <c r="L502" s="129"/>
      <c r="M502" s="109"/>
      <c r="N502" s="130"/>
      <c r="O502" s="446"/>
      <c r="P502" s="446"/>
      <c r="Q502" s="446"/>
      <c r="R502" s="446"/>
      <c r="S502" s="446"/>
      <c r="T502" s="446"/>
      <c r="U502" s="446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299">
        <v>30700015</v>
      </c>
      <c r="B503" s="437" t="s">
        <v>242</v>
      </c>
      <c r="C503" s="126"/>
      <c r="D503" s="108">
        <v>4.5</v>
      </c>
      <c r="E503" s="108"/>
      <c r="F503" s="127"/>
      <c r="G503" s="128"/>
      <c r="H503" s="438">
        <f t="shared" si="224"/>
        <v>0</v>
      </c>
      <c r="I503" s="129"/>
      <c r="J503" s="130"/>
      <c r="K503" s="131"/>
      <c r="L503" s="129"/>
      <c r="M503" s="109"/>
      <c r="N503" s="130"/>
      <c r="O503" s="446"/>
      <c r="P503" s="446"/>
      <c r="Q503" s="446"/>
      <c r="R503" s="446"/>
      <c r="S503" s="446"/>
      <c r="T503" s="446"/>
      <c r="U503" s="446"/>
      <c r="V503" s="132"/>
      <c r="W503" s="133"/>
      <c r="X503" s="132"/>
      <c r="Y503" s="132"/>
      <c r="Z503" s="132"/>
      <c r="AA503" s="132"/>
    </row>
    <row r="504" spans="1:27" ht="20.100000000000001" hidden="1" customHeight="1">
      <c r="A504" s="299">
        <v>30700012</v>
      </c>
      <c r="B504" s="437" t="s">
        <v>243</v>
      </c>
      <c r="C504" s="126"/>
      <c r="D504" s="108">
        <v>4.5</v>
      </c>
      <c r="E504" s="108"/>
      <c r="F504" s="127"/>
      <c r="G504" s="128"/>
      <c r="H504" s="438">
        <f t="shared" si="224"/>
        <v>0</v>
      </c>
      <c r="I504" s="129"/>
      <c r="J504" s="130"/>
      <c r="K504" s="131"/>
      <c r="L504" s="129"/>
      <c r="M504" s="109"/>
      <c r="N504" s="130"/>
      <c r="O504" s="446"/>
      <c r="P504" s="446"/>
      <c r="Q504" s="446"/>
      <c r="R504" s="446"/>
      <c r="S504" s="446"/>
      <c r="T504" s="446"/>
      <c r="U504" s="446"/>
      <c r="V504" s="132"/>
      <c r="W504" s="133"/>
      <c r="X504" s="132"/>
      <c r="Y504" s="132"/>
      <c r="Z504" s="132"/>
      <c r="AA504" s="132"/>
    </row>
    <row r="505" spans="1:27" ht="20.100000000000001" hidden="1" customHeight="1">
      <c r="A505" s="299"/>
      <c r="B505" s="437"/>
      <c r="C505" s="126"/>
      <c r="D505" s="108"/>
      <c r="E505" s="108"/>
      <c r="F505" s="127"/>
      <c r="G505" s="128"/>
      <c r="H505" s="438">
        <f t="shared" si="224"/>
        <v>0</v>
      </c>
      <c r="I505" s="129"/>
      <c r="J505" s="130"/>
      <c r="K505" s="131"/>
      <c r="L505" s="129"/>
      <c r="M505" s="109"/>
      <c r="N505" s="130"/>
      <c r="O505" s="446"/>
      <c r="P505" s="446"/>
      <c r="Q505" s="446"/>
      <c r="R505" s="446"/>
      <c r="S505" s="446"/>
      <c r="T505" s="446"/>
      <c r="U505" s="446"/>
      <c r="V505" s="132"/>
      <c r="W505" s="133"/>
      <c r="X505" s="132"/>
      <c r="Y505" s="132"/>
      <c r="Z505" s="132"/>
      <c r="AA505" s="132"/>
    </row>
    <row r="506" spans="1:27" ht="20.100000000000001" hidden="1" customHeight="1">
      <c r="A506" s="578" t="s">
        <v>244</v>
      </c>
      <c r="B506" s="579"/>
      <c r="C506" s="447" t="s">
        <v>202</v>
      </c>
      <c r="D506" s="143"/>
      <c r="E506" s="143"/>
      <c r="F506" s="144"/>
      <c r="G506" s="145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6">SUM(M491:M501)</f>
        <v>0</v>
      </c>
      <c r="N506" s="146">
        <f t="shared" si="236"/>
        <v>0</v>
      </c>
      <c r="O506" s="148">
        <f t="shared" si="236"/>
        <v>0</v>
      </c>
      <c r="P506" s="148">
        <f t="shared" si="236"/>
        <v>0</v>
      </c>
      <c r="Q506" s="148">
        <f t="shared" si="236"/>
        <v>0</v>
      </c>
      <c r="R506" s="148">
        <f t="shared" si="236"/>
        <v>0</v>
      </c>
      <c r="S506" s="148">
        <f t="shared" si="236"/>
        <v>0</v>
      </c>
      <c r="T506" s="148">
        <f t="shared" si="236"/>
        <v>0</v>
      </c>
      <c r="U506" s="148">
        <f t="shared" si="236"/>
        <v>0</v>
      </c>
      <c r="V506" s="149">
        <f t="shared" si="236"/>
        <v>0</v>
      </c>
      <c r="W506" s="133">
        <f t="shared" si="236"/>
        <v>0</v>
      </c>
      <c r="X506" s="149">
        <f t="shared" si="236"/>
        <v>0</v>
      </c>
      <c r="Y506" s="149">
        <f t="shared" si="236"/>
        <v>0</v>
      </c>
      <c r="Z506" s="149">
        <f t="shared" si="236"/>
        <v>0</v>
      </c>
      <c r="AA506" s="149">
        <f t="shared" si="236"/>
        <v>0</v>
      </c>
    </row>
    <row r="507" spans="1:27" ht="20.100000000000001" customHeight="1">
      <c r="A507" s="580" t="s">
        <v>246</v>
      </c>
      <c r="B507" s="581"/>
      <c r="C507" s="581"/>
      <c r="D507" s="581"/>
      <c r="E507" s="581"/>
      <c r="F507" s="582"/>
      <c r="G507" s="154">
        <f>SUM(G370,G428,G463,G479,G490,G506)</f>
        <v>0</v>
      </c>
      <c r="H507" s="154">
        <f>SUM(H370,H428,H463,H479,H490,H506)</f>
        <v>0</v>
      </c>
      <c r="I507" s="154">
        <f>SUM(I370,I428,I463,I479,I490,I506)</f>
        <v>0</v>
      </c>
      <c r="J507" s="155" t="str">
        <f t="array" ref="J507">IF(ISERROR(G507/I507),"",G507/I507)</f>
        <v/>
      </c>
      <c r="K507" s="154">
        <f>SUM(K370,K428,K463,K479,K490,K506)</f>
        <v>0</v>
      </c>
      <c r="L507" s="155" t="str">
        <f>IF(ISERROR(G507/K507),"",G507/K507)</f>
        <v/>
      </c>
      <c r="M507" s="154">
        <f t="shared" ref="M507:V507" si="237">SUM(M370,M428,M463,M479,M490,M506)</f>
        <v>0</v>
      </c>
      <c r="N507" s="154">
        <f t="shared" si="237"/>
        <v>0</v>
      </c>
      <c r="O507" s="154">
        <f t="shared" si="237"/>
        <v>0</v>
      </c>
      <c r="P507" s="154">
        <f t="shared" si="237"/>
        <v>0</v>
      </c>
      <c r="Q507" s="154">
        <f t="shared" si="237"/>
        <v>0</v>
      </c>
      <c r="R507" s="154">
        <f t="shared" si="237"/>
        <v>0</v>
      </c>
      <c r="S507" s="154">
        <f t="shared" si="237"/>
        <v>0</v>
      </c>
      <c r="T507" s="154">
        <f t="shared" si="237"/>
        <v>0</v>
      </c>
      <c r="U507" s="154">
        <f t="shared" si="237"/>
        <v>0</v>
      </c>
      <c r="V507" s="154">
        <f t="shared" si="237"/>
        <v>0</v>
      </c>
      <c r="W507" s="156" t="str">
        <f t="shared" ref="W507" si="238">IF(ISERROR(V507/G507),"",V507/G507)</f>
        <v/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583" t="s">
        <v>476</v>
      </c>
      <c r="B508" s="440" t="s">
        <v>247</v>
      </c>
      <c r="C508" s="586" t="s">
        <v>248</v>
      </c>
      <c r="D508" s="587"/>
      <c r="E508" s="588" t="s">
        <v>249</v>
      </c>
      <c r="F508" s="588"/>
      <c r="G508" s="591" t="s">
        <v>250</v>
      </c>
      <c r="H508" s="591"/>
      <c r="I508" s="588" t="s">
        <v>251</v>
      </c>
      <c r="J508" s="588"/>
      <c r="K508" s="588" t="s">
        <v>252</v>
      </c>
      <c r="L508" s="588"/>
      <c r="M508" s="588" t="s">
        <v>253</v>
      </c>
      <c r="N508" s="588"/>
      <c r="O508" s="588" t="s">
        <v>254</v>
      </c>
      <c r="P508" s="591" t="s">
        <v>255</v>
      </c>
      <c r="Q508" s="591"/>
      <c r="R508" s="591" t="s">
        <v>252</v>
      </c>
      <c r="S508" s="591"/>
      <c r="T508" s="591" t="s">
        <v>256</v>
      </c>
      <c r="U508" s="591"/>
      <c r="V508" s="591" t="s">
        <v>257</v>
      </c>
      <c r="W508" s="591"/>
      <c r="X508" s="591" t="s">
        <v>252</v>
      </c>
      <c r="Y508" s="591"/>
      <c r="Z508" s="591" t="s">
        <v>256</v>
      </c>
      <c r="AA508" s="591"/>
    </row>
    <row r="509" spans="1:27" ht="20.100000000000001" customHeight="1">
      <c r="A509" s="584"/>
      <c r="B509" s="440" t="s">
        <v>258</v>
      </c>
      <c r="C509" s="586">
        <v>0</v>
      </c>
      <c r="D509" s="587"/>
      <c r="E509" s="590">
        <f>C509*11</f>
        <v>0</v>
      </c>
      <c r="F509" s="590"/>
      <c r="G509" s="591">
        <v>0</v>
      </c>
      <c r="H509" s="591"/>
      <c r="I509" s="590">
        <f>G509*11</f>
        <v>0</v>
      </c>
      <c r="J509" s="590"/>
      <c r="K509" s="590">
        <f>E509-I509</f>
        <v>0</v>
      </c>
      <c r="L509" s="590"/>
      <c r="M509" s="592" t="str">
        <f>IF(ISERROR(K509/E509),"",K509/E509)</f>
        <v/>
      </c>
      <c r="N509" s="592"/>
      <c r="O509" s="588"/>
      <c r="P509" s="591" t="s">
        <v>201</v>
      </c>
      <c r="Q509" s="591"/>
      <c r="R509" s="593">
        <f>SUM(O370:U370)</f>
        <v>0</v>
      </c>
      <c r="S509" s="593"/>
      <c r="T509" s="594" t="str">
        <f t="array" ref="T509">IF(ISERROR(R509/R516),"",R509/R516)</f>
        <v/>
      </c>
      <c r="U509" s="594"/>
      <c r="V509" s="591" t="s">
        <v>259</v>
      </c>
      <c r="W509" s="591"/>
      <c r="X509" s="595">
        <f>SUM(O370,O428,O463,O479,O490,O506)</f>
        <v>0</v>
      </c>
      <c r="Y509" s="595"/>
      <c r="Z509" s="594" t="str">
        <f t="array" ref="Z509">IF(ISERROR(X509/X516),"",X509/X516)</f>
        <v/>
      </c>
      <c r="AA509" s="594"/>
    </row>
    <row r="510" spans="1:27" ht="20.100000000000001" customHeight="1">
      <c r="A510" s="584"/>
      <c r="B510" s="440" t="s">
        <v>260</v>
      </c>
      <c r="C510" s="586">
        <v>0</v>
      </c>
      <c r="D510" s="587"/>
      <c r="E510" s="590">
        <f>C510*11</f>
        <v>0</v>
      </c>
      <c r="F510" s="590"/>
      <c r="G510" s="591">
        <v>0</v>
      </c>
      <c r="H510" s="591"/>
      <c r="I510" s="590">
        <f>G510*11</f>
        <v>0</v>
      </c>
      <c r="J510" s="590"/>
      <c r="K510" s="590">
        <f>E510-I510</f>
        <v>0</v>
      </c>
      <c r="L510" s="590"/>
      <c r="M510" s="592" t="str">
        <f>IF(ISERROR(K510/E510),"",K510/E510)</f>
        <v/>
      </c>
      <c r="N510" s="592"/>
      <c r="O510" s="588"/>
      <c r="P510" s="591" t="s">
        <v>216</v>
      </c>
      <c r="Q510" s="591"/>
      <c r="R510" s="593">
        <f>SUM(O428:U428)</f>
        <v>0</v>
      </c>
      <c r="S510" s="593"/>
      <c r="T510" s="594" t="str">
        <f>IF(ISERROR(R510/R516),"",R510/R516)</f>
        <v/>
      </c>
      <c r="U510" s="594"/>
      <c r="V510" s="591" t="s">
        <v>261</v>
      </c>
      <c r="W510" s="591"/>
      <c r="X510" s="595">
        <f>SUM(O371,O429,O464,O480,O491,O507)</f>
        <v>0</v>
      </c>
      <c r="Y510" s="595"/>
      <c r="Z510" s="594" t="str">
        <f>IF(ISERROR(X510/X516),"",X510/X516)</f>
        <v/>
      </c>
      <c r="AA510" s="594"/>
    </row>
    <row r="511" spans="1:27" ht="20.100000000000001" customHeight="1">
      <c r="A511" s="584"/>
      <c r="B511" s="440" t="s">
        <v>262</v>
      </c>
      <c r="C511" s="586">
        <v>0</v>
      </c>
      <c r="D511" s="587"/>
      <c r="E511" s="590">
        <f>C511*11</f>
        <v>0</v>
      </c>
      <c r="F511" s="590"/>
      <c r="G511" s="591">
        <v>0</v>
      </c>
      <c r="H511" s="591"/>
      <c r="I511" s="590">
        <f>G511*11</f>
        <v>0</v>
      </c>
      <c r="J511" s="590"/>
      <c r="K511" s="590">
        <f>E511-I511</f>
        <v>0</v>
      </c>
      <c r="L511" s="590"/>
      <c r="M511" s="592" t="str">
        <f>IF(ISERROR(K511/E511),"",K511/E511)</f>
        <v/>
      </c>
      <c r="N511" s="592"/>
      <c r="O511" s="588"/>
      <c r="P511" s="591" t="s">
        <v>224</v>
      </c>
      <c r="Q511" s="591"/>
      <c r="R511" s="593">
        <f>SUM(O463:U463)</f>
        <v>0</v>
      </c>
      <c r="S511" s="593"/>
      <c r="T511" s="594" t="str">
        <f>IF(ISERROR(R511/R516),"",R511/R516)</f>
        <v/>
      </c>
      <c r="U511" s="594"/>
      <c r="V511" s="591" t="s">
        <v>263</v>
      </c>
      <c r="W511" s="591"/>
      <c r="X511" s="595">
        <f>SUM(O373,O430,O465,O481,O492,O508)</f>
        <v>0</v>
      </c>
      <c r="Y511" s="595"/>
      <c r="Z511" s="594" t="str">
        <f>IF(ISERROR(X511/X516),"",X511/X516)</f>
        <v/>
      </c>
      <c r="AA511" s="594"/>
    </row>
    <row r="512" spans="1:27" ht="20.100000000000001" customHeight="1">
      <c r="A512" s="584"/>
      <c r="B512" s="440" t="s">
        <v>264</v>
      </c>
      <c r="C512" s="586">
        <v>1</v>
      </c>
      <c r="D512" s="587"/>
      <c r="E512" s="590">
        <f>C512*11</f>
        <v>11</v>
      </c>
      <c r="F512" s="590"/>
      <c r="G512" s="591">
        <v>1</v>
      </c>
      <c r="H512" s="591"/>
      <c r="I512" s="590">
        <f>G512*11</f>
        <v>11</v>
      </c>
      <c r="J512" s="590"/>
      <c r="K512" s="590">
        <f>E512-I512</f>
        <v>0</v>
      </c>
      <c r="L512" s="590"/>
      <c r="M512" s="592">
        <f>IF(ISERROR(K512/E512),"",K512/E512)</f>
        <v>0</v>
      </c>
      <c r="N512" s="592"/>
      <c r="O512" s="588"/>
      <c r="P512" s="591" t="s">
        <v>231</v>
      </c>
      <c r="Q512" s="591"/>
      <c r="R512" s="593">
        <f>SUM(O479:U479)</f>
        <v>0</v>
      </c>
      <c r="S512" s="593"/>
      <c r="T512" s="594" t="str">
        <f>IF(ISERROR(R512/R516),"",R512/R516)</f>
        <v/>
      </c>
      <c r="U512" s="594"/>
      <c r="V512" s="591" t="s">
        <v>265</v>
      </c>
      <c r="W512" s="591"/>
      <c r="X512" s="595">
        <f>SUM(O374,O431,O466,O482,O493,O509)</f>
        <v>0</v>
      </c>
      <c r="Y512" s="595"/>
      <c r="Z512" s="594" t="str">
        <f>IF(ISERROR(X512/X516),"",X512/X516)</f>
        <v/>
      </c>
      <c r="AA512" s="594"/>
    </row>
    <row r="513" spans="1:27" ht="20.100000000000001" customHeight="1">
      <c r="A513" s="585"/>
      <c r="B513" s="440" t="s">
        <v>266</v>
      </c>
      <c r="C513" s="596">
        <f>SUM(C509:D512)</f>
        <v>1</v>
      </c>
      <c r="D513" s="597"/>
      <c r="E513" s="590">
        <f>SUM(E509:F512)</f>
        <v>11</v>
      </c>
      <c r="F513" s="590"/>
      <c r="G513" s="591">
        <f>SUM(G509:H512)</f>
        <v>1</v>
      </c>
      <c r="H513" s="591"/>
      <c r="I513" s="590">
        <f>SUM(I509:J512)</f>
        <v>11</v>
      </c>
      <c r="J513" s="590"/>
      <c r="K513" s="590">
        <f>SUM(K509:L512)</f>
        <v>0</v>
      </c>
      <c r="L513" s="590"/>
      <c r="M513" s="592">
        <f>IF(ISERROR(K513/E513),"",K513/E513)</f>
        <v>0</v>
      </c>
      <c r="N513" s="592"/>
      <c r="O513" s="588"/>
      <c r="P513" s="591" t="s">
        <v>234</v>
      </c>
      <c r="Q513" s="591"/>
      <c r="R513" s="593">
        <f>SUM(O490:U490)</f>
        <v>0</v>
      </c>
      <c r="S513" s="593"/>
      <c r="T513" s="594" t="str">
        <f>IF(ISERROR(R513/R516),"",R513/R516)</f>
        <v/>
      </c>
      <c r="U513" s="594"/>
      <c r="V513" s="591" t="s">
        <v>267</v>
      </c>
      <c r="W513" s="591"/>
      <c r="X513" s="595">
        <f>SUM(O375,O432,O467,O483,O494,O510)</f>
        <v>0</v>
      </c>
      <c r="Y513" s="595"/>
      <c r="Z513" s="594" t="str">
        <f>IF(ISERROR(X513/X516),"",X513/X516)</f>
        <v/>
      </c>
      <c r="AA513" s="594"/>
    </row>
    <row r="514" spans="1:27" ht="20.100000000000001" customHeight="1">
      <c r="A514" s="307" t="s">
        <v>477</v>
      </c>
      <c r="B514" s="440">
        <f>G507</f>
        <v>0</v>
      </c>
      <c r="C514" s="598" t="s">
        <v>269</v>
      </c>
      <c r="D514" s="599"/>
      <c r="E514" s="591">
        <f>H507</f>
        <v>0</v>
      </c>
      <c r="F514" s="591"/>
      <c r="G514" s="591" t="s">
        <v>270</v>
      </c>
      <c r="H514" s="591"/>
      <c r="I514" s="600" t="str">
        <f>L507</f>
        <v/>
      </c>
      <c r="J514" s="600"/>
      <c r="K514" s="588" t="s">
        <v>271</v>
      </c>
      <c r="L514" s="588"/>
      <c r="M514" s="600" t="str">
        <f>J507</f>
        <v/>
      </c>
      <c r="N514" s="600"/>
      <c r="O514" s="588"/>
      <c r="P514" s="591" t="s">
        <v>244</v>
      </c>
      <c r="Q514" s="591"/>
      <c r="R514" s="593">
        <f>SUM(O506:U506)</f>
        <v>0</v>
      </c>
      <c r="S514" s="593"/>
      <c r="T514" s="594" t="str">
        <f>IF(ISERROR(R514/R516),"",R514/R516)</f>
        <v/>
      </c>
      <c r="U514" s="594"/>
      <c r="V514" s="591" t="s">
        <v>272</v>
      </c>
      <c r="W514" s="591"/>
      <c r="X514" s="595">
        <f>SUM(O376,O433,O468,O484,O495,O511)</f>
        <v>0</v>
      </c>
      <c r="Y514" s="595"/>
      <c r="Z514" s="594" t="str">
        <f>IF(ISERROR(X514/X516),"",X514/X516)</f>
        <v/>
      </c>
      <c r="AA514" s="594"/>
    </row>
    <row r="515" spans="1:27" ht="20.100000000000001" customHeight="1">
      <c r="A515" s="308" t="s">
        <v>478</v>
      </c>
      <c r="B515" s="440">
        <f>I507+C513</f>
        <v>1</v>
      </c>
      <c r="C515" s="601" t="s">
        <v>251</v>
      </c>
      <c r="D515" s="602"/>
      <c r="E515" s="603">
        <f>K507+I513</f>
        <v>11</v>
      </c>
      <c r="F515" s="603"/>
      <c r="G515" s="591" t="s">
        <v>274</v>
      </c>
      <c r="H515" s="591"/>
      <c r="I515" s="600">
        <f>B515-E515</f>
        <v>-10</v>
      </c>
      <c r="J515" s="600"/>
      <c r="K515" s="588" t="s">
        <v>275</v>
      </c>
      <c r="L515" s="588"/>
      <c r="M515" s="592">
        <f>IF(ISERROR(I515/E515),"",I515/E515)</f>
        <v>-0.90909090909090906</v>
      </c>
      <c r="N515" s="592"/>
      <c r="O515" s="588"/>
      <c r="P515" s="591" t="s">
        <v>245</v>
      </c>
      <c r="Q515" s="591"/>
      <c r="R515" s="593"/>
      <c r="S515" s="593"/>
      <c r="T515" s="594" t="str">
        <f>IF(ISERROR(R515/R516),"",R515/R516)</f>
        <v/>
      </c>
      <c r="U515" s="594"/>
      <c r="V515" s="591" t="s">
        <v>264</v>
      </c>
      <c r="W515" s="591"/>
      <c r="X515" s="595">
        <f>SUM(O377,O434,O469,O489,O496,O512)</f>
        <v>0</v>
      </c>
      <c r="Y515" s="595"/>
      <c r="Z515" s="594" t="str">
        <f>IF(ISERROR(X515/X516),"",X515/X516)</f>
        <v/>
      </c>
      <c r="AA515" s="594"/>
    </row>
    <row r="516" spans="1:27" ht="20.100000000000001" customHeight="1">
      <c r="A516" s="308" t="s">
        <v>479</v>
      </c>
      <c r="B516" s="440">
        <f>N507</f>
        <v>0</v>
      </c>
      <c r="C516" s="601" t="s">
        <v>277</v>
      </c>
      <c r="D516" s="602"/>
      <c r="E516" s="594">
        <f>IF(ISERROR(B516/B515),"",B516/B515)</f>
        <v>0</v>
      </c>
      <c r="F516" s="594"/>
      <c r="G516" s="591" t="s">
        <v>278</v>
      </c>
      <c r="H516" s="591"/>
      <c r="I516" s="588">
        <f>V507</f>
        <v>0</v>
      </c>
      <c r="J516" s="588"/>
      <c r="K516" s="588" t="s">
        <v>279</v>
      </c>
      <c r="L516" s="588"/>
      <c r="M516" s="592" t="str">
        <f t="array" ref="M516">IF(ISERROR(I516/B514),"",I516/B514)</f>
        <v/>
      </c>
      <c r="N516" s="592"/>
      <c r="O516" s="588"/>
      <c r="P516" s="591" t="s">
        <v>266</v>
      </c>
      <c r="Q516" s="591"/>
      <c r="R516" s="593">
        <f>SUM(R509:S515)</f>
        <v>0</v>
      </c>
      <c r="S516" s="593"/>
      <c r="T516" s="594"/>
      <c r="U516" s="594"/>
      <c r="V516" s="591" t="s">
        <v>266</v>
      </c>
      <c r="W516" s="591"/>
      <c r="X516" s="595">
        <f>SUM(X509:Y515)</f>
        <v>0</v>
      </c>
      <c r="Y516" s="595"/>
      <c r="Z516" s="594"/>
      <c r="AA516" s="594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630" t="str">
        <f>IF(ISERROR(#REF!/#REF!),"",#REF!/#REF!)</f>
        <v/>
      </c>
      <c r="H517" s="630"/>
      <c r="I517" s="630"/>
      <c r="J517" s="125"/>
      <c r="K517" s="160"/>
      <c r="L517" s="122"/>
      <c r="M517" s="122"/>
      <c r="N517" s="630" t="str">
        <f>IF(ISERROR(G517/#REF!),"",G517/#REF!)</f>
        <v/>
      </c>
      <c r="O517" s="630"/>
      <c r="P517" s="630"/>
      <c r="Q517" s="630"/>
      <c r="R517" s="630"/>
      <c r="S517" s="441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6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633" t="s">
        <v>268</v>
      </c>
      <c r="B519" s="633"/>
      <c r="C519" s="586">
        <f>SUM(B171,B342,B514)</f>
        <v>12307</v>
      </c>
      <c r="D519" s="587"/>
      <c r="E519" s="633" t="s">
        <v>269</v>
      </c>
      <c r="F519" s="633"/>
      <c r="G519" s="603">
        <f>SUM(E171,E342,E514)</f>
        <v>62289.200000000012</v>
      </c>
      <c r="H519" s="603"/>
      <c r="I519" s="591" t="s">
        <v>270</v>
      </c>
      <c r="J519" s="633"/>
      <c r="K519" s="586">
        <f>IF(ISERROR(C519/G520),"",C519/G520)</f>
        <v>18.910232133329512</v>
      </c>
      <c r="L519" s="587"/>
      <c r="M519" s="591" t="s">
        <v>271</v>
      </c>
      <c r="N519" s="591"/>
      <c r="O519" s="628">
        <f t="array" ref="O519">IF(ISERROR(C519/C520),"",C519/C520)</f>
        <v>18.111846946284032</v>
      </c>
      <c r="P519" s="629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591" t="s">
        <v>273</v>
      </c>
      <c r="B520" s="591"/>
      <c r="C520" s="586">
        <f>SUM(B172,B343,B515)</f>
        <v>679.5</v>
      </c>
      <c r="D520" s="587"/>
      <c r="E520" s="591" t="s">
        <v>251</v>
      </c>
      <c r="F520" s="591"/>
      <c r="G520" s="603">
        <f>SUM(E172,E343,E515)</f>
        <v>650.81168296759108</v>
      </c>
      <c r="H520" s="603"/>
      <c r="I520" s="601" t="s">
        <v>274</v>
      </c>
      <c r="J520" s="602"/>
      <c r="K520" s="598">
        <f>C520-G520</f>
        <v>28.688317032408918</v>
      </c>
      <c r="L520" s="599"/>
      <c r="M520" s="598" t="s">
        <v>275</v>
      </c>
      <c r="N520" s="599"/>
      <c r="O520" s="631">
        <f>IF(ISERROR(K520/C520),"",K520/C520)</f>
        <v>4.2219745448725414E-2</v>
      </c>
      <c r="P520" s="632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601" t="s">
        <v>276</v>
      </c>
      <c r="B521" s="602"/>
      <c r="C521" s="586">
        <f>SUM(B173,B344,B516)</f>
        <v>0</v>
      </c>
      <c r="D521" s="587"/>
      <c r="E521" s="601" t="s">
        <v>277</v>
      </c>
      <c r="F521" s="602"/>
      <c r="G521" s="594">
        <f>IF(ISERROR(C521/C520),"",C521/C520)</f>
        <v>0</v>
      </c>
      <c r="H521" s="594"/>
      <c r="I521" s="591" t="s">
        <v>278</v>
      </c>
      <c r="J521" s="633"/>
      <c r="K521" s="603">
        <f>SUM(I173,I344,I516)</f>
        <v>0</v>
      </c>
      <c r="L521" s="603"/>
      <c r="M521" s="633" t="s">
        <v>279</v>
      </c>
      <c r="N521" s="633"/>
      <c r="O521" s="631">
        <f t="array" ref="O521">IF(ISERROR(K521/C519),"",K521/C519)</f>
        <v>0</v>
      </c>
      <c r="P521" s="632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347"/>
      <c r="H522" s="168"/>
      <c r="I522" s="441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601" t="s">
        <v>298</v>
      </c>
      <c r="B523" s="602"/>
      <c r="C523" s="601" t="s">
        <v>299</v>
      </c>
      <c r="D523" s="602"/>
      <c r="E523" s="601" t="s">
        <v>256</v>
      </c>
      <c r="F523" s="602"/>
      <c r="G523" s="634" t="s">
        <v>254</v>
      </c>
      <c r="H523" s="635"/>
      <c r="I523" s="601" t="s">
        <v>255</v>
      </c>
      <c r="J523" s="599"/>
      <c r="K523" s="601" t="s">
        <v>300</v>
      </c>
      <c r="L523" s="602"/>
      <c r="M523" s="601" t="s">
        <v>256</v>
      </c>
      <c r="N523" s="602"/>
      <c r="O523" s="591" t="s">
        <v>257</v>
      </c>
      <c r="P523" s="591"/>
      <c r="Q523" s="601" t="s">
        <v>300</v>
      </c>
      <c r="R523" s="602"/>
      <c r="S523" s="601" t="s">
        <v>256</v>
      </c>
      <c r="T523" s="602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640" t="s">
        <v>201</v>
      </c>
      <c r="B524" s="602"/>
      <c r="C524" s="601">
        <f>SUM(G28,G199,G370)</f>
        <v>2196</v>
      </c>
      <c r="D524" s="602"/>
      <c r="E524" s="641">
        <f>IF(ISERROR(C524/C530),"",C524/C530)</f>
        <v>0.1784350369708296</v>
      </c>
      <c r="F524" s="642"/>
      <c r="G524" s="636"/>
      <c r="H524" s="637"/>
      <c r="I524" s="643" t="s">
        <v>301</v>
      </c>
      <c r="J524" s="644"/>
      <c r="K524" s="598">
        <f t="shared" ref="K524:K529" si="239">SUM(R166,U337,U509)</f>
        <v>0</v>
      </c>
      <c r="L524" s="599"/>
      <c r="M524" s="641" t="str">
        <f t="array" ref="M524">IF(ISERROR(K524/K530),"",K524/K530)</f>
        <v/>
      </c>
      <c r="N524" s="642"/>
      <c r="O524" s="591" t="s">
        <v>259</v>
      </c>
      <c r="P524" s="591"/>
      <c r="Q524" s="628">
        <f t="shared" ref="Q524:Q529" si="240">SUM(X166,AA337,AA509)</f>
        <v>0</v>
      </c>
      <c r="R524" s="629"/>
      <c r="S524" s="641" t="str">
        <f t="array" ref="S524">IF(ISERROR(Q524/Q530),"",Q524/Q530)</f>
        <v/>
      </c>
      <c r="T524" s="642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640" t="s">
        <v>216</v>
      </c>
      <c r="B525" s="602"/>
      <c r="C525" s="601">
        <f>SUM(G86,G257,G428)</f>
        <v>5685</v>
      </c>
      <c r="D525" s="602"/>
      <c r="E525" s="641">
        <f>IF(ISERROR(C525/C530),"",C525/C530)</f>
        <v>0.46193223368814496</v>
      </c>
      <c r="F525" s="642"/>
      <c r="G525" s="636"/>
      <c r="H525" s="637"/>
      <c r="I525" s="643" t="s">
        <v>302</v>
      </c>
      <c r="J525" s="644"/>
      <c r="K525" s="598">
        <f t="shared" si="239"/>
        <v>0</v>
      </c>
      <c r="L525" s="599"/>
      <c r="M525" s="641" t="str">
        <f>IF(ISERROR(K525/K530),"",K525/K530)</f>
        <v/>
      </c>
      <c r="N525" s="642"/>
      <c r="O525" s="591" t="s">
        <v>261</v>
      </c>
      <c r="P525" s="591"/>
      <c r="Q525" s="628">
        <f t="shared" si="240"/>
        <v>0</v>
      </c>
      <c r="R525" s="629"/>
      <c r="S525" s="641" t="str">
        <f>IF(ISERROR(Q525/Q530),"",Q525/Q530)</f>
        <v/>
      </c>
      <c r="T525" s="642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640" t="s">
        <v>224</v>
      </c>
      <c r="B526" s="602"/>
      <c r="C526" s="601">
        <f>SUM(G121,G292,G463)</f>
        <v>1088</v>
      </c>
      <c r="D526" s="602"/>
      <c r="E526" s="641">
        <f>IF(ISERROR(C526/C530),"",C526/C530)</f>
        <v>8.8404972779718857E-2</v>
      </c>
      <c r="F526" s="642"/>
      <c r="G526" s="636"/>
      <c r="H526" s="637"/>
      <c r="I526" s="643" t="s">
        <v>303</v>
      </c>
      <c r="J526" s="644"/>
      <c r="K526" s="598">
        <f t="shared" si="239"/>
        <v>0</v>
      </c>
      <c r="L526" s="599"/>
      <c r="M526" s="641" t="str">
        <f>IF(ISERROR(K526/K530),"",K526/K530)</f>
        <v/>
      </c>
      <c r="N526" s="642"/>
      <c r="O526" s="591" t="s">
        <v>263</v>
      </c>
      <c r="P526" s="591"/>
      <c r="Q526" s="628">
        <f t="shared" si="240"/>
        <v>0</v>
      </c>
      <c r="R526" s="629"/>
      <c r="S526" s="641" t="str">
        <f>IF(ISERROR(Q526/Q530),"",Q526/Q530)</f>
        <v/>
      </c>
      <c r="T526" s="642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640" t="s">
        <v>231</v>
      </c>
      <c r="B527" s="602"/>
      <c r="C527" s="601">
        <f>SUM(G137,G308,G479)</f>
        <v>1802</v>
      </c>
      <c r="D527" s="602"/>
      <c r="E527" s="641">
        <f>IF(ISERROR(C527/C530),"",C527/C530)</f>
        <v>0.14642073616640935</v>
      </c>
      <c r="F527" s="642"/>
      <c r="G527" s="636"/>
      <c r="H527" s="637"/>
      <c r="I527" s="643" t="s">
        <v>304</v>
      </c>
      <c r="J527" s="644"/>
      <c r="K527" s="598">
        <f t="shared" si="239"/>
        <v>0</v>
      </c>
      <c r="L527" s="599"/>
      <c r="M527" s="641" t="str">
        <f>IF(ISERROR(K527/K530),"",K527/K530)</f>
        <v/>
      </c>
      <c r="N527" s="642"/>
      <c r="O527" s="591" t="s">
        <v>305</v>
      </c>
      <c r="P527" s="591"/>
      <c r="Q527" s="628">
        <f t="shared" si="240"/>
        <v>0</v>
      </c>
      <c r="R527" s="629"/>
      <c r="S527" s="641" t="str">
        <f>IF(ISERROR(Q527/Q530),"",Q527/Q530)</f>
        <v/>
      </c>
      <c r="T527" s="642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640" t="s">
        <v>234</v>
      </c>
      <c r="B528" s="602"/>
      <c r="C528" s="601">
        <f>SUM(G148,G319,G490)</f>
        <v>1226</v>
      </c>
      <c r="D528" s="602"/>
      <c r="E528" s="641">
        <f>IF(ISERROR(C528/C530),"",C528/C530)</f>
        <v>9.9618103518322912E-2</v>
      </c>
      <c r="F528" s="642"/>
      <c r="G528" s="636"/>
      <c r="H528" s="637"/>
      <c r="I528" s="643" t="s">
        <v>306</v>
      </c>
      <c r="J528" s="644"/>
      <c r="K528" s="598">
        <f t="shared" si="239"/>
        <v>0</v>
      </c>
      <c r="L528" s="599"/>
      <c r="M528" s="641" t="str">
        <f>IF(ISERROR(K528/K530),"",K528/K530)</f>
        <v/>
      </c>
      <c r="N528" s="642"/>
      <c r="O528" s="591" t="s">
        <v>267</v>
      </c>
      <c r="P528" s="591"/>
      <c r="Q528" s="628">
        <f t="shared" si="240"/>
        <v>0</v>
      </c>
      <c r="R528" s="629"/>
      <c r="S528" s="641" t="str">
        <f>IF(ISERROR(Q528/Q530),"",Q528/Q530)</f>
        <v/>
      </c>
      <c r="T528" s="642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640" t="s">
        <v>244</v>
      </c>
      <c r="B529" s="602"/>
      <c r="C529" s="601">
        <f>SUM(G163,G334,G506)</f>
        <v>310</v>
      </c>
      <c r="D529" s="602"/>
      <c r="E529" s="641">
        <f>IF(ISERROR(C529/C530),"",C529/C530)</f>
        <v>2.5188916876574308E-2</v>
      </c>
      <c r="F529" s="642"/>
      <c r="G529" s="636"/>
      <c r="H529" s="637"/>
      <c r="I529" s="643" t="s">
        <v>307</v>
      </c>
      <c r="J529" s="644"/>
      <c r="K529" s="598">
        <f t="shared" si="239"/>
        <v>0</v>
      </c>
      <c r="L529" s="599"/>
      <c r="M529" s="641" t="str">
        <f>IF(ISERROR(K529/K530),"",K529/K530)</f>
        <v/>
      </c>
      <c r="N529" s="642"/>
      <c r="O529" s="591" t="s">
        <v>272</v>
      </c>
      <c r="P529" s="591"/>
      <c r="Q529" s="628">
        <f t="shared" si="240"/>
        <v>0</v>
      </c>
      <c r="R529" s="629"/>
      <c r="S529" s="641" t="str">
        <f>IF(ISERROR(Q529/Q530),"",Q529/Q530)</f>
        <v/>
      </c>
      <c r="T529" s="642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601" t="s">
        <v>266</v>
      </c>
      <c r="B530" s="602"/>
      <c r="C530" s="601">
        <f>SUM(C524:C529)</f>
        <v>12307</v>
      </c>
      <c r="D530" s="602"/>
      <c r="E530" s="641">
        <f>SUM(E524:F529)</f>
        <v>1</v>
      </c>
      <c r="F530" s="642"/>
      <c r="G530" s="638"/>
      <c r="H530" s="639"/>
      <c r="I530" s="601" t="s">
        <v>266</v>
      </c>
      <c r="J530" s="599"/>
      <c r="K530" s="598">
        <f>SUM(R173,U344,U516)</f>
        <v>0</v>
      </c>
      <c r="L530" s="599"/>
      <c r="M530" s="641"/>
      <c r="N530" s="642"/>
      <c r="O530" s="591" t="s">
        <v>266</v>
      </c>
      <c r="P530" s="591"/>
      <c r="Q530" s="628">
        <f>SUM(Q524:R529)</f>
        <v>0</v>
      </c>
      <c r="R530" s="629"/>
      <c r="S530" s="641">
        <f>SUM(S524:T529)</f>
        <v>0</v>
      </c>
      <c r="T530" s="642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502"/>
      <c r="D531" s="172"/>
      <c r="E531" s="172"/>
      <c r="F531" s="172"/>
      <c r="G531" s="173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643" t="s">
        <v>308</v>
      </c>
      <c r="B532" s="597"/>
      <c r="C532" s="444" t="s">
        <v>309</v>
      </c>
      <c r="D532" s="444" t="s">
        <v>310</v>
      </c>
      <c r="E532" s="444" t="s">
        <v>311</v>
      </c>
      <c r="F532" s="444" t="s">
        <v>312</v>
      </c>
      <c r="G532" s="348" t="s">
        <v>313</v>
      </c>
      <c r="H532" s="129" t="s">
        <v>314</v>
      </c>
      <c r="I532" s="129" t="s">
        <v>315</v>
      </c>
      <c r="J532" s="129" t="s">
        <v>316</v>
      </c>
      <c r="K532" s="446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438" t="s">
        <v>322</v>
      </c>
      <c r="Q532" s="129" t="s">
        <v>323</v>
      </c>
      <c r="R532" s="109" t="s">
        <v>324</v>
      </c>
      <c r="S532" s="444" t="s">
        <v>325</v>
      </c>
      <c r="T532" s="444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645" t="s">
        <v>327</v>
      </c>
      <c r="B533" s="646"/>
      <c r="C533" s="106">
        <f>D533+E533+F533-G533-O533-P533</f>
        <v>46</v>
      </c>
      <c r="D533" s="106">
        <f>+'4'!C533</f>
        <v>46</v>
      </c>
      <c r="E533" s="106"/>
      <c r="F533" s="106"/>
      <c r="G533" s="107"/>
      <c r="H533" s="106"/>
      <c r="I533" s="106"/>
      <c r="J533" s="106">
        <f>C533-H533-I533</f>
        <v>46</v>
      </c>
      <c r="K533" s="106"/>
      <c r="L533" s="106"/>
      <c r="M533" s="106"/>
      <c r="N533" s="106"/>
      <c r="O533" s="106"/>
      <c r="P533" s="108"/>
      <c r="Q533" s="106">
        <f>J533-K533-L533</f>
        <v>46</v>
      </c>
      <c r="R533" s="109">
        <f>Q533*11-M533-N533</f>
        <v>506</v>
      </c>
      <c r="S533" s="445">
        <f t="array" ref="S533">IF(ISERROR(Q533/J533),"",Q533/J533)</f>
        <v>1</v>
      </c>
      <c r="T533" s="445">
        <f t="array" ref="T533">IF(ISERROR((O533:P533)/C533),"",SUM(O533:P533)/C533)</f>
        <v>0</v>
      </c>
      <c r="X533" s="116"/>
      <c r="Y533" s="116"/>
      <c r="Z533" s="159"/>
      <c r="AA533" s="159"/>
    </row>
    <row r="534" spans="1:27" ht="20.100000000000001" customHeight="1">
      <c r="A534" s="645" t="s">
        <v>328</v>
      </c>
      <c r="B534" s="646"/>
      <c r="C534" s="106">
        <f>D534+E534+F534-G534-O534-P534</f>
        <v>44</v>
      </c>
      <c r="D534" s="106">
        <f>+'4'!C534</f>
        <v>45</v>
      </c>
      <c r="E534" s="110"/>
      <c r="F534" s="110"/>
      <c r="G534" s="107"/>
      <c r="H534" s="106"/>
      <c r="I534" s="106"/>
      <c r="J534" s="106">
        <f>C534-H534-I534</f>
        <v>44</v>
      </c>
      <c r="K534" s="106">
        <v>1</v>
      </c>
      <c r="L534" s="106"/>
      <c r="M534" s="106"/>
      <c r="N534" s="106"/>
      <c r="O534" s="110"/>
      <c r="P534" s="111">
        <v>1</v>
      </c>
      <c r="Q534" s="106">
        <f>J534-K534-L534</f>
        <v>43</v>
      </c>
      <c r="R534" s="109">
        <f>Q534*11-M534-N534</f>
        <v>473</v>
      </c>
      <c r="S534" s="445">
        <f t="array" ref="S534">IF(ISERROR(Q534/J534),"",Q534/J534)</f>
        <v>0.97727272727272729</v>
      </c>
      <c r="T534" s="445">
        <f t="array" ref="T534">IF(ISERROR((O534:P534)/C534),"",SUM(O534:P534)/C534)</f>
        <v>2.2727272727272728E-2</v>
      </c>
      <c r="X534" s="116"/>
      <c r="Y534" s="116"/>
      <c r="Z534" s="159"/>
      <c r="AA534" s="159"/>
    </row>
    <row r="535" spans="1:27" ht="20.100000000000001" customHeight="1">
      <c r="A535" s="645" t="s">
        <v>329</v>
      </c>
      <c r="B535" s="646"/>
      <c r="C535" s="106">
        <f>D535+E535+F535-G535-O535-P535</f>
        <v>10</v>
      </c>
      <c r="D535" s="106">
        <f>+'4'!C535</f>
        <v>10</v>
      </c>
      <c r="E535" s="110"/>
      <c r="F535" s="110"/>
      <c r="G535" s="107"/>
      <c r="H535" s="106"/>
      <c r="I535" s="106"/>
      <c r="J535" s="106">
        <f>C535-H535-I535</f>
        <v>10</v>
      </c>
      <c r="K535" s="106"/>
      <c r="L535" s="106"/>
      <c r="M535" s="106"/>
      <c r="N535" s="106"/>
      <c r="O535" s="110"/>
      <c r="P535" s="111"/>
      <c r="Q535" s="106">
        <f>J535-K535-L535</f>
        <v>10</v>
      </c>
      <c r="R535" s="109">
        <f>Q535*11-M535-N535</f>
        <v>110</v>
      </c>
      <c r="S535" s="445">
        <f t="array" ref="S535">IF(ISERROR(Q535/J535),"",Q535/J535)</f>
        <v>1</v>
      </c>
      <c r="T535" s="445">
        <f t="array" ref="T535">IF(ISERROR((O535:P535)/C535),"",SUM(O535:P535)/C535)</f>
        <v>0</v>
      </c>
      <c r="V535" s="179"/>
      <c r="X535" s="116"/>
      <c r="Y535" s="116"/>
      <c r="Z535" s="159"/>
      <c r="AA535" s="159"/>
    </row>
    <row r="536" spans="1:27" ht="20.100000000000001" customHeight="1">
      <c r="A536" s="647" t="s">
        <v>330</v>
      </c>
      <c r="B536" s="648"/>
      <c r="C536" s="112">
        <f>SUM(C533:C535)</f>
        <v>100</v>
      </c>
      <c r="D536" s="112">
        <f t="shared" ref="D536:N536" si="241">SUM(D533:D535)</f>
        <v>101</v>
      </c>
      <c r="E536" s="112">
        <f t="shared" si="241"/>
        <v>0</v>
      </c>
      <c r="F536" s="112">
        <f t="shared" si="241"/>
        <v>0</v>
      </c>
      <c r="G536" s="113">
        <f t="shared" si="241"/>
        <v>0</v>
      </c>
      <c r="H536" s="112">
        <f t="shared" si="241"/>
        <v>0</v>
      </c>
      <c r="I536" s="112">
        <f t="shared" si="241"/>
        <v>0</v>
      </c>
      <c r="J536" s="112">
        <f t="shared" si="241"/>
        <v>100</v>
      </c>
      <c r="K536" s="112">
        <f t="shared" si="241"/>
        <v>1</v>
      </c>
      <c r="L536" s="112">
        <f t="shared" si="241"/>
        <v>0</v>
      </c>
      <c r="M536" s="112">
        <f t="shared" si="241"/>
        <v>0</v>
      </c>
      <c r="N536" s="112">
        <f t="shared" si="241"/>
        <v>0</v>
      </c>
      <c r="O536" s="112">
        <f>SUM(O533:O535)</f>
        <v>0</v>
      </c>
      <c r="P536" s="112">
        <f>SUM(P533:P535)</f>
        <v>1</v>
      </c>
      <c r="Q536" s="112">
        <f>SUM(Q533:Q535)</f>
        <v>99</v>
      </c>
      <c r="R536" s="114">
        <f>SUM(R533:R535)</f>
        <v>1089</v>
      </c>
      <c r="S536" s="115">
        <f t="array" ref="S536">IF(ISERROR(Q536/J536),"",Q536/J536)</f>
        <v>0.99</v>
      </c>
      <c r="T536" s="115">
        <f t="array" ref="T536">IF(ISERROR((O536:P536)/C536),"",SUM(O536:P536)/C536)</f>
        <v>0.01</v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7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7"/>
      <c r="H538" s="116"/>
      <c r="I538" s="118" t="s">
        <v>332</v>
      </c>
      <c r="J538" s="198" t="s">
        <v>447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54" spans="2:2">
      <c r="B554" s="121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348" activePane="bottomRight" state="frozen"/>
      <selection activeCell="E487" sqref="E487"/>
      <selection pane="topRight" activeCell="E487" sqref="E487"/>
      <selection pane="bottomLeft" activeCell="E487" sqref="E487"/>
      <selection pane="bottomRight" activeCell="G433" sqref="G433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55" t="s">
        <v>413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55"/>
      <c r="M1" s="555"/>
      <c r="N1" s="555"/>
      <c r="O1" s="555"/>
      <c r="P1" s="555"/>
      <c r="Q1" s="555"/>
      <c r="R1" s="555"/>
      <c r="S1" s="555"/>
      <c r="T1" s="555"/>
      <c r="U1" s="555"/>
      <c r="V1" s="555"/>
      <c r="W1" s="555"/>
      <c r="X1" s="555"/>
      <c r="Y1" s="555"/>
      <c r="Z1" s="555"/>
      <c r="AA1" s="555"/>
    </row>
    <row r="2" spans="1:27" ht="18.75">
      <c r="A2" s="556"/>
      <c r="B2" s="556"/>
      <c r="C2" s="556"/>
      <c r="D2" s="556"/>
      <c r="E2" s="556"/>
      <c r="F2" s="556"/>
      <c r="G2" s="556"/>
      <c r="H2" s="556"/>
      <c r="I2" s="556"/>
      <c r="J2" s="556"/>
      <c r="K2" s="556"/>
      <c r="L2" s="556"/>
      <c r="M2" s="556"/>
      <c r="N2" s="556"/>
      <c r="O2" s="556"/>
      <c r="P2" s="556"/>
      <c r="Q2" s="556"/>
      <c r="R2" s="556"/>
      <c r="S2" s="556"/>
      <c r="T2" s="556"/>
      <c r="U2" s="556"/>
      <c r="V2" s="556"/>
      <c r="W2" s="556"/>
      <c r="X2" s="556"/>
      <c r="Y2" s="556"/>
      <c r="Z2" s="556"/>
      <c r="AA2" s="556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57" t="s">
        <v>12</v>
      </c>
      <c r="B4" s="557" t="s">
        <v>25</v>
      </c>
      <c r="C4" s="557" t="s">
        <v>26</v>
      </c>
      <c r="D4" s="557" t="s">
        <v>27</v>
      </c>
      <c r="E4" s="560" t="s">
        <v>28</v>
      </c>
      <c r="F4" s="563" t="s">
        <v>29</v>
      </c>
      <c r="G4" s="566" t="s">
        <v>30</v>
      </c>
      <c r="H4" s="566"/>
      <c r="I4" s="557" t="s">
        <v>31</v>
      </c>
      <c r="J4" s="569" t="s">
        <v>32</v>
      </c>
      <c r="K4" s="572" t="s">
        <v>33</v>
      </c>
      <c r="L4" s="557" t="s">
        <v>34</v>
      </c>
      <c r="M4" s="575" t="s">
        <v>35</v>
      </c>
      <c r="N4" s="577" t="s">
        <v>36</v>
      </c>
      <c r="O4" s="566" t="s">
        <v>37</v>
      </c>
      <c r="P4" s="566"/>
      <c r="Q4" s="566"/>
      <c r="R4" s="566"/>
      <c r="S4" s="566"/>
      <c r="T4" s="566"/>
      <c r="U4" s="566"/>
      <c r="V4" s="566" t="s">
        <v>38</v>
      </c>
      <c r="W4" s="577" t="s">
        <v>39</v>
      </c>
      <c r="X4" s="566" t="s">
        <v>40</v>
      </c>
      <c r="Y4" s="566"/>
      <c r="Z4" s="566"/>
      <c r="AA4" s="566"/>
    </row>
    <row r="5" spans="1:27" s="104" customFormat="1" ht="15" customHeight="1">
      <c r="A5" s="558"/>
      <c r="B5" s="558"/>
      <c r="C5" s="558"/>
      <c r="D5" s="558"/>
      <c r="E5" s="561"/>
      <c r="F5" s="564"/>
      <c r="G5" s="566"/>
      <c r="H5" s="566"/>
      <c r="I5" s="558"/>
      <c r="J5" s="570"/>
      <c r="K5" s="573"/>
      <c r="L5" s="558"/>
      <c r="M5" s="576"/>
      <c r="N5" s="577"/>
      <c r="O5" s="566" t="s">
        <v>41</v>
      </c>
      <c r="P5" s="566" t="s">
        <v>42</v>
      </c>
      <c r="Q5" s="566" t="s">
        <v>43</v>
      </c>
      <c r="R5" s="567" t="s">
        <v>44</v>
      </c>
      <c r="S5" s="568" t="s">
        <v>45</v>
      </c>
      <c r="T5" s="566" t="s">
        <v>46</v>
      </c>
      <c r="U5" s="566" t="s">
        <v>47</v>
      </c>
      <c r="V5" s="566"/>
      <c r="W5" s="577"/>
      <c r="X5" s="566" t="s">
        <v>13</v>
      </c>
      <c r="Y5" s="566" t="s">
        <v>48</v>
      </c>
      <c r="Z5" s="566" t="s">
        <v>49</v>
      </c>
      <c r="AA5" s="566" t="s">
        <v>47</v>
      </c>
    </row>
    <row r="6" spans="1:27" s="104" customFormat="1" ht="27.75" customHeight="1">
      <c r="A6" s="559"/>
      <c r="B6" s="559"/>
      <c r="C6" s="559"/>
      <c r="D6" s="559"/>
      <c r="E6" s="562"/>
      <c r="F6" s="565"/>
      <c r="G6" s="350" t="s">
        <v>50</v>
      </c>
      <c r="H6" s="464" t="s">
        <v>51</v>
      </c>
      <c r="I6" s="559"/>
      <c r="J6" s="571"/>
      <c r="K6" s="574"/>
      <c r="L6" s="559"/>
      <c r="M6" s="576"/>
      <c r="N6" s="577"/>
      <c r="O6" s="566"/>
      <c r="P6" s="566"/>
      <c r="Q6" s="566"/>
      <c r="R6" s="567"/>
      <c r="S6" s="568"/>
      <c r="T6" s="566"/>
      <c r="U6" s="566"/>
      <c r="V6" s="566"/>
      <c r="W6" s="577"/>
      <c r="X6" s="566"/>
      <c r="Y6" s="566"/>
      <c r="Z6" s="566"/>
      <c r="AA6" s="566"/>
    </row>
    <row r="7" spans="1:27" ht="20.100000000000001" customHeight="1">
      <c r="A7" s="299">
        <v>30100030</v>
      </c>
      <c r="B7" s="453" t="s">
        <v>178</v>
      </c>
      <c r="C7" s="126" t="s">
        <v>179</v>
      </c>
      <c r="D7" s="108">
        <v>5.03</v>
      </c>
      <c r="E7" s="108"/>
      <c r="F7" s="127">
        <v>42740</v>
      </c>
      <c r="G7" s="128">
        <f>108*2+97+108</f>
        <v>421</v>
      </c>
      <c r="H7" s="454">
        <f t="shared" ref="H7:H27" si="0">D7*G7</f>
        <v>2117.63</v>
      </c>
      <c r="I7" s="129">
        <v>10</v>
      </c>
      <c r="J7" s="130">
        <f t="array" ref="J7">IF(ISERROR(G7/I7),"",G7/I7)</f>
        <v>42.1</v>
      </c>
      <c r="K7" s="131">
        <f t="array" ref="K7">IF(ISERROR(G7/L7),"",G7/L7)</f>
        <v>26.3125</v>
      </c>
      <c r="L7" s="129">
        <v>16</v>
      </c>
      <c r="M7" s="109">
        <f t="shared" ref="M7:M27" si="1">IF(ISERROR(I7-K7),"",I7-K7)</f>
        <v>-16.3125</v>
      </c>
      <c r="N7" s="130">
        <f>SUM(O7:U7)</f>
        <v>0</v>
      </c>
      <c r="O7" s="462"/>
      <c r="P7" s="462"/>
      <c r="Q7" s="462"/>
      <c r="R7" s="462"/>
      <c r="S7" s="462"/>
      <c r="T7" s="462"/>
      <c r="U7" s="462"/>
      <c r="V7" s="132">
        <f t="shared" ref="V7:V12" si="2">SUM(X7:AA7)</f>
        <v>0</v>
      </c>
      <c r="W7" s="133">
        <f t="shared" ref="W7:W12" si="3">IF(ISERROR(V7/G7),"",V7/G7)</f>
        <v>0</v>
      </c>
      <c r="X7" s="132"/>
      <c r="Y7" s="132"/>
      <c r="Z7" s="132"/>
      <c r="AA7" s="132"/>
    </row>
    <row r="8" spans="1:27" ht="20.100000000000001" hidden="1" customHeight="1">
      <c r="A8" s="300"/>
      <c r="B8" s="134" t="s">
        <v>461</v>
      </c>
      <c r="C8" s="126" t="s">
        <v>179</v>
      </c>
      <c r="D8" s="108">
        <v>5.03</v>
      </c>
      <c r="E8" s="108"/>
      <c r="F8" s="127"/>
      <c r="G8" s="128"/>
      <c r="H8" s="454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462"/>
      <c r="Q8" s="462"/>
      <c r="R8" s="462"/>
      <c r="S8" s="462"/>
      <c r="T8" s="462"/>
      <c r="U8" s="462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461</v>
      </c>
      <c r="C9" s="126" t="s">
        <v>181</v>
      </c>
      <c r="D9" s="108">
        <v>5.03</v>
      </c>
      <c r="E9" s="108"/>
      <c r="F9" s="127"/>
      <c r="G9" s="128"/>
      <c r="H9" s="454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62"/>
      <c r="P9" s="462"/>
      <c r="Q9" s="462"/>
      <c r="R9" s="462"/>
      <c r="S9" s="462"/>
      <c r="T9" s="462"/>
      <c r="U9" s="462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customHeight="1">
      <c r="A10" s="299">
        <v>30100048</v>
      </c>
      <c r="B10" s="134" t="s">
        <v>462</v>
      </c>
      <c r="C10" s="126" t="s">
        <v>179</v>
      </c>
      <c r="D10" s="108">
        <v>5.03</v>
      </c>
      <c r="E10" s="108"/>
      <c r="F10" s="127">
        <v>42741</v>
      </c>
      <c r="G10" s="128">
        <f>108*7</f>
        <v>756</v>
      </c>
      <c r="H10" s="454">
        <f t="shared" si="0"/>
        <v>3802.6800000000003</v>
      </c>
      <c r="I10" s="129">
        <f>11*4</f>
        <v>44</v>
      </c>
      <c r="J10" s="130">
        <f t="array" ref="J10">IF(ISERROR(G10/I10),"",G10/I10)</f>
        <v>17.181818181818183</v>
      </c>
      <c r="K10" s="131">
        <f t="array" ref="K10">IF(ISERROR(G10/L10),"",G10/L10)</f>
        <v>39.789473684210527</v>
      </c>
      <c r="L10" s="129">
        <v>19</v>
      </c>
      <c r="M10" s="109">
        <f t="shared" si="1"/>
        <v>4.2105263157894726</v>
      </c>
      <c r="N10" s="130">
        <f t="shared" si="4"/>
        <v>0</v>
      </c>
      <c r="O10" s="462"/>
      <c r="P10" s="462"/>
      <c r="Q10" s="462"/>
      <c r="R10" s="462"/>
      <c r="S10" s="462"/>
      <c r="T10" s="462"/>
      <c r="U10" s="462"/>
      <c r="V10" s="132">
        <f t="shared" si="2"/>
        <v>0</v>
      </c>
      <c r="W10" s="133">
        <f t="shared" si="3"/>
        <v>0</v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462</v>
      </c>
      <c r="C11" s="126" t="s">
        <v>183</v>
      </c>
      <c r="D11" s="108">
        <v>5.03</v>
      </c>
      <c r="E11" s="108"/>
      <c r="F11" s="127"/>
      <c r="G11" s="128"/>
      <c r="H11" s="454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462"/>
      <c r="P11" s="462"/>
      <c r="Q11" s="462"/>
      <c r="R11" s="462"/>
      <c r="S11" s="462"/>
      <c r="T11" s="462"/>
      <c r="U11" s="462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454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462"/>
      <c r="P12" s="462"/>
      <c r="Q12" s="462"/>
      <c r="R12" s="462"/>
      <c r="S12" s="462"/>
      <c r="T12" s="462"/>
      <c r="U12" s="462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464</v>
      </c>
      <c r="C13" s="126" t="s">
        <v>186</v>
      </c>
      <c r="D13" s="108">
        <v>5.03</v>
      </c>
      <c r="E13" s="108"/>
      <c r="F13" s="127"/>
      <c r="G13" s="128"/>
      <c r="H13" s="454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62"/>
      <c r="P13" s="462"/>
      <c r="Q13" s="462"/>
      <c r="R13" s="462"/>
      <c r="S13" s="462"/>
      <c r="T13" s="462"/>
      <c r="U13" s="462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464</v>
      </c>
      <c r="C14" s="126" t="s">
        <v>187</v>
      </c>
      <c r="D14" s="108">
        <v>5.03</v>
      </c>
      <c r="E14" s="108"/>
      <c r="F14" s="127"/>
      <c r="G14" s="128"/>
      <c r="H14" s="454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62"/>
      <c r="P14" s="462"/>
      <c r="Q14" s="462"/>
      <c r="R14" s="462"/>
      <c r="S14" s="462"/>
      <c r="T14" s="462"/>
      <c r="U14" s="462"/>
      <c r="V14" s="132"/>
      <c r="W14" s="133"/>
      <c r="X14" s="132"/>
      <c r="Y14" s="132"/>
      <c r="Z14" s="132"/>
      <c r="AA14" s="132"/>
    </row>
    <row r="15" spans="1:27" ht="20.100000000000001" customHeight="1">
      <c r="A15" s="300">
        <v>30200006</v>
      </c>
      <c r="B15" s="134" t="s">
        <v>465</v>
      </c>
      <c r="C15" s="126" t="s">
        <v>189</v>
      </c>
      <c r="D15" s="108">
        <v>5.04</v>
      </c>
      <c r="E15" s="108"/>
      <c r="F15" s="139">
        <v>42739</v>
      </c>
      <c r="G15" s="128">
        <v>84</v>
      </c>
      <c r="H15" s="454">
        <f t="shared" si="0"/>
        <v>423.36</v>
      </c>
      <c r="I15" s="454">
        <f>1.5*5</f>
        <v>7.5</v>
      </c>
      <c r="J15" s="130">
        <f t="array" ref="J15">IF(ISERROR(G15/I15),"",G15/I15)</f>
        <v>11.2</v>
      </c>
      <c r="K15" s="131">
        <f t="array" ref="K15">IF(ISERROR(G15/L15),"",G15/L15)</f>
        <v>4.9411764705882355</v>
      </c>
      <c r="L15" s="129">
        <v>17</v>
      </c>
      <c r="M15" s="109">
        <f t="shared" si="1"/>
        <v>2.5588235294117645</v>
      </c>
      <c r="N15" s="130">
        <f t="shared" si="4"/>
        <v>0</v>
      </c>
      <c r="O15" s="462"/>
      <c r="P15" s="462"/>
      <c r="Q15" s="462"/>
      <c r="R15" s="462"/>
      <c r="S15" s="462"/>
      <c r="T15" s="462"/>
      <c r="U15" s="462"/>
      <c r="V15" s="132">
        <f>SUM(X15:AA15)</f>
        <v>0</v>
      </c>
      <c r="W15" s="133">
        <f>IF(ISERROR(V15/G15),"",V15/G15)</f>
        <v>0</v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465</v>
      </c>
      <c r="C16" s="126" t="s">
        <v>190</v>
      </c>
      <c r="D16" s="108">
        <v>5.04</v>
      </c>
      <c r="E16" s="108"/>
      <c r="F16" s="126"/>
      <c r="G16" s="128"/>
      <c r="H16" s="454">
        <f t="shared" si="0"/>
        <v>0</v>
      </c>
      <c r="I16" s="454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62"/>
      <c r="P16" s="462"/>
      <c r="Q16" s="462"/>
      <c r="R16" s="462"/>
      <c r="S16" s="462"/>
      <c r="T16" s="462"/>
      <c r="U16" s="462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484</v>
      </c>
      <c r="C17" s="126" t="s">
        <v>192</v>
      </c>
      <c r="D17" s="108">
        <v>5.03</v>
      </c>
      <c r="E17" s="108"/>
      <c r="F17" s="127"/>
      <c r="G17" s="128"/>
      <c r="H17" s="454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62"/>
      <c r="P17" s="462"/>
      <c r="Q17" s="462"/>
      <c r="R17" s="462"/>
      <c r="S17" s="462"/>
      <c r="T17" s="462"/>
      <c r="U17" s="462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466</v>
      </c>
      <c r="C18" s="126" t="s">
        <v>193</v>
      </c>
      <c r="D18" s="108">
        <v>5.03</v>
      </c>
      <c r="E18" s="108"/>
      <c r="F18" s="127"/>
      <c r="G18" s="128"/>
      <c r="H18" s="454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62"/>
      <c r="P18" s="462"/>
      <c r="Q18" s="462"/>
      <c r="R18" s="462"/>
      <c r="S18" s="462"/>
      <c r="T18" s="462"/>
      <c r="U18" s="462"/>
      <c r="V18" s="132"/>
      <c r="W18" s="133"/>
      <c r="X18" s="132"/>
      <c r="Y18" s="132"/>
      <c r="Z18" s="132"/>
      <c r="AA18" s="132"/>
    </row>
    <row r="19" spans="1:27" s="351" customFormat="1" ht="20.10000000000000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>
        <v>42741</v>
      </c>
      <c r="G19" s="128">
        <f>90*7+87</f>
        <v>717</v>
      </c>
      <c r="H19" s="454">
        <f t="shared" si="0"/>
        <v>3628.0199999999995</v>
      </c>
      <c r="I19" s="129">
        <f>8.5*5</f>
        <v>42.5</v>
      </c>
      <c r="J19" s="130">
        <f t="array" ref="J19">IF(ISERROR(G19/I19),"",G19/I19)</f>
        <v>16.870588235294118</v>
      </c>
      <c r="K19" s="131">
        <f t="array" ref="K19">IF(ISERROR(G19/L19),"",G19/L19)</f>
        <v>37.736842105263158</v>
      </c>
      <c r="L19" s="129">
        <v>19</v>
      </c>
      <c r="M19" s="109">
        <f t="shared" si="1"/>
        <v>4.7631578947368425</v>
      </c>
      <c r="N19" s="129">
        <f t="shared" si="4"/>
        <v>0</v>
      </c>
      <c r="O19" s="462"/>
      <c r="P19" s="462"/>
      <c r="Q19" s="462"/>
      <c r="R19" s="462"/>
      <c r="S19" s="462"/>
      <c r="T19" s="462"/>
      <c r="U19" s="462"/>
      <c r="V19" s="132">
        <f t="shared" ref="V19:V21" si="5">SUM(X19:AA19)</f>
        <v>0</v>
      </c>
      <c r="W19" s="455">
        <f t="shared" ref="W19:W21" si="6">IF(ISERROR(V19/G19),"",V19/G19)</f>
        <v>0</v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468</v>
      </c>
      <c r="C20" s="126" t="s">
        <v>189</v>
      </c>
      <c r="D20" s="108">
        <v>5.09</v>
      </c>
      <c r="E20" s="108"/>
      <c r="F20" s="127"/>
      <c r="G20" s="128"/>
      <c r="H20" s="454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462"/>
      <c r="P20" s="462"/>
      <c r="Q20" s="462"/>
      <c r="R20" s="462"/>
      <c r="S20" s="462"/>
      <c r="T20" s="462"/>
      <c r="U20" s="462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468</v>
      </c>
      <c r="C21" s="126" t="s">
        <v>190</v>
      </c>
      <c r="D21" s="108">
        <v>5.09</v>
      </c>
      <c r="E21" s="108"/>
      <c r="F21" s="127"/>
      <c r="G21" s="128"/>
      <c r="H21" s="454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62"/>
      <c r="P21" s="462"/>
      <c r="Q21" s="462"/>
      <c r="R21" s="462"/>
      <c r="S21" s="462"/>
      <c r="T21" s="462"/>
      <c r="U21" s="462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469</v>
      </c>
      <c r="C22" s="460" t="s">
        <v>190</v>
      </c>
      <c r="D22" s="108">
        <v>4.8</v>
      </c>
      <c r="E22" s="108"/>
      <c r="F22" s="127"/>
      <c r="G22" s="128"/>
      <c r="H22" s="454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62"/>
      <c r="P22" s="462"/>
      <c r="Q22" s="462"/>
      <c r="R22" s="462"/>
      <c r="S22" s="462"/>
      <c r="T22" s="462"/>
      <c r="U22" s="462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460" t="s">
        <v>187</v>
      </c>
      <c r="D23" s="108">
        <v>4.8</v>
      </c>
      <c r="E23" s="108"/>
      <c r="F23" s="127"/>
      <c r="G23" s="128"/>
      <c r="H23" s="454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62"/>
      <c r="P23" s="462"/>
      <c r="Q23" s="462"/>
      <c r="R23" s="462"/>
      <c r="S23" s="462"/>
      <c r="T23" s="462"/>
      <c r="U23" s="462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460" t="s">
        <v>179</v>
      </c>
      <c r="D24" s="108">
        <v>4.8</v>
      </c>
      <c r="E24" s="108"/>
      <c r="F24" s="127"/>
      <c r="G24" s="128"/>
      <c r="H24" s="454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62"/>
      <c r="P24" s="462"/>
      <c r="Q24" s="462"/>
      <c r="R24" s="462"/>
      <c r="S24" s="462"/>
      <c r="T24" s="462"/>
      <c r="U24" s="462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460" t="s">
        <v>199</v>
      </c>
      <c r="D25" s="108">
        <v>4.8</v>
      </c>
      <c r="E25" s="108"/>
      <c r="F25" s="127"/>
      <c r="G25" s="128"/>
      <c r="H25" s="454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62"/>
      <c r="P25" s="462"/>
      <c r="Q25" s="462"/>
      <c r="R25" s="462"/>
      <c r="S25" s="462"/>
      <c r="T25" s="462"/>
      <c r="U25" s="462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54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62"/>
      <c r="P26" s="462"/>
      <c r="Q26" s="462"/>
      <c r="R26" s="462"/>
      <c r="S26" s="462"/>
      <c r="T26" s="462"/>
      <c r="U26" s="462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54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62"/>
      <c r="P27" s="462"/>
      <c r="Q27" s="462"/>
      <c r="R27" s="462"/>
      <c r="S27" s="462"/>
      <c r="T27" s="462"/>
      <c r="U27" s="462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578" t="s">
        <v>201</v>
      </c>
      <c r="B28" s="579"/>
      <c r="C28" s="463" t="s">
        <v>202</v>
      </c>
      <c r="D28" s="143"/>
      <c r="E28" s="143"/>
      <c r="F28" s="144"/>
      <c r="G28" s="145">
        <f>SUM(G7:G27)</f>
        <v>1978</v>
      </c>
      <c r="H28" s="146">
        <f>SUM(H7:H27)</f>
        <v>9971.6899999999987</v>
      </c>
      <c r="I28" s="146">
        <f>SUM(I7:I27)</f>
        <v>104</v>
      </c>
      <c r="J28" s="130">
        <f t="array" ref="J28">IF(ISERROR(G28/I28),"",G28/I28)</f>
        <v>19.01923076923077</v>
      </c>
      <c r="K28" s="146">
        <f>SUM(K7:K27)</f>
        <v>108.7799922600619</v>
      </c>
      <c r="L28" s="147"/>
      <c r="M28" s="146">
        <f t="shared" ref="M28:V28" si="10">SUM(M7:M27)</f>
        <v>-4.7799922600619205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453" t="s">
        <v>206</v>
      </c>
      <c r="C29" s="126" t="s">
        <v>199</v>
      </c>
      <c r="D29" s="108">
        <v>5.03</v>
      </c>
      <c r="E29" s="108"/>
      <c r="F29" s="127"/>
      <c r="G29" s="128"/>
      <c r="H29" s="454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458"/>
      <c r="P29" s="458"/>
      <c r="Q29" s="458"/>
      <c r="R29" s="458"/>
      <c r="S29" s="458"/>
      <c r="T29" s="458"/>
      <c r="U29" s="458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customHeight="1">
      <c r="A30" s="300">
        <v>30100011</v>
      </c>
      <c r="B30" s="453" t="s">
        <v>425</v>
      </c>
      <c r="C30" s="187" t="s">
        <v>428</v>
      </c>
      <c r="D30" s="108">
        <v>5.03</v>
      </c>
      <c r="E30" s="108"/>
      <c r="F30" s="127">
        <v>42739</v>
      </c>
      <c r="G30" s="452">
        <f>108+108</f>
        <v>216</v>
      </c>
      <c r="H30" s="454">
        <f t="shared" si="11"/>
        <v>1086.48</v>
      </c>
      <c r="I30" s="129">
        <v>4</v>
      </c>
      <c r="J30" s="130">
        <f t="array" ref="J30">IF(ISERROR(G30/I30),"",G30/I30)</f>
        <v>54</v>
      </c>
      <c r="K30" s="131">
        <f t="array" ref="K30">IF(ISERROR(G30/L30),"",G30/L30)</f>
        <v>4.1538461538461542</v>
      </c>
      <c r="L30" s="129">
        <v>52</v>
      </c>
      <c r="M30" s="109">
        <f t="shared" ref="M30:M33" si="15">IF(ISERROR(I30-K30),"",I30-K30)</f>
        <v>-0.15384615384615419</v>
      </c>
      <c r="N30" s="130"/>
      <c r="O30" s="458"/>
      <c r="P30" s="458"/>
      <c r="Q30" s="458"/>
      <c r="R30" s="458"/>
      <c r="S30" s="458"/>
      <c r="T30" s="458"/>
      <c r="U30" s="458"/>
      <c r="V30" s="132"/>
      <c r="W30" s="133"/>
      <c r="X30" s="132"/>
      <c r="Y30" s="132"/>
      <c r="Z30" s="132"/>
      <c r="AA30" s="132"/>
    </row>
    <row r="31" spans="1:27" ht="20.100000000000001" customHeight="1">
      <c r="A31" s="300">
        <v>30100010</v>
      </c>
      <c r="B31" s="453" t="s">
        <v>206</v>
      </c>
      <c r="C31" s="126" t="s">
        <v>186</v>
      </c>
      <c r="D31" s="108">
        <v>5.03</v>
      </c>
      <c r="E31" s="108"/>
      <c r="F31" s="127">
        <v>42739</v>
      </c>
      <c r="G31" s="128">
        <f>108*2+35+108</f>
        <v>359</v>
      </c>
      <c r="H31" s="454">
        <f t="shared" si="11"/>
        <v>1805.77</v>
      </c>
      <c r="I31" s="129">
        <f>1*3+3.5</f>
        <v>6.5</v>
      </c>
      <c r="J31" s="130">
        <f t="array" ref="J31">IF(ISERROR(G31/I31),"",G31/I31)</f>
        <v>55.230769230769234</v>
      </c>
      <c r="K31" s="131">
        <f t="array" ref="K31">IF(ISERROR(G31/L31),"",G31/L31)</f>
        <v>6.9038461538461542</v>
      </c>
      <c r="L31" s="129">
        <v>52</v>
      </c>
      <c r="M31" s="109">
        <f t="shared" si="15"/>
        <v>-0.40384615384615419</v>
      </c>
      <c r="N31" s="130">
        <f t="shared" ref="N31:N33" si="16">SUM(O31:U31)</f>
        <v>0</v>
      </c>
      <c r="O31" s="458"/>
      <c r="P31" s="458"/>
      <c r="Q31" s="458"/>
      <c r="R31" s="458"/>
      <c r="S31" s="458"/>
      <c r="T31" s="458"/>
      <c r="U31" s="458"/>
      <c r="V31" s="132">
        <f t="shared" ref="V31:V33" si="17">SUM(X31:AA31)</f>
        <v>0</v>
      </c>
      <c r="W31" s="133">
        <f t="shared" ref="W31:W33" si="18">IF(ISERROR(V31/G31),"",V31/G31)</f>
        <v>0</v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453" t="s">
        <v>206</v>
      </c>
      <c r="C32" s="126" t="s">
        <v>203</v>
      </c>
      <c r="D32" s="108">
        <v>5.03</v>
      </c>
      <c r="E32" s="108"/>
      <c r="F32" s="127"/>
      <c r="G32" s="128"/>
      <c r="H32" s="454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58"/>
      <c r="P32" s="458"/>
      <c r="Q32" s="458"/>
      <c r="R32" s="458"/>
      <c r="S32" s="458"/>
      <c r="T32" s="458"/>
      <c r="U32" s="458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customHeight="1">
      <c r="A33" s="300">
        <v>30100013</v>
      </c>
      <c r="B33" s="453" t="s">
        <v>206</v>
      </c>
      <c r="C33" s="126" t="s">
        <v>207</v>
      </c>
      <c r="D33" s="108">
        <v>5.03</v>
      </c>
      <c r="E33" s="108"/>
      <c r="F33" s="127">
        <v>42741</v>
      </c>
      <c r="G33" s="128">
        <f>108*5+30</f>
        <v>570</v>
      </c>
      <c r="H33" s="454">
        <f t="shared" si="11"/>
        <v>2867.1000000000004</v>
      </c>
      <c r="I33" s="129">
        <f>6.5*3</f>
        <v>19.5</v>
      </c>
      <c r="J33" s="130">
        <f t="array" ref="J33">IF(ISERROR(G33/I33),"",G33/I33)</f>
        <v>29.23076923076923</v>
      </c>
      <c r="K33" s="131">
        <f t="array" ref="K33">IF(ISERROR(G33/L33),"",G33/L33)</f>
        <v>10.961538461538462</v>
      </c>
      <c r="L33" s="129">
        <v>52</v>
      </c>
      <c r="M33" s="109">
        <f t="shared" si="15"/>
        <v>8.5384615384615383</v>
      </c>
      <c r="N33" s="130">
        <f t="shared" si="16"/>
        <v>0</v>
      </c>
      <c r="O33" s="458"/>
      <c r="P33" s="458"/>
      <c r="Q33" s="458"/>
      <c r="R33" s="458"/>
      <c r="S33" s="458"/>
      <c r="T33" s="458"/>
      <c r="U33" s="458"/>
      <c r="V33" s="132">
        <f t="shared" si="17"/>
        <v>0</v>
      </c>
      <c r="W33" s="133">
        <f t="shared" si="18"/>
        <v>0</v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453" t="s">
        <v>414</v>
      </c>
      <c r="C34" s="187" t="s">
        <v>415</v>
      </c>
      <c r="D34" s="108">
        <v>5.03</v>
      </c>
      <c r="E34" s="108"/>
      <c r="F34" s="127"/>
      <c r="G34" s="128"/>
      <c r="H34" s="454">
        <f t="shared" si="11"/>
        <v>0</v>
      </c>
      <c r="I34" s="129"/>
      <c r="J34" s="130"/>
      <c r="K34" s="131"/>
      <c r="L34" s="129">
        <v>52</v>
      </c>
      <c r="M34" s="109"/>
      <c r="N34" s="130"/>
      <c r="O34" s="458"/>
      <c r="P34" s="458"/>
      <c r="Q34" s="458"/>
      <c r="R34" s="458"/>
      <c r="S34" s="458"/>
      <c r="T34" s="458"/>
      <c r="U34" s="458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453" t="s">
        <v>414</v>
      </c>
      <c r="C35" s="187" t="s">
        <v>416</v>
      </c>
      <c r="D35" s="108">
        <v>5.03</v>
      </c>
      <c r="E35" s="108"/>
      <c r="F35" s="127"/>
      <c r="G35" s="128"/>
      <c r="H35" s="454">
        <f t="shared" si="11"/>
        <v>0</v>
      </c>
      <c r="I35" s="129"/>
      <c r="J35" s="130"/>
      <c r="K35" s="131"/>
      <c r="L35" s="129">
        <v>52</v>
      </c>
      <c r="M35" s="109"/>
      <c r="N35" s="130"/>
      <c r="O35" s="458"/>
      <c r="P35" s="458"/>
      <c r="Q35" s="458"/>
      <c r="R35" s="458"/>
      <c r="S35" s="458"/>
      <c r="T35" s="458"/>
      <c r="U35" s="458"/>
      <c r="V35" s="132"/>
      <c r="W35" s="133"/>
      <c r="X35" s="132"/>
      <c r="Y35" s="132"/>
      <c r="Z35" s="132"/>
      <c r="AA35" s="132"/>
    </row>
    <row r="36" spans="1:27" ht="20.100000000000001" customHeight="1">
      <c r="A36" s="300">
        <v>30100015</v>
      </c>
      <c r="B36" s="453" t="s">
        <v>414</v>
      </c>
      <c r="C36" s="187" t="s">
        <v>61</v>
      </c>
      <c r="D36" s="108">
        <v>5.03</v>
      </c>
      <c r="E36" s="108"/>
      <c r="F36" s="127">
        <v>42737</v>
      </c>
      <c r="G36" s="128">
        <v>25</v>
      </c>
      <c r="H36" s="454">
        <f t="shared" si="11"/>
        <v>125.75</v>
      </c>
      <c r="I36" s="129">
        <f>1*4</f>
        <v>4</v>
      </c>
      <c r="J36" s="130">
        <f t="array" ref="J36">IF(ISERROR(G36/I36),"",G36/I36)</f>
        <v>6.25</v>
      </c>
      <c r="K36" s="131">
        <f t="array" ref="K36">IF(ISERROR(G36/L36),"",G36/L36)</f>
        <v>0.48076923076923078</v>
      </c>
      <c r="L36" s="129">
        <v>52</v>
      </c>
      <c r="M36" s="109">
        <f t="shared" ref="M36" si="19">IF(ISERROR(I36-K36),"",I36-K36)</f>
        <v>3.5192307692307692</v>
      </c>
      <c r="N36" s="130"/>
      <c r="O36" s="458"/>
      <c r="P36" s="458"/>
      <c r="Q36" s="458"/>
      <c r="R36" s="458"/>
      <c r="S36" s="458"/>
      <c r="T36" s="458"/>
      <c r="U36" s="458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453" t="s">
        <v>208</v>
      </c>
      <c r="C37" s="126" t="s">
        <v>179</v>
      </c>
      <c r="D37" s="108">
        <v>5.08</v>
      </c>
      <c r="E37" s="108"/>
      <c r="F37" s="127"/>
      <c r="G37" s="128"/>
      <c r="H37" s="454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20">IF(ISERROR(I37-K37),"",I37-K37)</f>
        <v>0</v>
      </c>
      <c r="N37" s="130">
        <f t="shared" ref="N37:N52" si="21">SUM(O37:U37)</f>
        <v>0</v>
      </c>
      <c r="O37" s="458"/>
      <c r="P37" s="458"/>
      <c r="Q37" s="458"/>
      <c r="R37" s="458"/>
      <c r="S37" s="458"/>
      <c r="T37" s="458"/>
      <c r="U37" s="458"/>
      <c r="V37" s="132">
        <f t="shared" ref="V37:V48" si="22">SUM(X37:AA37)</f>
        <v>0</v>
      </c>
      <c r="W37" s="133" t="str">
        <f t="shared" ref="W37:W48" si="23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453" t="s">
        <v>208</v>
      </c>
      <c r="C38" s="126" t="s">
        <v>204</v>
      </c>
      <c r="D38" s="108">
        <v>5.08</v>
      </c>
      <c r="E38" s="108"/>
      <c r="F38" s="127"/>
      <c r="G38" s="128"/>
      <c r="H38" s="454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20"/>
        <v>0</v>
      </c>
      <c r="N38" s="130">
        <f t="shared" si="21"/>
        <v>0</v>
      </c>
      <c r="O38" s="458"/>
      <c r="P38" s="458"/>
      <c r="Q38" s="458"/>
      <c r="R38" s="458"/>
      <c r="S38" s="458"/>
      <c r="T38" s="458"/>
      <c r="U38" s="458"/>
      <c r="V38" s="132">
        <f t="shared" si="22"/>
        <v>0</v>
      </c>
      <c r="W38" s="133" t="str">
        <f t="shared" si="23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453" t="s">
        <v>208</v>
      </c>
      <c r="C39" s="126" t="s">
        <v>205</v>
      </c>
      <c r="D39" s="108">
        <v>5.08</v>
      </c>
      <c r="E39" s="108"/>
      <c r="F39" s="127"/>
      <c r="G39" s="128"/>
      <c r="H39" s="454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20"/>
        <v>0</v>
      </c>
      <c r="N39" s="130">
        <f t="shared" si="21"/>
        <v>0</v>
      </c>
      <c r="O39" s="458"/>
      <c r="P39" s="458"/>
      <c r="Q39" s="458"/>
      <c r="R39" s="458"/>
      <c r="S39" s="458"/>
      <c r="T39" s="458"/>
      <c r="U39" s="458"/>
      <c r="V39" s="132">
        <f t="shared" si="22"/>
        <v>0</v>
      </c>
      <c r="W39" s="133" t="str">
        <f t="shared" si="23"/>
        <v/>
      </c>
      <c r="X39" s="132"/>
      <c r="Y39" s="132"/>
      <c r="Z39" s="132"/>
      <c r="AA39" s="132"/>
    </row>
    <row r="40" spans="1:27" ht="20.100000000000001" customHeight="1">
      <c r="A40" s="300">
        <v>30100022</v>
      </c>
      <c r="B40" s="453" t="s">
        <v>208</v>
      </c>
      <c r="C40" s="126" t="s">
        <v>186</v>
      </c>
      <c r="D40" s="108">
        <v>5.08</v>
      </c>
      <c r="E40" s="108"/>
      <c r="F40" s="127">
        <v>42740</v>
      </c>
      <c r="G40" s="128">
        <f>108*7</f>
        <v>756</v>
      </c>
      <c r="H40" s="454">
        <f t="shared" si="11"/>
        <v>3840.48</v>
      </c>
      <c r="I40" s="129">
        <f>11*3</f>
        <v>33</v>
      </c>
      <c r="J40" s="130">
        <f t="array" ref="J40">IF(ISERROR(G40/I40),"",G40/I40)</f>
        <v>22.90909090909091</v>
      </c>
      <c r="K40" s="131">
        <f t="array" ref="K40">IF(ISERROR(G40/L40),"",G40/L40)</f>
        <v>36</v>
      </c>
      <c r="L40" s="129">
        <v>21</v>
      </c>
      <c r="M40" s="109">
        <f t="shared" si="20"/>
        <v>-3</v>
      </c>
      <c r="N40" s="130">
        <f t="shared" si="21"/>
        <v>0</v>
      </c>
      <c r="O40" s="458"/>
      <c r="P40" s="458"/>
      <c r="Q40" s="458"/>
      <c r="R40" s="458"/>
      <c r="S40" s="458"/>
      <c r="T40" s="458"/>
      <c r="U40" s="458"/>
      <c r="V40" s="132">
        <f t="shared" si="22"/>
        <v>0</v>
      </c>
      <c r="W40" s="133">
        <f t="shared" si="23"/>
        <v>0</v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453" t="s">
        <v>208</v>
      </c>
      <c r="C41" s="126" t="s">
        <v>203</v>
      </c>
      <c r="D41" s="108">
        <v>5.08</v>
      </c>
      <c r="E41" s="108"/>
      <c r="F41" s="127"/>
      <c r="G41" s="128"/>
      <c r="H41" s="454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20"/>
        <v>0</v>
      </c>
      <c r="N41" s="130">
        <f t="shared" si="21"/>
        <v>0</v>
      </c>
      <c r="O41" s="458"/>
      <c r="P41" s="458"/>
      <c r="Q41" s="458"/>
      <c r="R41" s="458"/>
      <c r="S41" s="458"/>
      <c r="T41" s="458"/>
      <c r="U41" s="458"/>
      <c r="V41" s="132">
        <f t="shared" si="22"/>
        <v>0</v>
      </c>
      <c r="W41" s="133" t="str">
        <f t="shared" si="23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453" t="s">
        <v>208</v>
      </c>
      <c r="C42" s="126" t="s">
        <v>199</v>
      </c>
      <c r="D42" s="108">
        <v>5.08</v>
      </c>
      <c r="E42" s="108"/>
      <c r="F42" s="127"/>
      <c r="G42" s="128"/>
      <c r="H42" s="454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20"/>
        <v>0</v>
      </c>
      <c r="N42" s="130">
        <f t="shared" si="21"/>
        <v>0</v>
      </c>
      <c r="O42" s="462"/>
      <c r="P42" s="462"/>
      <c r="Q42" s="462"/>
      <c r="R42" s="462"/>
      <c r="S42" s="462"/>
      <c r="T42" s="462"/>
      <c r="U42" s="462"/>
      <c r="V42" s="132">
        <f t="shared" si="22"/>
        <v>0</v>
      </c>
      <c r="W42" s="133" t="str">
        <f t="shared" si="23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453" t="s">
        <v>208</v>
      </c>
      <c r="C43" s="126" t="s">
        <v>187</v>
      </c>
      <c r="D43" s="108">
        <v>5.08</v>
      </c>
      <c r="E43" s="108"/>
      <c r="F43" s="127"/>
      <c r="G43" s="128"/>
      <c r="H43" s="454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20"/>
        <v>0</v>
      </c>
      <c r="N43" s="130">
        <f t="shared" si="21"/>
        <v>0</v>
      </c>
      <c r="O43" s="458"/>
      <c r="P43" s="458"/>
      <c r="Q43" s="458"/>
      <c r="R43" s="458"/>
      <c r="S43" s="458"/>
      <c r="T43" s="458"/>
      <c r="U43" s="458"/>
      <c r="V43" s="132">
        <f t="shared" si="22"/>
        <v>0</v>
      </c>
      <c r="W43" s="133" t="str">
        <f t="shared" si="23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453" t="s">
        <v>208</v>
      </c>
      <c r="C44" s="126" t="s">
        <v>207</v>
      </c>
      <c r="D44" s="108">
        <v>5.08</v>
      </c>
      <c r="E44" s="108"/>
      <c r="F44" s="127"/>
      <c r="G44" s="128"/>
      <c r="H44" s="454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20"/>
        <v>0</v>
      </c>
      <c r="N44" s="130">
        <f t="shared" si="21"/>
        <v>0</v>
      </c>
      <c r="O44" s="462"/>
      <c r="P44" s="462"/>
      <c r="Q44" s="462"/>
      <c r="R44" s="462"/>
      <c r="S44" s="462"/>
      <c r="T44" s="462"/>
      <c r="U44" s="462"/>
      <c r="V44" s="132">
        <f t="shared" si="22"/>
        <v>0</v>
      </c>
      <c r="W44" s="133" t="str">
        <f t="shared" si="23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453" t="s">
        <v>209</v>
      </c>
      <c r="C45" s="126" t="s">
        <v>194</v>
      </c>
      <c r="D45" s="108">
        <v>5.03</v>
      </c>
      <c r="E45" s="108"/>
      <c r="F45" s="127"/>
      <c r="G45" s="128"/>
      <c r="H45" s="454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20"/>
        <v>0</v>
      </c>
      <c r="N45" s="130">
        <f t="shared" si="21"/>
        <v>0</v>
      </c>
      <c r="O45" s="458"/>
      <c r="P45" s="458"/>
      <c r="Q45" s="458"/>
      <c r="R45" s="458"/>
      <c r="S45" s="458"/>
      <c r="T45" s="458"/>
      <c r="U45" s="458"/>
      <c r="V45" s="132">
        <f t="shared" si="22"/>
        <v>0</v>
      </c>
      <c r="W45" s="133" t="str">
        <f t="shared" si="23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453" t="s">
        <v>209</v>
      </c>
      <c r="C46" s="126" t="s">
        <v>179</v>
      </c>
      <c r="D46" s="108">
        <v>5.03</v>
      </c>
      <c r="E46" s="108"/>
      <c r="F46" s="127"/>
      <c r="G46" s="128"/>
      <c r="H46" s="454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20"/>
        <v>0</v>
      </c>
      <c r="N46" s="130">
        <f t="shared" si="21"/>
        <v>0</v>
      </c>
      <c r="O46" s="458"/>
      <c r="P46" s="458"/>
      <c r="Q46" s="458"/>
      <c r="R46" s="458"/>
      <c r="S46" s="458"/>
      <c r="T46" s="458"/>
      <c r="U46" s="458"/>
      <c r="V46" s="132">
        <f t="shared" si="22"/>
        <v>0</v>
      </c>
      <c r="W46" s="133" t="str">
        <f t="shared" si="23"/>
        <v/>
      </c>
      <c r="X46" s="132"/>
      <c r="Y46" s="132"/>
      <c r="Z46" s="132"/>
      <c r="AA46" s="132"/>
    </row>
    <row r="47" spans="1:27" ht="20.100000000000001" customHeight="1">
      <c r="A47" s="300">
        <v>30100062</v>
      </c>
      <c r="B47" s="453" t="s">
        <v>209</v>
      </c>
      <c r="C47" s="126" t="s">
        <v>195</v>
      </c>
      <c r="D47" s="108">
        <v>5.03</v>
      </c>
      <c r="E47" s="108"/>
      <c r="F47" s="127">
        <v>42737</v>
      </c>
      <c r="G47" s="128">
        <v>25</v>
      </c>
      <c r="H47" s="454">
        <f t="shared" si="11"/>
        <v>125.75</v>
      </c>
      <c r="I47" s="129">
        <f>1*4</f>
        <v>4</v>
      </c>
      <c r="J47" s="130">
        <f t="array" ref="J47">IF(ISERROR(G47/I47),"",G47/I47)</f>
        <v>6.25</v>
      </c>
      <c r="K47" s="131">
        <f t="array" ref="K47">IF(ISERROR(G47/L47),"",G47/L47)</f>
        <v>0.44642857142857145</v>
      </c>
      <c r="L47" s="129">
        <v>56</v>
      </c>
      <c r="M47" s="109">
        <f t="shared" si="20"/>
        <v>3.5535714285714284</v>
      </c>
      <c r="N47" s="130">
        <f t="shared" si="21"/>
        <v>0</v>
      </c>
      <c r="O47" s="458"/>
      <c r="P47" s="458"/>
      <c r="Q47" s="458"/>
      <c r="R47" s="458"/>
      <c r="S47" s="458"/>
      <c r="T47" s="458"/>
      <c r="U47" s="458"/>
      <c r="V47" s="132">
        <f t="shared" si="22"/>
        <v>0</v>
      </c>
      <c r="W47" s="133">
        <f t="shared" si="23"/>
        <v>0</v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453" t="s">
        <v>209</v>
      </c>
      <c r="C48" s="126" t="s">
        <v>204</v>
      </c>
      <c r="D48" s="108">
        <v>5.03</v>
      </c>
      <c r="E48" s="108"/>
      <c r="F48" s="127"/>
      <c r="G48" s="128"/>
      <c r="H48" s="454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20"/>
        <v>0</v>
      </c>
      <c r="N48" s="130">
        <f t="shared" si="21"/>
        <v>0</v>
      </c>
      <c r="O48" s="458"/>
      <c r="P48" s="458"/>
      <c r="Q48" s="458"/>
      <c r="R48" s="458"/>
      <c r="S48" s="458"/>
      <c r="T48" s="458"/>
      <c r="U48" s="458"/>
      <c r="V48" s="132">
        <f t="shared" si="22"/>
        <v>0</v>
      </c>
      <c r="W48" s="133" t="str">
        <f t="shared" si="23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453" t="s">
        <v>382</v>
      </c>
      <c r="C49" s="187" t="s">
        <v>383</v>
      </c>
      <c r="D49" s="108">
        <v>5.03</v>
      </c>
      <c r="E49" s="108"/>
      <c r="F49" s="127"/>
      <c r="G49" s="128"/>
      <c r="H49" s="454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20"/>
        <v>0</v>
      </c>
      <c r="N49" s="130">
        <f t="shared" si="21"/>
        <v>0</v>
      </c>
      <c r="O49" s="458"/>
      <c r="P49" s="458"/>
      <c r="Q49" s="458"/>
      <c r="R49" s="458"/>
      <c r="S49" s="458"/>
      <c r="T49" s="458"/>
      <c r="U49" s="458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453" t="s">
        <v>382</v>
      </c>
      <c r="C50" s="187" t="s">
        <v>384</v>
      </c>
      <c r="D50" s="108">
        <v>5.03</v>
      </c>
      <c r="E50" s="108"/>
      <c r="F50" s="127"/>
      <c r="G50" s="128"/>
      <c r="H50" s="454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20"/>
        <v>0</v>
      </c>
      <c r="N50" s="130">
        <f t="shared" si="21"/>
        <v>0</v>
      </c>
      <c r="O50" s="458"/>
      <c r="P50" s="458"/>
      <c r="Q50" s="458"/>
      <c r="R50" s="458"/>
      <c r="S50" s="458"/>
      <c r="T50" s="458"/>
      <c r="U50" s="458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453" t="s">
        <v>382</v>
      </c>
      <c r="C51" s="187" t="s">
        <v>389</v>
      </c>
      <c r="D51" s="108">
        <v>5.03</v>
      </c>
      <c r="E51" s="108"/>
      <c r="F51" s="127"/>
      <c r="G51" s="128"/>
      <c r="H51" s="454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20"/>
        <v>0</v>
      </c>
      <c r="N51" s="130">
        <f t="shared" si="21"/>
        <v>0</v>
      </c>
      <c r="O51" s="458"/>
      <c r="P51" s="458"/>
      <c r="Q51" s="458"/>
      <c r="R51" s="458"/>
      <c r="S51" s="458"/>
      <c r="T51" s="458"/>
      <c r="U51" s="458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453" t="s">
        <v>382</v>
      </c>
      <c r="C52" s="187" t="s">
        <v>391</v>
      </c>
      <c r="D52" s="108">
        <v>5.03</v>
      </c>
      <c r="E52" s="108"/>
      <c r="F52" s="127"/>
      <c r="G52" s="128"/>
      <c r="H52" s="454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20"/>
        <v>0</v>
      </c>
      <c r="N52" s="130">
        <f t="shared" si="21"/>
        <v>0</v>
      </c>
      <c r="O52" s="458"/>
      <c r="P52" s="458"/>
      <c r="Q52" s="458"/>
      <c r="R52" s="458"/>
      <c r="S52" s="458"/>
      <c r="T52" s="458"/>
      <c r="U52" s="458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453" t="s">
        <v>418</v>
      </c>
      <c r="C53" s="187" t="s">
        <v>364</v>
      </c>
      <c r="D53" s="108">
        <v>5.03</v>
      </c>
      <c r="E53" s="108"/>
      <c r="F53" s="127"/>
      <c r="G53" s="128"/>
      <c r="H53" s="454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20"/>
        <v>0</v>
      </c>
      <c r="N53" s="130"/>
      <c r="O53" s="458"/>
      <c r="P53" s="458"/>
      <c r="Q53" s="458"/>
      <c r="R53" s="458"/>
      <c r="S53" s="458"/>
      <c r="T53" s="458"/>
      <c r="U53" s="458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453" t="s">
        <v>418</v>
      </c>
      <c r="C54" s="187" t="s">
        <v>365</v>
      </c>
      <c r="D54" s="108">
        <v>5.03</v>
      </c>
      <c r="E54" s="108"/>
      <c r="F54" s="127"/>
      <c r="G54" s="128"/>
      <c r="H54" s="454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20"/>
        <v>0</v>
      </c>
      <c r="N54" s="130"/>
      <c r="O54" s="458"/>
      <c r="P54" s="458"/>
      <c r="Q54" s="458"/>
      <c r="R54" s="458"/>
      <c r="S54" s="458"/>
      <c r="T54" s="458"/>
      <c r="U54" s="458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453" t="s">
        <v>418</v>
      </c>
      <c r="C55" s="187" t="s">
        <v>366</v>
      </c>
      <c r="D55" s="108">
        <v>5.03</v>
      </c>
      <c r="E55" s="108"/>
      <c r="F55" s="127"/>
      <c r="G55" s="128"/>
      <c r="H55" s="454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20"/>
        <v>0</v>
      </c>
      <c r="N55" s="130"/>
      <c r="O55" s="458"/>
      <c r="P55" s="458"/>
      <c r="Q55" s="458"/>
      <c r="R55" s="458"/>
      <c r="S55" s="458"/>
      <c r="T55" s="458"/>
      <c r="U55" s="458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453" t="s">
        <v>418</v>
      </c>
      <c r="C56" s="187" t="s">
        <v>367</v>
      </c>
      <c r="D56" s="108">
        <v>5.03</v>
      </c>
      <c r="E56" s="108"/>
      <c r="F56" s="127"/>
      <c r="G56" s="128"/>
      <c r="H56" s="454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20"/>
        <v>0</v>
      </c>
      <c r="N56" s="130"/>
      <c r="O56" s="458"/>
      <c r="P56" s="458"/>
      <c r="Q56" s="458"/>
      <c r="R56" s="458"/>
      <c r="S56" s="458"/>
      <c r="T56" s="458"/>
      <c r="U56" s="458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54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20"/>
        <v>0</v>
      </c>
      <c r="N57" s="130">
        <f t="shared" ref="N57:N66" si="24">SUM(O57:U57)</f>
        <v>0</v>
      </c>
      <c r="O57" s="462"/>
      <c r="P57" s="462"/>
      <c r="Q57" s="462"/>
      <c r="R57" s="462"/>
      <c r="S57" s="462"/>
      <c r="T57" s="462"/>
      <c r="U57" s="462"/>
      <c r="V57" s="132">
        <f t="shared" ref="V57:V66" si="25">SUM(X57:AA57)</f>
        <v>0</v>
      </c>
      <c r="W57" s="133" t="str">
        <f t="shared" ref="W57:W66" si="26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54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20"/>
        <v>0</v>
      </c>
      <c r="N58" s="130">
        <f t="shared" si="24"/>
        <v>0</v>
      </c>
      <c r="O58" s="462"/>
      <c r="P58" s="462"/>
      <c r="Q58" s="462"/>
      <c r="R58" s="462"/>
      <c r="S58" s="462"/>
      <c r="T58" s="462"/>
      <c r="U58" s="462"/>
      <c r="V58" s="132">
        <f t="shared" si="25"/>
        <v>0</v>
      </c>
      <c r="W58" s="133" t="str">
        <f t="shared" si="26"/>
        <v/>
      </c>
      <c r="X58" s="132"/>
      <c r="Y58" s="132"/>
      <c r="Z58" s="132"/>
      <c r="AA58" s="132"/>
    </row>
    <row r="59" spans="1:27" ht="20.10000000000000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>
        <v>42740</v>
      </c>
      <c r="G59" s="128">
        <f>80+108*2+110+41</f>
        <v>447</v>
      </c>
      <c r="H59" s="454">
        <f t="shared" si="11"/>
        <v>2248.4100000000003</v>
      </c>
      <c r="I59" s="129">
        <f>1+1+8.5*4</f>
        <v>36</v>
      </c>
      <c r="J59" s="130">
        <f t="array" ref="J59">IF(ISERROR(G59/I59),"",G59/I59)</f>
        <v>12.416666666666666</v>
      </c>
      <c r="K59" s="131">
        <f t="array" ref="K59">IF(ISERROR(G59/L59),"",G59/L59)</f>
        <v>11.175000000000001</v>
      </c>
      <c r="L59" s="129">
        <v>40</v>
      </c>
      <c r="M59" s="109">
        <f t="shared" si="20"/>
        <v>24.824999999999999</v>
      </c>
      <c r="N59" s="130">
        <f t="shared" si="24"/>
        <v>0</v>
      </c>
      <c r="O59" s="462"/>
      <c r="P59" s="462"/>
      <c r="Q59" s="462"/>
      <c r="R59" s="462"/>
      <c r="S59" s="462"/>
      <c r="T59" s="462"/>
      <c r="U59" s="462"/>
      <c r="V59" s="132">
        <f t="shared" si="25"/>
        <v>0</v>
      </c>
      <c r="W59" s="133">
        <f t="shared" si="26"/>
        <v>0</v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54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20"/>
        <v>0</v>
      </c>
      <c r="N60" s="130">
        <f t="shared" si="24"/>
        <v>0</v>
      </c>
      <c r="O60" s="462"/>
      <c r="P60" s="462"/>
      <c r="Q60" s="462"/>
      <c r="R60" s="462"/>
      <c r="S60" s="462"/>
      <c r="T60" s="462"/>
      <c r="U60" s="462"/>
      <c r="V60" s="132">
        <f t="shared" si="25"/>
        <v>0</v>
      </c>
      <c r="W60" s="133" t="str">
        <f t="shared" si="26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54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20"/>
        <v>0</v>
      </c>
      <c r="N61" s="130">
        <f t="shared" si="24"/>
        <v>0</v>
      </c>
      <c r="O61" s="462"/>
      <c r="P61" s="462"/>
      <c r="Q61" s="462"/>
      <c r="R61" s="462"/>
      <c r="S61" s="462"/>
      <c r="T61" s="462"/>
      <c r="U61" s="462"/>
      <c r="V61" s="132">
        <f t="shared" si="25"/>
        <v>0</v>
      </c>
      <c r="W61" s="133" t="str">
        <f t="shared" si="26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54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20"/>
        <v>0</v>
      </c>
      <c r="N62" s="130">
        <f t="shared" si="24"/>
        <v>0</v>
      </c>
      <c r="O62" s="462"/>
      <c r="P62" s="462"/>
      <c r="Q62" s="462"/>
      <c r="R62" s="462"/>
      <c r="S62" s="462"/>
      <c r="T62" s="462"/>
      <c r="U62" s="462"/>
      <c r="V62" s="132">
        <f t="shared" si="25"/>
        <v>0</v>
      </c>
      <c r="W62" s="133" t="str">
        <f t="shared" si="26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54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20"/>
        <v>0</v>
      </c>
      <c r="N63" s="130">
        <f t="shared" si="24"/>
        <v>0</v>
      </c>
      <c r="O63" s="462"/>
      <c r="P63" s="462"/>
      <c r="Q63" s="462"/>
      <c r="R63" s="462"/>
      <c r="S63" s="462"/>
      <c r="T63" s="462"/>
      <c r="U63" s="462"/>
      <c r="V63" s="132">
        <f t="shared" si="25"/>
        <v>0</v>
      </c>
      <c r="W63" s="133" t="str">
        <f t="shared" si="26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54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20"/>
        <v>0</v>
      </c>
      <c r="N64" s="130">
        <f t="shared" si="24"/>
        <v>0</v>
      </c>
      <c r="O64" s="462"/>
      <c r="P64" s="462"/>
      <c r="Q64" s="462"/>
      <c r="R64" s="462"/>
      <c r="S64" s="462"/>
      <c r="T64" s="462"/>
      <c r="U64" s="462"/>
      <c r="V64" s="132">
        <f t="shared" si="25"/>
        <v>0</v>
      </c>
      <c r="W64" s="133" t="str">
        <f t="shared" si="26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54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20"/>
        <v>0</v>
      </c>
      <c r="N65" s="130">
        <f t="shared" si="24"/>
        <v>0</v>
      </c>
      <c r="O65" s="462"/>
      <c r="P65" s="462"/>
      <c r="Q65" s="462"/>
      <c r="R65" s="462"/>
      <c r="S65" s="462"/>
      <c r="T65" s="462"/>
      <c r="U65" s="462"/>
      <c r="V65" s="132">
        <f t="shared" si="25"/>
        <v>0</v>
      </c>
      <c r="W65" s="133" t="str">
        <f t="shared" si="26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54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20"/>
        <v>0</v>
      </c>
      <c r="N66" s="130">
        <f t="shared" si="24"/>
        <v>0</v>
      </c>
      <c r="O66" s="462"/>
      <c r="P66" s="462"/>
      <c r="Q66" s="462"/>
      <c r="R66" s="462"/>
      <c r="S66" s="462"/>
      <c r="T66" s="462"/>
      <c r="U66" s="462"/>
      <c r="V66" s="132">
        <f t="shared" si="25"/>
        <v>0</v>
      </c>
      <c r="W66" s="133" t="str">
        <f t="shared" si="26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452</v>
      </c>
      <c r="D67" s="108">
        <v>5.03</v>
      </c>
      <c r="E67" s="108"/>
      <c r="F67" s="127"/>
      <c r="G67" s="128"/>
      <c r="H67" s="454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62"/>
      <c r="P67" s="462"/>
      <c r="Q67" s="462"/>
      <c r="R67" s="462"/>
      <c r="S67" s="462"/>
      <c r="T67" s="462"/>
      <c r="U67" s="462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54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62"/>
      <c r="P68" s="462"/>
      <c r="Q68" s="462"/>
      <c r="R68" s="462"/>
      <c r="S68" s="462"/>
      <c r="T68" s="462"/>
      <c r="U68" s="462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454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7">IF(ISERROR(I69-K69),"",I69-K69)</f>
        <v>0</v>
      </c>
      <c r="N69" s="130">
        <f t="shared" ref="N69:N70" si="28">SUM(O69:U69)</f>
        <v>0</v>
      </c>
      <c r="O69" s="462"/>
      <c r="P69" s="462"/>
      <c r="Q69" s="462"/>
      <c r="R69" s="462"/>
      <c r="S69" s="462"/>
      <c r="T69" s="462"/>
      <c r="U69" s="462"/>
      <c r="V69" s="132">
        <f t="shared" ref="V69:V70" si="29">SUM(X69:AA69)</f>
        <v>0</v>
      </c>
      <c r="W69" s="133" t="str">
        <f t="shared" ref="W69:W70" si="30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454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7"/>
        <v>0</v>
      </c>
      <c r="N70" s="130">
        <f t="shared" si="28"/>
        <v>0</v>
      </c>
      <c r="O70" s="462"/>
      <c r="P70" s="462"/>
      <c r="Q70" s="462"/>
      <c r="R70" s="462"/>
      <c r="S70" s="462"/>
      <c r="T70" s="462"/>
      <c r="U70" s="462"/>
      <c r="V70" s="132">
        <f t="shared" si="29"/>
        <v>0</v>
      </c>
      <c r="W70" s="133" t="str">
        <f t="shared" si="30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487</v>
      </c>
      <c r="C71" s="187" t="s">
        <v>361</v>
      </c>
      <c r="D71" s="108">
        <v>5.03</v>
      </c>
      <c r="E71" s="108"/>
      <c r="F71" s="127"/>
      <c r="G71" s="128"/>
      <c r="H71" s="454">
        <f t="shared" si="11"/>
        <v>0</v>
      </c>
      <c r="I71" s="129"/>
      <c r="J71" s="130"/>
      <c r="K71" s="131"/>
      <c r="L71" s="129"/>
      <c r="M71" s="109"/>
      <c r="N71" s="130"/>
      <c r="O71" s="462"/>
      <c r="P71" s="462"/>
      <c r="Q71" s="462"/>
      <c r="R71" s="462"/>
      <c r="S71" s="462"/>
      <c r="T71" s="462"/>
      <c r="U71" s="462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54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1">IF(ISERROR(I72-K72),"",I72-K72)</f>
        <v/>
      </c>
      <c r="N72" s="130">
        <f t="shared" ref="N72:N75" si="32">SUM(O72:U72)</f>
        <v>0</v>
      </c>
      <c r="O72" s="462"/>
      <c r="P72" s="462"/>
      <c r="Q72" s="462"/>
      <c r="R72" s="462"/>
      <c r="S72" s="462"/>
      <c r="T72" s="462"/>
      <c r="U72" s="462"/>
      <c r="V72" s="132">
        <f t="shared" ref="V72:V75" si="33">SUM(X72:AA72)</f>
        <v>0</v>
      </c>
      <c r="W72" s="133" t="str">
        <f t="shared" ref="W72:W75" si="34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54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1"/>
        <v/>
      </c>
      <c r="N73" s="130">
        <f t="shared" si="32"/>
        <v>0</v>
      </c>
      <c r="O73" s="462"/>
      <c r="P73" s="462"/>
      <c r="Q73" s="462"/>
      <c r="R73" s="462"/>
      <c r="S73" s="462"/>
      <c r="T73" s="462"/>
      <c r="U73" s="462"/>
      <c r="V73" s="132">
        <f t="shared" si="33"/>
        <v>0</v>
      </c>
      <c r="W73" s="133" t="str">
        <f t="shared" si="34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54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1"/>
        <v/>
      </c>
      <c r="N74" s="130">
        <f t="shared" si="32"/>
        <v>0</v>
      </c>
      <c r="O74" s="462"/>
      <c r="P74" s="462"/>
      <c r="Q74" s="462"/>
      <c r="R74" s="462"/>
      <c r="S74" s="462"/>
      <c r="T74" s="462"/>
      <c r="U74" s="462"/>
      <c r="V74" s="132">
        <f t="shared" si="33"/>
        <v>0</v>
      </c>
      <c r="W74" s="133" t="str">
        <f t="shared" si="34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488</v>
      </c>
      <c r="C75" s="126" t="s">
        <v>187</v>
      </c>
      <c r="D75" s="108">
        <v>5.0599999999999996</v>
      </c>
      <c r="E75" s="108"/>
      <c r="F75" s="127"/>
      <c r="G75" s="128"/>
      <c r="H75" s="454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1"/>
        <v/>
      </c>
      <c r="N75" s="130">
        <f t="shared" si="32"/>
        <v>0</v>
      </c>
      <c r="O75" s="462"/>
      <c r="P75" s="462"/>
      <c r="Q75" s="462"/>
      <c r="R75" s="462"/>
      <c r="S75" s="462"/>
      <c r="T75" s="462"/>
      <c r="U75" s="462"/>
      <c r="V75" s="132">
        <f t="shared" si="33"/>
        <v>0</v>
      </c>
      <c r="W75" s="133" t="str">
        <f t="shared" si="34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54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1"/>
        <v>0</v>
      </c>
      <c r="N76" s="130"/>
      <c r="O76" s="462"/>
      <c r="P76" s="462"/>
      <c r="Q76" s="462"/>
      <c r="R76" s="462"/>
      <c r="S76" s="462"/>
      <c r="T76" s="462"/>
      <c r="U76" s="462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54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1"/>
        <v>0</v>
      </c>
      <c r="N77" s="130"/>
      <c r="O77" s="462"/>
      <c r="P77" s="462"/>
      <c r="Q77" s="462"/>
      <c r="R77" s="462"/>
      <c r="S77" s="462"/>
      <c r="T77" s="462"/>
      <c r="U77" s="462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54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1"/>
        <v>0</v>
      </c>
      <c r="N78" s="130"/>
      <c r="O78" s="462"/>
      <c r="P78" s="462"/>
      <c r="Q78" s="462"/>
      <c r="R78" s="462"/>
      <c r="S78" s="462"/>
      <c r="T78" s="462"/>
      <c r="U78" s="462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54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1"/>
        <v>0</v>
      </c>
      <c r="N79" s="130"/>
      <c r="O79" s="462"/>
      <c r="P79" s="462"/>
      <c r="Q79" s="462"/>
      <c r="R79" s="462"/>
      <c r="S79" s="462"/>
      <c r="T79" s="462"/>
      <c r="U79" s="462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54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62"/>
      <c r="P80" s="462"/>
      <c r="Q80" s="462"/>
      <c r="R80" s="462"/>
      <c r="S80" s="462"/>
      <c r="T80" s="462"/>
      <c r="U80" s="462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54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62"/>
      <c r="P81" s="462"/>
      <c r="Q81" s="462"/>
      <c r="R81" s="462"/>
      <c r="S81" s="462"/>
      <c r="T81" s="462"/>
      <c r="U81" s="462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54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62"/>
      <c r="P82" s="462"/>
      <c r="Q82" s="462"/>
      <c r="R82" s="462"/>
      <c r="S82" s="462"/>
      <c r="T82" s="462"/>
      <c r="U82" s="462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54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62"/>
      <c r="P83" s="462"/>
      <c r="Q83" s="462"/>
      <c r="R83" s="462"/>
      <c r="S83" s="462"/>
      <c r="T83" s="462"/>
      <c r="U83" s="462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54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62"/>
      <c r="P84" s="462"/>
      <c r="Q84" s="462"/>
      <c r="R84" s="462"/>
      <c r="S84" s="462"/>
      <c r="T84" s="462"/>
      <c r="U84" s="462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54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62"/>
      <c r="P85" s="462"/>
      <c r="Q85" s="462"/>
      <c r="R85" s="462"/>
      <c r="S85" s="462"/>
      <c r="T85" s="462"/>
      <c r="U85" s="462"/>
      <c r="V85" s="132"/>
      <c r="W85" s="133"/>
      <c r="X85" s="132"/>
      <c r="Y85" s="132"/>
      <c r="Z85" s="132"/>
      <c r="AA85" s="132"/>
    </row>
    <row r="86" spans="1:27" ht="20.100000000000001" customHeight="1">
      <c r="A86" s="589" t="s">
        <v>216</v>
      </c>
      <c r="B86" s="589"/>
      <c r="C86" s="463" t="s">
        <v>202</v>
      </c>
      <c r="D86" s="143"/>
      <c r="E86" s="143"/>
      <c r="F86" s="144"/>
      <c r="G86" s="145">
        <f>SUM(G29:G85)</f>
        <v>2398</v>
      </c>
      <c r="H86" s="146">
        <f>SUM(H29:H85)</f>
        <v>12099.74</v>
      </c>
      <c r="I86" s="146">
        <f>SUM(I29:I85)</f>
        <v>107</v>
      </c>
      <c r="J86" s="130">
        <f t="array" ref="J86">IF(ISERROR(G86/I86),"",G86/I86)</f>
        <v>22.411214953271028</v>
      </c>
      <c r="K86" s="146">
        <f>SUM(K29:K85)</f>
        <v>70.121428571428567</v>
      </c>
      <c r="L86" s="147"/>
      <c r="M86" s="150">
        <f t="shared" ref="M86:V86" si="35">SUM(M29:M85)</f>
        <v>36.878571428571426</v>
      </c>
      <c r="N86" s="146">
        <f t="shared" si="35"/>
        <v>0</v>
      </c>
      <c r="O86" s="148">
        <f t="shared" si="35"/>
        <v>0</v>
      </c>
      <c r="P86" s="148">
        <f t="shared" si="35"/>
        <v>0</v>
      </c>
      <c r="Q86" s="148">
        <f t="shared" si="35"/>
        <v>0</v>
      </c>
      <c r="R86" s="148">
        <f t="shared" si="35"/>
        <v>0</v>
      </c>
      <c r="S86" s="148">
        <f t="shared" si="35"/>
        <v>0</v>
      </c>
      <c r="T86" s="148">
        <f t="shared" si="35"/>
        <v>0</v>
      </c>
      <c r="U86" s="148">
        <f t="shared" si="35"/>
        <v>0</v>
      </c>
      <c r="V86" s="149">
        <f t="shared" si="35"/>
        <v>0</v>
      </c>
      <c r="W86" s="133">
        <f t="shared" ref="W86:W93" si="36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453" t="s">
        <v>217</v>
      </c>
      <c r="C87" s="126" t="s">
        <v>179</v>
      </c>
      <c r="D87" s="108">
        <v>5.03</v>
      </c>
      <c r="E87" s="108"/>
      <c r="F87" s="127"/>
      <c r="G87" s="128"/>
      <c r="H87" s="454">
        <f t="shared" ref="H87:H120" si="37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8">IF(ISERROR(I87-K87),"",I87-K87)</f>
        <v>0</v>
      </c>
      <c r="N87" s="130">
        <f t="shared" ref="N87:N93" si="39">SUM(O87:U87)</f>
        <v>0</v>
      </c>
      <c r="O87" s="462"/>
      <c r="P87" s="462"/>
      <c r="Q87" s="462"/>
      <c r="R87" s="462"/>
      <c r="S87" s="462"/>
      <c r="T87" s="462"/>
      <c r="U87" s="462"/>
      <c r="V87" s="132">
        <f t="shared" ref="V87:V93" si="40">SUM(X87:AA87)</f>
        <v>0</v>
      </c>
      <c r="W87" s="133" t="str">
        <f t="shared" si="36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453" t="s">
        <v>217</v>
      </c>
      <c r="C88" s="126" t="s">
        <v>186</v>
      </c>
      <c r="D88" s="108">
        <v>5.03</v>
      </c>
      <c r="E88" s="108"/>
      <c r="F88" s="127"/>
      <c r="G88" s="128"/>
      <c r="H88" s="454">
        <f t="shared" si="37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8"/>
        <v>0</v>
      </c>
      <c r="N88" s="130">
        <f t="shared" si="39"/>
        <v>0</v>
      </c>
      <c r="O88" s="462"/>
      <c r="P88" s="462"/>
      <c r="Q88" s="462"/>
      <c r="R88" s="462"/>
      <c r="S88" s="462"/>
      <c r="T88" s="462"/>
      <c r="U88" s="462"/>
      <c r="V88" s="132">
        <f t="shared" si="40"/>
        <v>0</v>
      </c>
      <c r="W88" s="133" t="str">
        <f t="shared" si="36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453" t="s">
        <v>217</v>
      </c>
      <c r="C89" s="126" t="s">
        <v>204</v>
      </c>
      <c r="D89" s="108">
        <v>5.03</v>
      </c>
      <c r="E89" s="108"/>
      <c r="F89" s="127"/>
      <c r="G89" s="128"/>
      <c r="H89" s="454">
        <f t="shared" si="37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8"/>
        <v>0</v>
      </c>
      <c r="N89" s="130">
        <f t="shared" si="39"/>
        <v>0</v>
      </c>
      <c r="O89" s="462"/>
      <c r="P89" s="462"/>
      <c r="Q89" s="462"/>
      <c r="R89" s="462"/>
      <c r="S89" s="462"/>
      <c r="T89" s="462"/>
      <c r="U89" s="462"/>
      <c r="V89" s="132">
        <f t="shared" si="40"/>
        <v>0</v>
      </c>
      <c r="W89" s="133" t="str">
        <f t="shared" si="36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54">
        <f t="shared" si="37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8"/>
        <v>0</v>
      </c>
      <c r="N90" s="130">
        <f t="shared" si="39"/>
        <v>0</v>
      </c>
      <c r="O90" s="462"/>
      <c r="P90" s="462"/>
      <c r="Q90" s="462"/>
      <c r="R90" s="462"/>
      <c r="S90" s="462"/>
      <c r="T90" s="462"/>
      <c r="U90" s="462"/>
      <c r="V90" s="132">
        <f t="shared" si="40"/>
        <v>0</v>
      </c>
      <c r="W90" s="133" t="str">
        <f t="shared" si="36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454">
        <f t="shared" si="37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8"/>
        <v>0</v>
      </c>
      <c r="N91" s="130">
        <f t="shared" si="39"/>
        <v>0</v>
      </c>
      <c r="O91" s="462"/>
      <c r="P91" s="462"/>
      <c r="Q91" s="462"/>
      <c r="R91" s="462"/>
      <c r="S91" s="462"/>
      <c r="T91" s="462"/>
      <c r="U91" s="462"/>
      <c r="V91" s="132">
        <f t="shared" si="40"/>
        <v>0</v>
      </c>
      <c r="W91" s="133" t="str">
        <f t="shared" si="36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454">
        <f t="shared" si="37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8"/>
        <v>0</v>
      </c>
      <c r="N92" s="130">
        <f t="shared" si="39"/>
        <v>0</v>
      </c>
      <c r="O92" s="462"/>
      <c r="P92" s="462"/>
      <c r="Q92" s="462"/>
      <c r="R92" s="462"/>
      <c r="S92" s="462"/>
      <c r="T92" s="462"/>
      <c r="U92" s="462"/>
      <c r="V92" s="132">
        <f t="shared" si="40"/>
        <v>0</v>
      </c>
      <c r="W92" s="133" t="str">
        <f t="shared" si="36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454">
        <f t="shared" si="37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8"/>
        <v>0</v>
      </c>
      <c r="N93" s="130">
        <f t="shared" si="39"/>
        <v>0</v>
      </c>
      <c r="O93" s="462"/>
      <c r="P93" s="462"/>
      <c r="Q93" s="462"/>
      <c r="R93" s="462"/>
      <c r="S93" s="462"/>
      <c r="T93" s="462"/>
      <c r="U93" s="462"/>
      <c r="V93" s="132">
        <f t="shared" si="40"/>
        <v>0</v>
      </c>
      <c r="W93" s="133" t="str">
        <f t="shared" si="36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454">
        <f t="shared" si="37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8"/>
        <v>0</v>
      </c>
      <c r="N94" s="130"/>
      <c r="O94" s="462"/>
      <c r="P94" s="462"/>
      <c r="Q94" s="462"/>
      <c r="R94" s="462"/>
      <c r="S94" s="462"/>
      <c r="T94" s="462"/>
      <c r="U94" s="462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54">
        <f t="shared" si="37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8"/>
        <v>0</v>
      </c>
      <c r="N95" s="130">
        <f t="shared" ref="N95:N114" si="41">SUM(O95:U95)</f>
        <v>0</v>
      </c>
      <c r="O95" s="462"/>
      <c r="P95" s="462"/>
      <c r="Q95" s="462"/>
      <c r="R95" s="462"/>
      <c r="S95" s="462"/>
      <c r="T95" s="462"/>
      <c r="U95" s="462"/>
      <c r="V95" s="132">
        <f t="shared" ref="V95:V102" si="42">SUM(X95:AA95)</f>
        <v>0</v>
      </c>
      <c r="W95" s="133" t="str">
        <f t="shared" ref="W95:W106" si="43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54">
        <f t="shared" si="37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8"/>
        <v>0</v>
      </c>
      <c r="N96" s="130">
        <f t="shared" si="41"/>
        <v>0</v>
      </c>
      <c r="O96" s="462"/>
      <c r="P96" s="462"/>
      <c r="Q96" s="462"/>
      <c r="R96" s="462"/>
      <c r="S96" s="462"/>
      <c r="T96" s="462"/>
      <c r="U96" s="462"/>
      <c r="V96" s="132">
        <f t="shared" si="42"/>
        <v>0</v>
      </c>
      <c r="W96" s="133" t="str">
        <f t="shared" si="43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54">
        <f t="shared" si="37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8"/>
        <v>0</v>
      </c>
      <c r="N97" s="130">
        <f t="shared" si="41"/>
        <v>0</v>
      </c>
      <c r="O97" s="462"/>
      <c r="P97" s="462"/>
      <c r="Q97" s="462"/>
      <c r="R97" s="462"/>
      <c r="S97" s="462"/>
      <c r="T97" s="462"/>
      <c r="U97" s="462"/>
      <c r="V97" s="132">
        <f t="shared" si="42"/>
        <v>0</v>
      </c>
      <c r="W97" s="133" t="str">
        <f t="shared" si="43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54">
        <f t="shared" si="37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8"/>
        <v>0</v>
      </c>
      <c r="N98" s="130">
        <f t="shared" si="41"/>
        <v>0</v>
      </c>
      <c r="O98" s="462"/>
      <c r="P98" s="462"/>
      <c r="Q98" s="462"/>
      <c r="R98" s="462"/>
      <c r="S98" s="462"/>
      <c r="T98" s="462"/>
      <c r="U98" s="462"/>
      <c r="V98" s="132">
        <f t="shared" si="42"/>
        <v>0</v>
      </c>
      <c r="W98" s="133" t="str">
        <f t="shared" si="43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490</v>
      </c>
      <c r="C99" s="126" t="s">
        <v>179</v>
      </c>
      <c r="D99" s="108">
        <v>5.03</v>
      </c>
      <c r="E99" s="108"/>
      <c r="F99" s="127"/>
      <c r="G99" s="128"/>
      <c r="H99" s="454">
        <f t="shared" si="37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8"/>
        <v>0</v>
      </c>
      <c r="N99" s="130">
        <f t="shared" si="41"/>
        <v>0</v>
      </c>
      <c r="O99" s="462"/>
      <c r="P99" s="462"/>
      <c r="Q99" s="462"/>
      <c r="R99" s="462"/>
      <c r="S99" s="462"/>
      <c r="T99" s="462"/>
      <c r="U99" s="462"/>
      <c r="V99" s="132">
        <f t="shared" si="42"/>
        <v>0</v>
      </c>
      <c r="W99" s="133" t="str">
        <f t="shared" si="43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54">
        <f t="shared" si="37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8"/>
        <v/>
      </c>
      <c r="N100" s="130">
        <f t="shared" si="41"/>
        <v>0</v>
      </c>
      <c r="O100" s="462"/>
      <c r="P100" s="462"/>
      <c r="Q100" s="462"/>
      <c r="R100" s="462"/>
      <c r="S100" s="462"/>
      <c r="T100" s="462"/>
      <c r="U100" s="462"/>
      <c r="V100" s="132">
        <f t="shared" si="42"/>
        <v>0</v>
      </c>
      <c r="W100" s="133" t="str">
        <f t="shared" si="43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54">
        <f t="shared" si="37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8"/>
        <v/>
      </c>
      <c r="N101" s="130">
        <f t="shared" si="41"/>
        <v>0</v>
      </c>
      <c r="O101" s="462"/>
      <c r="P101" s="462"/>
      <c r="Q101" s="462"/>
      <c r="R101" s="462"/>
      <c r="S101" s="462"/>
      <c r="T101" s="462"/>
      <c r="U101" s="462"/>
      <c r="V101" s="132">
        <f t="shared" si="42"/>
        <v>0</v>
      </c>
      <c r="W101" s="133" t="str">
        <f t="shared" si="43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54">
        <f t="shared" si="37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8"/>
        <v/>
      </c>
      <c r="N102" s="130">
        <f t="shared" si="41"/>
        <v>0</v>
      </c>
      <c r="O102" s="462"/>
      <c r="P102" s="462"/>
      <c r="Q102" s="462"/>
      <c r="R102" s="462"/>
      <c r="S102" s="462"/>
      <c r="T102" s="462"/>
      <c r="U102" s="462"/>
      <c r="V102" s="132">
        <f t="shared" si="42"/>
        <v>0</v>
      </c>
      <c r="W102" s="133" t="str">
        <f t="shared" si="43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453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54">
        <f t="shared" si="37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8"/>
        <v>0</v>
      </c>
      <c r="N103" s="130">
        <f t="shared" si="41"/>
        <v>0</v>
      </c>
      <c r="O103" s="462"/>
      <c r="P103" s="462"/>
      <c r="Q103" s="462"/>
      <c r="R103" s="462"/>
      <c r="S103" s="462"/>
      <c r="T103" s="462"/>
      <c r="U103" s="462"/>
      <c r="V103" s="132">
        <f t="shared" ref="V103:V106" si="44">SUM(X103:AA103)</f>
        <v>0</v>
      </c>
      <c r="W103" s="133" t="str">
        <f t="shared" si="43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453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54">
        <f t="shared" si="37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8"/>
        <v>0</v>
      </c>
      <c r="N104" s="130">
        <f t="shared" si="41"/>
        <v>0</v>
      </c>
      <c r="O104" s="462"/>
      <c r="P104" s="462"/>
      <c r="Q104" s="462"/>
      <c r="R104" s="462"/>
      <c r="S104" s="462"/>
      <c r="T104" s="462"/>
      <c r="U104" s="462"/>
      <c r="V104" s="132">
        <f t="shared" si="44"/>
        <v>0</v>
      </c>
      <c r="W104" s="133" t="str">
        <f t="shared" si="43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453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54">
        <f t="shared" si="37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8"/>
        <v>0</v>
      </c>
      <c r="N105" s="130">
        <f t="shared" si="41"/>
        <v>0</v>
      </c>
      <c r="O105" s="462"/>
      <c r="P105" s="462"/>
      <c r="Q105" s="462"/>
      <c r="R105" s="462"/>
      <c r="S105" s="462"/>
      <c r="T105" s="462"/>
      <c r="U105" s="462"/>
      <c r="V105" s="132">
        <f t="shared" si="44"/>
        <v>0</v>
      </c>
      <c r="W105" s="133" t="str">
        <f t="shared" si="43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453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54">
        <f t="shared" si="37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8"/>
        <v>0</v>
      </c>
      <c r="N106" s="130">
        <f t="shared" si="41"/>
        <v>0</v>
      </c>
      <c r="O106" s="462"/>
      <c r="P106" s="462"/>
      <c r="Q106" s="462"/>
      <c r="R106" s="462"/>
      <c r="S106" s="462"/>
      <c r="T106" s="462"/>
      <c r="U106" s="462"/>
      <c r="V106" s="132">
        <f t="shared" si="44"/>
        <v>0</v>
      </c>
      <c r="W106" s="133" t="str">
        <f t="shared" si="43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453" t="s">
        <v>393</v>
      </c>
      <c r="C107" s="187" t="s">
        <v>395</v>
      </c>
      <c r="D107" s="108">
        <v>5</v>
      </c>
      <c r="E107" s="108"/>
      <c r="F107" s="127"/>
      <c r="G107" s="128"/>
      <c r="H107" s="454">
        <f t="shared" si="37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8"/>
        <v>0</v>
      </c>
      <c r="N107" s="130">
        <f t="shared" si="41"/>
        <v>0</v>
      </c>
      <c r="O107" s="462"/>
      <c r="P107" s="462"/>
      <c r="Q107" s="462"/>
      <c r="R107" s="462"/>
      <c r="S107" s="462"/>
      <c r="T107" s="462"/>
      <c r="U107" s="462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453" t="s">
        <v>393</v>
      </c>
      <c r="C108" s="187" t="s">
        <v>402</v>
      </c>
      <c r="D108" s="108">
        <v>5</v>
      </c>
      <c r="E108" s="108"/>
      <c r="F108" s="127"/>
      <c r="G108" s="128"/>
      <c r="H108" s="454">
        <f t="shared" si="37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8"/>
        <v>0</v>
      </c>
      <c r="N108" s="130">
        <f t="shared" si="41"/>
        <v>0</v>
      </c>
      <c r="O108" s="462"/>
      <c r="P108" s="462"/>
      <c r="Q108" s="462"/>
      <c r="R108" s="462"/>
      <c r="S108" s="462"/>
      <c r="T108" s="462"/>
      <c r="U108" s="462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453" t="s">
        <v>404</v>
      </c>
      <c r="C109" s="187" t="s">
        <v>405</v>
      </c>
      <c r="D109" s="108">
        <v>5</v>
      </c>
      <c r="E109" s="108"/>
      <c r="F109" s="127"/>
      <c r="G109" s="128"/>
      <c r="H109" s="454">
        <f t="shared" si="37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8"/>
        <v>0</v>
      </c>
      <c r="N109" s="130">
        <f t="shared" si="41"/>
        <v>0</v>
      </c>
      <c r="O109" s="462"/>
      <c r="P109" s="462"/>
      <c r="Q109" s="462"/>
      <c r="R109" s="462"/>
      <c r="S109" s="462"/>
      <c r="T109" s="462"/>
      <c r="U109" s="462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453" t="s">
        <v>492</v>
      </c>
      <c r="C110" s="187" t="s">
        <v>372</v>
      </c>
      <c r="D110" s="108">
        <v>5</v>
      </c>
      <c r="E110" s="108"/>
      <c r="F110" s="127"/>
      <c r="G110" s="128"/>
      <c r="H110" s="454">
        <f t="shared" si="37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8"/>
        <v>0</v>
      </c>
      <c r="N110" s="130">
        <f t="shared" si="41"/>
        <v>0</v>
      </c>
      <c r="O110" s="462"/>
      <c r="P110" s="462"/>
      <c r="Q110" s="462"/>
      <c r="R110" s="462"/>
      <c r="S110" s="462"/>
      <c r="T110" s="462"/>
      <c r="U110" s="462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453" t="s">
        <v>343</v>
      </c>
      <c r="C111" s="126" t="s">
        <v>345</v>
      </c>
      <c r="D111" s="108">
        <v>5</v>
      </c>
      <c r="E111" s="108"/>
      <c r="F111" s="127"/>
      <c r="G111" s="128"/>
      <c r="H111" s="454">
        <f t="shared" si="37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8"/>
        <v>0</v>
      </c>
      <c r="N111" s="130">
        <f t="shared" si="41"/>
        <v>0</v>
      </c>
      <c r="O111" s="462"/>
      <c r="P111" s="462"/>
      <c r="Q111" s="462"/>
      <c r="R111" s="462"/>
      <c r="S111" s="462"/>
      <c r="T111" s="462"/>
      <c r="U111" s="462"/>
      <c r="V111" s="132"/>
      <c r="W111" s="133"/>
      <c r="X111" s="132"/>
      <c r="Y111" s="132"/>
      <c r="Z111" s="132"/>
      <c r="AA111" s="132"/>
    </row>
    <row r="112" spans="1:27" ht="20.100000000000001" customHeight="1">
      <c r="A112" s="299">
        <v>30600010</v>
      </c>
      <c r="B112" s="453" t="s">
        <v>343</v>
      </c>
      <c r="C112" s="126" t="s">
        <v>347</v>
      </c>
      <c r="D112" s="108">
        <v>5</v>
      </c>
      <c r="E112" s="108"/>
      <c r="F112" s="127">
        <v>42737</v>
      </c>
      <c r="G112" s="128">
        <f>84+90+90</f>
        <v>264</v>
      </c>
      <c r="H112" s="454">
        <f t="shared" si="37"/>
        <v>1320</v>
      </c>
      <c r="I112" s="129">
        <v>53</v>
      </c>
      <c r="J112" s="130">
        <f t="array" ref="J112">IF(ISERROR(G112/I112),"",G112/I112)</f>
        <v>4.9811320754716979</v>
      </c>
      <c r="K112" s="131">
        <f t="array" ref="K112">IF(ISERROR(G112/L112),"",G112/L112)</f>
        <v>52.8</v>
      </c>
      <c r="L112" s="129">
        <v>5</v>
      </c>
      <c r="M112" s="109">
        <f t="shared" si="38"/>
        <v>0.20000000000000284</v>
      </c>
      <c r="N112" s="130">
        <f t="shared" si="41"/>
        <v>0</v>
      </c>
      <c r="O112" s="462"/>
      <c r="P112" s="462"/>
      <c r="Q112" s="462"/>
      <c r="R112" s="462"/>
      <c r="S112" s="462"/>
      <c r="T112" s="462"/>
      <c r="U112" s="462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54">
        <f t="shared" si="37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8"/>
        <v>0</v>
      </c>
      <c r="N113" s="130">
        <f t="shared" si="41"/>
        <v>0</v>
      </c>
      <c r="O113" s="462"/>
      <c r="P113" s="462"/>
      <c r="Q113" s="462"/>
      <c r="R113" s="462"/>
      <c r="S113" s="462"/>
      <c r="T113" s="462"/>
      <c r="U113" s="462"/>
      <c r="V113" s="132">
        <f t="shared" ref="V113:V114" si="45">SUM(X113:AA113)</f>
        <v>0</v>
      </c>
      <c r="W113" s="133" t="str">
        <f t="shared" ref="W113:W114" si="46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54">
        <f t="shared" si="37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8"/>
        <v>0</v>
      </c>
      <c r="N114" s="130">
        <f t="shared" si="41"/>
        <v>0</v>
      </c>
      <c r="O114" s="462"/>
      <c r="P114" s="462"/>
      <c r="Q114" s="462"/>
      <c r="R114" s="462"/>
      <c r="S114" s="462"/>
      <c r="T114" s="462"/>
      <c r="U114" s="462"/>
      <c r="V114" s="132">
        <f t="shared" si="45"/>
        <v>0</v>
      </c>
      <c r="W114" s="133" t="str">
        <f t="shared" si="46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454">
        <f t="shared" si="37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462"/>
      <c r="P115" s="462"/>
      <c r="Q115" s="462"/>
      <c r="R115" s="462"/>
      <c r="S115" s="462"/>
      <c r="T115" s="462"/>
      <c r="U115" s="462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54">
        <f t="shared" si="37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462"/>
      <c r="P116" s="462"/>
      <c r="Q116" s="462"/>
      <c r="R116" s="462"/>
      <c r="S116" s="462"/>
      <c r="T116" s="462"/>
      <c r="U116" s="462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454">
        <f t="shared" si="37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462"/>
      <c r="P117" s="462"/>
      <c r="Q117" s="462"/>
      <c r="R117" s="462"/>
      <c r="S117" s="462"/>
      <c r="T117" s="462"/>
      <c r="U117" s="462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454">
        <f t="shared" si="37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7">IF(ISERROR(I118-K118),"",I118-K118)</f>
        <v>0</v>
      </c>
      <c r="N118" s="130">
        <f t="shared" ref="N118:N120" si="48">SUM(O118:U118)</f>
        <v>0</v>
      </c>
      <c r="O118" s="462"/>
      <c r="P118" s="462"/>
      <c r="Q118" s="462"/>
      <c r="R118" s="462"/>
      <c r="S118" s="462"/>
      <c r="T118" s="462"/>
      <c r="U118" s="462"/>
      <c r="V118" s="132">
        <f t="shared" ref="V118:V120" si="49">SUM(X118:AA118)</f>
        <v>0</v>
      </c>
      <c r="W118" s="133" t="str">
        <f t="shared" ref="W118:W142" si="50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54">
        <f t="shared" si="37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7"/>
        <v>0</v>
      </c>
      <c r="N119" s="130">
        <f t="shared" si="48"/>
        <v>0</v>
      </c>
      <c r="O119" s="462"/>
      <c r="P119" s="462"/>
      <c r="Q119" s="462"/>
      <c r="R119" s="462"/>
      <c r="S119" s="462"/>
      <c r="T119" s="462"/>
      <c r="U119" s="462"/>
      <c r="V119" s="132">
        <f t="shared" si="49"/>
        <v>0</v>
      </c>
      <c r="W119" s="133" t="str">
        <f t="shared" si="50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454">
        <f t="shared" si="37"/>
        <v>0</v>
      </c>
      <c r="I120" s="129"/>
      <c r="J120" s="130" t="str">
        <f t="array" ref="J120">IF(ISERROR(G120/I120),"",G120/I120)</f>
        <v/>
      </c>
      <c r="K120" s="454">
        <f t="array" ref="K120">IF(ISERROR(G120/L120),"",G120/L120)</f>
        <v>0</v>
      </c>
      <c r="L120" s="129">
        <v>9</v>
      </c>
      <c r="M120" s="109">
        <f t="shared" si="47"/>
        <v>0</v>
      </c>
      <c r="N120" s="130">
        <f t="shared" si="48"/>
        <v>0</v>
      </c>
      <c r="O120" s="462"/>
      <c r="P120" s="462"/>
      <c r="Q120" s="462"/>
      <c r="R120" s="462"/>
      <c r="S120" s="462"/>
      <c r="T120" s="462"/>
      <c r="U120" s="462"/>
      <c r="V120" s="132">
        <f t="shared" si="49"/>
        <v>0</v>
      </c>
      <c r="W120" s="133" t="str">
        <f t="shared" si="50"/>
        <v/>
      </c>
      <c r="X120" s="132"/>
      <c r="Y120" s="132"/>
      <c r="Z120" s="132"/>
      <c r="AA120" s="132"/>
    </row>
    <row r="121" spans="1:27" ht="20.100000000000001" customHeight="1">
      <c r="A121" s="578" t="s">
        <v>224</v>
      </c>
      <c r="B121" s="579"/>
      <c r="C121" s="463" t="s">
        <v>202</v>
      </c>
      <c r="D121" s="143"/>
      <c r="E121" s="143"/>
      <c r="F121" s="144"/>
      <c r="G121" s="145">
        <f>SUM(G87:G120)</f>
        <v>264</v>
      </c>
      <c r="H121" s="146">
        <f>SUM(H87:H120)</f>
        <v>1320</v>
      </c>
      <c r="I121" s="146">
        <f>SUM(I87:I120)</f>
        <v>53</v>
      </c>
      <c r="J121" s="130">
        <f t="array" ref="J121">IF(ISERROR(G121/I121),"",G121/I121)</f>
        <v>4.9811320754716979</v>
      </c>
      <c r="K121" s="146">
        <f>SUM(K87:K120)</f>
        <v>52.8</v>
      </c>
      <c r="L121" s="147"/>
      <c r="M121" s="150">
        <f t="shared" ref="M121:V121" si="51">SUM(M87:M120)</f>
        <v>0.20000000000000284</v>
      </c>
      <c r="N121" s="146">
        <f t="shared" si="51"/>
        <v>0</v>
      </c>
      <c r="O121" s="148">
        <f t="shared" si="51"/>
        <v>0</v>
      </c>
      <c r="P121" s="148">
        <f t="shared" si="51"/>
        <v>0</v>
      </c>
      <c r="Q121" s="148">
        <f t="shared" si="51"/>
        <v>0</v>
      </c>
      <c r="R121" s="148">
        <f t="shared" si="51"/>
        <v>0</v>
      </c>
      <c r="S121" s="148">
        <f t="shared" si="51"/>
        <v>0</v>
      </c>
      <c r="T121" s="148">
        <f t="shared" si="51"/>
        <v>0</v>
      </c>
      <c r="U121" s="148">
        <f t="shared" si="51"/>
        <v>0</v>
      </c>
      <c r="V121" s="149">
        <f t="shared" si="51"/>
        <v>0</v>
      </c>
      <c r="W121" s="133">
        <f t="shared" si="50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54">
        <f t="shared" ref="H122:H136" si="52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3">IF(ISERROR(I122-K122),"",I122-K122)</f>
        <v>0</v>
      </c>
      <c r="N122" s="130">
        <f t="shared" ref="N122:N136" si="54">SUM(O122:U122)</f>
        <v>0</v>
      </c>
      <c r="O122" s="462"/>
      <c r="P122" s="462"/>
      <c r="Q122" s="462"/>
      <c r="R122" s="462"/>
      <c r="S122" s="462"/>
      <c r="T122" s="462"/>
      <c r="U122" s="462"/>
      <c r="V122" s="132">
        <f t="shared" ref="V122:V136" si="55">SUM(X122:AA122)</f>
        <v>0</v>
      </c>
      <c r="W122" s="133" t="str">
        <f t="shared" si="50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54">
        <f t="shared" si="52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3"/>
        <v>0</v>
      </c>
      <c r="N123" s="130">
        <f t="shared" si="54"/>
        <v>0</v>
      </c>
      <c r="O123" s="462"/>
      <c r="P123" s="462"/>
      <c r="Q123" s="462"/>
      <c r="R123" s="462"/>
      <c r="S123" s="462"/>
      <c r="T123" s="462"/>
      <c r="U123" s="462"/>
      <c r="V123" s="132">
        <f t="shared" si="55"/>
        <v>0</v>
      </c>
      <c r="W123" s="133" t="str">
        <f t="shared" si="50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454">
        <f t="shared" si="52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3"/>
        <v>0</v>
      </c>
      <c r="N124" s="130">
        <f t="shared" si="54"/>
        <v>0</v>
      </c>
      <c r="O124" s="462"/>
      <c r="P124" s="462"/>
      <c r="Q124" s="462"/>
      <c r="R124" s="462"/>
      <c r="S124" s="462"/>
      <c r="T124" s="462"/>
      <c r="U124" s="462"/>
      <c r="V124" s="132">
        <f t="shared" si="55"/>
        <v>0</v>
      </c>
      <c r="W124" s="133" t="str">
        <f t="shared" si="50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494</v>
      </c>
      <c r="C125" s="126" t="s">
        <v>212</v>
      </c>
      <c r="D125" s="108">
        <v>5.03</v>
      </c>
      <c r="E125" s="108"/>
      <c r="F125" s="127"/>
      <c r="G125" s="128"/>
      <c r="H125" s="454">
        <f t="shared" si="52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3"/>
        <v>0</v>
      </c>
      <c r="N125" s="130">
        <f t="shared" si="54"/>
        <v>0</v>
      </c>
      <c r="O125" s="462"/>
      <c r="P125" s="462"/>
      <c r="Q125" s="462"/>
      <c r="R125" s="462"/>
      <c r="S125" s="462"/>
      <c r="T125" s="462"/>
      <c r="U125" s="462"/>
      <c r="V125" s="132">
        <f t="shared" si="55"/>
        <v>0</v>
      </c>
      <c r="W125" s="133" t="str">
        <f t="shared" si="50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459" t="s">
        <v>203</v>
      </c>
      <c r="D126" s="108">
        <v>5.03</v>
      </c>
      <c r="E126" s="108"/>
      <c r="F126" s="127"/>
      <c r="G126" s="128"/>
      <c r="H126" s="454">
        <f t="shared" si="52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3"/>
        <v>0</v>
      </c>
      <c r="N126" s="130">
        <f t="shared" si="54"/>
        <v>0</v>
      </c>
      <c r="O126" s="462"/>
      <c r="P126" s="462"/>
      <c r="Q126" s="462"/>
      <c r="R126" s="462"/>
      <c r="S126" s="462"/>
      <c r="T126" s="462"/>
      <c r="U126" s="462"/>
      <c r="V126" s="132">
        <f t="shared" si="55"/>
        <v>0</v>
      </c>
      <c r="W126" s="133" t="str">
        <f t="shared" si="50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54">
        <f t="shared" si="52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3"/>
        <v>0</v>
      </c>
      <c r="N127" s="130">
        <f t="shared" si="54"/>
        <v>0</v>
      </c>
      <c r="O127" s="462"/>
      <c r="P127" s="462"/>
      <c r="Q127" s="462"/>
      <c r="R127" s="462"/>
      <c r="S127" s="462"/>
      <c r="T127" s="462"/>
      <c r="U127" s="462"/>
      <c r="V127" s="132">
        <f t="shared" si="55"/>
        <v>0</v>
      </c>
      <c r="W127" s="133" t="str">
        <f t="shared" si="50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54">
        <f t="shared" si="52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3"/>
        <v>0</v>
      </c>
      <c r="N128" s="130">
        <f t="shared" si="54"/>
        <v>0</v>
      </c>
      <c r="O128" s="462"/>
      <c r="P128" s="462"/>
      <c r="Q128" s="462"/>
      <c r="R128" s="462"/>
      <c r="S128" s="462"/>
      <c r="T128" s="462"/>
      <c r="U128" s="462"/>
      <c r="V128" s="132">
        <f t="shared" si="55"/>
        <v>0</v>
      </c>
      <c r="W128" s="133" t="str">
        <f t="shared" si="50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459" t="s">
        <v>228</v>
      </c>
      <c r="D129" s="108">
        <v>5.03</v>
      </c>
      <c r="E129" s="108"/>
      <c r="F129" s="127"/>
      <c r="G129" s="128"/>
      <c r="H129" s="454">
        <f t="shared" si="52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3"/>
        <v>0</v>
      </c>
      <c r="N129" s="130">
        <f t="shared" si="54"/>
        <v>0</v>
      </c>
      <c r="O129" s="462"/>
      <c r="P129" s="462"/>
      <c r="Q129" s="462"/>
      <c r="R129" s="462"/>
      <c r="S129" s="462"/>
      <c r="T129" s="462"/>
      <c r="U129" s="462"/>
      <c r="V129" s="132">
        <f t="shared" si="55"/>
        <v>0</v>
      </c>
      <c r="W129" s="133" t="str">
        <f t="shared" si="50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496</v>
      </c>
      <c r="C130" s="459" t="s">
        <v>212</v>
      </c>
      <c r="D130" s="108">
        <v>5.03</v>
      </c>
      <c r="E130" s="108"/>
      <c r="F130" s="127"/>
      <c r="G130" s="128"/>
      <c r="H130" s="454">
        <f t="shared" si="52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3"/>
        <v/>
      </c>
      <c r="N130" s="130">
        <f t="shared" si="54"/>
        <v>0</v>
      </c>
      <c r="O130" s="462"/>
      <c r="P130" s="462"/>
      <c r="Q130" s="462"/>
      <c r="R130" s="462"/>
      <c r="S130" s="462"/>
      <c r="T130" s="462"/>
      <c r="U130" s="462"/>
      <c r="V130" s="132">
        <f t="shared" si="55"/>
        <v>0</v>
      </c>
      <c r="W130" s="133" t="str">
        <f t="shared" si="50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459" t="s">
        <v>203</v>
      </c>
      <c r="D131" s="108">
        <v>5.03</v>
      </c>
      <c r="E131" s="108"/>
      <c r="F131" s="127"/>
      <c r="G131" s="128"/>
      <c r="H131" s="454">
        <f t="shared" si="52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3"/>
        <v/>
      </c>
      <c r="N131" s="130">
        <f t="shared" si="54"/>
        <v>0</v>
      </c>
      <c r="O131" s="462"/>
      <c r="P131" s="462"/>
      <c r="Q131" s="462"/>
      <c r="R131" s="462"/>
      <c r="S131" s="462"/>
      <c r="T131" s="462"/>
      <c r="U131" s="462"/>
      <c r="V131" s="132">
        <f t="shared" si="55"/>
        <v>0</v>
      </c>
      <c r="W131" s="133" t="str">
        <f t="shared" si="50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459" t="s">
        <v>186</v>
      </c>
      <c r="D132" s="108">
        <v>5.03</v>
      </c>
      <c r="E132" s="108"/>
      <c r="F132" s="127"/>
      <c r="G132" s="128"/>
      <c r="H132" s="454">
        <f t="shared" si="52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3"/>
        <v/>
      </c>
      <c r="N132" s="130">
        <f t="shared" si="54"/>
        <v>0</v>
      </c>
      <c r="O132" s="462"/>
      <c r="P132" s="462"/>
      <c r="Q132" s="462"/>
      <c r="R132" s="462"/>
      <c r="S132" s="462"/>
      <c r="T132" s="462"/>
      <c r="U132" s="462"/>
      <c r="V132" s="132">
        <f t="shared" si="55"/>
        <v>0</v>
      </c>
      <c r="W132" s="133" t="str">
        <f t="shared" si="50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459" t="s">
        <v>228</v>
      </c>
      <c r="D133" s="108">
        <v>5.03</v>
      </c>
      <c r="E133" s="108"/>
      <c r="F133" s="127"/>
      <c r="G133" s="128"/>
      <c r="H133" s="454">
        <f t="shared" si="52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3"/>
        <v/>
      </c>
      <c r="N133" s="130">
        <f t="shared" si="54"/>
        <v>0</v>
      </c>
      <c r="O133" s="462"/>
      <c r="P133" s="462"/>
      <c r="Q133" s="462"/>
      <c r="R133" s="462"/>
      <c r="S133" s="462"/>
      <c r="T133" s="462"/>
      <c r="U133" s="462"/>
      <c r="V133" s="132">
        <f t="shared" si="55"/>
        <v>0</v>
      </c>
      <c r="W133" s="133" t="str">
        <f t="shared" si="50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459" t="s">
        <v>199</v>
      </c>
      <c r="D134" s="108">
        <v>5.03</v>
      </c>
      <c r="E134" s="108"/>
      <c r="F134" s="127"/>
      <c r="G134" s="128"/>
      <c r="H134" s="454">
        <f t="shared" si="52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3"/>
        <v/>
      </c>
      <c r="N134" s="130">
        <f t="shared" si="54"/>
        <v>0</v>
      </c>
      <c r="O134" s="462"/>
      <c r="P134" s="462"/>
      <c r="Q134" s="462"/>
      <c r="R134" s="462"/>
      <c r="S134" s="462"/>
      <c r="T134" s="462"/>
      <c r="U134" s="462"/>
      <c r="V134" s="132">
        <f t="shared" si="55"/>
        <v>0</v>
      </c>
      <c r="W134" s="133" t="str">
        <f t="shared" si="50"/>
        <v/>
      </c>
      <c r="X134" s="132"/>
      <c r="Y134" s="132"/>
      <c r="Z134" s="132"/>
      <c r="AA134" s="132"/>
    </row>
    <row r="135" spans="1:27" ht="20.10000000000000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>
        <v>42740</v>
      </c>
      <c r="G135" s="128">
        <f>90*10</f>
        <v>900</v>
      </c>
      <c r="H135" s="454">
        <f t="shared" si="52"/>
        <v>4554</v>
      </c>
      <c r="I135" s="129">
        <f>11*3</f>
        <v>33</v>
      </c>
      <c r="J135" s="130">
        <f t="array" ref="J135">IF(ISERROR(G135/I135),"",G135/I135)</f>
        <v>27.272727272727273</v>
      </c>
      <c r="K135" s="131">
        <f t="array" ref="K135">IF(ISERROR(G135/L135),"",G135/L135)</f>
        <v>36</v>
      </c>
      <c r="L135" s="129">
        <v>25</v>
      </c>
      <c r="M135" s="109">
        <f t="shared" si="53"/>
        <v>-3</v>
      </c>
      <c r="N135" s="130">
        <f t="shared" si="54"/>
        <v>0</v>
      </c>
      <c r="O135" s="462"/>
      <c r="P135" s="462"/>
      <c r="Q135" s="462"/>
      <c r="R135" s="462"/>
      <c r="S135" s="462"/>
      <c r="T135" s="462"/>
      <c r="U135" s="462"/>
      <c r="V135" s="132">
        <f t="shared" si="55"/>
        <v>0</v>
      </c>
      <c r="W135" s="133">
        <f t="shared" si="50"/>
        <v>0</v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454">
        <f t="shared" si="52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3"/>
        <v>0</v>
      </c>
      <c r="N136" s="130">
        <f t="shared" si="54"/>
        <v>0</v>
      </c>
      <c r="O136" s="462"/>
      <c r="P136" s="462"/>
      <c r="Q136" s="462"/>
      <c r="R136" s="462"/>
      <c r="S136" s="462"/>
      <c r="T136" s="462"/>
      <c r="U136" s="462"/>
      <c r="V136" s="132">
        <f t="shared" si="55"/>
        <v>0</v>
      </c>
      <c r="W136" s="133" t="str">
        <f t="shared" si="50"/>
        <v/>
      </c>
      <c r="X136" s="132"/>
      <c r="Y136" s="132"/>
      <c r="Z136" s="132"/>
      <c r="AA136" s="132"/>
    </row>
    <row r="137" spans="1:27" ht="20.100000000000001" customHeight="1">
      <c r="A137" s="578" t="s">
        <v>231</v>
      </c>
      <c r="B137" s="579"/>
      <c r="C137" s="463" t="s">
        <v>202</v>
      </c>
      <c r="D137" s="143"/>
      <c r="E137" s="143"/>
      <c r="F137" s="144"/>
      <c r="G137" s="145">
        <f>SUM(G122:G136)</f>
        <v>900</v>
      </c>
      <c r="H137" s="146">
        <f>SUM(H122:H136)</f>
        <v>4554</v>
      </c>
      <c r="I137" s="146">
        <f>SUM(I122:I136)</f>
        <v>33</v>
      </c>
      <c r="J137" s="130">
        <f t="array" ref="J137">IF(ISERROR(G137/I137),"",G137/I137)</f>
        <v>27.272727272727273</v>
      </c>
      <c r="K137" s="146">
        <f>SUM(K122:K136)</f>
        <v>36</v>
      </c>
      <c r="L137" s="147"/>
      <c r="M137" s="150">
        <f>SUM(M122:M136)</f>
        <v>-3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50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54">
        <f t="shared" ref="H138:H147" si="56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6" si="57">IF(ISERROR(I138-K138),"",I138-K138)</f>
        <v>0</v>
      </c>
      <c r="N138" s="130">
        <f t="shared" ref="N138:N142" si="58">SUM(O138:U138)</f>
        <v>0</v>
      </c>
      <c r="O138" s="462"/>
      <c r="P138" s="462"/>
      <c r="Q138" s="462"/>
      <c r="R138" s="462"/>
      <c r="S138" s="462"/>
      <c r="T138" s="462"/>
      <c r="U138" s="462"/>
      <c r="V138" s="132">
        <f t="shared" ref="V138:V142" si="59">SUM(X138:AA138)</f>
        <v>0</v>
      </c>
      <c r="W138" s="133" t="str">
        <f t="shared" si="50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54">
        <f t="shared" si="56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7"/>
        <v>0</v>
      </c>
      <c r="N139" s="130">
        <f t="shared" si="58"/>
        <v>0</v>
      </c>
      <c r="O139" s="462"/>
      <c r="P139" s="462"/>
      <c r="Q139" s="462"/>
      <c r="R139" s="462"/>
      <c r="S139" s="462"/>
      <c r="T139" s="462"/>
      <c r="U139" s="462"/>
      <c r="V139" s="132">
        <f t="shared" si="59"/>
        <v>0</v>
      </c>
      <c r="W139" s="133" t="str">
        <f t="shared" si="50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54">
        <f t="shared" si="56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7"/>
        <v>0</v>
      </c>
      <c r="N140" s="130">
        <f t="shared" si="58"/>
        <v>0</v>
      </c>
      <c r="O140" s="462"/>
      <c r="P140" s="462"/>
      <c r="Q140" s="462"/>
      <c r="R140" s="462"/>
      <c r="S140" s="462"/>
      <c r="T140" s="462"/>
      <c r="U140" s="462"/>
      <c r="V140" s="132">
        <f t="shared" si="59"/>
        <v>0</v>
      </c>
      <c r="W140" s="133" t="str">
        <f t="shared" si="50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423</v>
      </c>
      <c r="C141" s="126" t="s">
        <v>195</v>
      </c>
      <c r="D141" s="108">
        <v>5.04</v>
      </c>
      <c r="E141" s="108"/>
      <c r="F141" s="127"/>
      <c r="G141" s="128"/>
      <c r="H141" s="454">
        <f t="shared" si="56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7"/>
        <v>0</v>
      </c>
      <c r="N141" s="130">
        <f t="shared" si="58"/>
        <v>0</v>
      </c>
      <c r="O141" s="462"/>
      <c r="P141" s="462"/>
      <c r="Q141" s="462"/>
      <c r="R141" s="462"/>
      <c r="S141" s="462"/>
      <c r="T141" s="462"/>
      <c r="U141" s="462"/>
      <c r="V141" s="132">
        <f t="shared" si="59"/>
        <v>0</v>
      </c>
      <c r="W141" s="133" t="str">
        <f t="shared" si="50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54">
        <f t="shared" si="56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7"/>
        <v>0</v>
      </c>
      <c r="N142" s="130">
        <f t="shared" si="58"/>
        <v>0</v>
      </c>
      <c r="O142" s="462"/>
      <c r="P142" s="462"/>
      <c r="Q142" s="462"/>
      <c r="R142" s="462"/>
      <c r="S142" s="462"/>
      <c r="T142" s="462"/>
      <c r="U142" s="462"/>
      <c r="V142" s="132">
        <f t="shared" si="59"/>
        <v>0</v>
      </c>
      <c r="W142" s="133" t="str">
        <f t="shared" si="50"/>
        <v/>
      </c>
      <c r="X142" s="132"/>
      <c r="Y142" s="132"/>
      <c r="Z142" s="132"/>
      <c r="AA142" s="132"/>
    </row>
    <row r="143" spans="1:27" ht="20.10000000000000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>
        <v>42741</v>
      </c>
      <c r="G143" s="128">
        <f>90*6</f>
        <v>540</v>
      </c>
      <c r="H143" s="454">
        <f t="shared" si="56"/>
        <v>2721.6</v>
      </c>
      <c r="I143" s="129">
        <f>10*4</f>
        <v>40</v>
      </c>
      <c r="J143" s="130">
        <f t="array" ref="J143">IF(ISERROR(G143/I143),"",G143/I143)</f>
        <v>13.5</v>
      </c>
      <c r="K143" s="131">
        <f t="array" ref="K143">IF(ISERROR(G143/L143),"",G143/L143)</f>
        <v>40</v>
      </c>
      <c r="L143" s="129">
        <v>13.5</v>
      </c>
      <c r="M143" s="109">
        <f t="shared" si="57"/>
        <v>0</v>
      </c>
      <c r="N143" s="130"/>
      <c r="O143" s="462"/>
      <c r="P143" s="462"/>
      <c r="Q143" s="462"/>
      <c r="R143" s="462"/>
      <c r="S143" s="462"/>
      <c r="T143" s="462"/>
      <c r="U143" s="462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516</v>
      </c>
      <c r="D144" s="108">
        <v>5.04</v>
      </c>
      <c r="E144" s="108"/>
      <c r="F144" s="127">
        <v>42737</v>
      </c>
      <c r="G144" s="128">
        <v>3</v>
      </c>
      <c r="H144" s="454">
        <f t="shared" si="56"/>
        <v>15.120000000000001</v>
      </c>
      <c r="I144" s="129">
        <v>0.22</v>
      </c>
      <c r="J144" s="130">
        <f t="array" ref="J144">IF(ISERROR(G144/I144),"",G144/I144)</f>
        <v>13.636363636363637</v>
      </c>
      <c r="K144" s="131">
        <f t="array" ref="K144">IF(ISERROR(G144/L144),"",G144/L144)</f>
        <v>0.22222222222222221</v>
      </c>
      <c r="L144" s="129">
        <v>13.5</v>
      </c>
      <c r="M144" s="109">
        <f t="shared" si="57"/>
        <v>-2.2222222222222088E-3</v>
      </c>
      <c r="N144" s="130"/>
      <c r="O144" s="462"/>
      <c r="P144" s="462"/>
      <c r="Q144" s="462"/>
      <c r="R144" s="462"/>
      <c r="S144" s="462"/>
      <c r="T144" s="462"/>
      <c r="U144" s="462"/>
      <c r="V144" s="132"/>
      <c r="W144" s="133"/>
      <c r="X144" s="132"/>
      <c r="Y144" s="132"/>
      <c r="Z144" s="132"/>
      <c r="AA144" s="132"/>
    </row>
    <row r="145" spans="1:27" ht="20.100000000000001" hidden="1" customHeight="1">
      <c r="A145" s="300">
        <v>30400021</v>
      </c>
      <c r="B145" s="134" t="s">
        <v>439</v>
      </c>
      <c r="C145" s="187" t="s">
        <v>517</v>
      </c>
      <c r="D145" s="108">
        <v>5.04</v>
      </c>
      <c r="E145" s="108"/>
      <c r="F145" s="127"/>
      <c r="G145" s="128"/>
      <c r="H145" s="454">
        <f t="shared" si="56"/>
        <v>0</v>
      </c>
      <c r="I145" s="129"/>
      <c r="J145" s="130" t="str">
        <f t="array" ref="J145">IF(ISERROR(G145/I145),"",G145/I145)</f>
        <v/>
      </c>
      <c r="K145" s="131">
        <f t="array" ref="K145">IF(ISERROR(G145/L145),"",G145/L145)</f>
        <v>0</v>
      </c>
      <c r="L145" s="129">
        <v>13.5</v>
      </c>
      <c r="M145" s="109">
        <f t="shared" si="57"/>
        <v>0</v>
      </c>
      <c r="N145" s="130"/>
      <c r="O145" s="462"/>
      <c r="P145" s="462"/>
      <c r="Q145" s="462"/>
      <c r="R145" s="462"/>
      <c r="S145" s="462"/>
      <c r="T145" s="462"/>
      <c r="U145" s="462"/>
      <c r="V145" s="132"/>
      <c r="W145" s="133"/>
      <c r="X145" s="132"/>
      <c r="Y145" s="132"/>
      <c r="Z145" s="132"/>
      <c r="AA145" s="132"/>
    </row>
    <row r="146" spans="1:27" ht="20.10000000000000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>
        <v>42737</v>
      </c>
      <c r="G146" s="128">
        <v>58</v>
      </c>
      <c r="H146" s="454">
        <f t="shared" si="56"/>
        <v>292.32</v>
      </c>
      <c r="I146" s="129">
        <f>1*4</f>
        <v>4</v>
      </c>
      <c r="J146" s="130">
        <f t="array" ref="J146">IF(ISERROR(G146/I146),"",G146/I146)</f>
        <v>14.5</v>
      </c>
      <c r="K146" s="131">
        <f t="array" ref="K146">IF(ISERROR(G146/L146),"",G146/L146)</f>
        <v>4.2962962962962967</v>
      </c>
      <c r="L146" s="129">
        <v>13.5</v>
      </c>
      <c r="M146" s="109">
        <f t="shared" si="57"/>
        <v>-0.29629629629629672</v>
      </c>
      <c r="N146" s="130"/>
      <c r="O146" s="462"/>
      <c r="P146" s="462"/>
      <c r="Q146" s="462"/>
      <c r="R146" s="462"/>
      <c r="S146" s="462"/>
      <c r="T146" s="462"/>
      <c r="U146" s="462"/>
      <c r="V146" s="132"/>
      <c r="W146" s="133"/>
      <c r="X146" s="132"/>
      <c r="Y146" s="132"/>
      <c r="Z146" s="132"/>
      <c r="AA146" s="132"/>
    </row>
    <row r="147" spans="1:27" ht="20.100000000000001" hidden="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28"/>
      <c r="H147" s="454">
        <f t="shared" si="56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ref="M147" si="60">IF(ISERROR(I147-K147),"",I147-K147)</f>
        <v>0</v>
      </c>
      <c r="N147" s="130">
        <f t="shared" ref="N147" si="61">SUM(O147:U147)</f>
        <v>0</v>
      </c>
      <c r="O147" s="462"/>
      <c r="P147" s="462"/>
      <c r="Q147" s="462"/>
      <c r="R147" s="462"/>
      <c r="S147" s="462"/>
      <c r="T147" s="462"/>
      <c r="U147" s="462"/>
      <c r="V147" s="132">
        <f t="shared" ref="V147" si="62">SUM(X147:AA147)</f>
        <v>0</v>
      </c>
      <c r="W147" s="133" t="str">
        <f t="shared" ref="W147:W152" si="63">IF(ISERROR(V147/G147),"",V147/G147)</f>
        <v/>
      </c>
      <c r="X147" s="132"/>
      <c r="Y147" s="132"/>
      <c r="Z147" s="132"/>
      <c r="AA147" s="132"/>
    </row>
    <row r="148" spans="1:27" ht="20.100000000000001" customHeight="1">
      <c r="A148" s="578" t="s">
        <v>234</v>
      </c>
      <c r="B148" s="579"/>
      <c r="C148" s="463" t="s">
        <v>202</v>
      </c>
      <c r="D148" s="143"/>
      <c r="E148" s="143"/>
      <c r="F148" s="144"/>
      <c r="G148" s="145">
        <f>SUM(G138:G147)</f>
        <v>601</v>
      </c>
      <c r="H148" s="146">
        <f>SUM(H138:H147)</f>
        <v>3029.04</v>
      </c>
      <c r="I148" s="146">
        <f>SUM(I138:I147)</f>
        <v>44.22</v>
      </c>
      <c r="J148" s="130">
        <f t="array" ref="J148">IF(ISERROR(G148/I148),"",G148/I148)</f>
        <v>13.591135232926279</v>
      </c>
      <c r="K148" s="146">
        <f>SUM(K138:K147)</f>
        <v>44.518518518518519</v>
      </c>
      <c r="L148" s="147"/>
      <c r="M148" s="150">
        <f>SUM(M138:M147)</f>
        <v>-0.29851851851851896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>
        <f t="shared" si="63"/>
        <v>0</v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hidden="1" customHeight="1">
      <c r="A149" s="299">
        <v>30700013</v>
      </c>
      <c r="B149" s="298" t="s">
        <v>103</v>
      </c>
      <c r="C149" s="460"/>
      <c r="D149" s="108">
        <v>3.65</v>
      </c>
      <c r="E149" s="108"/>
      <c r="F149" s="153"/>
      <c r="G149" s="128"/>
      <c r="H149" s="454">
        <f t="shared" ref="H149:H162" si="64">D149*G149</f>
        <v>0</v>
      </c>
      <c r="I149" s="129"/>
      <c r="J149" s="130" t="str">
        <f t="array" ref="J149">IF(ISERROR(G149/I149),"",G149/I149)</f>
        <v/>
      </c>
      <c r="K149" s="454">
        <f t="array" ref="K149">IF(ISERROR(G149/L149),"",G149/L149)</f>
        <v>0</v>
      </c>
      <c r="L149" s="129">
        <v>5</v>
      </c>
      <c r="M149" s="109">
        <f t="shared" ref="M149:M152" si="65">IF(ISERROR(I149-K149),"",I149-K149)</f>
        <v>0</v>
      </c>
      <c r="N149" s="130">
        <f t="shared" ref="N149:N152" si="66">SUM(O149:U149)</f>
        <v>0</v>
      </c>
      <c r="O149" s="462"/>
      <c r="P149" s="462"/>
      <c r="Q149" s="462"/>
      <c r="R149" s="462"/>
      <c r="S149" s="462"/>
      <c r="T149" s="462"/>
      <c r="U149" s="462"/>
      <c r="V149" s="132">
        <f t="shared" ref="V149:V152" si="67">SUM(X149:AA149)</f>
        <v>0</v>
      </c>
      <c r="W149" s="133" t="str">
        <f t="shared" si="63"/>
        <v/>
      </c>
      <c r="X149" s="132"/>
      <c r="Y149" s="132"/>
      <c r="Z149" s="132"/>
      <c r="AA149" s="132"/>
    </row>
    <row r="150" spans="1:27" ht="20.100000000000001" customHeight="1">
      <c r="A150" s="299">
        <v>30700014</v>
      </c>
      <c r="B150" s="141" t="s">
        <v>236</v>
      </c>
      <c r="C150" s="460"/>
      <c r="D150" s="108">
        <v>6.58</v>
      </c>
      <c r="E150" s="108"/>
      <c r="F150" s="127">
        <v>42738</v>
      </c>
      <c r="G150" s="128">
        <f>19+16</f>
        <v>35</v>
      </c>
      <c r="H150" s="454">
        <f t="shared" si="64"/>
        <v>230.3</v>
      </c>
      <c r="I150" s="129">
        <v>7</v>
      </c>
      <c r="J150" s="130">
        <f t="array" ref="J150">IF(ISERROR(G150/I150),"",G150/I150)</f>
        <v>5</v>
      </c>
      <c r="K150" s="131">
        <f t="array" ref="K150">IF(ISERROR(G150/L150),"",G150/L150)</f>
        <v>7</v>
      </c>
      <c r="L150" s="129">
        <v>5</v>
      </c>
      <c r="M150" s="109">
        <f t="shared" si="65"/>
        <v>0</v>
      </c>
      <c r="N150" s="130">
        <f t="shared" si="66"/>
        <v>0</v>
      </c>
      <c r="O150" s="462"/>
      <c r="P150" s="462"/>
      <c r="Q150" s="462"/>
      <c r="R150" s="462"/>
      <c r="S150" s="462"/>
      <c r="T150" s="462"/>
      <c r="U150" s="462"/>
      <c r="V150" s="132">
        <f t="shared" si="67"/>
        <v>0</v>
      </c>
      <c r="W150" s="133">
        <f t="shared" si="63"/>
        <v>0</v>
      </c>
      <c r="X150" s="132"/>
      <c r="Y150" s="132"/>
      <c r="Z150" s="132"/>
      <c r="AA150" s="132"/>
    </row>
    <row r="151" spans="1:27" ht="20.100000000000001" customHeight="1">
      <c r="A151" s="299">
        <v>30700016</v>
      </c>
      <c r="B151" s="141" t="s">
        <v>237</v>
      </c>
      <c r="C151" s="460"/>
      <c r="D151" s="108">
        <v>7.8</v>
      </c>
      <c r="E151" s="108"/>
      <c r="F151" s="127">
        <v>42738</v>
      </c>
      <c r="G151" s="128">
        <f>32*2+25</f>
        <v>89</v>
      </c>
      <c r="H151" s="454">
        <f t="shared" si="64"/>
        <v>694.19999999999993</v>
      </c>
      <c r="I151" s="129">
        <v>19</v>
      </c>
      <c r="J151" s="130">
        <f t="array" ref="J151">IF(ISERROR(G151/I151),"",G151/I151)</f>
        <v>4.6842105263157894</v>
      </c>
      <c r="K151" s="131">
        <f t="array" ref="K151">IF(ISERROR(G151/L151),"",G151/L151)</f>
        <v>19.347826086956523</v>
      </c>
      <c r="L151" s="129">
        <v>4.5999999999999996</v>
      </c>
      <c r="M151" s="109">
        <f t="shared" si="65"/>
        <v>-0.34782608695652328</v>
      </c>
      <c r="N151" s="130">
        <f t="shared" si="66"/>
        <v>0</v>
      </c>
      <c r="O151" s="462"/>
      <c r="P151" s="462"/>
      <c r="Q151" s="462"/>
      <c r="R151" s="462"/>
      <c r="S151" s="462"/>
      <c r="T151" s="462"/>
      <c r="U151" s="462"/>
      <c r="V151" s="132">
        <f t="shared" si="67"/>
        <v>0</v>
      </c>
      <c r="W151" s="133">
        <f t="shared" si="63"/>
        <v>0</v>
      </c>
      <c r="X151" s="132"/>
      <c r="Y151" s="132"/>
      <c r="Z151" s="132"/>
      <c r="AA151" s="132"/>
    </row>
    <row r="152" spans="1:27" ht="20.100000000000001" customHeight="1">
      <c r="A152" s="299">
        <v>30700017</v>
      </c>
      <c r="B152" s="141" t="s">
        <v>238</v>
      </c>
      <c r="C152" s="460"/>
      <c r="D152" s="108">
        <v>4.4000000000000004</v>
      </c>
      <c r="E152" s="108"/>
      <c r="F152" s="127">
        <v>42738</v>
      </c>
      <c r="G152" s="128">
        <f>64+71</f>
        <v>135</v>
      </c>
      <c r="H152" s="454">
        <f t="shared" si="64"/>
        <v>594</v>
      </c>
      <c r="I152" s="129">
        <v>23</v>
      </c>
      <c r="J152" s="130">
        <f t="array" ref="J152">IF(ISERROR(G152/I152),"",G152/I152)</f>
        <v>5.8695652173913047</v>
      </c>
      <c r="K152" s="131">
        <f t="array" ref="K152">IF(ISERROR(G152/L152),"",G152/L152)</f>
        <v>23.27586206896552</v>
      </c>
      <c r="L152" s="129">
        <v>5.8</v>
      </c>
      <c r="M152" s="109">
        <f t="shared" si="65"/>
        <v>-0.27586206896551957</v>
      </c>
      <c r="N152" s="130">
        <f t="shared" si="66"/>
        <v>0</v>
      </c>
      <c r="O152" s="462"/>
      <c r="P152" s="462"/>
      <c r="Q152" s="462"/>
      <c r="R152" s="462"/>
      <c r="S152" s="462"/>
      <c r="T152" s="462"/>
      <c r="U152" s="462"/>
      <c r="V152" s="132">
        <f t="shared" si="67"/>
        <v>0</v>
      </c>
      <c r="W152" s="133">
        <f t="shared" si="63"/>
        <v>0</v>
      </c>
      <c r="X152" s="132"/>
      <c r="Y152" s="132"/>
      <c r="Z152" s="132"/>
      <c r="AA152" s="132"/>
    </row>
    <row r="153" spans="1:27" ht="20.100000000000001" hidden="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28"/>
      <c r="H153" s="454">
        <f t="shared" si="64"/>
        <v>0</v>
      </c>
      <c r="I153" s="129"/>
      <c r="J153" s="130"/>
      <c r="K153" s="131"/>
      <c r="L153" s="129">
        <v>6</v>
      </c>
      <c r="M153" s="109"/>
      <c r="N153" s="130"/>
      <c r="O153" s="462"/>
      <c r="P153" s="462"/>
      <c r="Q153" s="462"/>
      <c r="R153" s="462"/>
      <c r="S153" s="462"/>
      <c r="T153" s="462"/>
      <c r="U153" s="462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5"/>
      <c r="B154" s="460" t="s">
        <v>499</v>
      </c>
      <c r="C154" s="460" t="s">
        <v>179</v>
      </c>
      <c r="D154" s="108">
        <v>6.04</v>
      </c>
      <c r="E154" s="108"/>
      <c r="F154" s="127"/>
      <c r="G154" s="128"/>
      <c r="H154" s="454">
        <f t="shared" si="64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5" si="68">IF(ISERROR(I154-K154),"",I154-K154)</f>
        <v>0</v>
      </c>
      <c r="N154" s="130">
        <f t="shared" ref="N154:N155" si="69">SUM(O154:U154)</f>
        <v>0</v>
      </c>
      <c r="O154" s="462"/>
      <c r="P154" s="462"/>
      <c r="Q154" s="462"/>
      <c r="R154" s="462"/>
      <c r="S154" s="462"/>
      <c r="T154" s="462"/>
      <c r="U154" s="462"/>
      <c r="V154" s="132">
        <f t="shared" ref="V154:V155" si="70">SUM(X154:AA154)</f>
        <v>0</v>
      </c>
      <c r="W154" s="133" t="str">
        <f t="shared" ref="W154:W155" si="71">IF(ISERROR(V154/G154),"",V154/G154)</f>
        <v/>
      </c>
      <c r="X154" s="132"/>
      <c r="Y154" s="132"/>
      <c r="Z154" s="132"/>
      <c r="AA154" s="132"/>
    </row>
    <row r="155" spans="1:27" ht="20.100000000000001" hidden="1" customHeight="1">
      <c r="A155" s="305">
        <v>30700019</v>
      </c>
      <c r="B155" s="460" t="s">
        <v>239</v>
      </c>
      <c r="C155" s="460" t="s">
        <v>186</v>
      </c>
      <c r="D155" s="108">
        <v>6.04</v>
      </c>
      <c r="E155" s="108"/>
      <c r="F155" s="127"/>
      <c r="G155" s="128"/>
      <c r="H155" s="454">
        <f t="shared" si="64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8"/>
        <v>0</v>
      </c>
      <c r="N155" s="130">
        <f t="shared" si="69"/>
        <v>0</v>
      </c>
      <c r="O155" s="462"/>
      <c r="P155" s="462"/>
      <c r="Q155" s="462"/>
      <c r="R155" s="462"/>
      <c r="S155" s="462"/>
      <c r="T155" s="462"/>
      <c r="U155" s="462"/>
      <c r="V155" s="132">
        <f t="shared" si="70"/>
        <v>0</v>
      </c>
      <c r="W155" s="133" t="str">
        <f t="shared" si="71"/>
        <v/>
      </c>
      <c r="X155" s="132"/>
      <c r="Y155" s="132"/>
      <c r="Z155" s="132"/>
      <c r="AA155" s="132"/>
    </row>
    <row r="156" spans="1:27" ht="20.100000000000001" hidden="1" customHeight="1">
      <c r="A156" s="305">
        <v>30601015</v>
      </c>
      <c r="B156" s="460" t="s">
        <v>443</v>
      </c>
      <c r="C156" s="460" t="s">
        <v>179</v>
      </c>
      <c r="D156" s="108">
        <v>6</v>
      </c>
      <c r="E156" s="108"/>
      <c r="F156" s="127"/>
      <c r="G156" s="128"/>
      <c r="H156" s="454">
        <f t="shared" si="64"/>
        <v>0</v>
      </c>
      <c r="I156" s="129"/>
      <c r="J156" s="130"/>
      <c r="K156" s="131"/>
      <c r="L156" s="129"/>
      <c r="M156" s="109"/>
      <c r="N156" s="130"/>
      <c r="O156" s="462"/>
      <c r="P156" s="462"/>
      <c r="Q156" s="462"/>
      <c r="R156" s="462"/>
      <c r="S156" s="462"/>
      <c r="T156" s="462"/>
      <c r="U156" s="462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305">
        <v>30101016</v>
      </c>
      <c r="B157" s="460" t="s">
        <v>443</v>
      </c>
      <c r="C157" s="460" t="s">
        <v>60</v>
      </c>
      <c r="D157" s="108">
        <v>6</v>
      </c>
      <c r="E157" s="108"/>
      <c r="F157" s="127"/>
      <c r="G157" s="128"/>
      <c r="H157" s="454">
        <f t="shared" si="64"/>
        <v>0</v>
      </c>
      <c r="I157" s="129"/>
      <c r="J157" s="130"/>
      <c r="K157" s="131"/>
      <c r="L157" s="129">
        <v>6</v>
      </c>
      <c r="M157" s="109"/>
      <c r="N157" s="130"/>
      <c r="O157" s="462"/>
      <c r="P157" s="462"/>
      <c r="Q157" s="462"/>
      <c r="R157" s="462"/>
      <c r="S157" s="462"/>
      <c r="T157" s="462"/>
      <c r="U157" s="462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299">
        <v>30700018</v>
      </c>
      <c r="B158" s="453" t="s">
        <v>240</v>
      </c>
      <c r="C158" s="126"/>
      <c r="D158" s="108">
        <v>7.3</v>
      </c>
      <c r="E158" s="108"/>
      <c r="F158" s="127"/>
      <c r="G158" s="128"/>
      <c r="H158" s="454">
        <f t="shared" si="64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2">IF(ISERROR(I158-K158),"",I158-K158)</f>
        <v/>
      </c>
      <c r="N158" s="130">
        <f t="shared" ref="N158:N159" si="73">SUM(O158:U158)</f>
        <v>0</v>
      </c>
      <c r="O158" s="462"/>
      <c r="P158" s="462"/>
      <c r="Q158" s="462"/>
      <c r="R158" s="462"/>
      <c r="S158" s="462"/>
      <c r="T158" s="462"/>
      <c r="U158" s="462"/>
      <c r="V158" s="132">
        <f t="shared" ref="V158:V159" si="74">SUM(X158:AA158)</f>
        <v>0</v>
      </c>
      <c r="W158" s="133" t="str">
        <f t="shared" ref="W158:W159" si="75">IF(ISERROR(V158/G158),"",V158/G158)</f>
        <v/>
      </c>
      <c r="X158" s="132"/>
      <c r="Y158" s="132"/>
      <c r="Z158" s="132"/>
      <c r="AA158" s="132"/>
    </row>
    <row r="159" spans="1:27" ht="20.100000000000001" hidden="1" customHeight="1">
      <c r="A159" s="299">
        <v>30700010</v>
      </c>
      <c r="B159" s="453" t="s">
        <v>241</v>
      </c>
      <c r="C159" s="126"/>
      <c r="D159" s="108">
        <f>78*120/1000</f>
        <v>9.36</v>
      </c>
      <c r="E159" s="108"/>
      <c r="F159" s="127"/>
      <c r="G159" s="128"/>
      <c r="H159" s="454">
        <f t="shared" si="64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3"/>
        <v>0</v>
      </c>
      <c r="O159" s="462"/>
      <c r="P159" s="462"/>
      <c r="Q159" s="462"/>
      <c r="R159" s="462"/>
      <c r="S159" s="462"/>
      <c r="T159" s="462"/>
      <c r="U159" s="462"/>
      <c r="V159" s="132">
        <f t="shared" si="74"/>
        <v>0</v>
      </c>
      <c r="W159" s="133" t="str">
        <f t="shared" si="75"/>
        <v/>
      </c>
      <c r="X159" s="132"/>
      <c r="Y159" s="132"/>
      <c r="Z159" s="132"/>
      <c r="AA159" s="132"/>
    </row>
    <row r="160" spans="1:27" ht="20.100000000000001" hidden="1" customHeight="1">
      <c r="A160" s="299">
        <v>30700015</v>
      </c>
      <c r="B160" s="453" t="s">
        <v>242</v>
      </c>
      <c r="C160" s="126"/>
      <c r="D160" s="108">
        <v>4.5</v>
      </c>
      <c r="E160" s="108"/>
      <c r="F160" s="127"/>
      <c r="G160" s="128"/>
      <c r="H160" s="454">
        <f t="shared" si="64"/>
        <v>0</v>
      </c>
      <c r="I160" s="129"/>
      <c r="J160" s="130"/>
      <c r="K160" s="131"/>
      <c r="L160" s="129"/>
      <c r="M160" s="109"/>
      <c r="N160" s="130"/>
      <c r="O160" s="462"/>
      <c r="P160" s="462"/>
      <c r="Q160" s="462"/>
      <c r="R160" s="462"/>
      <c r="S160" s="462"/>
      <c r="T160" s="462"/>
      <c r="U160" s="462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299">
        <v>30700012</v>
      </c>
      <c r="B161" s="453" t="s">
        <v>243</v>
      </c>
      <c r="C161" s="126"/>
      <c r="D161" s="108">
        <v>4.5</v>
      </c>
      <c r="E161" s="108"/>
      <c r="F161" s="127"/>
      <c r="G161" s="128"/>
      <c r="H161" s="454">
        <f t="shared" si="64"/>
        <v>0</v>
      </c>
      <c r="I161" s="129"/>
      <c r="J161" s="130"/>
      <c r="K161" s="131"/>
      <c r="L161" s="129"/>
      <c r="M161" s="109"/>
      <c r="N161" s="130"/>
      <c r="O161" s="462"/>
      <c r="P161" s="462"/>
      <c r="Q161" s="462"/>
      <c r="R161" s="462"/>
      <c r="S161" s="462"/>
      <c r="T161" s="462"/>
      <c r="U161" s="462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306">
        <v>30101063</v>
      </c>
      <c r="B162" s="254" t="s">
        <v>437</v>
      </c>
      <c r="C162" s="126"/>
      <c r="D162" s="108">
        <v>5.03</v>
      </c>
      <c r="E162" s="108"/>
      <c r="F162" s="127"/>
      <c r="G162" s="128"/>
      <c r="H162" s="454">
        <f t="shared" si="64"/>
        <v>0</v>
      </c>
      <c r="I162" s="129"/>
      <c r="J162" s="130"/>
      <c r="K162" s="131"/>
      <c r="L162" s="129"/>
      <c r="M162" s="109"/>
      <c r="N162" s="130"/>
      <c r="O162" s="462"/>
      <c r="P162" s="462"/>
      <c r="Q162" s="462"/>
      <c r="R162" s="462"/>
      <c r="S162" s="462"/>
      <c r="T162" s="462"/>
      <c r="U162" s="462"/>
      <c r="V162" s="132"/>
      <c r="W162" s="133"/>
      <c r="X162" s="132"/>
      <c r="Y162" s="132"/>
      <c r="Z162" s="132"/>
      <c r="AA162" s="132"/>
    </row>
    <row r="163" spans="1:27" ht="20.100000000000001" customHeight="1">
      <c r="A163" s="578" t="s">
        <v>244</v>
      </c>
      <c r="B163" s="579"/>
      <c r="C163" s="463" t="s">
        <v>202</v>
      </c>
      <c r="D163" s="143"/>
      <c r="E163" s="143"/>
      <c r="F163" s="144"/>
      <c r="G163" s="145">
        <f>SUM(G149:G161)</f>
        <v>259</v>
      </c>
      <c r="H163" s="146">
        <f>SUM(H149:H159)</f>
        <v>1518.5</v>
      </c>
      <c r="I163" s="146">
        <f>SUM(I149:I161)</f>
        <v>49</v>
      </c>
      <c r="J163" s="130">
        <f t="array" ref="J163">IF(ISERROR(G163/I163),"",G163/I163)</f>
        <v>5.2857142857142856</v>
      </c>
      <c r="K163" s="146">
        <f>SUM(K149:K159)</f>
        <v>49.623688155922039</v>
      </c>
      <c r="L163" s="147"/>
      <c r="M163" s="150">
        <f t="shared" ref="M163:V163" si="76">SUM(M149:M159)</f>
        <v>-0.62368815592204285</v>
      </c>
      <c r="N163" s="146">
        <f t="shared" si="76"/>
        <v>0</v>
      </c>
      <c r="O163" s="148">
        <f t="shared" si="76"/>
        <v>0</v>
      </c>
      <c r="P163" s="148">
        <f t="shared" si="76"/>
        <v>0</v>
      </c>
      <c r="Q163" s="148">
        <f t="shared" si="76"/>
        <v>0</v>
      </c>
      <c r="R163" s="148">
        <f t="shared" si="76"/>
        <v>0</v>
      </c>
      <c r="S163" s="148">
        <f t="shared" si="76"/>
        <v>0</v>
      </c>
      <c r="T163" s="148">
        <f t="shared" si="76"/>
        <v>0</v>
      </c>
      <c r="U163" s="148">
        <f t="shared" si="76"/>
        <v>0</v>
      </c>
      <c r="V163" s="149">
        <f t="shared" si="76"/>
        <v>0</v>
      </c>
      <c r="W163" s="133">
        <f>IF(ISERROR(V163/G163),"",V163/G163)</f>
        <v>0</v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580" t="s">
        <v>246</v>
      </c>
      <c r="B164" s="581"/>
      <c r="C164" s="581"/>
      <c r="D164" s="581"/>
      <c r="E164" s="581"/>
      <c r="F164" s="582"/>
      <c r="G164" s="154">
        <f>SUM(G28,G86,G121,G137,G148,G163)</f>
        <v>6400</v>
      </c>
      <c r="H164" s="154">
        <f>SUM(H28,H86,H121,H137,H148,H163)</f>
        <v>32492.97</v>
      </c>
      <c r="I164" s="154">
        <f>SUM(I28,I86,I121,I137,I148,I163)</f>
        <v>390.22</v>
      </c>
      <c r="J164" s="155">
        <f t="array" ref="J164">IF(ISERROR(G164/I164),"",G164/I164)</f>
        <v>16.401004561529394</v>
      </c>
      <c r="K164" s="154">
        <f>SUM(K28,K86,K121,K137,K148,K163)</f>
        <v>361.84362750593101</v>
      </c>
      <c r="L164" s="155">
        <f>IF(ISERROR(G164/K164),"",G164/K164)</f>
        <v>17.687198318547413</v>
      </c>
      <c r="M164" s="154">
        <f t="shared" ref="M164:AA164" si="77">SUM(M28,M86,M121,M137,M148,M163)</f>
        <v>28.376372494068942</v>
      </c>
      <c r="N164" s="154">
        <f t="shared" si="77"/>
        <v>0</v>
      </c>
      <c r="O164" s="154">
        <f t="shared" si="77"/>
        <v>0</v>
      </c>
      <c r="P164" s="154">
        <f t="shared" si="77"/>
        <v>0</v>
      </c>
      <c r="Q164" s="154">
        <f t="shared" si="77"/>
        <v>0</v>
      </c>
      <c r="R164" s="154">
        <f t="shared" si="77"/>
        <v>0</v>
      </c>
      <c r="S164" s="154">
        <f t="shared" si="77"/>
        <v>0</v>
      </c>
      <c r="T164" s="154">
        <f t="shared" si="77"/>
        <v>0</v>
      </c>
      <c r="U164" s="154">
        <f t="shared" si="77"/>
        <v>0</v>
      </c>
      <c r="V164" s="154">
        <f t="shared" si="77"/>
        <v>0</v>
      </c>
      <c r="W164" s="154">
        <f t="shared" si="77"/>
        <v>0</v>
      </c>
      <c r="X164" s="154">
        <f t="shared" si="77"/>
        <v>0</v>
      </c>
      <c r="Y164" s="154">
        <f t="shared" si="77"/>
        <v>0</v>
      </c>
      <c r="Z164" s="154">
        <f t="shared" si="77"/>
        <v>0</v>
      </c>
      <c r="AA164" s="154">
        <f t="shared" si="77"/>
        <v>0</v>
      </c>
    </row>
    <row r="165" spans="1:27" ht="20.100000000000001" customHeight="1">
      <c r="A165" s="583" t="s">
        <v>476</v>
      </c>
      <c r="B165" s="456" t="s">
        <v>247</v>
      </c>
      <c r="C165" s="586" t="s">
        <v>248</v>
      </c>
      <c r="D165" s="587"/>
      <c r="E165" s="588" t="s">
        <v>249</v>
      </c>
      <c r="F165" s="588"/>
      <c r="G165" s="591" t="s">
        <v>250</v>
      </c>
      <c r="H165" s="591"/>
      <c r="I165" s="588" t="s">
        <v>251</v>
      </c>
      <c r="J165" s="588"/>
      <c r="K165" s="588" t="s">
        <v>252</v>
      </c>
      <c r="L165" s="588"/>
      <c r="M165" s="588" t="s">
        <v>253</v>
      </c>
      <c r="N165" s="588"/>
      <c r="O165" s="588" t="s">
        <v>254</v>
      </c>
      <c r="P165" s="591" t="s">
        <v>255</v>
      </c>
      <c r="Q165" s="591"/>
      <c r="R165" s="591" t="s">
        <v>252</v>
      </c>
      <c r="S165" s="591"/>
      <c r="T165" s="591" t="s">
        <v>256</v>
      </c>
      <c r="U165" s="591"/>
      <c r="V165" s="591" t="s">
        <v>257</v>
      </c>
      <c r="W165" s="591"/>
      <c r="X165" s="591" t="s">
        <v>252</v>
      </c>
      <c r="Y165" s="591"/>
      <c r="Z165" s="591" t="s">
        <v>256</v>
      </c>
      <c r="AA165" s="591"/>
    </row>
    <row r="166" spans="1:27" ht="20.100000000000001" customHeight="1">
      <c r="A166" s="584"/>
      <c r="B166" s="456" t="s">
        <v>258</v>
      </c>
      <c r="C166" s="586">
        <v>1</v>
      </c>
      <c r="D166" s="587"/>
      <c r="E166" s="590">
        <f>C166*11</f>
        <v>11</v>
      </c>
      <c r="F166" s="590"/>
      <c r="G166" s="591">
        <v>1</v>
      </c>
      <c r="H166" s="591"/>
      <c r="I166" s="590">
        <f>G166*11</f>
        <v>11</v>
      </c>
      <c r="J166" s="590"/>
      <c r="K166" s="590">
        <f>E166-I166</f>
        <v>0</v>
      </c>
      <c r="L166" s="590"/>
      <c r="M166" s="592">
        <f>IF(ISERROR(K166/E166),"",K166/E166)</f>
        <v>0</v>
      </c>
      <c r="N166" s="592"/>
      <c r="O166" s="588"/>
      <c r="P166" s="591" t="s">
        <v>201</v>
      </c>
      <c r="Q166" s="591"/>
      <c r="R166" s="593">
        <f>SUM(O28:U28)</f>
        <v>0</v>
      </c>
      <c r="S166" s="593"/>
      <c r="T166" s="594" t="str">
        <f t="array" ref="T166">IF(ISERROR(R166/R173),"",R166/R173)</f>
        <v/>
      </c>
      <c r="U166" s="594"/>
      <c r="V166" s="591" t="s">
        <v>259</v>
      </c>
      <c r="W166" s="591"/>
      <c r="X166" s="595">
        <f>SUM(P27,P85,P120,P136,P147,P161)</f>
        <v>0</v>
      </c>
      <c r="Y166" s="595"/>
      <c r="Z166" s="594" t="str">
        <f t="array" ref="Z166">IF(ISERROR(X166/X173),"",X166/X173)</f>
        <v/>
      </c>
      <c r="AA166" s="594"/>
    </row>
    <row r="167" spans="1:27" ht="20.100000000000001" customHeight="1">
      <c r="A167" s="584"/>
      <c r="B167" s="456" t="s">
        <v>260</v>
      </c>
      <c r="C167" s="586">
        <v>1</v>
      </c>
      <c r="D167" s="587"/>
      <c r="E167" s="590">
        <f>C167*11</f>
        <v>11</v>
      </c>
      <c r="F167" s="590"/>
      <c r="G167" s="591">
        <v>1</v>
      </c>
      <c r="H167" s="591"/>
      <c r="I167" s="590">
        <f>G167*11</f>
        <v>11</v>
      </c>
      <c r="J167" s="590"/>
      <c r="K167" s="590">
        <f>E167-I167</f>
        <v>0</v>
      </c>
      <c r="L167" s="590"/>
      <c r="M167" s="592">
        <f>IF(ISERROR(K167/E167),"",K167/E167)</f>
        <v>0</v>
      </c>
      <c r="N167" s="592"/>
      <c r="O167" s="588"/>
      <c r="P167" s="591" t="s">
        <v>216</v>
      </c>
      <c r="Q167" s="591"/>
      <c r="R167" s="593">
        <f>SUM(O86:U86)</f>
        <v>0</v>
      </c>
      <c r="S167" s="593"/>
      <c r="T167" s="594" t="str">
        <f>IF(ISERROR(R167/R173),"",R167/R173)</f>
        <v/>
      </c>
      <c r="U167" s="594"/>
      <c r="V167" s="591" t="s">
        <v>261</v>
      </c>
      <c r="W167" s="591"/>
      <c r="X167" s="595">
        <f>SUM(P28,P86,P121,P137,P148,P163)</f>
        <v>0</v>
      </c>
      <c r="Y167" s="595"/>
      <c r="Z167" s="594" t="str">
        <f>IF(ISERROR(X167/X173),"",X167/X173)</f>
        <v/>
      </c>
      <c r="AA167" s="594"/>
    </row>
    <row r="168" spans="1:27" ht="20.100000000000001" customHeight="1">
      <c r="A168" s="584"/>
      <c r="B168" s="456" t="s">
        <v>262</v>
      </c>
      <c r="C168" s="586">
        <v>1</v>
      </c>
      <c r="D168" s="587"/>
      <c r="E168" s="590">
        <f>C168*8</f>
        <v>8</v>
      </c>
      <c r="F168" s="590"/>
      <c r="G168" s="591">
        <v>1</v>
      </c>
      <c r="H168" s="591"/>
      <c r="I168" s="590">
        <f>G168*8</f>
        <v>8</v>
      </c>
      <c r="J168" s="590"/>
      <c r="K168" s="590">
        <f>E168-I168</f>
        <v>0</v>
      </c>
      <c r="L168" s="590"/>
      <c r="M168" s="592">
        <f>IF(ISERROR(K168/E168),"",K168/E168)</f>
        <v>0</v>
      </c>
      <c r="N168" s="592"/>
      <c r="O168" s="588"/>
      <c r="P168" s="591" t="s">
        <v>224</v>
      </c>
      <c r="Q168" s="591"/>
      <c r="R168" s="593">
        <f>SUM(O121:U121)</f>
        <v>0</v>
      </c>
      <c r="S168" s="593"/>
      <c r="T168" s="594" t="str">
        <f>IF(ISERROR(R168/R173),"",R168/R173)</f>
        <v/>
      </c>
      <c r="U168" s="594"/>
      <c r="V168" s="591" t="s">
        <v>263</v>
      </c>
      <c r="W168" s="591"/>
      <c r="X168" s="595">
        <f>SUM(P29,P87,P122,P138,P149,P164)</f>
        <v>0</v>
      </c>
      <c r="Y168" s="595"/>
      <c r="Z168" s="594" t="str">
        <f>IF(ISERROR(X168/X173),"",X168/X173)</f>
        <v/>
      </c>
      <c r="AA168" s="594"/>
    </row>
    <row r="169" spans="1:27" ht="20.100000000000001" customHeight="1">
      <c r="A169" s="584"/>
      <c r="B169" s="456" t="s">
        <v>264</v>
      </c>
      <c r="C169" s="586">
        <v>1</v>
      </c>
      <c r="D169" s="587"/>
      <c r="E169" s="590">
        <f>C169*11</f>
        <v>11</v>
      </c>
      <c r="F169" s="590"/>
      <c r="G169" s="591">
        <v>1</v>
      </c>
      <c r="H169" s="591"/>
      <c r="I169" s="590">
        <f>G169*11</f>
        <v>11</v>
      </c>
      <c r="J169" s="590"/>
      <c r="K169" s="590">
        <f>E169-I169</f>
        <v>0</v>
      </c>
      <c r="L169" s="590"/>
      <c r="M169" s="592">
        <f>IF(ISERROR(K169/E169),"",K169/E169)</f>
        <v>0</v>
      </c>
      <c r="N169" s="592"/>
      <c r="O169" s="588"/>
      <c r="P169" s="591" t="s">
        <v>231</v>
      </c>
      <c r="Q169" s="591"/>
      <c r="R169" s="593">
        <f>SUM(O137:U137)</f>
        <v>0</v>
      </c>
      <c r="S169" s="593"/>
      <c r="T169" s="594" t="str">
        <f>IF(ISERROR(R169/R173),"",R169/R173)</f>
        <v/>
      </c>
      <c r="U169" s="594"/>
      <c r="V169" s="591" t="s">
        <v>265</v>
      </c>
      <c r="W169" s="591"/>
      <c r="X169" s="595">
        <f>SUM(P31,P88,P123,P139,P150,P165)</f>
        <v>0</v>
      </c>
      <c r="Y169" s="595"/>
      <c r="Z169" s="594" t="str">
        <f>IF(ISERROR(X169/X173),"",X169/X173)</f>
        <v/>
      </c>
      <c r="AA169" s="594"/>
    </row>
    <row r="170" spans="1:27" ht="20.100000000000001" customHeight="1">
      <c r="A170" s="585"/>
      <c r="B170" s="456" t="s">
        <v>266</v>
      </c>
      <c r="C170" s="596">
        <f>SUM(C166:D169)</f>
        <v>4</v>
      </c>
      <c r="D170" s="597"/>
      <c r="E170" s="590">
        <f>SUM(E166:F169)</f>
        <v>41</v>
      </c>
      <c r="F170" s="590"/>
      <c r="G170" s="591">
        <f>SUM(G166:H169)</f>
        <v>4</v>
      </c>
      <c r="H170" s="591"/>
      <c r="I170" s="590">
        <f>SUM(I166:J169)</f>
        <v>41</v>
      </c>
      <c r="J170" s="590"/>
      <c r="K170" s="590">
        <f>SUM(K166:L169)</f>
        <v>0</v>
      </c>
      <c r="L170" s="590"/>
      <c r="M170" s="592">
        <f>IF(ISERROR(K170/E170),"",K170/E170)</f>
        <v>0</v>
      </c>
      <c r="N170" s="592"/>
      <c r="O170" s="588"/>
      <c r="P170" s="591" t="s">
        <v>234</v>
      </c>
      <c r="Q170" s="591"/>
      <c r="R170" s="593">
        <f>SUM(O148:U148)</f>
        <v>0</v>
      </c>
      <c r="S170" s="593"/>
      <c r="T170" s="594" t="str">
        <f>IF(ISERROR(R170/R173),"",R170/R173)</f>
        <v/>
      </c>
      <c r="U170" s="594"/>
      <c r="V170" s="591" t="s">
        <v>267</v>
      </c>
      <c r="W170" s="591"/>
      <c r="X170" s="595">
        <f>SUM(P32,P89,P124,P140,P151,P166)</f>
        <v>0</v>
      </c>
      <c r="Y170" s="595"/>
      <c r="Z170" s="594" t="str">
        <f>IF(ISERROR(X170/X173),"",X170/X173)</f>
        <v/>
      </c>
      <c r="AA170" s="594"/>
    </row>
    <row r="171" spans="1:27" ht="20.100000000000001" customHeight="1">
      <c r="A171" s="307" t="s">
        <v>477</v>
      </c>
      <c r="B171" s="456">
        <f>G164</f>
        <v>6400</v>
      </c>
      <c r="C171" s="598" t="s">
        <v>269</v>
      </c>
      <c r="D171" s="599"/>
      <c r="E171" s="591">
        <f>H164</f>
        <v>32492.97</v>
      </c>
      <c r="F171" s="591"/>
      <c r="G171" s="591" t="s">
        <v>270</v>
      </c>
      <c r="H171" s="591"/>
      <c r="I171" s="600">
        <f>L164</f>
        <v>17.687198318547413</v>
      </c>
      <c r="J171" s="600"/>
      <c r="K171" s="588" t="s">
        <v>271</v>
      </c>
      <c r="L171" s="588"/>
      <c r="M171" s="600">
        <f>J164</f>
        <v>16.401004561529394</v>
      </c>
      <c r="N171" s="600"/>
      <c r="O171" s="588"/>
      <c r="P171" s="591" t="s">
        <v>244</v>
      </c>
      <c r="Q171" s="591"/>
      <c r="R171" s="593">
        <f>SUM(O163:U163)</f>
        <v>0</v>
      </c>
      <c r="S171" s="593"/>
      <c r="T171" s="594" t="str">
        <f>IF(ISERROR(R171/R173),"",R171/R173)</f>
        <v/>
      </c>
      <c r="U171" s="594"/>
      <c r="V171" s="591" t="s">
        <v>272</v>
      </c>
      <c r="W171" s="591"/>
      <c r="X171" s="595">
        <f>SUM(P33,P90,P125,P141,P152,P167)</f>
        <v>0</v>
      </c>
      <c r="Y171" s="595"/>
      <c r="Z171" s="594" t="str">
        <f>IF(ISERROR(X171/X173),"",X171/X173)</f>
        <v/>
      </c>
      <c r="AA171" s="594"/>
    </row>
    <row r="172" spans="1:27" ht="20.100000000000001" customHeight="1">
      <c r="A172" s="308" t="s">
        <v>478</v>
      </c>
      <c r="B172" s="456">
        <f>I164+C170</f>
        <v>394.22</v>
      </c>
      <c r="C172" s="601" t="s">
        <v>251</v>
      </c>
      <c r="D172" s="602"/>
      <c r="E172" s="603">
        <f>K164+I170</f>
        <v>402.84362750593101</v>
      </c>
      <c r="F172" s="603"/>
      <c r="G172" s="591" t="s">
        <v>274</v>
      </c>
      <c r="H172" s="591"/>
      <c r="I172" s="600">
        <f>B172-E172</f>
        <v>-8.6236275059309833</v>
      </c>
      <c r="J172" s="600"/>
      <c r="K172" s="588" t="s">
        <v>275</v>
      </c>
      <c r="L172" s="588"/>
      <c r="M172" s="592">
        <f>IF(ISERROR(I172/E172),"",I172/E172)</f>
        <v>-2.1406885742046446E-2</v>
      </c>
      <c r="N172" s="592"/>
      <c r="O172" s="588"/>
      <c r="P172" s="591" t="s">
        <v>245</v>
      </c>
      <c r="Q172" s="591"/>
      <c r="R172" s="593"/>
      <c r="S172" s="593"/>
      <c r="T172" s="594" t="str">
        <f>IF(ISERROR(R172/R173),"",R172/R173)</f>
        <v/>
      </c>
      <c r="U172" s="594"/>
      <c r="V172" s="591" t="s">
        <v>264</v>
      </c>
      <c r="W172" s="591"/>
      <c r="X172" s="595"/>
      <c r="Y172" s="595"/>
      <c r="Z172" s="594" t="str">
        <f>IF(ISERROR(X172/X173),"",X172/X173)</f>
        <v/>
      </c>
      <c r="AA172" s="594"/>
    </row>
    <row r="173" spans="1:27" ht="20.100000000000001" customHeight="1">
      <c r="A173" s="308" t="s">
        <v>479</v>
      </c>
      <c r="B173" s="456">
        <f>N164</f>
        <v>0</v>
      </c>
      <c r="C173" s="601" t="s">
        <v>277</v>
      </c>
      <c r="D173" s="602"/>
      <c r="E173" s="594">
        <f>IF(ISERROR(B173/B172),"",B173/B172)</f>
        <v>0</v>
      </c>
      <c r="F173" s="594"/>
      <c r="G173" s="591" t="s">
        <v>278</v>
      </c>
      <c r="H173" s="591"/>
      <c r="I173" s="588">
        <f>V164</f>
        <v>0</v>
      </c>
      <c r="J173" s="588"/>
      <c r="K173" s="588" t="s">
        <v>279</v>
      </c>
      <c r="L173" s="588"/>
      <c r="M173" s="592">
        <f t="array" ref="M173">IF(ISERROR(I173/B171),"",I173/B171)</f>
        <v>0</v>
      </c>
      <c r="N173" s="592"/>
      <c r="O173" s="588"/>
      <c r="P173" s="591" t="s">
        <v>266</v>
      </c>
      <c r="Q173" s="591"/>
      <c r="R173" s="593">
        <f>SUM(R166:S172)</f>
        <v>0</v>
      </c>
      <c r="S173" s="593"/>
      <c r="T173" s="594"/>
      <c r="U173" s="594"/>
      <c r="V173" s="591" t="s">
        <v>266</v>
      </c>
      <c r="W173" s="591"/>
      <c r="X173" s="595">
        <f>SUM(X166:Y172)</f>
        <v>0</v>
      </c>
      <c r="Y173" s="595"/>
      <c r="Z173" s="594"/>
      <c r="AA173" s="594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4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604" t="s">
        <v>480</v>
      </c>
      <c r="B175" s="607" t="s">
        <v>280</v>
      </c>
      <c r="C175" s="607" t="s">
        <v>281</v>
      </c>
      <c r="D175" s="607" t="s">
        <v>282</v>
      </c>
      <c r="E175" s="610" t="s">
        <v>283</v>
      </c>
      <c r="F175" s="623" t="s">
        <v>284</v>
      </c>
      <c r="G175" s="588" t="s">
        <v>285</v>
      </c>
      <c r="H175" s="588"/>
      <c r="I175" s="607" t="s">
        <v>286</v>
      </c>
      <c r="J175" s="613" t="s">
        <v>271</v>
      </c>
      <c r="K175" s="616" t="s">
        <v>287</v>
      </c>
      <c r="L175" s="607" t="s">
        <v>270</v>
      </c>
      <c r="M175" s="619" t="s">
        <v>288</v>
      </c>
      <c r="N175" s="621" t="s">
        <v>252</v>
      </c>
      <c r="O175" s="588" t="s">
        <v>289</v>
      </c>
      <c r="P175" s="588"/>
      <c r="Q175" s="588"/>
      <c r="R175" s="588"/>
      <c r="S175" s="588"/>
      <c r="T175" s="588"/>
      <c r="U175" s="588"/>
      <c r="V175" s="588" t="s">
        <v>290</v>
      </c>
      <c r="W175" s="621" t="s">
        <v>291</v>
      </c>
      <c r="X175" s="588" t="s">
        <v>292</v>
      </c>
      <c r="Y175" s="588"/>
      <c r="Z175" s="588"/>
      <c r="AA175" s="588"/>
    </row>
    <row r="176" spans="1:27" ht="21.95" customHeight="1">
      <c r="A176" s="605"/>
      <c r="B176" s="608"/>
      <c r="C176" s="608"/>
      <c r="D176" s="608"/>
      <c r="E176" s="611"/>
      <c r="F176" s="624"/>
      <c r="G176" s="588"/>
      <c r="H176" s="588"/>
      <c r="I176" s="608"/>
      <c r="J176" s="614"/>
      <c r="K176" s="617"/>
      <c r="L176" s="608"/>
      <c r="M176" s="620"/>
      <c r="N176" s="621"/>
      <c r="O176" s="588" t="s">
        <v>259</v>
      </c>
      <c r="P176" s="588" t="s">
        <v>261</v>
      </c>
      <c r="Q176" s="588" t="s">
        <v>263</v>
      </c>
      <c r="R176" s="622" t="s">
        <v>265</v>
      </c>
      <c r="S176" s="591" t="s">
        <v>267</v>
      </c>
      <c r="T176" s="588" t="s">
        <v>272</v>
      </c>
      <c r="U176" s="588" t="s">
        <v>264</v>
      </c>
      <c r="V176" s="588"/>
      <c r="W176" s="621"/>
      <c r="X176" s="588" t="s">
        <v>293</v>
      </c>
      <c r="Y176" s="588" t="s">
        <v>294</v>
      </c>
      <c r="Z176" s="588" t="s">
        <v>295</v>
      </c>
      <c r="AA176" s="588" t="s">
        <v>264</v>
      </c>
    </row>
    <row r="177" spans="1:27" ht="21.95" customHeight="1">
      <c r="A177" s="606"/>
      <c r="B177" s="609"/>
      <c r="C177" s="609"/>
      <c r="D177" s="609"/>
      <c r="E177" s="612"/>
      <c r="F177" s="625"/>
      <c r="G177" s="348" t="s">
        <v>543</v>
      </c>
      <c r="H177" s="460" t="s">
        <v>297</v>
      </c>
      <c r="I177" s="609"/>
      <c r="J177" s="615"/>
      <c r="K177" s="618"/>
      <c r="L177" s="609"/>
      <c r="M177" s="620"/>
      <c r="N177" s="621"/>
      <c r="O177" s="588"/>
      <c r="P177" s="588"/>
      <c r="Q177" s="588"/>
      <c r="R177" s="622"/>
      <c r="S177" s="591"/>
      <c r="T177" s="588"/>
      <c r="U177" s="588"/>
      <c r="V177" s="588"/>
      <c r="W177" s="621"/>
      <c r="X177" s="588"/>
      <c r="Y177" s="588"/>
      <c r="Z177" s="588"/>
      <c r="AA177" s="588"/>
    </row>
    <row r="178" spans="1:27" ht="20.100000000000001" hidden="1" customHeight="1">
      <c r="A178" s="299">
        <v>30100030</v>
      </c>
      <c r="B178" s="453" t="s">
        <v>178</v>
      </c>
      <c r="C178" s="126" t="s">
        <v>179</v>
      </c>
      <c r="D178" s="108">
        <v>5.03</v>
      </c>
      <c r="E178" s="108"/>
      <c r="F178" s="127"/>
      <c r="G178" s="128"/>
      <c r="H178" s="454">
        <f t="shared" ref="H178:H187" si="78">D178*G178</f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16</v>
      </c>
      <c r="M178" s="109">
        <f t="shared" ref="M178:M187" si="79">IF(ISERROR(I178-K178),"",I178-K178)</f>
        <v>0</v>
      </c>
      <c r="N178" s="130">
        <f>SUM(O178:U178)</f>
        <v>0</v>
      </c>
      <c r="O178" s="462"/>
      <c r="P178" s="462"/>
      <c r="Q178" s="462"/>
      <c r="R178" s="462"/>
      <c r="S178" s="462"/>
      <c r="T178" s="462"/>
      <c r="U178" s="462"/>
      <c r="V178" s="132">
        <f t="shared" ref="V178:V183" si="80">SUM(X178:AA178)</f>
        <v>0</v>
      </c>
      <c r="W178" s="133" t="str">
        <f t="shared" ref="W178:W183" si="81">IF(ISERROR(V178/G178),"",V178/G178)</f>
        <v/>
      </c>
      <c r="X178" s="132"/>
      <c r="Y178" s="132"/>
      <c r="Z178" s="132"/>
      <c r="AA178" s="132"/>
    </row>
    <row r="179" spans="1:27" ht="20.100000000000001" hidden="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28"/>
      <c r="H179" s="454">
        <f t="shared" si="78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9"/>
        <v>0</v>
      </c>
      <c r="N179" s="130">
        <f t="shared" ref="N179:N187" si="82">SUM(O179:U179)</f>
        <v>0</v>
      </c>
      <c r="O179" s="462"/>
      <c r="P179" s="462"/>
      <c r="Q179" s="462"/>
      <c r="R179" s="462"/>
      <c r="S179" s="462"/>
      <c r="T179" s="462"/>
      <c r="U179" s="462"/>
      <c r="V179" s="132">
        <f t="shared" si="80"/>
        <v>0</v>
      </c>
      <c r="W179" s="133" t="str">
        <f t="shared" si="81"/>
        <v/>
      </c>
      <c r="X179" s="132"/>
      <c r="Y179" s="132"/>
      <c r="Z179" s="132"/>
      <c r="AA179" s="132"/>
    </row>
    <row r="180" spans="1:27" ht="20.100000000000001" hidden="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28"/>
      <c r="H180" s="454">
        <f t="shared" si="78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9"/>
        <v>0</v>
      </c>
      <c r="N180" s="130">
        <f t="shared" si="82"/>
        <v>0</v>
      </c>
      <c r="O180" s="462"/>
      <c r="P180" s="462"/>
      <c r="Q180" s="462"/>
      <c r="R180" s="462"/>
      <c r="S180" s="462"/>
      <c r="T180" s="462"/>
      <c r="U180" s="462"/>
      <c r="V180" s="132">
        <f t="shared" si="80"/>
        <v>0</v>
      </c>
      <c r="W180" s="133" t="str">
        <f t="shared" si="81"/>
        <v/>
      </c>
      <c r="X180" s="132"/>
      <c r="Y180" s="132"/>
      <c r="Z180" s="132"/>
      <c r="AA180" s="132"/>
    </row>
    <row r="181" spans="1:27" ht="20.10000000000000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>
        <v>42741</v>
      </c>
      <c r="G181" s="128">
        <f>108*5+108+2</f>
        <v>650</v>
      </c>
      <c r="H181" s="454">
        <f t="shared" si="78"/>
        <v>3269.5</v>
      </c>
      <c r="I181" s="129">
        <f>11.5*4</f>
        <v>46</v>
      </c>
      <c r="J181" s="130">
        <f t="array" ref="J181">IF(ISERROR(G181/I181),"",G181/I181)</f>
        <v>14.130434782608695</v>
      </c>
      <c r="K181" s="131">
        <f t="array" ref="K181">IF(ISERROR(G181/L181),"",G181/L181)</f>
        <v>34.210526315789473</v>
      </c>
      <c r="L181" s="129">
        <v>19</v>
      </c>
      <c r="M181" s="109">
        <f t="shared" si="79"/>
        <v>11.789473684210527</v>
      </c>
      <c r="N181" s="130">
        <f t="shared" si="82"/>
        <v>0</v>
      </c>
      <c r="O181" s="462"/>
      <c r="P181" s="462"/>
      <c r="Q181" s="462"/>
      <c r="R181" s="462"/>
      <c r="S181" s="462"/>
      <c r="T181" s="462"/>
      <c r="U181" s="462"/>
      <c r="V181" s="132">
        <f t="shared" si="80"/>
        <v>0</v>
      </c>
      <c r="W181" s="133">
        <f t="shared" si="81"/>
        <v>0</v>
      </c>
      <c r="X181" s="132"/>
      <c r="Y181" s="132"/>
      <c r="Z181" s="132"/>
      <c r="AA181" s="132"/>
    </row>
    <row r="182" spans="1:27" ht="20.100000000000001" hidden="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/>
      <c r="G182" s="128"/>
      <c r="H182" s="454">
        <f t="shared" si="78"/>
        <v>0</v>
      </c>
      <c r="I182" s="129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20</v>
      </c>
      <c r="M182" s="109">
        <f t="shared" si="79"/>
        <v>0</v>
      </c>
      <c r="N182" s="130">
        <f t="shared" si="82"/>
        <v>0</v>
      </c>
      <c r="O182" s="462"/>
      <c r="P182" s="462"/>
      <c r="Q182" s="462"/>
      <c r="R182" s="462"/>
      <c r="S182" s="462"/>
      <c r="T182" s="462"/>
      <c r="U182" s="462"/>
      <c r="V182" s="132">
        <f t="shared" si="80"/>
        <v>0</v>
      </c>
      <c r="W182" s="133" t="str">
        <f t="shared" si="81"/>
        <v/>
      </c>
      <c r="X182" s="132"/>
      <c r="Y182" s="132"/>
      <c r="Z182" s="132"/>
      <c r="AA182" s="132"/>
    </row>
    <row r="183" spans="1:27" ht="20.10000000000000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27">
        <v>42739</v>
      </c>
      <c r="G183" s="128">
        <f>43+57</f>
        <v>100</v>
      </c>
      <c r="H183" s="454">
        <f t="shared" si="78"/>
        <v>504</v>
      </c>
      <c r="I183" s="138">
        <v>5</v>
      </c>
      <c r="J183" s="130">
        <f t="array" ref="J183">IF(ISERROR(G183/I183),"",G183/I183)</f>
        <v>20</v>
      </c>
      <c r="K183" s="131">
        <f t="array" ref="K183">IF(ISERROR(G183/L183),"",G183/L183)</f>
        <v>5.2631578947368425</v>
      </c>
      <c r="L183" s="129">
        <v>19</v>
      </c>
      <c r="M183" s="109">
        <f t="shared" si="79"/>
        <v>-0.26315789473684248</v>
      </c>
      <c r="N183" s="130">
        <f t="shared" si="82"/>
        <v>0</v>
      </c>
      <c r="O183" s="462"/>
      <c r="P183" s="462"/>
      <c r="Q183" s="462"/>
      <c r="R183" s="462"/>
      <c r="S183" s="462"/>
      <c r="T183" s="462"/>
      <c r="U183" s="462"/>
      <c r="V183" s="132">
        <f t="shared" si="80"/>
        <v>0</v>
      </c>
      <c r="W183" s="133">
        <f t="shared" si="81"/>
        <v>0</v>
      </c>
      <c r="X183" s="132"/>
      <c r="Y183" s="132"/>
      <c r="Z183" s="132"/>
      <c r="AA183" s="132"/>
    </row>
    <row r="184" spans="1:27" ht="20.100000000000001" hidden="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/>
      <c r="G184" s="128"/>
      <c r="H184" s="454">
        <f t="shared" si="78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9"/>
        <v>0</v>
      </c>
      <c r="N184" s="130">
        <f t="shared" si="82"/>
        <v>0</v>
      </c>
      <c r="O184" s="462"/>
      <c r="P184" s="462"/>
      <c r="Q184" s="462"/>
      <c r="R184" s="462"/>
      <c r="S184" s="462"/>
      <c r="T184" s="462"/>
      <c r="U184" s="462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28"/>
      <c r="H185" s="454">
        <f t="shared" si="78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79"/>
        <v>0</v>
      </c>
      <c r="N185" s="130">
        <f t="shared" si="82"/>
        <v>0</v>
      </c>
      <c r="O185" s="462"/>
      <c r="P185" s="462"/>
      <c r="Q185" s="462"/>
      <c r="R185" s="462"/>
      <c r="S185" s="462"/>
      <c r="T185" s="462"/>
      <c r="U185" s="462"/>
      <c r="V185" s="132"/>
      <c r="W185" s="133"/>
      <c r="X185" s="132"/>
      <c r="Y185" s="132"/>
      <c r="Z185" s="132"/>
      <c r="AA185" s="132"/>
    </row>
    <row r="186" spans="1:27" ht="20.100000000000001" hidden="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/>
      <c r="G186" s="128"/>
      <c r="H186" s="454">
        <f t="shared" si="78"/>
        <v>0</v>
      </c>
      <c r="I186" s="454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9"/>
        <v>0</v>
      </c>
      <c r="N186" s="130">
        <f t="shared" si="82"/>
        <v>0</v>
      </c>
      <c r="O186" s="462"/>
      <c r="P186" s="462"/>
      <c r="Q186" s="462"/>
      <c r="R186" s="462"/>
      <c r="S186" s="462"/>
      <c r="T186" s="462"/>
      <c r="U186" s="462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>
        <v>42375</v>
      </c>
      <c r="G187" s="128">
        <f>100*3+102</f>
        <v>402</v>
      </c>
      <c r="H187" s="454">
        <f t="shared" si="78"/>
        <v>2026.08</v>
      </c>
      <c r="I187" s="454">
        <f>7*5</f>
        <v>35</v>
      </c>
      <c r="J187" s="130">
        <f t="array" ref="J187">IF(ISERROR(G187/I187),"",G187/I187)</f>
        <v>11.485714285714286</v>
      </c>
      <c r="K187" s="131">
        <f t="array" ref="K187">IF(ISERROR(G187/L187),"",G187/L187)</f>
        <v>23.647058823529413</v>
      </c>
      <c r="L187" s="129">
        <v>17</v>
      </c>
      <c r="M187" s="109">
        <f t="shared" si="79"/>
        <v>11.352941176470587</v>
      </c>
      <c r="N187" s="130">
        <f t="shared" si="82"/>
        <v>0</v>
      </c>
      <c r="O187" s="462"/>
      <c r="P187" s="462"/>
      <c r="Q187" s="462"/>
      <c r="R187" s="462"/>
      <c r="S187" s="462"/>
      <c r="T187" s="462"/>
      <c r="U187" s="462"/>
      <c r="V187" s="132">
        <f>SUM(X187:AA187)</f>
        <v>0</v>
      </c>
      <c r="W187" s="133">
        <f>IF(ISERROR(V187/G187),"",V187/G187)</f>
        <v>0</v>
      </c>
      <c r="X187" s="132"/>
      <c r="Y187" s="132"/>
      <c r="Z187" s="132"/>
      <c r="AA187" s="132"/>
    </row>
    <row r="188" spans="1:27" ht="20.100000000000001" hidden="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28"/>
      <c r="H188" s="454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462"/>
      <c r="P188" s="462"/>
      <c r="Q188" s="462"/>
      <c r="R188" s="462"/>
      <c r="S188" s="462"/>
      <c r="T188" s="462"/>
      <c r="U188" s="462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28"/>
      <c r="H189" s="454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462"/>
      <c r="P189" s="462"/>
      <c r="Q189" s="462"/>
      <c r="R189" s="462"/>
      <c r="S189" s="462"/>
      <c r="T189" s="462"/>
      <c r="U189" s="462"/>
      <c r="V189" s="132"/>
      <c r="W189" s="133"/>
      <c r="X189" s="132"/>
      <c r="Y189" s="132"/>
      <c r="Z189" s="132"/>
      <c r="AA189" s="132"/>
    </row>
    <row r="190" spans="1:27" ht="20.10000000000000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E190" s="108"/>
      <c r="F190" s="127">
        <v>42741</v>
      </c>
      <c r="G190" s="128">
        <f>90*2+21+90</f>
        <v>291</v>
      </c>
      <c r="H190" s="454">
        <f t="shared" ref="H190:H198" si="83">D190*G190</f>
        <v>1472.4599999999998</v>
      </c>
      <c r="I190" s="129">
        <f>4*5</f>
        <v>20</v>
      </c>
      <c r="J190" s="130">
        <f t="array" ref="J190">IF(ISERROR(G190/I190),"",G190/I190)</f>
        <v>14.55</v>
      </c>
      <c r="K190" s="131">
        <f t="array" ref="K190">IF(ISERROR(G190/L190),"",G190/L190)</f>
        <v>15.315789473684211</v>
      </c>
      <c r="L190" s="129">
        <v>19</v>
      </c>
      <c r="M190" s="109">
        <f t="shared" ref="M190:M198" si="84">IF(ISERROR(I190-K190),"",I190-K190)</f>
        <v>4.6842105263157894</v>
      </c>
      <c r="N190" s="130">
        <f t="shared" ref="N190:N192" si="85">SUM(O190:U190)</f>
        <v>0</v>
      </c>
      <c r="O190" s="462"/>
      <c r="P190" s="462"/>
      <c r="Q190" s="462"/>
      <c r="R190" s="462"/>
      <c r="S190" s="462"/>
      <c r="T190" s="462"/>
      <c r="U190" s="462"/>
      <c r="V190" s="132">
        <f t="shared" ref="V190:V192" si="86">SUM(X190:AA190)</f>
        <v>0</v>
      </c>
      <c r="W190" s="133">
        <f t="shared" ref="W190:W192" si="87">IF(ISERROR(V190/G190),"",V190/G190)</f>
        <v>0</v>
      </c>
      <c r="X190" s="132"/>
      <c r="Y190" s="132"/>
      <c r="Z190" s="132"/>
      <c r="AA190" s="132"/>
    </row>
    <row r="191" spans="1:27" ht="20.100000000000001" hidden="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27"/>
      <c r="G191" s="128"/>
      <c r="H191" s="454">
        <f t="shared" si="83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4"/>
        <v>0</v>
      </c>
      <c r="N191" s="130">
        <f t="shared" si="85"/>
        <v>0</v>
      </c>
      <c r="O191" s="462"/>
      <c r="P191" s="462"/>
      <c r="Q191" s="462"/>
      <c r="R191" s="462"/>
      <c r="S191" s="462"/>
      <c r="T191" s="462"/>
      <c r="U191" s="462"/>
      <c r="V191" s="132">
        <f t="shared" si="86"/>
        <v>0</v>
      </c>
      <c r="W191" s="133" t="str">
        <f t="shared" si="87"/>
        <v/>
      </c>
      <c r="X191" s="132"/>
      <c r="Y191" s="132"/>
      <c r="Z191" s="132"/>
      <c r="AA191" s="132"/>
    </row>
    <row r="192" spans="1:27" ht="20.100000000000001" hidden="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/>
      <c r="G192" s="128"/>
      <c r="H192" s="454">
        <f t="shared" si="83"/>
        <v>0</v>
      </c>
      <c r="I192" s="129"/>
      <c r="J192" s="130" t="str">
        <f t="array" ref="J192">IF(ISERROR(G192/I192),"",G192/I192)</f>
        <v/>
      </c>
      <c r="K192" s="131">
        <f t="array" ref="K192">IF(ISERROR(G192/L192),"",G192/L192)</f>
        <v>0</v>
      </c>
      <c r="L192" s="129">
        <v>23</v>
      </c>
      <c r="M192" s="109">
        <f t="shared" si="84"/>
        <v>0</v>
      </c>
      <c r="N192" s="130">
        <f t="shared" si="85"/>
        <v>0</v>
      </c>
      <c r="O192" s="462"/>
      <c r="P192" s="462"/>
      <c r="Q192" s="462"/>
      <c r="R192" s="462"/>
      <c r="S192" s="462"/>
      <c r="T192" s="462"/>
      <c r="U192" s="462"/>
      <c r="V192" s="132">
        <f t="shared" si="86"/>
        <v>0</v>
      </c>
      <c r="W192" s="133" t="str">
        <f t="shared" si="87"/>
        <v/>
      </c>
      <c r="X192" s="132"/>
      <c r="Y192" s="132"/>
      <c r="Z192" s="132"/>
      <c r="AA192" s="132"/>
    </row>
    <row r="193" spans="1:27" ht="20.100000000000001" hidden="1" customHeight="1">
      <c r="A193" s="300">
        <v>30100003</v>
      </c>
      <c r="B193" s="141" t="s">
        <v>198</v>
      </c>
      <c r="C193" s="460" t="s">
        <v>190</v>
      </c>
      <c r="D193" s="108">
        <v>4.8</v>
      </c>
      <c r="E193" s="108"/>
      <c r="F193" s="127"/>
      <c r="G193" s="128"/>
      <c r="H193" s="454">
        <f t="shared" si="83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4"/>
        <v>0</v>
      </c>
      <c r="N193" s="130"/>
      <c r="O193" s="462"/>
      <c r="P193" s="462"/>
      <c r="Q193" s="462"/>
      <c r="R193" s="462"/>
      <c r="S193" s="462"/>
      <c r="T193" s="462"/>
      <c r="U193" s="462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30100004</v>
      </c>
      <c r="B194" s="141" t="s">
        <v>198</v>
      </c>
      <c r="C194" s="460" t="s">
        <v>187</v>
      </c>
      <c r="D194" s="108">
        <v>4.8</v>
      </c>
      <c r="E194" s="108"/>
      <c r="F194" s="127"/>
      <c r="G194" s="128"/>
      <c r="H194" s="454">
        <f t="shared" si="83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4"/>
        <v>0</v>
      </c>
      <c r="N194" s="130"/>
      <c r="O194" s="462"/>
      <c r="P194" s="462"/>
      <c r="Q194" s="462"/>
      <c r="R194" s="462"/>
      <c r="S194" s="462"/>
      <c r="T194" s="462"/>
      <c r="U194" s="462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30100006</v>
      </c>
      <c r="B195" s="141" t="s">
        <v>198</v>
      </c>
      <c r="C195" s="460" t="s">
        <v>179</v>
      </c>
      <c r="D195" s="108">
        <v>4.8</v>
      </c>
      <c r="E195" s="108"/>
      <c r="F195" s="127"/>
      <c r="G195" s="128"/>
      <c r="H195" s="454">
        <f t="shared" si="83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4"/>
        <v>0</v>
      </c>
      <c r="N195" s="130"/>
      <c r="O195" s="462"/>
      <c r="P195" s="462"/>
      <c r="Q195" s="462"/>
      <c r="R195" s="462"/>
      <c r="S195" s="462"/>
      <c r="T195" s="462"/>
      <c r="U195" s="462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30100005</v>
      </c>
      <c r="B196" s="141" t="s">
        <v>198</v>
      </c>
      <c r="C196" s="460" t="s">
        <v>199</v>
      </c>
      <c r="D196" s="108">
        <v>4.8</v>
      </c>
      <c r="E196" s="108"/>
      <c r="F196" s="127"/>
      <c r="G196" s="128"/>
      <c r="H196" s="454">
        <f t="shared" si="83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4"/>
        <v>0</v>
      </c>
      <c r="N196" s="130"/>
      <c r="O196" s="462"/>
      <c r="P196" s="462"/>
      <c r="Q196" s="462"/>
      <c r="R196" s="462"/>
      <c r="S196" s="462"/>
      <c r="T196" s="462"/>
      <c r="U196" s="462"/>
      <c r="V196" s="132"/>
      <c r="W196" s="133"/>
      <c r="X196" s="132"/>
      <c r="Y196" s="132"/>
      <c r="Z196" s="132"/>
      <c r="AA196" s="132"/>
    </row>
    <row r="197" spans="1:27" ht="20.100000000000001" hidden="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/>
      <c r="G197" s="128"/>
      <c r="H197" s="454">
        <f t="shared" si="83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4"/>
        <v>0</v>
      </c>
      <c r="N197" s="130">
        <f t="shared" ref="N197:N198" si="88">SUM(O197:U197)</f>
        <v>0</v>
      </c>
      <c r="O197" s="462"/>
      <c r="P197" s="462"/>
      <c r="Q197" s="462"/>
      <c r="R197" s="462"/>
      <c r="S197" s="462"/>
      <c r="T197" s="462"/>
      <c r="U197" s="462"/>
      <c r="V197" s="132">
        <f t="shared" ref="V197:V198" si="89">SUM(X197:AA197)</f>
        <v>0</v>
      </c>
      <c r="W197" s="133" t="str">
        <f t="shared" ref="W197:W198" si="90">IF(ISERROR(V197/G197),"",V197/G197)</f>
        <v/>
      </c>
      <c r="X197" s="132"/>
      <c r="Y197" s="132"/>
      <c r="Z197" s="132"/>
      <c r="AA197" s="132"/>
    </row>
    <row r="198" spans="1:27" ht="20.100000000000001" hidden="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42"/>
      <c r="G198" s="128"/>
      <c r="H198" s="454">
        <f t="shared" si="83"/>
        <v>0</v>
      </c>
      <c r="I198" s="129"/>
      <c r="J198" s="130" t="str">
        <f t="array" ref="J198">IF(ISERROR(G198/I198),"",G198/I198)</f>
        <v/>
      </c>
      <c r="K198" s="131">
        <f t="array" ref="K198">IF(ISERROR(G198/L198),"",G198/L198)</f>
        <v>0</v>
      </c>
      <c r="L198" s="129">
        <v>23.5</v>
      </c>
      <c r="M198" s="109">
        <f t="shared" si="84"/>
        <v>0</v>
      </c>
      <c r="N198" s="130">
        <f t="shared" si="88"/>
        <v>0</v>
      </c>
      <c r="O198" s="462"/>
      <c r="P198" s="462"/>
      <c r="Q198" s="462"/>
      <c r="R198" s="462"/>
      <c r="S198" s="462"/>
      <c r="T198" s="462"/>
      <c r="U198" s="462"/>
      <c r="V198" s="132">
        <f t="shared" si="89"/>
        <v>0</v>
      </c>
      <c r="W198" s="133" t="str">
        <f t="shared" si="90"/>
        <v/>
      </c>
      <c r="X198" s="132"/>
      <c r="Y198" s="132"/>
      <c r="Z198" s="132"/>
      <c r="AA198" s="132"/>
    </row>
    <row r="199" spans="1:27" ht="20.100000000000001" customHeight="1">
      <c r="A199" s="578" t="s">
        <v>201</v>
      </c>
      <c r="B199" s="579"/>
      <c r="C199" s="463" t="s">
        <v>202</v>
      </c>
      <c r="D199" s="143"/>
      <c r="E199" s="143"/>
      <c r="F199" s="144"/>
      <c r="G199" s="145">
        <f>SUM(G178:G198)</f>
        <v>1443</v>
      </c>
      <c r="H199" s="146">
        <f>SUM(H178:H198)</f>
        <v>7272.04</v>
      </c>
      <c r="I199" s="146">
        <f>SUM(I178:I198)</f>
        <v>106</v>
      </c>
      <c r="J199" s="130">
        <f t="array" ref="J199">IF(ISERROR(G199/I199),"",G199/I199)</f>
        <v>13.613207547169811</v>
      </c>
      <c r="K199" s="146">
        <f>SUM(K178:K198)</f>
        <v>78.43653250773994</v>
      </c>
      <c r="L199" s="147"/>
      <c r="M199" s="150">
        <f t="shared" ref="M199:AA199" si="91">SUM(M178:M198)</f>
        <v>27.56346749226006</v>
      </c>
      <c r="N199" s="146">
        <f t="shared" si="91"/>
        <v>0</v>
      </c>
      <c r="O199" s="148">
        <f t="shared" si="91"/>
        <v>0</v>
      </c>
      <c r="P199" s="148">
        <f t="shared" si="91"/>
        <v>0</v>
      </c>
      <c r="Q199" s="148">
        <f t="shared" si="91"/>
        <v>0</v>
      </c>
      <c r="R199" s="148">
        <f t="shared" si="91"/>
        <v>0</v>
      </c>
      <c r="S199" s="148">
        <f t="shared" si="91"/>
        <v>0</v>
      </c>
      <c r="T199" s="148">
        <f t="shared" si="91"/>
        <v>0</v>
      </c>
      <c r="U199" s="148">
        <f t="shared" si="91"/>
        <v>0</v>
      </c>
      <c r="V199" s="149">
        <f t="shared" si="91"/>
        <v>0</v>
      </c>
      <c r="W199" s="133">
        <f t="shared" si="91"/>
        <v>0</v>
      </c>
      <c r="X199" s="149">
        <f t="shared" si="91"/>
        <v>0</v>
      </c>
      <c r="Y199" s="149">
        <f t="shared" si="91"/>
        <v>0</v>
      </c>
      <c r="Z199" s="149">
        <f t="shared" si="91"/>
        <v>0</v>
      </c>
      <c r="AA199" s="149">
        <f t="shared" si="91"/>
        <v>0</v>
      </c>
    </row>
    <row r="200" spans="1:27" ht="20.100000000000001" hidden="1" customHeight="1">
      <c r="A200" s="300">
        <v>30100012</v>
      </c>
      <c r="B200" s="453" t="s">
        <v>206</v>
      </c>
      <c r="C200" s="126" t="s">
        <v>199</v>
      </c>
      <c r="D200" s="108">
        <v>5.03</v>
      </c>
      <c r="E200" s="108"/>
      <c r="F200" s="127"/>
      <c r="G200" s="128"/>
      <c r="H200" s="454">
        <f t="shared" ref="H200:H256" si="92">D200*G200</f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 t="shared" ref="M200" si="93">IF(ISERROR(I200-K200),"",I200-K200)</f>
        <v>0</v>
      </c>
      <c r="N200" s="130">
        <f t="shared" ref="N200" si="94">SUM(O200:U200)</f>
        <v>0</v>
      </c>
      <c r="O200" s="458"/>
      <c r="P200" s="458"/>
      <c r="Q200" s="458"/>
      <c r="R200" s="458"/>
      <c r="S200" s="458"/>
      <c r="T200" s="458"/>
      <c r="U200" s="458"/>
      <c r="V200" s="132">
        <f t="shared" ref="V200" si="95">SUM(X200:AA200)</f>
        <v>0</v>
      </c>
      <c r="W200" s="133" t="str">
        <f t="shared" ref="W200" si="96">IF(ISERROR(V200/G200),"",V200/G200)</f>
        <v/>
      </c>
      <c r="X200" s="132"/>
      <c r="Y200" s="132"/>
      <c r="Z200" s="132"/>
      <c r="AA200" s="132"/>
    </row>
    <row r="201" spans="1:27" ht="20.100000000000001" hidden="1" customHeight="1">
      <c r="A201" s="300">
        <v>30100011</v>
      </c>
      <c r="B201" s="453" t="s">
        <v>425</v>
      </c>
      <c r="C201" s="187" t="s">
        <v>428</v>
      </c>
      <c r="D201" s="108">
        <v>5.03</v>
      </c>
      <c r="E201" s="108"/>
      <c r="F201" s="127"/>
      <c r="G201" s="128"/>
      <c r="H201" s="454">
        <f t="shared" si="92"/>
        <v>0</v>
      </c>
      <c r="I201" s="129"/>
      <c r="J201" s="130"/>
      <c r="K201" s="131"/>
      <c r="L201" s="129">
        <v>52</v>
      </c>
      <c r="M201" s="109"/>
      <c r="N201" s="130"/>
      <c r="O201" s="458"/>
      <c r="P201" s="458"/>
      <c r="Q201" s="458"/>
      <c r="R201" s="458"/>
      <c r="S201" s="458"/>
      <c r="T201" s="458"/>
      <c r="U201" s="458"/>
      <c r="V201" s="132"/>
      <c r="W201" s="133"/>
      <c r="X201" s="132"/>
      <c r="Y201" s="132"/>
      <c r="Z201" s="132"/>
      <c r="AA201" s="132"/>
    </row>
    <row r="202" spans="1:27" ht="20.100000000000001" hidden="1" customHeight="1">
      <c r="A202" s="300">
        <v>30100010</v>
      </c>
      <c r="B202" s="453" t="s">
        <v>206</v>
      </c>
      <c r="C202" s="126" t="s">
        <v>186</v>
      </c>
      <c r="D202" s="108">
        <v>5.03</v>
      </c>
      <c r="E202" s="108"/>
      <c r="F202" s="127"/>
      <c r="G202" s="128"/>
      <c r="H202" s="454">
        <f t="shared" si="92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 t="shared" ref="M202" si="97">IF(ISERROR(I202-K202),"",I202-K202)</f>
        <v>0</v>
      </c>
      <c r="N202" s="130">
        <f t="shared" ref="N202:N204" si="98">SUM(O202:U202)</f>
        <v>0</v>
      </c>
      <c r="O202" s="458"/>
      <c r="P202" s="458"/>
      <c r="Q202" s="458"/>
      <c r="R202" s="458"/>
      <c r="S202" s="458"/>
      <c r="T202" s="458"/>
      <c r="U202" s="458"/>
      <c r="V202" s="132">
        <f t="shared" ref="V202:V204" si="99">SUM(X202:AA202)</f>
        <v>0</v>
      </c>
      <c r="W202" s="133" t="str">
        <f t="shared" ref="W202:W204" si="100">IF(ISERROR(V202/G202),"",V202/G202)</f>
        <v/>
      </c>
      <c r="X202" s="132"/>
      <c r="Y202" s="132"/>
      <c r="Z202" s="132"/>
      <c r="AA202" s="132"/>
    </row>
    <row r="203" spans="1:27" ht="20.100000000000001" hidden="1" customHeight="1">
      <c r="A203" s="300">
        <v>30100014</v>
      </c>
      <c r="B203" s="453" t="s">
        <v>206</v>
      </c>
      <c r="C203" s="126" t="s">
        <v>203</v>
      </c>
      <c r="D203" s="108">
        <v>5.03</v>
      </c>
      <c r="E203" s="108"/>
      <c r="F203" s="127"/>
      <c r="G203" s="128"/>
      <c r="H203" s="454">
        <f t="shared" si="92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>IF(ISERROR(I203-K203),"",I203-K203)</f>
        <v>0</v>
      </c>
      <c r="N203" s="130">
        <f t="shared" si="98"/>
        <v>0</v>
      </c>
      <c r="O203" s="458"/>
      <c r="P203" s="458"/>
      <c r="Q203" s="458"/>
      <c r="R203" s="458"/>
      <c r="S203" s="458"/>
      <c r="T203" s="458"/>
      <c r="U203" s="458"/>
      <c r="V203" s="132">
        <f t="shared" si="99"/>
        <v>0</v>
      </c>
      <c r="W203" s="133" t="str">
        <f t="shared" si="100"/>
        <v/>
      </c>
      <c r="X203" s="132"/>
      <c r="Y203" s="132"/>
      <c r="Z203" s="132"/>
      <c r="AA203" s="132"/>
    </row>
    <row r="204" spans="1:27" ht="20.100000000000001" customHeight="1">
      <c r="A204" s="300">
        <v>30100013</v>
      </c>
      <c r="B204" s="453" t="s">
        <v>206</v>
      </c>
      <c r="C204" s="126" t="s">
        <v>207</v>
      </c>
      <c r="D204" s="108">
        <v>5.03</v>
      </c>
      <c r="E204" s="108"/>
      <c r="F204" s="127">
        <v>42741</v>
      </c>
      <c r="G204" s="128">
        <f>108*3+94</f>
        <v>418</v>
      </c>
      <c r="H204" s="454">
        <f t="shared" si="92"/>
        <v>2102.54</v>
      </c>
      <c r="I204" s="129">
        <v>4.5</v>
      </c>
      <c r="J204" s="130">
        <f t="array" ref="J204">IF(ISERROR(G204/I204),"",G204/I204)</f>
        <v>92.888888888888886</v>
      </c>
      <c r="K204" s="131">
        <f t="array" ref="K204">IF(ISERROR(G204/L204),"",G204/L204)</f>
        <v>8.0384615384615383</v>
      </c>
      <c r="L204" s="129">
        <v>52</v>
      </c>
      <c r="M204" s="109">
        <f t="shared" ref="M204:M205" si="101">IF(ISERROR(I204-K204),"",I204-K204)</f>
        <v>-3.5384615384615383</v>
      </c>
      <c r="N204" s="130">
        <f t="shared" si="98"/>
        <v>0</v>
      </c>
      <c r="O204" s="458"/>
      <c r="P204" s="458"/>
      <c r="Q204" s="458"/>
      <c r="R204" s="458"/>
      <c r="S204" s="458"/>
      <c r="T204" s="458"/>
      <c r="U204" s="458"/>
      <c r="V204" s="132">
        <f t="shared" si="99"/>
        <v>0</v>
      </c>
      <c r="W204" s="133">
        <f t="shared" si="100"/>
        <v>0</v>
      </c>
      <c r="X204" s="132"/>
      <c r="Y204" s="132"/>
      <c r="Z204" s="132"/>
      <c r="AA204" s="132"/>
    </row>
    <row r="205" spans="1:27" ht="20.100000000000001" customHeight="1">
      <c r="A205" s="300">
        <v>30100016</v>
      </c>
      <c r="B205" s="453" t="s">
        <v>414</v>
      </c>
      <c r="C205" s="187" t="s">
        <v>415</v>
      </c>
      <c r="D205" s="108">
        <v>5.03</v>
      </c>
      <c r="E205" s="108"/>
      <c r="F205" s="127">
        <v>42741</v>
      </c>
      <c r="G205" s="128">
        <f>108*7+60</f>
        <v>816</v>
      </c>
      <c r="H205" s="454">
        <f t="shared" si="92"/>
        <v>4104.4800000000005</v>
      </c>
      <c r="I205" s="129">
        <v>7</v>
      </c>
      <c r="J205" s="130">
        <f t="array" ref="J205">IF(ISERROR(G205/I205),"",G205/I205)</f>
        <v>116.57142857142857</v>
      </c>
      <c r="K205" s="131">
        <f t="array" ref="K205">IF(ISERROR(G205/L205),"",G205/L205)</f>
        <v>15.692307692307692</v>
      </c>
      <c r="L205" s="129">
        <v>52</v>
      </c>
      <c r="M205" s="109">
        <f t="shared" si="101"/>
        <v>-8.6923076923076916</v>
      </c>
      <c r="N205" s="130"/>
      <c r="O205" s="458"/>
      <c r="P205" s="458"/>
      <c r="Q205" s="458"/>
      <c r="R205" s="458"/>
      <c r="S205" s="458"/>
      <c r="T205" s="458"/>
      <c r="U205" s="458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30100017</v>
      </c>
      <c r="B206" s="453" t="s">
        <v>414</v>
      </c>
      <c r="C206" s="187" t="s">
        <v>416</v>
      </c>
      <c r="D206" s="108">
        <v>5.03</v>
      </c>
      <c r="E206" s="108"/>
      <c r="F206" s="127"/>
      <c r="G206" s="128"/>
      <c r="H206" s="454">
        <f t="shared" si="92"/>
        <v>0</v>
      </c>
      <c r="I206" s="129"/>
      <c r="J206" s="130"/>
      <c r="K206" s="131"/>
      <c r="L206" s="129">
        <v>52</v>
      </c>
      <c r="M206" s="109"/>
      <c r="N206" s="130"/>
      <c r="O206" s="458"/>
      <c r="P206" s="458"/>
      <c r="Q206" s="458"/>
      <c r="R206" s="458"/>
      <c r="S206" s="458"/>
      <c r="T206" s="458"/>
      <c r="U206" s="458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30100015</v>
      </c>
      <c r="B207" s="453" t="s">
        <v>414</v>
      </c>
      <c r="C207" s="187" t="s">
        <v>61</v>
      </c>
      <c r="D207" s="108">
        <v>5.03</v>
      </c>
      <c r="E207" s="108"/>
      <c r="F207" s="127"/>
      <c r="G207" s="128"/>
      <c r="H207" s="454">
        <f t="shared" si="92"/>
        <v>0</v>
      </c>
      <c r="I207" s="129"/>
      <c r="J207" s="130"/>
      <c r="K207" s="131"/>
      <c r="L207" s="129">
        <v>52</v>
      </c>
      <c r="M207" s="109"/>
      <c r="N207" s="130"/>
      <c r="O207" s="458"/>
      <c r="P207" s="458"/>
      <c r="Q207" s="458"/>
      <c r="R207" s="458"/>
      <c r="S207" s="458"/>
      <c r="T207" s="458"/>
      <c r="U207" s="458"/>
      <c r="V207" s="132"/>
      <c r="W207" s="133"/>
      <c r="X207" s="132"/>
      <c r="Y207" s="132"/>
      <c r="Z207" s="132"/>
      <c r="AA207" s="132"/>
    </row>
    <row r="208" spans="1:27" ht="20.100000000000001" customHeight="1">
      <c r="A208" s="300">
        <v>30100027</v>
      </c>
      <c r="B208" s="453" t="s">
        <v>208</v>
      </c>
      <c r="C208" s="126" t="s">
        <v>179</v>
      </c>
      <c r="D208" s="108">
        <v>5.08</v>
      </c>
      <c r="E208" s="108"/>
      <c r="F208" s="127">
        <v>42742</v>
      </c>
      <c r="G208" s="128">
        <v>98</v>
      </c>
      <c r="H208" s="454">
        <f t="shared" si="92"/>
        <v>497.84000000000003</v>
      </c>
      <c r="I208" s="129">
        <f>2*3</f>
        <v>6</v>
      </c>
      <c r="J208" s="130">
        <f t="array" ref="J208">IF(ISERROR(G208/I208),"",G208/I208)</f>
        <v>16.333333333333332</v>
      </c>
      <c r="K208" s="131">
        <f t="array" ref="K208">IF(ISERROR(G208/L208),"",G208/L208)</f>
        <v>4.666666666666667</v>
      </c>
      <c r="L208" s="129">
        <v>21</v>
      </c>
      <c r="M208" s="109">
        <f t="shared" ref="M208:M237" si="102">IF(ISERROR(I208-K208),"",I208-K208)</f>
        <v>1.333333333333333</v>
      </c>
      <c r="N208" s="130">
        <f t="shared" ref="N208:N237" si="103">SUM(O208:U208)</f>
        <v>0</v>
      </c>
      <c r="O208" s="458"/>
      <c r="P208" s="458"/>
      <c r="Q208" s="458"/>
      <c r="R208" s="458"/>
      <c r="S208" s="458"/>
      <c r="T208" s="458"/>
      <c r="U208" s="458"/>
      <c r="V208" s="132">
        <f t="shared" ref="V208:V219" si="104">SUM(X208:AA208)</f>
        <v>0</v>
      </c>
      <c r="W208" s="133">
        <f t="shared" ref="W208:W219" si="105">IF(ISERROR(V208/G208),"",V208/G208)</f>
        <v>0</v>
      </c>
      <c r="X208" s="132"/>
      <c r="Y208" s="132"/>
      <c r="Z208" s="132"/>
      <c r="AA208" s="132"/>
    </row>
    <row r="209" spans="1:27" ht="20.100000000000001" hidden="1" customHeight="1">
      <c r="A209" s="300">
        <v>30100023</v>
      </c>
      <c r="B209" s="453" t="s">
        <v>208</v>
      </c>
      <c r="C209" s="126" t="s">
        <v>204</v>
      </c>
      <c r="D209" s="108">
        <v>5.08</v>
      </c>
      <c r="E209" s="108"/>
      <c r="F209" s="127"/>
      <c r="G209" s="128"/>
      <c r="H209" s="454">
        <f t="shared" si="92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2"/>
        <v>0</v>
      </c>
      <c r="N209" s="130">
        <f t="shared" si="103"/>
        <v>0</v>
      </c>
      <c r="O209" s="458"/>
      <c r="P209" s="458"/>
      <c r="Q209" s="458"/>
      <c r="R209" s="458"/>
      <c r="S209" s="458"/>
      <c r="T209" s="458"/>
      <c r="U209" s="458"/>
      <c r="V209" s="132">
        <f t="shared" si="104"/>
        <v>0</v>
      </c>
      <c r="W209" s="133" t="str">
        <f t="shared" si="105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30100024</v>
      </c>
      <c r="B210" s="453" t="s">
        <v>208</v>
      </c>
      <c r="C210" s="126" t="s">
        <v>205</v>
      </c>
      <c r="D210" s="108">
        <v>5.08</v>
      </c>
      <c r="E210" s="108"/>
      <c r="F210" s="127"/>
      <c r="G210" s="128"/>
      <c r="H210" s="454">
        <f t="shared" si="92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2"/>
        <v>0</v>
      </c>
      <c r="N210" s="130">
        <f t="shared" si="103"/>
        <v>0</v>
      </c>
      <c r="O210" s="458"/>
      <c r="P210" s="458"/>
      <c r="Q210" s="458"/>
      <c r="R210" s="458"/>
      <c r="S210" s="458"/>
      <c r="T210" s="458"/>
      <c r="U210" s="458"/>
      <c r="V210" s="132">
        <f t="shared" si="104"/>
        <v>0</v>
      </c>
      <c r="W210" s="133" t="str">
        <f t="shared" si="105"/>
        <v/>
      </c>
      <c r="X210" s="132"/>
      <c r="Y210" s="132"/>
      <c r="Z210" s="132"/>
      <c r="AA210" s="132"/>
    </row>
    <row r="211" spans="1:27" ht="20.100000000000001" customHeight="1">
      <c r="A211" s="300">
        <v>30100022</v>
      </c>
      <c r="B211" s="453" t="s">
        <v>208</v>
      </c>
      <c r="C211" s="126" t="s">
        <v>186</v>
      </c>
      <c r="D211" s="108">
        <v>5.08</v>
      </c>
      <c r="E211" s="108"/>
      <c r="F211" s="127">
        <v>42740</v>
      </c>
      <c r="G211" s="128">
        <f>108*5+65</f>
        <v>605</v>
      </c>
      <c r="H211" s="454">
        <f t="shared" si="92"/>
        <v>3073.4</v>
      </c>
      <c r="I211" s="129">
        <f>9.5*3</f>
        <v>28.5</v>
      </c>
      <c r="J211" s="130">
        <f t="array" ref="J211">IF(ISERROR(G211/I211),"",G211/I211)</f>
        <v>21.228070175438596</v>
      </c>
      <c r="K211" s="131">
        <f t="array" ref="K211">IF(ISERROR(G211/L211),"",G211/L211)</f>
        <v>28.80952380952381</v>
      </c>
      <c r="L211" s="129">
        <v>21</v>
      </c>
      <c r="M211" s="109">
        <f t="shared" si="102"/>
        <v>-0.3095238095238102</v>
      </c>
      <c r="N211" s="130">
        <f t="shared" si="103"/>
        <v>0</v>
      </c>
      <c r="O211" s="458"/>
      <c r="P211" s="458"/>
      <c r="Q211" s="458"/>
      <c r="R211" s="458"/>
      <c r="S211" s="458"/>
      <c r="T211" s="458"/>
      <c r="U211" s="458"/>
      <c r="V211" s="132">
        <f t="shared" si="104"/>
        <v>0</v>
      </c>
      <c r="W211" s="133">
        <f t="shared" si="105"/>
        <v>0</v>
      </c>
      <c r="X211" s="132"/>
      <c r="Y211" s="132"/>
      <c r="Z211" s="132"/>
      <c r="AA211" s="132"/>
    </row>
    <row r="212" spans="1:27" ht="20.100000000000001" hidden="1" customHeight="1">
      <c r="A212" s="300">
        <v>30100029</v>
      </c>
      <c r="B212" s="453" t="s">
        <v>208</v>
      </c>
      <c r="C212" s="126" t="s">
        <v>203</v>
      </c>
      <c r="D212" s="108">
        <v>5.08</v>
      </c>
      <c r="E212" s="108"/>
      <c r="F212" s="127"/>
      <c r="G212" s="128"/>
      <c r="H212" s="454">
        <f t="shared" si="92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2"/>
        <v>0</v>
      </c>
      <c r="N212" s="130">
        <f t="shared" si="103"/>
        <v>0</v>
      </c>
      <c r="O212" s="458"/>
      <c r="P212" s="458"/>
      <c r="Q212" s="458"/>
      <c r="R212" s="458"/>
      <c r="S212" s="458"/>
      <c r="T212" s="458"/>
      <c r="U212" s="458"/>
      <c r="V212" s="132">
        <f t="shared" si="104"/>
        <v>0</v>
      </c>
      <c r="W212" s="133" t="str">
        <f t="shared" si="105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30100026</v>
      </c>
      <c r="B213" s="453" t="s">
        <v>208</v>
      </c>
      <c r="C213" s="126" t="s">
        <v>199</v>
      </c>
      <c r="D213" s="108">
        <v>5.08</v>
      </c>
      <c r="E213" s="108"/>
      <c r="F213" s="127"/>
      <c r="G213" s="128"/>
      <c r="H213" s="454">
        <f t="shared" si="92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2"/>
        <v>0</v>
      </c>
      <c r="N213" s="130">
        <f t="shared" si="103"/>
        <v>0</v>
      </c>
      <c r="O213" s="462"/>
      <c r="P213" s="462"/>
      <c r="Q213" s="462"/>
      <c r="R213" s="462"/>
      <c r="S213" s="462"/>
      <c r="T213" s="462"/>
      <c r="U213" s="462"/>
      <c r="V213" s="132">
        <f t="shared" si="104"/>
        <v>0</v>
      </c>
      <c r="W213" s="133" t="str">
        <f t="shared" si="105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30100025</v>
      </c>
      <c r="B214" s="453" t="s">
        <v>208</v>
      </c>
      <c r="C214" s="126" t="s">
        <v>187</v>
      </c>
      <c r="D214" s="108">
        <v>5.08</v>
      </c>
      <c r="E214" s="108"/>
      <c r="F214" s="127"/>
      <c r="G214" s="128"/>
      <c r="H214" s="454">
        <f t="shared" si="92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2"/>
        <v>0</v>
      </c>
      <c r="N214" s="130">
        <f t="shared" si="103"/>
        <v>0</v>
      </c>
      <c r="O214" s="458"/>
      <c r="P214" s="458"/>
      <c r="Q214" s="458"/>
      <c r="R214" s="458"/>
      <c r="S214" s="458"/>
      <c r="T214" s="458"/>
      <c r="U214" s="458"/>
      <c r="V214" s="132">
        <f t="shared" si="104"/>
        <v>0</v>
      </c>
      <c r="W214" s="133" t="str">
        <f t="shared" si="105"/>
        <v/>
      </c>
      <c r="X214" s="132"/>
      <c r="Y214" s="132"/>
      <c r="Z214" s="132"/>
      <c r="AA214" s="132"/>
    </row>
    <row r="215" spans="1:27" ht="20.100000000000001" hidden="1" customHeight="1">
      <c r="A215" s="300">
        <v>30100028</v>
      </c>
      <c r="B215" s="453" t="s">
        <v>208</v>
      </c>
      <c r="C215" s="126" t="s">
        <v>207</v>
      </c>
      <c r="D215" s="108">
        <v>5.08</v>
      </c>
      <c r="E215" s="108"/>
      <c r="F215" s="127"/>
      <c r="G215" s="128"/>
      <c r="H215" s="454">
        <f t="shared" si="92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21</v>
      </c>
      <c r="M215" s="109">
        <f t="shared" si="102"/>
        <v>0</v>
      </c>
      <c r="N215" s="130">
        <f t="shared" si="103"/>
        <v>0</v>
      </c>
      <c r="O215" s="462"/>
      <c r="P215" s="462"/>
      <c r="Q215" s="462"/>
      <c r="R215" s="462"/>
      <c r="S215" s="462"/>
      <c r="T215" s="462"/>
      <c r="U215" s="462"/>
      <c r="V215" s="132">
        <f t="shared" si="104"/>
        <v>0</v>
      </c>
      <c r="W215" s="133" t="str">
        <f t="shared" si="105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30100032</v>
      </c>
      <c r="B216" s="453" t="s">
        <v>209</v>
      </c>
      <c r="C216" s="126" t="s">
        <v>194</v>
      </c>
      <c r="D216" s="108">
        <v>5.03</v>
      </c>
      <c r="E216" s="108"/>
      <c r="F216" s="127"/>
      <c r="G216" s="128"/>
      <c r="H216" s="454">
        <f t="shared" si="92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2"/>
        <v>0</v>
      </c>
      <c r="N216" s="130">
        <f t="shared" si="103"/>
        <v>0</v>
      </c>
      <c r="O216" s="458"/>
      <c r="P216" s="458"/>
      <c r="Q216" s="458"/>
      <c r="R216" s="458"/>
      <c r="S216" s="458"/>
      <c r="T216" s="458"/>
      <c r="U216" s="458"/>
      <c r="V216" s="132">
        <f t="shared" si="104"/>
        <v>0</v>
      </c>
      <c r="W216" s="133" t="str">
        <f t="shared" si="105"/>
        <v/>
      </c>
      <c r="X216" s="132"/>
      <c r="Y216" s="132"/>
      <c r="Z216" s="132"/>
      <c r="AA216" s="132"/>
    </row>
    <row r="217" spans="1:27" ht="20.100000000000001" hidden="1" customHeight="1">
      <c r="A217" s="300">
        <v>30100033</v>
      </c>
      <c r="B217" s="453" t="s">
        <v>209</v>
      </c>
      <c r="C217" s="126" t="s">
        <v>179</v>
      </c>
      <c r="D217" s="108">
        <v>5.03</v>
      </c>
      <c r="E217" s="108"/>
      <c r="F217" s="127"/>
      <c r="G217" s="128"/>
      <c r="H217" s="454">
        <f t="shared" si="92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2"/>
        <v>0</v>
      </c>
      <c r="N217" s="130">
        <f t="shared" si="103"/>
        <v>0</v>
      </c>
      <c r="O217" s="458"/>
      <c r="P217" s="458"/>
      <c r="Q217" s="458"/>
      <c r="R217" s="458"/>
      <c r="S217" s="458"/>
      <c r="T217" s="458"/>
      <c r="U217" s="458"/>
      <c r="V217" s="132">
        <f t="shared" si="104"/>
        <v>0</v>
      </c>
      <c r="W217" s="133" t="str">
        <f t="shared" si="105"/>
        <v/>
      </c>
      <c r="X217" s="132"/>
      <c r="Y217" s="132"/>
      <c r="Z217" s="132"/>
      <c r="AA217" s="132"/>
    </row>
    <row r="218" spans="1:27" ht="20.100000000000001" customHeight="1">
      <c r="A218" s="300">
        <v>30100062</v>
      </c>
      <c r="B218" s="453" t="s">
        <v>209</v>
      </c>
      <c r="C218" s="126" t="s">
        <v>195</v>
      </c>
      <c r="D218" s="108">
        <v>5.03</v>
      </c>
      <c r="E218" s="108"/>
      <c r="F218" s="127">
        <v>42737</v>
      </c>
      <c r="G218" s="128">
        <v>4</v>
      </c>
      <c r="H218" s="454">
        <f t="shared" si="92"/>
        <v>20.12</v>
      </c>
      <c r="I218" s="129">
        <v>7.0000000000000007E-2</v>
      </c>
      <c r="J218" s="130">
        <f t="array" ref="J218">IF(ISERROR(G218/I218),"",G218/I218)</f>
        <v>57.142857142857139</v>
      </c>
      <c r="K218" s="131">
        <f t="array" ref="K218">IF(ISERROR(G218/L218),"",G218/L218)</f>
        <v>7.1428571428571425E-2</v>
      </c>
      <c r="L218" s="129">
        <v>56</v>
      </c>
      <c r="M218" s="109">
        <f t="shared" si="102"/>
        <v>-1.4285714285714179E-3</v>
      </c>
      <c r="N218" s="130">
        <f t="shared" si="103"/>
        <v>0</v>
      </c>
      <c r="O218" s="458"/>
      <c r="P218" s="458"/>
      <c r="Q218" s="458"/>
      <c r="R218" s="458"/>
      <c r="S218" s="458"/>
      <c r="T218" s="458"/>
      <c r="U218" s="458"/>
      <c r="V218" s="132">
        <f t="shared" si="104"/>
        <v>0</v>
      </c>
      <c r="W218" s="133">
        <f t="shared" si="105"/>
        <v>0</v>
      </c>
      <c r="X218" s="132"/>
      <c r="Y218" s="132"/>
      <c r="Z218" s="132"/>
      <c r="AA218" s="132"/>
    </row>
    <row r="219" spans="1:27" ht="20.100000000000001" hidden="1" customHeight="1">
      <c r="A219" s="300">
        <v>30100031</v>
      </c>
      <c r="B219" s="453" t="s">
        <v>209</v>
      </c>
      <c r="C219" s="126" t="s">
        <v>204</v>
      </c>
      <c r="D219" s="108">
        <v>5.03</v>
      </c>
      <c r="E219" s="108"/>
      <c r="F219" s="127"/>
      <c r="G219" s="128"/>
      <c r="H219" s="454">
        <f t="shared" si="92"/>
        <v>0</v>
      </c>
      <c r="I219" s="129"/>
      <c r="J219" s="130" t="str">
        <f t="array" ref="J219">IF(ISERROR(G219/I219),"",G219/I219)</f>
        <v/>
      </c>
      <c r="K219" s="131">
        <f t="array" ref="K219">IF(ISERROR(G219/L219),"",G219/L219)</f>
        <v>0</v>
      </c>
      <c r="L219" s="129">
        <v>56</v>
      </c>
      <c r="M219" s="109">
        <f t="shared" si="102"/>
        <v>0</v>
      </c>
      <c r="N219" s="130">
        <f t="shared" si="103"/>
        <v>0</v>
      </c>
      <c r="O219" s="458"/>
      <c r="P219" s="458"/>
      <c r="Q219" s="458"/>
      <c r="R219" s="458"/>
      <c r="S219" s="458"/>
      <c r="T219" s="458"/>
      <c r="U219" s="458"/>
      <c r="V219" s="132">
        <f t="shared" si="104"/>
        <v>0</v>
      </c>
      <c r="W219" s="133" t="str">
        <f t="shared" si="105"/>
        <v/>
      </c>
      <c r="X219" s="132"/>
      <c r="Y219" s="132"/>
      <c r="Z219" s="132"/>
      <c r="AA219" s="132"/>
    </row>
    <row r="220" spans="1:27" ht="20.100000000000001" hidden="1" customHeight="1">
      <c r="A220" s="300">
        <v>30100019</v>
      </c>
      <c r="B220" s="453" t="s">
        <v>382</v>
      </c>
      <c r="C220" s="187" t="s">
        <v>383</v>
      </c>
      <c r="D220" s="108">
        <v>5.03</v>
      </c>
      <c r="E220" s="108"/>
      <c r="F220" s="127"/>
      <c r="G220" s="128"/>
      <c r="H220" s="454">
        <f t="shared" si="92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2"/>
        <v>0</v>
      </c>
      <c r="N220" s="130">
        <f t="shared" si="103"/>
        <v>0</v>
      </c>
      <c r="O220" s="458"/>
      <c r="P220" s="458"/>
      <c r="Q220" s="458"/>
      <c r="R220" s="458"/>
      <c r="S220" s="458"/>
      <c r="T220" s="458"/>
      <c r="U220" s="458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30100020</v>
      </c>
      <c r="B221" s="453" t="s">
        <v>382</v>
      </c>
      <c r="C221" s="187" t="s">
        <v>384</v>
      </c>
      <c r="D221" s="108">
        <v>5.03</v>
      </c>
      <c r="E221" s="108"/>
      <c r="F221" s="127"/>
      <c r="G221" s="128"/>
      <c r="H221" s="454">
        <f t="shared" si="92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2"/>
        <v>0</v>
      </c>
      <c r="N221" s="130">
        <f t="shared" si="103"/>
        <v>0</v>
      </c>
      <c r="O221" s="458"/>
      <c r="P221" s="458"/>
      <c r="Q221" s="458"/>
      <c r="R221" s="458"/>
      <c r="S221" s="458"/>
      <c r="T221" s="458"/>
      <c r="U221" s="458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30100021</v>
      </c>
      <c r="B222" s="453" t="s">
        <v>382</v>
      </c>
      <c r="C222" s="187" t="s">
        <v>389</v>
      </c>
      <c r="D222" s="108">
        <v>5.03</v>
      </c>
      <c r="E222" s="108"/>
      <c r="F222" s="127"/>
      <c r="G222" s="128"/>
      <c r="H222" s="454">
        <f t="shared" si="92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2"/>
        <v>0</v>
      </c>
      <c r="N222" s="130">
        <f t="shared" si="103"/>
        <v>0</v>
      </c>
      <c r="O222" s="458"/>
      <c r="P222" s="458"/>
      <c r="Q222" s="458"/>
      <c r="R222" s="458"/>
      <c r="S222" s="458"/>
      <c r="T222" s="458"/>
      <c r="U222" s="458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0">
        <v>30100018</v>
      </c>
      <c r="B223" s="453" t="s">
        <v>382</v>
      </c>
      <c r="C223" s="187" t="s">
        <v>391</v>
      </c>
      <c r="D223" s="108">
        <v>5.03</v>
      </c>
      <c r="E223" s="108"/>
      <c r="F223" s="127"/>
      <c r="G223" s="128"/>
      <c r="H223" s="454">
        <f t="shared" si="92"/>
        <v>0</v>
      </c>
      <c r="I223" s="129"/>
      <c r="J223" s="130"/>
      <c r="K223" s="131">
        <f t="array" ref="K223">IF(ISERROR(G223/L223),"",G223/L223)</f>
        <v>0</v>
      </c>
      <c r="L223" s="129">
        <v>54</v>
      </c>
      <c r="M223" s="109">
        <f t="shared" si="102"/>
        <v>0</v>
      </c>
      <c r="N223" s="130">
        <f t="shared" si="103"/>
        <v>0</v>
      </c>
      <c r="O223" s="458"/>
      <c r="P223" s="458"/>
      <c r="Q223" s="458"/>
      <c r="R223" s="458"/>
      <c r="S223" s="458"/>
      <c r="T223" s="458"/>
      <c r="U223" s="458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30700007</v>
      </c>
      <c r="B224" s="453" t="s">
        <v>418</v>
      </c>
      <c r="C224" s="187" t="s">
        <v>364</v>
      </c>
      <c r="D224" s="108">
        <v>5.03</v>
      </c>
      <c r="E224" s="108"/>
      <c r="F224" s="127"/>
      <c r="G224" s="128"/>
      <c r="H224" s="454">
        <f t="shared" si="92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2"/>
        <v>0</v>
      </c>
      <c r="N224" s="130">
        <f t="shared" si="103"/>
        <v>0</v>
      </c>
      <c r="O224" s="458"/>
      <c r="P224" s="458"/>
      <c r="Q224" s="458"/>
      <c r="R224" s="458"/>
      <c r="S224" s="458"/>
      <c r="T224" s="458"/>
      <c r="U224" s="458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30700006</v>
      </c>
      <c r="B225" s="453" t="s">
        <v>418</v>
      </c>
      <c r="C225" s="187" t="s">
        <v>365</v>
      </c>
      <c r="D225" s="108">
        <v>5.03</v>
      </c>
      <c r="E225" s="108"/>
      <c r="F225" s="127"/>
      <c r="G225" s="128"/>
      <c r="H225" s="454">
        <f t="shared" si="92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2"/>
        <v>0</v>
      </c>
      <c r="N225" s="130">
        <f t="shared" si="103"/>
        <v>0</v>
      </c>
      <c r="O225" s="458"/>
      <c r="P225" s="458"/>
      <c r="Q225" s="458"/>
      <c r="R225" s="458"/>
      <c r="S225" s="458"/>
      <c r="T225" s="458"/>
      <c r="U225" s="458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30700008</v>
      </c>
      <c r="B226" s="453" t="s">
        <v>418</v>
      </c>
      <c r="C226" s="187" t="s">
        <v>366</v>
      </c>
      <c r="D226" s="108">
        <v>5.03</v>
      </c>
      <c r="E226" s="108"/>
      <c r="F226" s="127"/>
      <c r="G226" s="128"/>
      <c r="H226" s="454">
        <f t="shared" si="92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2"/>
        <v>0</v>
      </c>
      <c r="N226" s="130">
        <f t="shared" si="103"/>
        <v>0</v>
      </c>
      <c r="O226" s="458"/>
      <c r="P226" s="458"/>
      <c r="Q226" s="458"/>
      <c r="R226" s="458"/>
      <c r="S226" s="458"/>
      <c r="T226" s="458"/>
      <c r="U226" s="458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3">
        <v>30700009</v>
      </c>
      <c r="B227" s="453" t="s">
        <v>418</v>
      </c>
      <c r="C227" s="187" t="s">
        <v>367</v>
      </c>
      <c r="D227" s="108">
        <v>5.03</v>
      </c>
      <c r="E227" s="108"/>
      <c r="F227" s="127"/>
      <c r="G227" s="128"/>
      <c r="H227" s="454">
        <f t="shared" si="92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102"/>
        <v>0</v>
      </c>
      <c r="N227" s="130">
        <f t="shared" si="103"/>
        <v>0</v>
      </c>
      <c r="O227" s="458"/>
      <c r="P227" s="458"/>
      <c r="Q227" s="458"/>
      <c r="R227" s="458"/>
      <c r="S227" s="458"/>
      <c r="T227" s="458"/>
      <c r="U227" s="458"/>
      <c r="V227" s="132"/>
      <c r="W227" s="133"/>
      <c r="X227" s="132"/>
      <c r="Y227" s="132"/>
      <c r="Z227" s="132"/>
      <c r="AA227" s="132"/>
    </row>
    <row r="228" spans="1:27" ht="20.100000000000001" hidden="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/>
      <c r="G228" s="128"/>
      <c r="H228" s="454">
        <f t="shared" si="92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2"/>
        <v>0</v>
      </c>
      <c r="N228" s="130">
        <f t="shared" si="103"/>
        <v>0</v>
      </c>
      <c r="O228" s="462"/>
      <c r="P228" s="462"/>
      <c r="Q228" s="462"/>
      <c r="R228" s="462"/>
      <c r="S228" s="462"/>
      <c r="T228" s="462"/>
      <c r="U228" s="462"/>
      <c r="V228" s="132">
        <f t="shared" ref="V228:V237" si="106">SUM(X228:AA228)</f>
        <v>0</v>
      </c>
      <c r="W228" s="133" t="str">
        <f t="shared" ref="W228:W237" si="107">IF(ISERROR(V228/G228),"",V228/G228)</f>
        <v/>
      </c>
      <c r="X228" s="132"/>
      <c r="Y228" s="132"/>
      <c r="Z228" s="132"/>
      <c r="AA228" s="132"/>
    </row>
    <row r="229" spans="1:27" ht="20.10000000000000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>
        <v>42740</v>
      </c>
      <c r="G229" s="128">
        <f>108+1+108*3+51</f>
        <v>484</v>
      </c>
      <c r="H229" s="454">
        <f t="shared" si="92"/>
        <v>2434.52</v>
      </c>
      <c r="I229" s="129">
        <v>6</v>
      </c>
      <c r="J229" s="130">
        <f t="array" ref="J229">IF(ISERROR(G229/I229),"",G229/I229)</f>
        <v>80.666666666666671</v>
      </c>
      <c r="K229" s="131">
        <f t="array" ref="K229">IF(ISERROR(G229/L229),"",G229/L229)</f>
        <v>12.1</v>
      </c>
      <c r="L229" s="129">
        <v>40</v>
      </c>
      <c r="M229" s="109">
        <f t="shared" si="102"/>
        <v>-6.1</v>
      </c>
      <c r="N229" s="130">
        <f t="shared" si="103"/>
        <v>0</v>
      </c>
      <c r="O229" s="462"/>
      <c r="P229" s="462"/>
      <c r="Q229" s="462"/>
      <c r="R229" s="462"/>
      <c r="S229" s="462"/>
      <c r="T229" s="462"/>
      <c r="U229" s="462"/>
      <c r="V229" s="132">
        <f t="shared" si="106"/>
        <v>0</v>
      </c>
      <c r="W229" s="133">
        <f t="shared" si="107"/>
        <v>0</v>
      </c>
      <c r="X229" s="132"/>
      <c r="Y229" s="132"/>
      <c r="Z229" s="132"/>
      <c r="AA229" s="132"/>
    </row>
    <row r="230" spans="1:27" ht="20.10000000000000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>
        <v>42740</v>
      </c>
      <c r="G230" s="128">
        <f>108+76</f>
        <v>184</v>
      </c>
      <c r="H230" s="454">
        <f t="shared" si="92"/>
        <v>925.5200000000001</v>
      </c>
      <c r="I230" s="129">
        <v>4.5</v>
      </c>
      <c r="J230" s="130">
        <f t="array" ref="J230">IF(ISERROR(G230/I230),"",G230/I230)</f>
        <v>40.888888888888886</v>
      </c>
      <c r="K230" s="131">
        <f t="array" ref="K230">IF(ISERROR(G230/L230),"",G230/L230)</f>
        <v>4.5999999999999996</v>
      </c>
      <c r="L230" s="129">
        <v>40</v>
      </c>
      <c r="M230" s="109">
        <f t="shared" si="102"/>
        <v>-9.9999999999999645E-2</v>
      </c>
      <c r="N230" s="130">
        <f t="shared" si="103"/>
        <v>0</v>
      </c>
      <c r="O230" s="462"/>
      <c r="P230" s="462"/>
      <c r="Q230" s="462"/>
      <c r="R230" s="462"/>
      <c r="S230" s="462"/>
      <c r="T230" s="462"/>
      <c r="U230" s="462"/>
      <c r="V230" s="132">
        <f t="shared" si="106"/>
        <v>0</v>
      </c>
      <c r="W230" s="133">
        <f t="shared" si="107"/>
        <v>0</v>
      </c>
      <c r="X230" s="132"/>
      <c r="Y230" s="132"/>
      <c r="Z230" s="132"/>
      <c r="AA230" s="132"/>
    </row>
    <row r="231" spans="1:27" ht="20.100000000000001" hidden="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28"/>
      <c r="H231" s="454">
        <f t="shared" si="92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2"/>
        <v>0</v>
      </c>
      <c r="N231" s="130">
        <f t="shared" si="103"/>
        <v>0</v>
      </c>
      <c r="O231" s="462"/>
      <c r="P231" s="462"/>
      <c r="Q231" s="462"/>
      <c r="R231" s="462"/>
      <c r="S231" s="462"/>
      <c r="T231" s="462"/>
      <c r="U231" s="462"/>
      <c r="V231" s="132">
        <f t="shared" si="106"/>
        <v>0</v>
      </c>
      <c r="W231" s="133" t="str">
        <f t="shared" si="107"/>
        <v/>
      </c>
      <c r="X231" s="132"/>
      <c r="Y231" s="132"/>
      <c r="Z231" s="132"/>
      <c r="AA231" s="132"/>
    </row>
    <row r="232" spans="1:27" ht="20.100000000000001" hidden="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28"/>
      <c r="H232" s="454">
        <f t="shared" si="92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2"/>
        <v>0</v>
      </c>
      <c r="N232" s="130">
        <f t="shared" si="103"/>
        <v>0</v>
      </c>
      <c r="O232" s="462"/>
      <c r="P232" s="462"/>
      <c r="Q232" s="462"/>
      <c r="R232" s="462"/>
      <c r="S232" s="462"/>
      <c r="T232" s="462"/>
      <c r="U232" s="462"/>
      <c r="V232" s="132">
        <f t="shared" si="106"/>
        <v>0</v>
      </c>
      <c r="W232" s="133" t="str">
        <f t="shared" si="107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28"/>
      <c r="H233" s="454">
        <f t="shared" si="92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2"/>
        <v>0</v>
      </c>
      <c r="N233" s="130">
        <f t="shared" si="103"/>
        <v>0</v>
      </c>
      <c r="O233" s="462"/>
      <c r="P233" s="462"/>
      <c r="Q233" s="462"/>
      <c r="R233" s="462"/>
      <c r="S233" s="462"/>
      <c r="T233" s="462"/>
      <c r="U233" s="462"/>
      <c r="V233" s="132">
        <f t="shared" si="106"/>
        <v>0</v>
      </c>
      <c r="W233" s="133" t="str">
        <f t="shared" si="107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28"/>
      <c r="H234" s="454">
        <f t="shared" si="92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2"/>
        <v>0</v>
      </c>
      <c r="N234" s="130">
        <f t="shared" si="103"/>
        <v>0</v>
      </c>
      <c r="O234" s="462"/>
      <c r="P234" s="462"/>
      <c r="Q234" s="462"/>
      <c r="R234" s="462"/>
      <c r="S234" s="462"/>
      <c r="T234" s="462"/>
      <c r="U234" s="462"/>
      <c r="V234" s="132">
        <f t="shared" si="106"/>
        <v>0</v>
      </c>
      <c r="W234" s="133" t="str">
        <f t="shared" si="107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/>
      <c r="G235" s="128"/>
      <c r="H235" s="454">
        <f t="shared" si="92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2"/>
        <v>0</v>
      </c>
      <c r="N235" s="130">
        <f t="shared" si="103"/>
        <v>0</v>
      </c>
      <c r="O235" s="462"/>
      <c r="P235" s="462"/>
      <c r="Q235" s="462"/>
      <c r="R235" s="462"/>
      <c r="S235" s="462"/>
      <c r="T235" s="462"/>
      <c r="U235" s="462"/>
      <c r="V235" s="132">
        <f t="shared" si="106"/>
        <v>0</v>
      </c>
      <c r="W235" s="133" t="str">
        <f t="shared" si="107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/>
      <c r="G236" s="128"/>
      <c r="H236" s="454">
        <f t="shared" si="92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2"/>
        <v>0</v>
      </c>
      <c r="N236" s="130">
        <f t="shared" si="103"/>
        <v>0</v>
      </c>
      <c r="O236" s="462"/>
      <c r="P236" s="462"/>
      <c r="Q236" s="462"/>
      <c r="R236" s="462"/>
      <c r="S236" s="462"/>
      <c r="T236" s="462"/>
      <c r="U236" s="462"/>
      <c r="V236" s="132">
        <f t="shared" si="106"/>
        <v>0</v>
      </c>
      <c r="W236" s="133" t="str">
        <f t="shared" si="107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/>
      <c r="G237" s="128"/>
      <c r="H237" s="454">
        <f t="shared" si="92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50</v>
      </c>
      <c r="M237" s="109">
        <f t="shared" si="102"/>
        <v>0</v>
      </c>
      <c r="N237" s="130">
        <f t="shared" si="103"/>
        <v>0</v>
      </c>
      <c r="O237" s="462"/>
      <c r="P237" s="462"/>
      <c r="Q237" s="462"/>
      <c r="R237" s="462"/>
      <c r="S237" s="462"/>
      <c r="T237" s="462"/>
      <c r="U237" s="462"/>
      <c r="V237" s="132">
        <f t="shared" si="106"/>
        <v>0</v>
      </c>
      <c r="W237" s="133" t="str">
        <f t="shared" si="107"/>
        <v/>
      </c>
      <c r="X237" s="132"/>
      <c r="Y237" s="132"/>
      <c r="Z237" s="132"/>
      <c r="AA237" s="132"/>
    </row>
    <row r="238" spans="1:27" ht="20.100000000000001" hidden="1" customHeight="1">
      <c r="A238" s="300">
        <v>30100043</v>
      </c>
      <c r="B238" s="134" t="s">
        <v>429</v>
      </c>
      <c r="C238" s="187" t="s">
        <v>428</v>
      </c>
      <c r="D238" s="108">
        <v>5.03</v>
      </c>
      <c r="E238" s="108"/>
      <c r="F238" s="127"/>
      <c r="G238" s="128"/>
      <c r="H238" s="454">
        <f t="shared" si="92"/>
        <v>0</v>
      </c>
      <c r="I238" s="129"/>
      <c r="J238" s="130"/>
      <c r="K238" s="131"/>
      <c r="L238" s="129">
        <v>50</v>
      </c>
      <c r="M238" s="109"/>
      <c r="N238" s="130"/>
      <c r="O238" s="462"/>
      <c r="P238" s="462"/>
      <c r="Q238" s="462"/>
      <c r="R238" s="462"/>
      <c r="S238" s="462"/>
      <c r="T238" s="462"/>
      <c r="U238" s="462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/>
      <c r="G239" s="128"/>
      <c r="H239" s="454">
        <f t="shared" si="92"/>
        <v>0</v>
      </c>
      <c r="I239" s="129"/>
      <c r="J239" s="130"/>
      <c r="K239" s="131">
        <f t="array" ref="K239">IF(ISERROR(G239/L239),"",G239/L239)</f>
        <v>0</v>
      </c>
      <c r="L239" s="129">
        <v>50</v>
      </c>
      <c r="M239" s="109">
        <f t="shared" ref="M239:M250" si="108">IF(ISERROR(I239-K239),"",I239-K239)</f>
        <v>0</v>
      </c>
      <c r="N239" s="130"/>
      <c r="O239" s="462"/>
      <c r="P239" s="462"/>
      <c r="Q239" s="462"/>
      <c r="R239" s="462"/>
      <c r="S239" s="462"/>
      <c r="T239" s="462"/>
      <c r="U239" s="462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/>
      <c r="G240" s="128"/>
      <c r="H240" s="454">
        <f t="shared" si="92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8"/>
        <v>0</v>
      </c>
      <c r="N240" s="130">
        <f t="shared" ref="N240:N241" si="109">SUM(O240:U240)</f>
        <v>0</v>
      </c>
      <c r="O240" s="462"/>
      <c r="P240" s="462"/>
      <c r="Q240" s="462"/>
      <c r="R240" s="462"/>
      <c r="S240" s="462"/>
      <c r="T240" s="462"/>
      <c r="U240" s="462"/>
      <c r="V240" s="132">
        <f t="shared" ref="V240:V241" si="110">SUM(X240:AA240)</f>
        <v>0</v>
      </c>
      <c r="W240" s="133" t="str">
        <f t="shared" ref="W240:W241" si="111">IF(ISERROR(V240/G240),"",V240/G240)</f>
        <v/>
      </c>
      <c r="X240" s="132"/>
      <c r="Y240" s="132"/>
      <c r="Z240" s="132"/>
      <c r="AA240" s="132"/>
    </row>
    <row r="241" spans="1:27" ht="20.100000000000001" hidden="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/>
      <c r="G241" s="128"/>
      <c r="H241" s="454">
        <f t="shared" si="92"/>
        <v>0</v>
      </c>
      <c r="I241" s="129"/>
      <c r="J241" s="130" t="str">
        <f t="array" ref="J241">IF(ISERROR(G241/I241),"",G241/I241)</f>
        <v/>
      </c>
      <c r="K241" s="131">
        <f t="array" ref="K241">IF(ISERROR(G241/L241),"",G241/L241)</f>
        <v>0</v>
      </c>
      <c r="L241" s="129">
        <v>21.5</v>
      </c>
      <c r="M241" s="109">
        <f t="shared" si="108"/>
        <v>0</v>
      </c>
      <c r="N241" s="130">
        <f t="shared" si="109"/>
        <v>0</v>
      </c>
      <c r="O241" s="462"/>
      <c r="P241" s="462"/>
      <c r="Q241" s="462"/>
      <c r="R241" s="462"/>
      <c r="S241" s="462"/>
      <c r="T241" s="462"/>
      <c r="U241" s="462"/>
      <c r="V241" s="132">
        <f t="shared" si="110"/>
        <v>0</v>
      </c>
      <c r="W241" s="133" t="str">
        <f t="shared" si="111"/>
        <v/>
      </c>
      <c r="X241" s="132"/>
      <c r="Y241" s="132"/>
      <c r="Z241" s="132"/>
      <c r="AA241" s="132"/>
    </row>
    <row r="242" spans="1:27" ht="20.100000000000001" hidden="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28"/>
      <c r="H242" s="454">
        <f t="shared" si="92"/>
        <v>0</v>
      </c>
      <c r="I242" s="129"/>
      <c r="J242" s="130"/>
      <c r="K242" s="131"/>
      <c r="L242" s="129"/>
      <c r="M242" s="109">
        <f t="shared" si="108"/>
        <v>0</v>
      </c>
      <c r="N242" s="130"/>
      <c r="O242" s="462"/>
      <c r="P242" s="462"/>
      <c r="Q242" s="462"/>
      <c r="R242" s="462"/>
      <c r="S242" s="462"/>
      <c r="T242" s="462"/>
      <c r="U242" s="462"/>
      <c r="V242" s="132"/>
      <c r="W242" s="133"/>
      <c r="X242" s="132"/>
      <c r="Y242" s="132"/>
      <c r="Z242" s="132"/>
      <c r="AA242" s="132"/>
    </row>
    <row r="243" spans="1:27" ht="20.100000000000001" hidden="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28"/>
      <c r="H243" s="454">
        <f t="shared" si="92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8"/>
        <v/>
      </c>
      <c r="N243" s="130">
        <f t="shared" ref="N243:N246" si="112">SUM(O243:U243)</f>
        <v>0</v>
      </c>
      <c r="O243" s="462"/>
      <c r="P243" s="462"/>
      <c r="Q243" s="462"/>
      <c r="R243" s="462"/>
      <c r="S243" s="462"/>
      <c r="T243" s="462"/>
      <c r="U243" s="462"/>
      <c r="V243" s="132">
        <f t="shared" ref="V243:V246" si="113">SUM(X243:AA243)</f>
        <v>0</v>
      </c>
      <c r="W243" s="133" t="str">
        <f t="shared" ref="W243:W246" si="114">IF(ISERROR(V243/G243),"",V243/G243)</f>
        <v/>
      </c>
      <c r="X243" s="132"/>
      <c r="Y243" s="132"/>
      <c r="Z243" s="132"/>
      <c r="AA243" s="132"/>
    </row>
    <row r="244" spans="1:27" ht="20.100000000000001" hidden="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28"/>
      <c r="H244" s="454">
        <f t="shared" si="92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8"/>
        <v/>
      </c>
      <c r="N244" s="130">
        <f t="shared" si="112"/>
        <v>0</v>
      </c>
      <c r="O244" s="462"/>
      <c r="P244" s="462"/>
      <c r="Q244" s="462"/>
      <c r="R244" s="462"/>
      <c r="S244" s="462"/>
      <c r="T244" s="462"/>
      <c r="U244" s="462"/>
      <c r="V244" s="132">
        <f t="shared" si="113"/>
        <v>0</v>
      </c>
      <c r="W244" s="133" t="str">
        <f t="shared" si="114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28"/>
      <c r="H245" s="454">
        <f t="shared" si="92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8"/>
        <v/>
      </c>
      <c r="N245" s="130">
        <f t="shared" si="112"/>
        <v>0</v>
      </c>
      <c r="O245" s="462"/>
      <c r="P245" s="462"/>
      <c r="Q245" s="462"/>
      <c r="R245" s="462"/>
      <c r="S245" s="462"/>
      <c r="T245" s="462"/>
      <c r="U245" s="462"/>
      <c r="V245" s="132">
        <f t="shared" si="113"/>
        <v>0</v>
      </c>
      <c r="W245" s="133" t="str">
        <f t="shared" si="114"/>
        <v/>
      </c>
      <c r="X245" s="132"/>
      <c r="Y245" s="132"/>
      <c r="Z245" s="132"/>
      <c r="AA245" s="132"/>
    </row>
    <row r="246" spans="1:27" ht="20.100000000000001" hidden="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28"/>
      <c r="H246" s="454">
        <f t="shared" si="92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8"/>
        <v/>
      </c>
      <c r="N246" s="130">
        <f t="shared" si="112"/>
        <v>0</v>
      </c>
      <c r="O246" s="462"/>
      <c r="P246" s="462"/>
      <c r="Q246" s="462"/>
      <c r="R246" s="462"/>
      <c r="S246" s="462"/>
      <c r="T246" s="462"/>
      <c r="U246" s="462"/>
      <c r="V246" s="132">
        <f t="shared" si="113"/>
        <v>0</v>
      </c>
      <c r="W246" s="133" t="str">
        <f t="shared" si="114"/>
        <v/>
      </c>
      <c r="X246" s="132"/>
      <c r="Y246" s="132"/>
      <c r="Z246" s="132"/>
      <c r="AA246" s="132"/>
    </row>
    <row r="247" spans="1:27" ht="20.100000000000001" hidden="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28"/>
      <c r="H247" s="454">
        <f t="shared" si="92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8"/>
        <v>0</v>
      </c>
      <c r="N247" s="130"/>
      <c r="O247" s="462"/>
      <c r="P247" s="462"/>
      <c r="Q247" s="462"/>
      <c r="R247" s="462"/>
      <c r="S247" s="462"/>
      <c r="T247" s="462"/>
      <c r="U247" s="462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28"/>
      <c r="H248" s="454">
        <f t="shared" si="92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8"/>
        <v>0</v>
      </c>
      <c r="N248" s="130"/>
      <c r="O248" s="462"/>
      <c r="P248" s="462"/>
      <c r="Q248" s="462"/>
      <c r="R248" s="462"/>
      <c r="S248" s="462"/>
      <c r="T248" s="462"/>
      <c r="U248" s="462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28"/>
      <c r="H249" s="454">
        <f t="shared" si="92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8"/>
        <v>0</v>
      </c>
      <c r="N249" s="130"/>
      <c r="O249" s="462"/>
      <c r="P249" s="462"/>
      <c r="Q249" s="462"/>
      <c r="R249" s="462"/>
      <c r="S249" s="462"/>
      <c r="T249" s="462"/>
      <c r="U249" s="462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28"/>
      <c r="H250" s="454">
        <f t="shared" si="92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8"/>
        <v>0</v>
      </c>
      <c r="N250" s="130"/>
      <c r="O250" s="462"/>
      <c r="P250" s="462"/>
      <c r="Q250" s="462"/>
      <c r="R250" s="462"/>
      <c r="S250" s="462"/>
      <c r="T250" s="462"/>
      <c r="U250" s="462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28"/>
      <c r="H251" s="454">
        <f t="shared" si="92"/>
        <v>0</v>
      </c>
      <c r="I251" s="129"/>
      <c r="J251" s="130"/>
      <c r="K251" s="131"/>
      <c r="L251" s="129">
        <v>4</v>
      </c>
      <c r="M251" s="109"/>
      <c r="N251" s="130"/>
      <c r="O251" s="462"/>
      <c r="P251" s="462"/>
      <c r="Q251" s="462"/>
      <c r="R251" s="462"/>
      <c r="S251" s="462"/>
      <c r="T251" s="462"/>
      <c r="U251" s="462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28"/>
      <c r="H252" s="454">
        <f t="shared" si="92"/>
        <v>0</v>
      </c>
      <c r="I252" s="129"/>
      <c r="J252" s="130"/>
      <c r="K252" s="131"/>
      <c r="L252" s="129">
        <v>4</v>
      </c>
      <c r="M252" s="109"/>
      <c r="N252" s="130"/>
      <c r="O252" s="462"/>
      <c r="P252" s="462"/>
      <c r="Q252" s="462"/>
      <c r="R252" s="462"/>
      <c r="S252" s="462"/>
      <c r="T252" s="462"/>
      <c r="U252" s="462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28"/>
      <c r="H253" s="454">
        <f t="shared" si="92"/>
        <v>0</v>
      </c>
      <c r="I253" s="129"/>
      <c r="J253" s="130"/>
      <c r="K253" s="131"/>
      <c r="L253" s="129">
        <v>4</v>
      </c>
      <c r="M253" s="109"/>
      <c r="N253" s="130"/>
      <c r="O253" s="462"/>
      <c r="P253" s="462"/>
      <c r="Q253" s="462"/>
      <c r="R253" s="462"/>
      <c r="S253" s="462"/>
      <c r="T253" s="462"/>
      <c r="U253" s="462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28"/>
      <c r="H254" s="454">
        <f t="shared" si="92"/>
        <v>0</v>
      </c>
      <c r="I254" s="129"/>
      <c r="J254" s="130"/>
      <c r="K254" s="131"/>
      <c r="L254" s="129">
        <v>4</v>
      </c>
      <c r="M254" s="109"/>
      <c r="N254" s="130"/>
      <c r="O254" s="462"/>
      <c r="P254" s="462"/>
      <c r="Q254" s="462"/>
      <c r="R254" s="462"/>
      <c r="S254" s="462"/>
      <c r="T254" s="462"/>
      <c r="U254" s="462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28"/>
      <c r="H255" s="454">
        <f t="shared" si="92"/>
        <v>0</v>
      </c>
      <c r="I255" s="129"/>
      <c r="J255" s="130"/>
      <c r="K255" s="131"/>
      <c r="L255" s="129">
        <v>4</v>
      </c>
      <c r="M255" s="109"/>
      <c r="N255" s="130"/>
      <c r="O255" s="462"/>
      <c r="P255" s="462"/>
      <c r="Q255" s="462"/>
      <c r="R255" s="462"/>
      <c r="S255" s="462"/>
      <c r="T255" s="462"/>
      <c r="U255" s="462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28"/>
      <c r="H256" s="454">
        <f t="shared" si="92"/>
        <v>0</v>
      </c>
      <c r="I256" s="129"/>
      <c r="J256" s="130"/>
      <c r="K256" s="131"/>
      <c r="L256" s="129">
        <v>4</v>
      </c>
      <c r="M256" s="109"/>
      <c r="N256" s="130"/>
      <c r="O256" s="462"/>
      <c r="P256" s="462"/>
      <c r="Q256" s="462"/>
      <c r="R256" s="462"/>
      <c r="S256" s="462"/>
      <c r="T256" s="462"/>
      <c r="U256" s="462"/>
      <c r="V256" s="132"/>
      <c r="W256" s="133"/>
      <c r="X256" s="132"/>
      <c r="Y256" s="132"/>
      <c r="Z256" s="132"/>
      <c r="AA256" s="132"/>
    </row>
    <row r="257" spans="1:27" ht="20.100000000000001" customHeight="1">
      <c r="A257" s="589" t="s">
        <v>216</v>
      </c>
      <c r="B257" s="589"/>
      <c r="C257" s="463" t="s">
        <v>202</v>
      </c>
      <c r="D257" s="143"/>
      <c r="E257" s="143"/>
      <c r="F257" s="144"/>
      <c r="G257" s="145">
        <f>SUM(G200:G256)</f>
        <v>2609</v>
      </c>
      <c r="H257" s="146">
        <f>SUM(H200:H256)</f>
        <v>13158.420000000002</v>
      </c>
      <c r="I257" s="146">
        <f>SUM(I200:I256)</f>
        <v>56.57</v>
      </c>
      <c r="J257" s="130">
        <f t="array" ref="J257">IF(ISERROR(G257/I257),"",G257/I257)</f>
        <v>46.119851511401805</v>
      </c>
      <c r="K257" s="146">
        <f>SUM(K200:K256)</f>
        <v>73.978388278388266</v>
      </c>
      <c r="L257" s="147"/>
      <c r="M257" s="150">
        <f t="shared" ref="M257:V257" si="115">SUM(M200:M256)</f>
        <v>-17.40838827838828</v>
      </c>
      <c r="N257" s="146">
        <f t="shared" si="115"/>
        <v>0</v>
      </c>
      <c r="O257" s="148">
        <f t="shared" si="115"/>
        <v>0</v>
      </c>
      <c r="P257" s="148">
        <f t="shared" si="115"/>
        <v>0</v>
      </c>
      <c r="Q257" s="148">
        <f t="shared" si="115"/>
        <v>0</v>
      </c>
      <c r="R257" s="148">
        <f t="shared" si="115"/>
        <v>0</v>
      </c>
      <c r="S257" s="148">
        <f t="shared" si="115"/>
        <v>0</v>
      </c>
      <c r="T257" s="148">
        <f t="shared" si="115"/>
        <v>0</v>
      </c>
      <c r="U257" s="148">
        <f t="shared" si="115"/>
        <v>0</v>
      </c>
      <c r="V257" s="149">
        <f t="shared" si="115"/>
        <v>0</v>
      </c>
      <c r="W257" s="133">
        <f t="shared" ref="W257:W264" si="116">IF(ISERROR(V257/G257),"",V257/G257)</f>
        <v>0</v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hidden="1" customHeight="1">
      <c r="A258" s="299">
        <v>30400012</v>
      </c>
      <c r="B258" s="453" t="s">
        <v>217</v>
      </c>
      <c r="C258" s="126" t="s">
        <v>179</v>
      </c>
      <c r="D258" s="108">
        <v>5.03</v>
      </c>
      <c r="E258" s="108"/>
      <c r="F258" s="127"/>
      <c r="G258" s="128"/>
      <c r="H258" s="454">
        <f t="shared" ref="H258:H291" si="117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8">IF(ISERROR(I258-K258),"",I258-K258)</f>
        <v>0</v>
      </c>
      <c r="N258" s="130">
        <f t="shared" ref="N258:N265" si="119">SUM(O258:U258)</f>
        <v>0</v>
      </c>
      <c r="O258" s="462"/>
      <c r="P258" s="462"/>
      <c r="Q258" s="462"/>
      <c r="R258" s="462"/>
      <c r="S258" s="462"/>
      <c r="T258" s="462"/>
      <c r="U258" s="462"/>
      <c r="V258" s="132">
        <f t="shared" ref="V258:V264" si="120">SUM(X258:AA258)</f>
        <v>0</v>
      </c>
      <c r="W258" s="133" t="str">
        <f t="shared" si="116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30400010</v>
      </c>
      <c r="B259" s="453" t="s">
        <v>217</v>
      </c>
      <c r="C259" s="126" t="s">
        <v>186</v>
      </c>
      <c r="D259" s="108">
        <v>5.03</v>
      </c>
      <c r="E259" s="108"/>
      <c r="F259" s="127"/>
      <c r="G259" s="128"/>
      <c r="H259" s="454">
        <f t="shared" si="117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8"/>
        <v>0</v>
      </c>
      <c r="N259" s="130">
        <f t="shared" si="119"/>
        <v>0</v>
      </c>
      <c r="O259" s="462"/>
      <c r="P259" s="462"/>
      <c r="Q259" s="462"/>
      <c r="R259" s="462"/>
      <c r="S259" s="462"/>
      <c r="T259" s="462"/>
      <c r="U259" s="462"/>
      <c r="V259" s="132">
        <f t="shared" si="120"/>
        <v>0</v>
      </c>
      <c r="W259" s="133" t="str">
        <f t="shared" si="116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30400011</v>
      </c>
      <c r="B260" s="453" t="s">
        <v>217</v>
      </c>
      <c r="C260" s="126" t="s">
        <v>204</v>
      </c>
      <c r="D260" s="108">
        <v>5.03</v>
      </c>
      <c r="E260" s="108"/>
      <c r="F260" s="127"/>
      <c r="G260" s="128"/>
      <c r="H260" s="454">
        <f t="shared" si="117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8.8000000000000007</v>
      </c>
      <c r="M260" s="109">
        <f t="shared" si="118"/>
        <v>0</v>
      </c>
      <c r="N260" s="130">
        <f t="shared" si="119"/>
        <v>0</v>
      </c>
      <c r="O260" s="462"/>
      <c r="P260" s="462"/>
      <c r="Q260" s="462"/>
      <c r="R260" s="462"/>
      <c r="S260" s="462"/>
      <c r="T260" s="462"/>
      <c r="U260" s="462"/>
      <c r="V260" s="132">
        <f t="shared" si="120"/>
        <v>0</v>
      </c>
      <c r="W260" s="133" t="str">
        <f t="shared" si="116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28"/>
      <c r="H261" s="454">
        <f t="shared" si="117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8"/>
        <v>0</v>
      </c>
      <c r="N261" s="130">
        <f t="shared" si="119"/>
        <v>0</v>
      </c>
      <c r="O261" s="462"/>
      <c r="P261" s="462"/>
      <c r="Q261" s="462"/>
      <c r="R261" s="462"/>
      <c r="S261" s="462"/>
      <c r="T261" s="462"/>
      <c r="U261" s="462"/>
      <c r="V261" s="132">
        <f t="shared" si="120"/>
        <v>0</v>
      </c>
      <c r="W261" s="133" t="str">
        <f t="shared" si="116"/>
        <v/>
      </c>
      <c r="X261" s="132"/>
      <c r="Y261" s="132"/>
      <c r="Z261" s="132"/>
      <c r="AA261" s="132"/>
    </row>
    <row r="262" spans="1:27" ht="20.10000000000000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>
        <v>42741</v>
      </c>
      <c r="G262" s="128">
        <f>108+32</f>
        <v>140</v>
      </c>
      <c r="H262" s="454">
        <f t="shared" si="117"/>
        <v>704.2</v>
      </c>
      <c r="I262" s="129">
        <f>11.5*2</f>
        <v>23</v>
      </c>
      <c r="J262" s="130">
        <f t="array" ref="J262">IF(ISERROR(G262/I262),"",G262/I262)</f>
        <v>6.0869565217391308</v>
      </c>
      <c r="K262" s="131">
        <f t="array" ref="K262">IF(ISERROR(G262/L262),"",G262/L262)</f>
        <v>15.053763440860214</v>
      </c>
      <c r="L262" s="129">
        <v>9.3000000000000007</v>
      </c>
      <c r="M262" s="109">
        <f t="shared" si="118"/>
        <v>7.9462365591397859</v>
      </c>
      <c r="N262" s="130">
        <f t="shared" si="119"/>
        <v>0</v>
      </c>
      <c r="O262" s="462"/>
      <c r="P262" s="462"/>
      <c r="Q262" s="462"/>
      <c r="R262" s="462"/>
      <c r="S262" s="462"/>
      <c r="T262" s="462"/>
      <c r="U262" s="462"/>
      <c r="V262" s="132">
        <f t="shared" si="120"/>
        <v>0</v>
      </c>
      <c r="W262" s="133">
        <f t="shared" si="116"/>
        <v>0</v>
      </c>
      <c r="X262" s="132"/>
      <c r="Y262" s="132"/>
      <c r="Z262" s="132"/>
      <c r="AA262" s="132"/>
    </row>
    <row r="263" spans="1:27" ht="20.100000000000001" hidden="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/>
      <c r="G263" s="128"/>
      <c r="H263" s="454">
        <f t="shared" si="117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8"/>
        <v>0</v>
      </c>
      <c r="N263" s="130">
        <f t="shared" si="119"/>
        <v>0</v>
      </c>
      <c r="O263" s="462"/>
      <c r="P263" s="462"/>
      <c r="Q263" s="462"/>
      <c r="R263" s="462"/>
      <c r="S263" s="462"/>
      <c r="T263" s="462"/>
      <c r="U263" s="462"/>
      <c r="V263" s="132">
        <f t="shared" si="120"/>
        <v>0</v>
      </c>
      <c r="W263" s="133" t="str">
        <f t="shared" si="116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/>
      <c r="G264" s="128"/>
      <c r="H264" s="454">
        <f t="shared" si="117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9.3000000000000007</v>
      </c>
      <c r="M264" s="109">
        <f t="shared" si="118"/>
        <v>0</v>
      </c>
      <c r="N264" s="130">
        <f t="shared" si="119"/>
        <v>0</v>
      </c>
      <c r="O264" s="462"/>
      <c r="P264" s="462"/>
      <c r="Q264" s="462"/>
      <c r="R264" s="462"/>
      <c r="S264" s="462"/>
      <c r="T264" s="462"/>
      <c r="U264" s="462"/>
      <c r="V264" s="132">
        <f t="shared" si="120"/>
        <v>0</v>
      </c>
      <c r="W264" s="133" t="str">
        <f t="shared" si="116"/>
        <v/>
      </c>
      <c r="X264" s="132"/>
      <c r="Y264" s="132"/>
      <c r="Z264" s="132"/>
      <c r="AA264" s="132"/>
    </row>
    <row r="265" spans="1:27" ht="20.100000000000001" hidden="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/>
      <c r="G265" s="128"/>
      <c r="H265" s="454">
        <f t="shared" si="117"/>
        <v>0</v>
      </c>
      <c r="I265" s="129"/>
      <c r="J265" s="130"/>
      <c r="K265" s="131">
        <f t="array" ref="K265">IF(ISERROR(G265/L265),"",G265/L265)</f>
        <v>0</v>
      </c>
      <c r="L265" s="129">
        <v>9.3000000000000007</v>
      </c>
      <c r="M265" s="109">
        <f t="shared" si="118"/>
        <v>0</v>
      </c>
      <c r="N265" s="130">
        <f t="shared" si="119"/>
        <v>0</v>
      </c>
      <c r="O265" s="462"/>
      <c r="P265" s="462"/>
      <c r="Q265" s="462"/>
      <c r="R265" s="462"/>
      <c r="S265" s="462"/>
      <c r="T265" s="462"/>
      <c r="U265" s="462"/>
      <c r="V265" s="132"/>
      <c r="W265" s="133"/>
      <c r="X265" s="132"/>
      <c r="Y265" s="132"/>
      <c r="Z265" s="132"/>
      <c r="AA265" s="132"/>
    </row>
    <row r="266" spans="1:27" ht="20.100000000000001" hidden="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28"/>
      <c r="H266" s="454">
        <f t="shared" si="117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62"/>
      <c r="P266" s="462"/>
      <c r="Q266" s="462"/>
      <c r="R266" s="462"/>
      <c r="S266" s="462"/>
      <c r="T266" s="462"/>
      <c r="U266" s="462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28"/>
      <c r="H267" s="454">
        <f t="shared" si="117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462"/>
      <c r="P267" s="462"/>
      <c r="Q267" s="462"/>
      <c r="R267" s="462"/>
      <c r="S267" s="462"/>
      <c r="T267" s="462"/>
      <c r="U267" s="462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28"/>
      <c r="H268" s="454">
        <f t="shared" si="117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462"/>
      <c r="P268" s="462"/>
      <c r="Q268" s="462"/>
      <c r="R268" s="462"/>
      <c r="S268" s="462"/>
      <c r="T268" s="462"/>
      <c r="U268" s="462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28"/>
      <c r="H269" s="454">
        <f t="shared" si="117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462"/>
      <c r="P269" s="462"/>
      <c r="Q269" s="462"/>
      <c r="R269" s="462"/>
      <c r="S269" s="462"/>
      <c r="T269" s="462"/>
      <c r="U269" s="462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28"/>
      <c r="H270" s="454">
        <f t="shared" si="117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5" si="121">IF(ISERROR(I270-K270),"",I270-K270)</f>
        <v>0</v>
      </c>
      <c r="N270" s="130">
        <f t="shared" ref="N270:N285" si="122">SUM(O270:U270)</f>
        <v>0</v>
      </c>
      <c r="O270" s="462"/>
      <c r="P270" s="462"/>
      <c r="Q270" s="462"/>
      <c r="R270" s="462"/>
      <c r="S270" s="462"/>
      <c r="T270" s="462"/>
      <c r="U270" s="462"/>
      <c r="V270" s="132">
        <f t="shared" ref="V270:V273" si="123">SUM(X270:AA270)</f>
        <v>0</v>
      </c>
      <c r="W270" s="133" t="str">
        <f t="shared" ref="W270:W277" si="124">IF(ISERROR(V270/G270),"",V270/G270)</f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28"/>
      <c r="H271" s="454">
        <f t="shared" si="117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1"/>
        <v/>
      </c>
      <c r="N271" s="130">
        <f t="shared" si="122"/>
        <v>0</v>
      </c>
      <c r="O271" s="462"/>
      <c r="P271" s="462"/>
      <c r="Q271" s="462"/>
      <c r="R271" s="462"/>
      <c r="S271" s="462"/>
      <c r="T271" s="462"/>
      <c r="U271" s="462"/>
      <c r="V271" s="132">
        <f t="shared" si="123"/>
        <v>0</v>
      </c>
      <c r="W271" s="133" t="str">
        <f t="shared" si="124"/>
        <v/>
      </c>
      <c r="X271" s="132"/>
      <c r="Y271" s="132"/>
      <c r="Z271" s="132"/>
      <c r="AA271" s="132"/>
    </row>
    <row r="272" spans="1:27" ht="20.100000000000001" hidden="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28"/>
      <c r="H272" s="454">
        <f t="shared" si="117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1"/>
        <v/>
      </c>
      <c r="N272" s="130">
        <f t="shared" si="122"/>
        <v>0</v>
      </c>
      <c r="O272" s="462"/>
      <c r="P272" s="462"/>
      <c r="Q272" s="462"/>
      <c r="R272" s="462"/>
      <c r="S272" s="462"/>
      <c r="T272" s="462"/>
      <c r="U272" s="462"/>
      <c r="V272" s="132">
        <f t="shared" si="123"/>
        <v>0</v>
      </c>
      <c r="W272" s="133" t="str">
        <f t="shared" si="124"/>
        <v/>
      </c>
      <c r="X272" s="132"/>
      <c r="Y272" s="132"/>
      <c r="Z272" s="132"/>
      <c r="AA272" s="132"/>
    </row>
    <row r="273" spans="1:27" ht="20.100000000000001" hidden="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28"/>
      <c r="H273" s="454">
        <f t="shared" si="117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21"/>
        <v/>
      </c>
      <c r="N273" s="130">
        <f t="shared" si="122"/>
        <v>0</v>
      </c>
      <c r="O273" s="462"/>
      <c r="P273" s="462"/>
      <c r="Q273" s="462"/>
      <c r="R273" s="462"/>
      <c r="S273" s="462"/>
      <c r="T273" s="462"/>
      <c r="U273" s="462"/>
      <c r="V273" s="132">
        <f t="shared" si="123"/>
        <v>0</v>
      </c>
      <c r="W273" s="133" t="str">
        <f t="shared" si="124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30600005</v>
      </c>
      <c r="B274" s="453" t="s">
        <v>222</v>
      </c>
      <c r="C274" s="126" t="s">
        <v>181</v>
      </c>
      <c r="D274" s="108">
        <v>9.36</v>
      </c>
      <c r="E274" s="108"/>
      <c r="F274" s="127"/>
      <c r="G274" s="128"/>
      <c r="H274" s="454">
        <f t="shared" si="117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1"/>
        <v>0</v>
      </c>
      <c r="N274" s="130">
        <f t="shared" si="122"/>
        <v>0</v>
      </c>
      <c r="O274" s="462"/>
      <c r="P274" s="462"/>
      <c r="Q274" s="462"/>
      <c r="R274" s="462"/>
      <c r="S274" s="462"/>
      <c r="T274" s="462"/>
      <c r="U274" s="462"/>
      <c r="V274" s="132">
        <f t="shared" ref="V274:V277" si="125">SUM(X274:AA274)</f>
        <v>0</v>
      </c>
      <c r="W274" s="133" t="str">
        <f t="shared" si="124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30600008</v>
      </c>
      <c r="B275" s="453" t="s">
        <v>222</v>
      </c>
      <c r="C275" s="126" t="s">
        <v>179</v>
      </c>
      <c r="D275" s="108">
        <v>9.36</v>
      </c>
      <c r="E275" s="108"/>
      <c r="F275" s="127"/>
      <c r="G275" s="128"/>
      <c r="H275" s="454">
        <f t="shared" si="117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1"/>
        <v>0</v>
      </c>
      <c r="N275" s="130">
        <f t="shared" si="122"/>
        <v>0</v>
      </c>
      <c r="O275" s="462"/>
      <c r="P275" s="462"/>
      <c r="Q275" s="462"/>
      <c r="R275" s="462"/>
      <c r="S275" s="462"/>
      <c r="T275" s="462"/>
      <c r="U275" s="462"/>
      <c r="V275" s="132">
        <f t="shared" si="125"/>
        <v>0</v>
      </c>
      <c r="W275" s="133" t="str">
        <f t="shared" si="124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30600007</v>
      </c>
      <c r="B276" s="453" t="s">
        <v>222</v>
      </c>
      <c r="C276" s="126" t="s">
        <v>221</v>
      </c>
      <c r="D276" s="108">
        <v>9.36</v>
      </c>
      <c r="E276" s="108"/>
      <c r="F276" s="127"/>
      <c r="G276" s="128"/>
      <c r="H276" s="454">
        <f t="shared" si="117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1"/>
        <v>0</v>
      </c>
      <c r="N276" s="130">
        <f t="shared" si="122"/>
        <v>0</v>
      </c>
      <c r="O276" s="462"/>
      <c r="P276" s="462"/>
      <c r="Q276" s="462"/>
      <c r="R276" s="462"/>
      <c r="S276" s="462"/>
      <c r="T276" s="462"/>
      <c r="U276" s="462"/>
      <c r="V276" s="132">
        <f t="shared" si="125"/>
        <v>0</v>
      </c>
      <c r="W276" s="133" t="str">
        <f t="shared" si="124"/>
        <v/>
      </c>
      <c r="X276" s="132"/>
      <c r="Y276" s="132"/>
      <c r="Z276" s="132"/>
      <c r="AA276" s="132"/>
    </row>
    <row r="277" spans="1:27" ht="20.100000000000001" hidden="1" customHeight="1">
      <c r="A277" s="304">
        <v>30600006</v>
      </c>
      <c r="B277" s="453" t="s">
        <v>222</v>
      </c>
      <c r="C277" s="126" t="s">
        <v>186</v>
      </c>
      <c r="D277" s="108">
        <v>9.36</v>
      </c>
      <c r="E277" s="108"/>
      <c r="F277" s="127"/>
      <c r="G277" s="128"/>
      <c r="H277" s="454">
        <f t="shared" si="117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21"/>
        <v>0</v>
      </c>
      <c r="N277" s="130">
        <f t="shared" si="122"/>
        <v>0</v>
      </c>
      <c r="O277" s="462"/>
      <c r="P277" s="462"/>
      <c r="Q277" s="462"/>
      <c r="R277" s="462"/>
      <c r="S277" s="462"/>
      <c r="T277" s="462"/>
      <c r="U277" s="462"/>
      <c r="V277" s="132">
        <f t="shared" si="125"/>
        <v>0</v>
      </c>
      <c r="W277" s="133" t="str">
        <f t="shared" si="124"/>
        <v/>
      </c>
      <c r="X277" s="132"/>
      <c r="Y277" s="132"/>
      <c r="Z277" s="132"/>
      <c r="AA277" s="132"/>
    </row>
    <row r="278" spans="1:27" ht="20.100000000000001" hidden="1" customHeight="1">
      <c r="A278" s="299">
        <v>30400026</v>
      </c>
      <c r="B278" s="453" t="s">
        <v>393</v>
      </c>
      <c r="C278" s="187" t="s">
        <v>395</v>
      </c>
      <c r="D278" s="108">
        <v>5</v>
      </c>
      <c r="E278" s="108"/>
      <c r="F278" s="127"/>
      <c r="G278" s="128"/>
      <c r="H278" s="454">
        <f t="shared" si="117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1"/>
        <v>0</v>
      </c>
      <c r="N278" s="130">
        <f t="shared" si="122"/>
        <v>0</v>
      </c>
      <c r="O278" s="462"/>
      <c r="P278" s="462"/>
      <c r="Q278" s="462"/>
      <c r="R278" s="462"/>
      <c r="S278" s="462"/>
      <c r="T278" s="462"/>
      <c r="U278" s="462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30400028</v>
      </c>
      <c r="B279" s="453" t="s">
        <v>393</v>
      </c>
      <c r="C279" s="187" t="s">
        <v>402</v>
      </c>
      <c r="D279" s="108">
        <v>5</v>
      </c>
      <c r="E279" s="108"/>
      <c r="F279" s="127"/>
      <c r="G279" s="128"/>
      <c r="H279" s="454">
        <f t="shared" si="117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1"/>
        <v>0</v>
      </c>
      <c r="N279" s="130">
        <f t="shared" si="122"/>
        <v>0</v>
      </c>
      <c r="O279" s="462"/>
      <c r="P279" s="462"/>
      <c r="Q279" s="462"/>
      <c r="R279" s="462"/>
      <c r="S279" s="462"/>
      <c r="T279" s="462"/>
      <c r="U279" s="462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>
        <v>30400027</v>
      </c>
      <c r="B280" s="453" t="s">
        <v>404</v>
      </c>
      <c r="C280" s="187" t="s">
        <v>405</v>
      </c>
      <c r="D280" s="108">
        <v>5</v>
      </c>
      <c r="E280" s="108"/>
      <c r="F280" s="127"/>
      <c r="G280" s="128"/>
      <c r="H280" s="454">
        <f t="shared" si="117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1"/>
        <v>0</v>
      </c>
      <c r="N280" s="130">
        <f t="shared" si="122"/>
        <v>0</v>
      </c>
      <c r="O280" s="462"/>
      <c r="P280" s="462"/>
      <c r="Q280" s="462"/>
      <c r="R280" s="462"/>
      <c r="S280" s="462"/>
      <c r="T280" s="462"/>
      <c r="U280" s="462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/>
      <c r="B281" s="453" t="s">
        <v>342</v>
      </c>
      <c r="C281" s="187" t="s">
        <v>372</v>
      </c>
      <c r="D281" s="108">
        <v>5</v>
      </c>
      <c r="E281" s="108"/>
      <c r="F281" s="127"/>
      <c r="G281" s="128"/>
      <c r="H281" s="454">
        <f t="shared" si="117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1"/>
        <v>0</v>
      </c>
      <c r="N281" s="130">
        <f t="shared" si="122"/>
        <v>0</v>
      </c>
      <c r="O281" s="462"/>
      <c r="P281" s="462"/>
      <c r="Q281" s="462"/>
      <c r="R281" s="462"/>
      <c r="S281" s="462"/>
      <c r="T281" s="462"/>
      <c r="U281" s="462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30600009</v>
      </c>
      <c r="B282" s="453" t="s">
        <v>343</v>
      </c>
      <c r="C282" s="126" t="s">
        <v>345</v>
      </c>
      <c r="D282" s="108">
        <v>5</v>
      </c>
      <c r="E282" s="108"/>
      <c r="F282" s="127"/>
      <c r="G282" s="128"/>
      <c r="H282" s="454">
        <f t="shared" si="117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1"/>
        <v>0</v>
      </c>
      <c r="N282" s="130">
        <f t="shared" si="122"/>
        <v>0</v>
      </c>
      <c r="O282" s="462"/>
      <c r="P282" s="462"/>
      <c r="Q282" s="462"/>
      <c r="R282" s="462"/>
      <c r="S282" s="462"/>
      <c r="T282" s="462"/>
      <c r="U282" s="462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30600010</v>
      </c>
      <c r="B283" s="453" t="s">
        <v>343</v>
      </c>
      <c r="C283" s="126" t="s">
        <v>347</v>
      </c>
      <c r="D283" s="108">
        <v>5</v>
      </c>
      <c r="E283" s="108"/>
      <c r="F283" s="127"/>
      <c r="G283" s="128"/>
      <c r="H283" s="454">
        <f t="shared" si="117"/>
        <v>0</v>
      </c>
      <c r="I283" s="129"/>
      <c r="J283" s="130"/>
      <c r="K283" s="131">
        <f t="array" ref="K283">IF(ISERROR(G283/L283),"",G283/L283)</f>
        <v>0</v>
      </c>
      <c r="L283" s="129">
        <v>5</v>
      </c>
      <c r="M283" s="109">
        <f t="shared" si="121"/>
        <v>0</v>
      </c>
      <c r="N283" s="130">
        <f t="shared" si="122"/>
        <v>0</v>
      </c>
      <c r="O283" s="462"/>
      <c r="P283" s="462"/>
      <c r="Q283" s="462"/>
      <c r="R283" s="462"/>
      <c r="S283" s="462"/>
      <c r="T283" s="462"/>
      <c r="U283" s="462"/>
      <c r="V283" s="132"/>
      <c r="W283" s="133"/>
      <c r="X283" s="132"/>
      <c r="Y283" s="132"/>
      <c r="Z283" s="132"/>
      <c r="AA283" s="132"/>
    </row>
    <row r="284" spans="1:27" ht="20.100000000000001" hidden="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/>
      <c r="G284" s="128"/>
      <c r="H284" s="454">
        <f t="shared" si="117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1"/>
        <v>0</v>
      </c>
      <c r="N284" s="130">
        <f t="shared" si="122"/>
        <v>0</v>
      </c>
      <c r="O284" s="462"/>
      <c r="P284" s="462"/>
      <c r="Q284" s="462"/>
      <c r="R284" s="462"/>
      <c r="S284" s="462"/>
      <c r="T284" s="462"/>
      <c r="U284" s="462"/>
      <c r="V284" s="132">
        <f t="shared" ref="V284:V285" si="126">SUM(X284:AA284)</f>
        <v>0</v>
      </c>
      <c r="W284" s="133" t="str">
        <f t="shared" ref="W284:W285" si="127">IF(ISERROR(V284/G284),"",V284/G284)</f>
        <v/>
      </c>
      <c r="X284" s="132"/>
      <c r="Y284" s="132"/>
      <c r="Z284" s="132"/>
      <c r="AA284" s="132"/>
    </row>
    <row r="285" spans="1:27" ht="20.100000000000001" hidden="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28"/>
      <c r="H285" s="454">
        <f t="shared" si="117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21"/>
        <v>0</v>
      </c>
      <c r="N285" s="130">
        <f t="shared" si="122"/>
        <v>0</v>
      </c>
      <c r="O285" s="462"/>
      <c r="P285" s="462"/>
      <c r="Q285" s="462"/>
      <c r="R285" s="462"/>
      <c r="S285" s="462"/>
      <c r="T285" s="462"/>
      <c r="U285" s="462"/>
      <c r="V285" s="132">
        <f t="shared" si="126"/>
        <v>0</v>
      </c>
      <c r="W285" s="133" t="str">
        <f t="shared" si="127"/>
        <v/>
      </c>
      <c r="X285" s="132"/>
      <c r="Y285" s="132"/>
      <c r="Z285" s="132"/>
      <c r="AA285" s="132"/>
    </row>
    <row r="286" spans="1:27" ht="20.100000000000001" hidden="1" customHeight="1">
      <c r="A286" s="299">
        <v>30400004</v>
      </c>
      <c r="B286" s="151" t="s">
        <v>419</v>
      </c>
      <c r="C286" s="187" t="s">
        <v>73</v>
      </c>
      <c r="D286" s="108">
        <v>5.03</v>
      </c>
      <c r="E286" s="108"/>
      <c r="F286" s="127"/>
      <c r="G286" s="128"/>
      <c r="H286" s="454">
        <f t="shared" si="117"/>
        <v>0</v>
      </c>
      <c r="I286" s="129"/>
      <c r="J286" s="130"/>
      <c r="K286" s="131"/>
      <c r="L286" s="129">
        <v>24</v>
      </c>
      <c r="M286" s="109"/>
      <c r="N286" s="130"/>
      <c r="O286" s="462"/>
      <c r="P286" s="462"/>
      <c r="Q286" s="462"/>
      <c r="R286" s="462"/>
      <c r="S286" s="462"/>
      <c r="T286" s="462"/>
      <c r="U286" s="462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/>
      <c r="G287" s="128"/>
      <c r="H287" s="454">
        <f t="shared" si="117"/>
        <v>0</v>
      </c>
      <c r="I287" s="129"/>
      <c r="J287" s="130"/>
      <c r="K287" s="131"/>
      <c r="L287" s="129">
        <v>24</v>
      </c>
      <c r="M287" s="109"/>
      <c r="N287" s="130"/>
      <c r="O287" s="462"/>
      <c r="P287" s="462"/>
      <c r="Q287" s="462"/>
      <c r="R287" s="462"/>
      <c r="S287" s="462"/>
      <c r="T287" s="462"/>
      <c r="U287" s="462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/>
      <c r="G288" s="128"/>
      <c r="H288" s="454">
        <f t="shared" si="117"/>
        <v>0</v>
      </c>
      <c r="I288" s="129"/>
      <c r="J288" s="130"/>
      <c r="K288" s="131"/>
      <c r="L288" s="129">
        <v>24</v>
      </c>
      <c r="M288" s="109"/>
      <c r="N288" s="130"/>
      <c r="O288" s="462"/>
      <c r="P288" s="462"/>
      <c r="Q288" s="462"/>
      <c r="R288" s="462"/>
      <c r="S288" s="462"/>
      <c r="T288" s="462"/>
      <c r="U288" s="462"/>
      <c r="V288" s="132"/>
      <c r="W288" s="133"/>
      <c r="X288" s="132"/>
      <c r="Y288" s="132"/>
      <c r="Z288" s="132"/>
      <c r="AA288" s="132"/>
    </row>
    <row r="289" spans="1:27" ht="20.100000000000001" hidden="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/>
      <c r="G289" s="128"/>
      <c r="H289" s="454">
        <f t="shared" si="117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ref="M289:M291" si="128">IF(ISERROR(I289-K289),"",I289-K289)</f>
        <v>0</v>
      </c>
      <c r="N289" s="130">
        <f t="shared" ref="N289:N291" si="129">SUM(O289:U289)</f>
        <v>0</v>
      </c>
      <c r="O289" s="462"/>
      <c r="P289" s="462"/>
      <c r="Q289" s="462"/>
      <c r="R289" s="462"/>
      <c r="S289" s="462"/>
      <c r="T289" s="462"/>
      <c r="U289" s="462"/>
      <c r="V289" s="132">
        <f t="shared" ref="V289:V291" si="130">SUM(X289:AA289)</f>
        <v>0</v>
      </c>
      <c r="W289" s="133" t="str">
        <f t="shared" ref="W289:W313" si="131">IF(ISERROR(V289/G289),"",V289/G289)</f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28"/>
      <c r="H290" s="454">
        <f t="shared" si="117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8"/>
        <v>0</v>
      </c>
      <c r="N290" s="130">
        <f t="shared" si="129"/>
        <v>0</v>
      </c>
      <c r="O290" s="462"/>
      <c r="P290" s="462"/>
      <c r="Q290" s="462"/>
      <c r="R290" s="462"/>
      <c r="S290" s="462"/>
      <c r="T290" s="462"/>
      <c r="U290" s="462"/>
      <c r="V290" s="132">
        <f t="shared" si="130"/>
        <v>0</v>
      </c>
      <c r="W290" s="133" t="str">
        <f t="shared" si="131"/>
        <v/>
      </c>
      <c r="X290" s="132"/>
      <c r="Y290" s="132"/>
      <c r="Z290" s="132"/>
      <c r="AA290" s="132"/>
    </row>
    <row r="291" spans="1:27" ht="20.100000000000001" hidden="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/>
      <c r="G291" s="128"/>
      <c r="H291" s="454">
        <f t="shared" si="117"/>
        <v>0</v>
      </c>
      <c r="I291" s="129"/>
      <c r="J291" s="130" t="str">
        <f t="array" ref="J291">IF(ISERROR(G291/I291),"",G291/I291)</f>
        <v/>
      </c>
      <c r="K291" s="454">
        <f t="array" ref="K291">IF(ISERROR(G291/L291),"",G291/L291)</f>
        <v>0</v>
      </c>
      <c r="L291" s="129">
        <v>9</v>
      </c>
      <c r="M291" s="109">
        <f t="shared" si="128"/>
        <v>0</v>
      </c>
      <c r="N291" s="130">
        <f t="shared" si="129"/>
        <v>0</v>
      </c>
      <c r="O291" s="462"/>
      <c r="P291" s="462"/>
      <c r="Q291" s="462"/>
      <c r="R291" s="462"/>
      <c r="S291" s="462"/>
      <c r="T291" s="462"/>
      <c r="U291" s="462"/>
      <c r="V291" s="132">
        <f t="shared" si="130"/>
        <v>0</v>
      </c>
      <c r="W291" s="133" t="str">
        <f t="shared" si="131"/>
        <v/>
      </c>
      <c r="X291" s="132"/>
      <c r="Y291" s="132"/>
      <c r="Z291" s="132"/>
      <c r="AA291" s="132"/>
    </row>
    <row r="292" spans="1:27" ht="20.100000000000001" customHeight="1">
      <c r="A292" s="578" t="s">
        <v>224</v>
      </c>
      <c r="B292" s="579"/>
      <c r="C292" s="463" t="s">
        <v>202</v>
      </c>
      <c r="D292" s="143"/>
      <c r="E292" s="143"/>
      <c r="F292" s="144"/>
      <c r="G292" s="145">
        <f>SUM(G258:G291)</f>
        <v>140</v>
      </c>
      <c r="H292" s="146">
        <f>SUM(H258:H291)</f>
        <v>704.2</v>
      </c>
      <c r="I292" s="146">
        <f>SUM(I258:I291)</f>
        <v>23</v>
      </c>
      <c r="J292" s="130">
        <f t="array" ref="J292">IF(ISERROR(G292/I292),"",G292/I292)</f>
        <v>6.0869565217391308</v>
      </c>
      <c r="K292" s="146">
        <f>SUM(K258:K291)</f>
        <v>15.053763440860214</v>
      </c>
      <c r="L292" s="147"/>
      <c r="M292" s="150">
        <f t="shared" ref="M292:V292" si="132">SUM(M258:M291)</f>
        <v>7.9462365591397859</v>
      </c>
      <c r="N292" s="146">
        <f t="shared" si="132"/>
        <v>0</v>
      </c>
      <c r="O292" s="148">
        <f t="shared" si="132"/>
        <v>0</v>
      </c>
      <c r="P292" s="148">
        <f t="shared" si="132"/>
        <v>0</v>
      </c>
      <c r="Q292" s="148">
        <f t="shared" si="132"/>
        <v>0</v>
      </c>
      <c r="R292" s="148">
        <f t="shared" si="132"/>
        <v>0</v>
      </c>
      <c r="S292" s="148">
        <f t="shared" si="132"/>
        <v>0</v>
      </c>
      <c r="T292" s="148">
        <f t="shared" si="132"/>
        <v>0</v>
      </c>
      <c r="U292" s="148">
        <f t="shared" si="132"/>
        <v>0</v>
      </c>
      <c r="V292" s="149">
        <f t="shared" si="132"/>
        <v>0</v>
      </c>
      <c r="W292" s="133">
        <f t="shared" si="131"/>
        <v>0</v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hidden="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/>
      <c r="G293" s="128"/>
      <c r="H293" s="454">
        <f t="shared" ref="H293:H307" si="133">D293*G293</f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ref="M293:M307" si="134">IF(ISERROR(I293-K293),"",I293-K293)</f>
        <v>0</v>
      </c>
      <c r="N293" s="130">
        <f t="shared" ref="N293:N307" si="135">SUM(O293:U293)</f>
        <v>0</v>
      </c>
      <c r="O293" s="462"/>
      <c r="P293" s="462"/>
      <c r="Q293" s="462"/>
      <c r="R293" s="462"/>
      <c r="S293" s="462"/>
      <c r="T293" s="462"/>
      <c r="U293" s="462"/>
      <c r="V293" s="132">
        <f t="shared" ref="V293:V307" si="136">SUM(X293:AA293)</f>
        <v>0</v>
      </c>
      <c r="W293" s="133" t="str">
        <f t="shared" si="131"/>
        <v/>
      </c>
      <c r="X293" s="132"/>
      <c r="Y293" s="132"/>
      <c r="Z293" s="132"/>
      <c r="AA293" s="132"/>
    </row>
    <row r="294" spans="1:27" ht="20.100000000000001" hidden="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/>
      <c r="G294" s="128"/>
      <c r="H294" s="454">
        <f t="shared" si="133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25</v>
      </c>
      <c r="M294" s="109">
        <f t="shared" si="134"/>
        <v>0</v>
      </c>
      <c r="N294" s="130">
        <f t="shared" si="135"/>
        <v>0</v>
      </c>
      <c r="O294" s="462"/>
      <c r="P294" s="462"/>
      <c r="Q294" s="462"/>
      <c r="R294" s="462"/>
      <c r="S294" s="462"/>
      <c r="T294" s="462"/>
      <c r="U294" s="462"/>
      <c r="V294" s="132">
        <f t="shared" si="136"/>
        <v>0</v>
      </c>
      <c r="W294" s="133" t="str">
        <f t="shared" si="131"/>
        <v/>
      </c>
      <c r="X294" s="132"/>
      <c r="Y294" s="132"/>
      <c r="Z294" s="132"/>
      <c r="AA294" s="132"/>
    </row>
    <row r="295" spans="1:27" ht="20.100000000000001" hidden="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/>
      <c r="G295" s="128"/>
      <c r="H295" s="454">
        <f t="shared" si="133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20</v>
      </c>
      <c r="M295" s="109">
        <f t="shared" si="134"/>
        <v>0</v>
      </c>
      <c r="N295" s="130">
        <f t="shared" si="135"/>
        <v>0</v>
      </c>
      <c r="O295" s="462"/>
      <c r="P295" s="462"/>
      <c r="Q295" s="462"/>
      <c r="R295" s="462"/>
      <c r="S295" s="462"/>
      <c r="T295" s="462"/>
      <c r="U295" s="462"/>
      <c r="V295" s="132">
        <f t="shared" si="136"/>
        <v>0</v>
      </c>
      <c r="W295" s="133" t="str">
        <f t="shared" si="131"/>
        <v/>
      </c>
      <c r="X295" s="132"/>
      <c r="Y295" s="132"/>
      <c r="Z295" s="132"/>
      <c r="AA295" s="132"/>
    </row>
    <row r="296" spans="1:27" ht="20.100000000000001" hidden="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28"/>
      <c r="H296" s="454">
        <f t="shared" si="133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4"/>
        <v>0</v>
      </c>
      <c r="N296" s="130">
        <f t="shared" si="135"/>
        <v>0</v>
      </c>
      <c r="O296" s="462"/>
      <c r="P296" s="462"/>
      <c r="Q296" s="462"/>
      <c r="R296" s="462"/>
      <c r="S296" s="462"/>
      <c r="T296" s="462"/>
      <c r="U296" s="462"/>
      <c r="V296" s="132">
        <f t="shared" si="136"/>
        <v>0</v>
      </c>
      <c r="W296" s="133" t="str">
        <f t="shared" si="131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30100054</v>
      </c>
      <c r="B297" s="140" t="s">
        <v>227</v>
      </c>
      <c r="C297" s="459" t="s">
        <v>203</v>
      </c>
      <c r="D297" s="108">
        <v>5.03</v>
      </c>
      <c r="E297" s="108"/>
      <c r="F297" s="127"/>
      <c r="G297" s="128"/>
      <c r="H297" s="454">
        <f t="shared" si="133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4"/>
        <v>0</v>
      </c>
      <c r="N297" s="130">
        <f t="shared" si="135"/>
        <v>0</v>
      </c>
      <c r="O297" s="462"/>
      <c r="P297" s="462"/>
      <c r="Q297" s="462"/>
      <c r="R297" s="462"/>
      <c r="S297" s="462"/>
      <c r="T297" s="462"/>
      <c r="U297" s="462"/>
      <c r="V297" s="132">
        <f t="shared" si="136"/>
        <v>0</v>
      </c>
      <c r="W297" s="133" t="str">
        <f t="shared" si="131"/>
        <v/>
      </c>
      <c r="X297" s="132"/>
      <c r="Y297" s="132"/>
      <c r="Z297" s="132"/>
      <c r="AA297" s="132"/>
    </row>
    <row r="298" spans="1:27" ht="20.100000000000001" hidden="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/>
      <c r="G298" s="128"/>
      <c r="H298" s="454">
        <f t="shared" si="133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4"/>
        <v>0</v>
      </c>
      <c r="N298" s="130">
        <f t="shared" si="135"/>
        <v>0</v>
      </c>
      <c r="O298" s="462"/>
      <c r="P298" s="462"/>
      <c r="Q298" s="462"/>
      <c r="R298" s="462"/>
      <c r="S298" s="462"/>
      <c r="T298" s="462"/>
      <c r="U298" s="462"/>
      <c r="V298" s="132">
        <f t="shared" si="136"/>
        <v>0</v>
      </c>
      <c r="W298" s="133" t="str">
        <f t="shared" si="131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28"/>
      <c r="H299" s="454">
        <f t="shared" si="133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4"/>
        <v>0</v>
      </c>
      <c r="N299" s="130">
        <f t="shared" si="135"/>
        <v>0</v>
      </c>
      <c r="O299" s="462"/>
      <c r="P299" s="462"/>
      <c r="Q299" s="462"/>
      <c r="R299" s="462"/>
      <c r="S299" s="462"/>
      <c r="T299" s="462"/>
      <c r="U299" s="462"/>
      <c r="V299" s="132">
        <f t="shared" si="136"/>
        <v>0</v>
      </c>
      <c r="W299" s="133" t="str">
        <f t="shared" si="131"/>
        <v/>
      </c>
      <c r="X299" s="132"/>
      <c r="Y299" s="132"/>
      <c r="Z299" s="132"/>
      <c r="AA299" s="132"/>
    </row>
    <row r="300" spans="1:27" ht="20.100000000000001" hidden="1" customHeight="1">
      <c r="A300" s="299"/>
      <c r="B300" s="140" t="s">
        <v>227</v>
      </c>
      <c r="C300" s="459" t="s">
        <v>228</v>
      </c>
      <c r="D300" s="108">
        <v>5.03</v>
      </c>
      <c r="E300" s="108"/>
      <c r="F300" s="127"/>
      <c r="G300" s="128"/>
      <c r="H300" s="454">
        <f t="shared" si="133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4"/>
        <v>0</v>
      </c>
      <c r="N300" s="130">
        <f t="shared" si="135"/>
        <v>0</v>
      </c>
      <c r="O300" s="462"/>
      <c r="P300" s="462"/>
      <c r="Q300" s="462"/>
      <c r="R300" s="462"/>
      <c r="S300" s="462"/>
      <c r="T300" s="462"/>
      <c r="U300" s="462"/>
      <c r="V300" s="132">
        <f t="shared" si="136"/>
        <v>0</v>
      </c>
      <c r="W300" s="133" t="str">
        <f t="shared" si="131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30101067</v>
      </c>
      <c r="B301" s="140" t="s">
        <v>229</v>
      </c>
      <c r="C301" s="459" t="s">
        <v>212</v>
      </c>
      <c r="D301" s="108">
        <v>5.03</v>
      </c>
      <c r="E301" s="108"/>
      <c r="F301" s="127"/>
      <c r="G301" s="128"/>
      <c r="H301" s="454">
        <f t="shared" si="133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4"/>
        <v/>
      </c>
      <c r="N301" s="130">
        <f t="shared" si="135"/>
        <v>0</v>
      </c>
      <c r="O301" s="462"/>
      <c r="P301" s="462"/>
      <c r="Q301" s="462"/>
      <c r="R301" s="462"/>
      <c r="S301" s="462"/>
      <c r="T301" s="462"/>
      <c r="U301" s="462"/>
      <c r="V301" s="132">
        <f t="shared" si="136"/>
        <v>0</v>
      </c>
      <c r="W301" s="133" t="str">
        <f t="shared" si="131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30101068</v>
      </c>
      <c r="B302" s="140" t="s">
        <v>229</v>
      </c>
      <c r="C302" s="459" t="s">
        <v>203</v>
      </c>
      <c r="D302" s="108">
        <v>5.03</v>
      </c>
      <c r="E302" s="108"/>
      <c r="F302" s="127"/>
      <c r="G302" s="128"/>
      <c r="H302" s="454">
        <f t="shared" si="133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4"/>
        <v/>
      </c>
      <c r="N302" s="130">
        <f t="shared" si="135"/>
        <v>0</v>
      </c>
      <c r="O302" s="462"/>
      <c r="P302" s="462"/>
      <c r="Q302" s="462"/>
      <c r="R302" s="462"/>
      <c r="S302" s="462"/>
      <c r="T302" s="462"/>
      <c r="U302" s="462"/>
      <c r="V302" s="132">
        <f t="shared" si="136"/>
        <v>0</v>
      </c>
      <c r="W302" s="133" t="str">
        <f t="shared" si="131"/>
        <v/>
      </c>
      <c r="X302" s="132"/>
      <c r="Y302" s="132"/>
      <c r="Z302" s="132"/>
      <c r="AA302" s="132"/>
    </row>
    <row r="303" spans="1:27" ht="20.100000000000001" hidden="1" customHeight="1">
      <c r="A303" s="299">
        <v>30101069</v>
      </c>
      <c r="B303" s="140" t="s">
        <v>229</v>
      </c>
      <c r="C303" s="459" t="s">
        <v>186</v>
      </c>
      <c r="D303" s="108">
        <v>5.03</v>
      </c>
      <c r="E303" s="108"/>
      <c r="F303" s="127"/>
      <c r="G303" s="128"/>
      <c r="H303" s="454">
        <f t="shared" si="133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4"/>
        <v/>
      </c>
      <c r="N303" s="130">
        <f t="shared" si="135"/>
        <v>0</v>
      </c>
      <c r="O303" s="462"/>
      <c r="P303" s="462"/>
      <c r="Q303" s="462"/>
      <c r="R303" s="462"/>
      <c r="S303" s="462"/>
      <c r="T303" s="462"/>
      <c r="U303" s="462"/>
      <c r="V303" s="132">
        <f t="shared" si="136"/>
        <v>0</v>
      </c>
      <c r="W303" s="133" t="str">
        <f t="shared" si="131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30101070</v>
      </c>
      <c r="B304" s="140" t="s">
        <v>229</v>
      </c>
      <c r="C304" s="459" t="s">
        <v>228</v>
      </c>
      <c r="D304" s="108">
        <v>5.03</v>
      </c>
      <c r="E304" s="108"/>
      <c r="F304" s="127"/>
      <c r="G304" s="128"/>
      <c r="H304" s="454">
        <f t="shared" si="133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4"/>
        <v/>
      </c>
      <c r="N304" s="130">
        <f t="shared" si="135"/>
        <v>0</v>
      </c>
      <c r="O304" s="462"/>
      <c r="P304" s="462"/>
      <c r="Q304" s="462"/>
      <c r="R304" s="462"/>
      <c r="S304" s="462"/>
      <c r="T304" s="462"/>
      <c r="U304" s="462"/>
      <c r="V304" s="132">
        <f t="shared" si="136"/>
        <v>0</v>
      </c>
      <c r="W304" s="133" t="str">
        <f t="shared" si="131"/>
        <v/>
      </c>
      <c r="X304" s="132"/>
      <c r="Y304" s="132"/>
      <c r="Z304" s="132"/>
      <c r="AA304" s="132"/>
    </row>
    <row r="305" spans="1:27" ht="20.100000000000001" hidden="1" customHeight="1">
      <c r="A305" s="299">
        <v>30101071</v>
      </c>
      <c r="B305" s="140" t="s">
        <v>229</v>
      </c>
      <c r="C305" s="459" t="s">
        <v>199</v>
      </c>
      <c r="D305" s="108">
        <v>5.03</v>
      </c>
      <c r="E305" s="108"/>
      <c r="F305" s="127"/>
      <c r="G305" s="128"/>
      <c r="H305" s="454">
        <f t="shared" si="133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4"/>
        <v/>
      </c>
      <c r="N305" s="130">
        <f t="shared" si="135"/>
        <v>0</v>
      </c>
      <c r="O305" s="462"/>
      <c r="P305" s="462"/>
      <c r="Q305" s="462"/>
      <c r="R305" s="462"/>
      <c r="S305" s="462"/>
      <c r="T305" s="462"/>
      <c r="U305" s="462"/>
      <c r="V305" s="132">
        <f t="shared" si="136"/>
        <v>0</v>
      </c>
      <c r="W305" s="133" t="str">
        <f t="shared" si="131"/>
        <v/>
      </c>
      <c r="X305" s="132"/>
      <c r="Y305" s="132"/>
      <c r="Z305" s="132"/>
      <c r="AA305" s="132"/>
    </row>
    <row r="306" spans="1:27" ht="20.10000000000000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>
        <v>42740</v>
      </c>
      <c r="G306" s="128">
        <f>90*3+79</f>
        <v>349</v>
      </c>
      <c r="H306" s="454">
        <f t="shared" si="133"/>
        <v>1765.9399999999998</v>
      </c>
      <c r="I306" s="129">
        <f>3.5*4</f>
        <v>14</v>
      </c>
      <c r="J306" s="130">
        <f t="array" ref="J306">IF(ISERROR(G306/I306),"",G306/I306)</f>
        <v>24.928571428571427</v>
      </c>
      <c r="K306" s="131">
        <f t="array" ref="K306">IF(ISERROR(G306/L306),"",G306/L306)</f>
        <v>13.96</v>
      </c>
      <c r="L306" s="129">
        <v>25</v>
      </c>
      <c r="M306" s="109">
        <f t="shared" si="134"/>
        <v>3.9999999999999147E-2</v>
      </c>
      <c r="N306" s="130">
        <f t="shared" si="135"/>
        <v>0</v>
      </c>
      <c r="O306" s="462"/>
      <c r="P306" s="462"/>
      <c r="Q306" s="462"/>
      <c r="R306" s="462"/>
      <c r="S306" s="462"/>
      <c r="T306" s="462"/>
      <c r="U306" s="462"/>
      <c r="V306" s="132">
        <f t="shared" si="136"/>
        <v>0</v>
      </c>
      <c r="W306" s="133">
        <f t="shared" si="131"/>
        <v>0</v>
      </c>
      <c r="X306" s="132"/>
      <c r="Y306" s="132"/>
      <c r="Z306" s="132"/>
      <c r="AA306" s="132"/>
    </row>
    <row r="307" spans="1:27" ht="20.10000000000000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>
        <v>42741</v>
      </c>
      <c r="G307" s="128">
        <f>90*6+63</f>
        <v>603</v>
      </c>
      <c r="H307" s="454">
        <f t="shared" si="133"/>
        <v>3051.18</v>
      </c>
      <c r="I307" s="129">
        <f>8*4</f>
        <v>32</v>
      </c>
      <c r="J307" s="130">
        <f t="array" ref="J307">IF(ISERROR(G307/I307),"",G307/I307)</f>
        <v>18.84375</v>
      </c>
      <c r="K307" s="131">
        <f t="array" ref="K307">IF(ISERROR(G307/L307),"",G307/L307)</f>
        <v>24.12</v>
      </c>
      <c r="L307" s="129">
        <v>25</v>
      </c>
      <c r="M307" s="109">
        <f t="shared" si="134"/>
        <v>7.879999999999999</v>
      </c>
      <c r="N307" s="130">
        <f t="shared" si="135"/>
        <v>0</v>
      </c>
      <c r="O307" s="462"/>
      <c r="P307" s="462"/>
      <c r="Q307" s="462"/>
      <c r="R307" s="462"/>
      <c r="S307" s="462"/>
      <c r="T307" s="462"/>
      <c r="U307" s="462"/>
      <c r="V307" s="132">
        <f t="shared" si="136"/>
        <v>0</v>
      </c>
      <c r="W307" s="133">
        <f t="shared" si="131"/>
        <v>0</v>
      </c>
      <c r="X307" s="132"/>
      <c r="Y307" s="132"/>
      <c r="Z307" s="132"/>
      <c r="AA307" s="132"/>
    </row>
    <row r="308" spans="1:27" ht="20.100000000000001" customHeight="1">
      <c r="A308" s="578" t="s">
        <v>231</v>
      </c>
      <c r="B308" s="579"/>
      <c r="C308" s="463" t="s">
        <v>202</v>
      </c>
      <c r="D308" s="143"/>
      <c r="E308" s="143"/>
      <c r="F308" s="144"/>
      <c r="G308" s="145">
        <f>SUM(G293:G307)</f>
        <v>952</v>
      </c>
      <c r="H308" s="146">
        <f>SUM(H293:H307)</f>
        <v>4817.12</v>
      </c>
      <c r="I308" s="146">
        <f>SUM(I293:I307)</f>
        <v>46</v>
      </c>
      <c r="J308" s="130">
        <f t="array" ref="J308">IF(ISERROR(G308/I308),"",G308/I308)</f>
        <v>20.695652173913043</v>
      </c>
      <c r="K308" s="146">
        <f>SUM(K293:K307)</f>
        <v>38.08</v>
      </c>
      <c r="L308" s="146"/>
      <c r="M308" s="150">
        <f>SUM(M293:M307)</f>
        <v>7.9199999999999982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>
        <f t="shared" si="131"/>
        <v>0</v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hidden="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28"/>
      <c r="H309" s="454">
        <f t="shared" ref="H309:H318" si="137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4" si="138">IF(ISERROR(I309-K309),"",I309-K309)</f>
        <v>0</v>
      </c>
      <c r="N309" s="130">
        <f t="shared" ref="N309:N313" si="139">SUM(O309:U309)</f>
        <v>0</v>
      </c>
      <c r="O309" s="462"/>
      <c r="P309" s="462"/>
      <c r="Q309" s="462"/>
      <c r="R309" s="462"/>
      <c r="S309" s="462"/>
      <c r="T309" s="462"/>
      <c r="U309" s="462"/>
      <c r="V309" s="132">
        <f t="shared" ref="V309:V313" si="140">SUM(X309:AA309)</f>
        <v>0</v>
      </c>
      <c r="W309" s="133" t="str">
        <f t="shared" si="131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28"/>
      <c r="H310" s="454">
        <f t="shared" si="137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8"/>
        <v>0</v>
      </c>
      <c r="N310" s="130">
        <f t="shared" si="139"/>
        <v>0</v>
      </c>
      <c r="O310" s="462"/>
      <c r="P310" s="462"/>
      <c r="Q310" s="462"/>
      <c r="R310" s="462"/>
      <c r="S310" s="462"/>
      <c r="T310" s="462"/>
      <c r="U310" s="462"/>
      <c r="V310" s="132">
        <f t="shared" si="140"/>
        <v>0</v>
      </c>
      <c r="W310" s="133" t="str">
        <f t="shared" si="131"/>
        <v/>
      </c>
      <c r="X310" s="132"/>
      <c r="Y310" s="132"/>
      <c r="Z310" s="132"/>
      <c r="AA310" s="132"/>
    </row>
    <row r="311" spans="1:27" ht="20.100000000000001" hidden="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28"/>
      <c r="H311" s="454">
        <f t="shared" si="137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8"/>
        <v>0</v>
      </c>
      <c r="N311" s="130">
        <f t="shared" si="139"/>
        <v>0</v>
      </c>
      <c r="O311" s="462"/>
      <c r="P311" s="462"/>
      <c r="Q311" s="462"/>
      <c r="R311" s="462"/>
      <c r="S311" s="462"/>
      <c r="T311" s="462"/>
      <c r="U311" s="462"/>
      <c r="V311" s="132">
        <f t="shared" si="140"/>
        <v>0</v>
      </c>
      <c r="W311" s="133" t="str">
        <f t="shared" si="131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28"/>
      <c r="H312" s="454">
        <f t="shared" si="137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8"/>
        <v>0</v>
      </c>
      <c r="N312" s="130">
        <f t="shared" si="139"/>
        <v>0</v>
      </c>
      <c r="O312" s="462"/>
      <c r="P312" s="462"/>
      <c r="Q312" s="462"/>
      <c r="R312" s="462"/>
      <c r="S312" s="462"/>
      <c r="T312" s="462"/>
      <c r="U312" s="462"/>
      <c r="V312" s="132">
        <f t="shared" si="140"/>
        <v>0</v>
      </c>
      <c r="W312" s="133" t="str">
        <f t="shared" si="131"/>
        <v/>
      </c>
      <c r="X312" s="132"/>
      <c r="Y312" s="132"/>
      <c r="Z312" s="132"/>
      <c r="AA312" s="132"/>
    </row>
    <row r="313" spans="1:27" ht="20.100000000000001" hidden="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28"/>
      <c r="H313" s="454">
        <f t="shared" si="137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38"/>
        <v>0</v>
      </c>
      <c r="N313" s="130">
        <f t="shared" si="139"/>
        <v>0</v>
      </c>
      <c r="O313" s="462"/>
      <c r="P313" s="462"/>
      <c r="Q313" s="462"/>
      <c r="R313" s="462"/>
      <c r="S313" s="462"/>
      <c r="T313" s="462"/>
      <c r="U313" s="462"/>
      <c r="V313" s="132">
        <f t="shared" si="140"/>
        <v>0</v>
      </c>
      <c r="W313" s="133" t="str">
        <f t="shared" si="131"/>
        <v/>
      </c>
      <c r="X313" s="132"/>
      <c r="Y313" s="132"/>
      <c r="Z313" s="132"/>
      <c r="AA313" s="132"/>
    </row>
    <row r="314" spans="1:27" ht="20.10000000000000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>
        <v>42741</v>
      </c>
      <c r="G314" s="128">
        <f>90*3+70+90*3</f>
        <v>610</v>
      </c>
      <c r="H314" s="454">
        <f t="shared" si="137"/>
        <v>3068.3</v>
      </c>
      <c r="I314" s="129">
        <f>11.5*4</f>
        <v>46</v>
      </c>
      <c r="J314" s="130">
        <f t="array" ref="J314">IF(ISERROR(G314/I314),"",G314/I314)</f>
        <v>13.260869565217391</v>
      </c>
      <c r="K314" s="131">
        <f t="array" ref="K314">IF(ISERROR(G314/L314),"",G314/L314)</f>
        <v>45.185185185185183</v>
      </c>
      <c r="L314" s="129">
        <v>13.5</v>
      </c>
      <c r="M314" s="109">
        <f t="shared" si="138"/>
        <v>0.81481481481481666</v>
      </c>
      <c r="N314" s="130"/>
      <c r="O314" s="462"/>
      <c r="P314" s="462"/>
      <c r="Q314" s="462"/>
      <c r="R314" s="462"/>
      <c r="S314" s="462"/>
      <c r="T314" s="462"/>
      <c r="U314" s="462"/>
      <c r="V314" s="132"/>
      <c r="W314" s="133"/>
      <c r="X314" s="132"/>
      <c r="Y314" s="132"/>
      <c r="Z314" s="132"/>
      <c r="AA314" s="132"/>
    </row>
    <row r="315" spans="1:27" ht="20.100000000000001" hidden="1" customHeight="1">
      <c r="A315" s="300">
        <v>30400020</v>
      </c>
      <c r="B315" s="134" t="s">
        <v>439</v>
      </c>
      <c r="C315" s="187" t="s">
        <v>516</v>
      </c>
      <c r="D315" s="108">
        <v>5.03</v>
      </c>
      <c r="E315" s="108"/>
      <c r="F315" s="127"/>
      <c r="G315" s="128"/>
      <c r="H315" s="454">
        <f t="shared" si="137"/>
        <v>0</v>
      </c>
      <c r="I315" s="129"/>
      <c r="J315" s="130" t="str">
        <f t="array" ref="J315">IF(ISERROR(G315/I315),"",G315/I315)</f>
        <v/>
      </c>
      <c r="K315" s="131">
        <f t="array" ref="K315">IF(ISERROR(G315/L315),"",G315/L315)</f>
        <v>0</v>
      </c>
      <c r="L315" s="129">
        <v>13.5</v>
      </c>
      <c r="M315" s="109"/>
      <c r="N315" s="130"/>
      <c r="O315" s="462"/>
      <c r="P315" s="462"/>
      <c r="Q315" s="462"/>
      <c r="R315" s="462"/>
      <c r="S315" s="462"/>
      <c r="T315" s="462"/>
      <c r="U315" s="462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30400021</v>
      </c>
      <c r="B316" s="134" t="s">
        <v>439</v>
      </c>
      <c r="C316" s="187" t="s">
        <v>517</v>
      </c>
      <c r="D316" s="108">
        <v>5.03</v>
      </c>
      <c r="E316" s="108"/>
      <c r="F316" s="127"/>
      <c r="G316" s="128"/>
      <c r="H316" s="454">
        <f t="shared" si="137"/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13.5</v>
      </c>
      <c r="M316" s="109"/>
      <c r="N316" s="130"/>
      <c r="O316" s="462"/>
      <c r="P316" s="462"/>
      <c r="Q316" s="462"/>
      <c r="R316" s="462"/>
      <c r="S316" s="462"/>
      <c r="T316" s="462"/>
      <c r="U316" s="462"/>
      <c r="V316" s="132"/>
      <c r="W316" s="133"/>
      <c r="X316" s="132"/>
      <c r="Y316" s="132"/>
      <c r="Z316" s="132"/>
      <c r="AA316" s="132"/>
    </row>
    <row r="317" spans="1:27" ht="20.10000000000000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>
        <v>42737</v>
      </c>
      <c r="G317" s="128">
        <v>26</v>
      </c>
      <c r="H317" s="454">
        <f t="shared" si="137"/>
        <v>130.78</v>
      </c>
      <c r="I317" s="129">
        <v>2</v>
      </c>
      <c r="J317" s="130">
        <f t="array" ref="J317">IF(ISERROR(G317/I317),"",G317/I317)</f>
        <v>13</v>
      </c>
      <c r="K317" s="131">
        <f t="array" ref="K317">IF(ISERROR(G317/L317),"",G317/L317)</f>
        <v>1.9259259259259258</v>
      </c>
      <c r="L317" s="129">
        <v>13.5</v>
      </c>
      <c r="M317" s="109">
        <f t="shared" ref="M317" si="141">IF(ISERROR(I317-K317),"",I317-K317)</f>
        <v>7.4074074074074181E-2</v>
      </c>
      <c r="N317" s="130"/>
      <c r="O317" s="462"/>
      <c r="P317" s="462"/>
      <c r="Q317" s="462"/>
      <c r="R317" s="462"/>
      <c r="S317" s="462"/>
      <c r="T317" s="462"/>
      <c r="U317" s="462"/>
      <c r="V317" s="132"/>
      <c r="W317" s="133"/>
      <c r="X317" s="132"/>
      <c r="Y317" s="132"/>
      <c r="Z317" s="132"/>
      <c r="AA317" s="132"/>
    </row>
    <row r="318" spans="1:27" ht="20.100000000000001" hidden="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28"/>
      <c r="H318" s="454">
        <f t="shared" si="137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ref="M318" si="142">IF(ISERROR(I318-K318),"",I318-K318)</f>
        <v>0</v>
      </c>
      <c r="N318" s="130">
        <f t="shared" ref="N318" si="143">SUM(O318:U318)</f>
        <v>0</v>
      </c>
      <c r="O318" s="462"/>
      <c r="P318" s="462"/>
      <c r="Q318" s="462"/>
      <c r="R318" s="462"/>
      <c r="S318" s="462"/>
      <c r="T318" s="462"/>
      <c r="U318" s="462"/>
      <c r="V318" s="132">
        <f t="shared" ref="V318" si="144">SUM(X318:AA318)</f>
        <v>0</v>
      </c>
      <c r="W318" s="133" t="str">
        <f t="shared" ref="W318:W323" si="145">IF(ISERROR(V318/G318),"",V318/G318)</f>
        <v/>
      </c>
      <c r="X318" s="132"/>
      <c r="Y318" s="132"/>
      <c r="Z318" s="132"/>
      <c r="AA318" s="132"/>
    </row>
    <row r="319" spans="1:27" ht="20.100000000000001" customHeight="1">
      <c r="A319" s="578" t="s">
        <v>234</v>
      </c>
      <c r="B319" s="579"/>
      <c r="C319" s="463" t="s">
        <v>202</v>
      </c>
      <c r="D319" s="143"/>
      <c r="E319" s="143"/>
      <c r="F319" s="144"/>
      <c r="G319" s="145">
        <f>SUM(G309:G318)</f>
        <v>636</v>
      </c>
      <c r="H319" s="146">
        <f>SUM(H309:H318)</f>
        <v>3199.0800000000004</v>
      </c>
      <c r="I319" s="146">
        <f>SUM(I309:I318)</f>
        <v>48</v>
      </c>
      <c r="J319" s="130">
        <f t="array" ref="J319">IF(ISERROR(G319/I319),"",G319/I319)</f>
        <v>13.25</v>
      </c>
      <c r="K319" s="146">
        <f>SUM(K309:K318)</f>
        <v>47.111111111111107</v>
      </c>
      <c r="L319" s="147"/>
      <c r="M319" s="150">
        <f>SUM(M309:M318)</f>
        <v>0.88888888888889084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>
        <f t="shared" si="145"/>
        <v>0</v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hidden="1" customHeight="1">
      <c r="A320" s="299">
        <v>30700013</v>
      </c>
      <c r="B320" s="141" t="s">
        <v>235</v>
      </c>
      <c r="C320" s="460"/>
      <c r="D320" s="108">
        <v>3.65</v>
      </c>
      <c r="E320" s="108"/>
      <c r="F320" s="153"/>
      <c r="G320" s="128"/>
      <c r="H320" s="454">
        <f t="shared" ref="H320:H333" si="146">D320*G320</f>
        <v>0</v>
      </c>
      <c r="I320" s="129"/>
      <c r="J320" s="130" t="str">
        <f t="array" ref="J320">IF(ISERROR(G320/I320),"",G320/I320)</f>
        <v/>
      </c>
      <c r="K320" s="454">
        <f t="array" ref="K320">IF(ISERROR(G320/L320),"",G320/L320)</f>
        <v>0</v>
      </c>
      <c r="L320" s="129">
        <v>5</v>
      </c>
      <c r="M320" s="109">
        <f t="shared" ref="M320:M323" si="147">IF(ISERROR(I320-K320),"",I320-K320)</f>
        <v>0</v>
      </c>
      <c r="N320" s="130">
        <f t="shared" ref="N320:N323" si="148">SUM(O320:U320)</f>
        <v>0</v>
      </c>
      <c r="O320" s="462"/>
      <c r="P320" s="462"/>
      <c r="Q320" s="462"/>
      <c r="R320" s="462"/>
      <c r="S320" s="462"/>
      <c r="T320" s="462"/>
      <c r="U320" s="462"/>
      <c r="V320" s="132">
        <f t="shared" ref="V320:V323" si="149">SUM(X320:AA320)</f>
        <v>0</v>
      </c>
      <c r="W320" s="133" t="str">
        <f t="shared" si="145"/>
        <v/>
      </c>
      <c r="X320" s="132"/>
      <c r="Y320" s="132"/>
      <c r="Z320" s="132"/>
      <c r="AA320" s="132"/>
    </row>
    <row r="321" spans="1:27" ht="20.100000000000001" customHeight="1">
      <c r="A321" s="299">
        <v>30700014</v>
      </c>
      <c r="B321" s="141" t="s">
        <v>236</v>
      </c>
      <c r="C321" s="460"/>
      <c r="D321" s="108">
        <v>6.58</v>
      </c>
      <c r="E321" s="108"/>
      <c r="F321" s="127">
        <v>42738</v>
      </c>
      <c r="G321" s="128">
        <f>33+4+36+30</f>
        <v>103</v>
      </c>
      <c r="H321" s="454">
        <f t="shared" si="146"/>
        <v>677.74</v>
      </c>
      <c r="I321" s="129">
        <v>21</v>
      </c>
      <c r="J321" s="130">
        <f t="array" ref="J321">IF(ISERROR(G321/I321),"",G321/I321)</f>
        <v>4.9047619047619051</v>
      </c>
      <c r="K321" s="131">
        <f t="array" ref="K321">IF(ISERROR(G321/L321),"",G321/L321)</f>
        <v>20.6</v>
      </c>
      <c r="L321" s="129">
        <v>5</v>
      </c>
      <c r="M321" s="109">
        <f t="shared" si="147"/>
        <v>0.39999999999999858</v>
      </c>
      <c r="N321" s="130">
        <f t="shared" si="148"/>
        <v>0</v>
      </c>
      <c r="O321" s="462"/>
      <c r="P321" s="462"/>
      <c r="Q321" s="462"/>
      <c r="R321" s="462"/>
      <c r="S321" s="462"/>
      <c r="T321" s="462"/>
      <c r="U321" s="462"/>
      <c r="V321" s="132">
        <f t="shared" si="149"/>
        <v>0</v>
      </c>
      <c r="W321" s="133">
        <f t="shared" si="145"/>
        <v>0</v>
      </c>
      <c r="X321" s="132"/>
      <c r="Y321" s="132"/>
      <c r="Z321" s="132"/>
      <c r="AA321" s="132"/>
    </row>
    <row r="322" spans="1:27" ht="20.100000000000001" customHeight="1">
      <c r="A322" s="299">
        <v>30700016</v>
      </c>
      <c r="B322" s="141" t="s">
        <v>237</v>
      </c>
      <c r="C322" s="460"/>
      <c r="D322" s="108">
        <v>7.8</v>
      </c>
      <c r="E322" s="108"/>
      <c r="F322" s="127">
        <v>42738</v>
      </c>
      <c r="G322" s="128">
        <f>32+19+17</f>
        <v>68</v>
      </c>
      <c r="H322" s="454">
        <f t="shared" si="146"/>
        <v>530.4</v>
      </c>
      <c r="I322" s="129">
        <v>15</v>
      </c>
      <c r="J322" s="130">
        <f t="array" ref="J322">IF(ISERROR(G322/I322),"",G322/I322)</f>
        <v>4.5333333333333332</v>
      </c>
      <c r="K322" s="131">
        <f t="array" ref="K322">IF(ISERROR(G322/L322),"",G322/L322)</f>
        <v>14.782608695652176</v>
      </c>
      <c r="L322" s="129">
        <v>4.5999999999999996</v>
      </c>
      <c r="M322" s="109">
        <f t="shared" si="147"/>
        <v>0.21739130434782439</v>
      </c>
      <c r="N322" s="130">
        <f t="shared" si="148"/>
        <v>0</v>
      </c>
      <c r="O322" s="462"/>
      <c r="P322" s="462"/>
      <c r="Q322" s="462"/>
      <c r="R322" s="462"/>
      <c r="S322" s="462"/>
      <c r="T322" s="462"/>
      <c r="U322" s="462"/>
      <c r="V322" s="132">
        <f t="shared" si="149"/>
        <v>0</v>
      </c>
      <c r="W322" s="133">
        <f t="shared" si="145"/>
        <v>0</v>
      </c>
      <c r="X322" s="132"/>
      <c r="Y322" s="132"/>
      <c r="Z322" s="132"/>
      <c r="AA322" s="132"/>
    </row>
    <row r="323" spans="1:27" ht="20.100000000000001" hidden="1" customHeight="1">
      <c r="A323" s="299">
        <v>30700017</v>
      </c>
      <c r="B323" s="141" t="s">
        <v>238</v>
      </c>
      <c r="C323" s="460"/>
      <c r="D323" s="108">
        <v>4.4000000000000004</v>
      </c>
      <c r="E323" s="108"/>
      <c r="F323" s="127"/>
      <c r="G323" s="128"/>
      <c r="H323" s="454">
        <f t="shared" si="146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5.8</v>
      </c>
      <c r="M323" s="109">
        <f t="shared" si="147"/>
        <v>0</v>
      </c>
      <c r="N323" s="130">
        <f t="shared" si="148"/>
        <v>0</v>
      </c>
      <c r="O323" s="462"/>
      <c r="P323" s="462"/>
      <c r="Q323" s="462"/>
      <c r="R323" s="462"/>
      <c r="S323" s="462"/>
      <c r="T323" s="462"/>
      <c r="U323" s="462"/>
      <c r="V323" s="132">
        <f t="shared" si="149"/>
        <v>0</v>
      </c>
      <c r="W323" s="133" t="str">
        <f t="shared" si="145"/>
        <v/>
      </c>
      <c r="X323" s="132"/>
      <c r="Y323" s="132"/>
      <c r="Z323" s="132"/>
      <c r="AA323" s="132"/>
    </row>
    <row r="324" spans="1:27" ht="20.100000000000001" hidden="1" customHeight="1">
      <c r="A324" s="299">
        <v>30700001</v>
      </c>
      <c r="B324" s="127" t="s">
        <v>359</v>
      </c>
      <c r="C324" s="460"/>
      <c r="D324" s="108"/>
      <c r="E324" s="108"/>
      <c r="F324" s="127"/>
      <c r="G324" s="128"/>
      <c r="H324" s="454">
        <f t="shared" si="146"/>
        <v>0</v>
      </c>
      <c r="I324" s="129"/>
      <c r="J324" s="130"/>
      <c r="K324" s="131"/>
      <c r="L324" s="129">
        <v>6</v>
      </c>
      <c r="M324" s="109"/>
      <c r="N324" s="130"/>
      <c r="O324" s="462"/>
      <c r="P324" s="462"/>
      <c r="Q324" s="462"/>
      <c r="R324" s="462"/>
      <c r="S324" s="462"/>
      <c r="T324" s="462"/>
      <c r="U324" s="462"/>
      <c r="V324" s="132"/>
      <c r="W324" s="133"/>
      <c r="X324" s="132"/>
      <c r="Y324" s="132"/>
      <c r="Z324" s="132"/>
      <c r="AA324" s="132"/>
    </row>
    <row r="325" spans="1:27" ht="20.100000000000001" hidden="1" customHeight="1">
      <c r="A325" s="305"/>
      <c r="B325" s="460" t="s">
        <v>239</v>
      </c>
      <c r="C325" s="460" t="s">
        <v>179</v>
      </c>
      <c r="D325" s="108">
        <v>6.04</v>
      </c>
      <c r="E325" s="108"/>
      <c r="F325" s="127"/>
      <c r="G325" s="128"/>
      <c r="H325" s="454">
        <f t="shared" si="146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6" si="150">IF(ISERROR(I325-K325),"",I325-K325)</f>
        <v>0</v>
      </c>
      <c r="N325" s="130">
        <f t="shared" ref="N325:N326" si="151">SUM(O325:U325)</f>
        <v>0</v>
      </c>
      <c r="O325" s="462"/>
      <c r="P325" s="462"/>
      <c r="Q325" s="462"/>
      <c r="R325" s="462"/>
      <c r="S325" s="462"/>
      <c r="T325" s="462"/>
      <c r="U325" s="462"/>
      <c r="V325" s="132">
        <f t="shared" ref="V325:V326" si="152">SUM(X325:AA325)</f>
        <v>0</v>
      </c>
      <c r="W325" s="133" t="str">
        <f t="shared" ref="W325:W326" si="153">IF(ISERROR(V325/G325),"",V325/G325)</f>
        <v/>
      </c>
      <c r="X325" s="132"/>
      <c r="Y325" s="132"/>
      <c r="Z325" s="132"/>
      <c r="AA325" s="132"/>
    </row>
    <row r="326" spans="1:27" ht="20.100000000000001" hidden="1" customHeight="1">
      <c r="A326" s="305">
        <v>30700019</v>
      </c>
      <c r="B326" s="460" t="s">
        <v>239</v>
      </c>
      <c r="C326" s="460" t="s">
        <v>186</v>
      </c>
      <c r="D326" s="108">
        <v>6.04</v>
      </c>
      <c r="E326" s="108"/>
      <c r="F326" s="127"/>
      <c r="G326" s="128"/>
      <c r="H326" s="454">
        <f t="shared" si="146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50"/>
        <v>0</v>
      </c>
      <c r="N326" s="130">
        <f t="shared" si="151"/>
        <v>0</v>
      </c>
      <c r="O326" s="462"/>
      <c r="P326" s="462"/>
      <c r="Q326" s="462"/>
      <c r="R326" s="462"/>
      <c r="S326" s="462"/>
      <c r="T326" s="462"/>
      <c r="U326" s="462"/>
      <c r="V326" s="132">
        <f t="shared" si="152"/>
        <v>0</v>
      </c>
      <c r="W326" s="133" t="str">
        <f t="shared" si="153"/>
        <v/>
      </c>
      <c r="X326" s="132"/>
      <c r="Y326" s="132"/>
      <c r="Z326" s="132"/>
      <c r="AA326" s="132"/>
    </row>
    <row r="327" spans="1:27" ht="20.100000000000001" hidden="1" customHeight="1">
      <c r="A327" s="305">
        <v>30601015</v>
      </c>
      <c r="B327" s="460" t="s">
        <v>443</v>
      </c>
      <c r="C327" s="460" t="s">
        <v>179</v>
      </c>
      <c r="D327" s="108">
        <v>6</v>
      </c>
      <c r="E327" s="108"/>
      <c r="F327" s="127"/>
      <c r="G327" s="128"/>
      <c r="H327" s="454">
        <f t="shared" si="146"/>
        <v>0</v>
      </c>
      <c r="I327" s="129"/>
      <c r="J327" s="130"/>
      <c r="K327" s="131"/>
      <c r="L327" s="129"/>
      <c r="M327" s="109"/>
      <c r="N327" s="130"/>
      <c r="O327" s="462"/>
      <c r="P327" s="462"/>
      <c r="Q327" s="462"/>
      <c r="R327" s="462"/>
      <c r="S327" s="462"/>
      <c r="T327" s="462"/>
      <c r="U327" s="462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305">
        <v>30101016</v>
      </c>
      <c r="B328" s="460" t="s">
        <v>443</v>
      </c>
      <c r="C328" s="460" t="s">
        <v>445</v>
      </c>
      <c r="D328" s="108">
        <v>6</v>
      </c>
      <c r="E328" s="108"/>
      <c r="F328" s="127"/>
      <c r="G328" s="128"/>
      <c r="H328" s="454">
        <f t="shared" si="146"/>
        <v>0</v>
      </c>
      <c r="I328" s="129"/>
      <c r="J328" s="130"/>
      <c r="K328" s="131">
        <f t="array" ref="K328">IF(ISERROR(G328/L328),"",G328/L328)</f>
        <v>0</v>
      </c>
      <c r="L328" s="129">
        <v>6</v>
      </c>
      <c r="M328" s="109"/>
      <c r="N328" s="130"/>
      <c r="O328" s="462"/>
      <c r="P328" s="462"/>
      <c r="Q328" s="462"/>
      <c r="R328" s="462"/>
      <c r="S328" s="462"/>
      <c r="T328" s="462"/>
      <c r="U328" s="462"/>
      <c r="V328" s="132"/>
      <c r="W328" s="133"/>
      <c r="X328" s="132"/>
      <c r="Y328" s="132"/>
      <c r="Z328" s="132"/>
      <c r="AA328" s="132"/>
    </row>
    <row r="329" spans="1:27" ht="20.100000000000001" hidden="1" customHeight="1">
      <c r="A329" s="299">
        <v>30700018</v>
      </c>
      <c r="B329" s="453" t="s">
        <v>240</v>
      </c>
      <c r="C329" s="126"/>
      <c r="D329" s="108">
        <v>7.3</v>
      </c>
      <c r="E329" s="108"/>
      <c r="F329" s="127"/>
      <c r="G329" s="128"/>
      <c r="H329" s="454">
        <f t="shared" si="146"/>
        <v>0</v>
      </c>
      <c r="I329" s="129"/>
      <c r="J329" s="130"/>
      <c r="K329" s="131"/>
      <c r="L329" s="129"/>
      <c r="M329" s="109"/>
      <c r="N329" s="130"/>
      <c r="O329" s="462"/>
      <c r="P329" s="462"/>
      <c r="Q329" s="462"/>
      <c r="R329" s="462"/>
      <c r="S329" s="462"/>
      <c r="T329" s="462"/>
      <c r="U329" s="462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30700010</v>
      </c>
      <c r="B330" s="453" t="s">
        <v>241</v>
      </c>
      <c r="C330" s="126"/>
      <c r="D330" s="108">
        <f>78*120/1000</f>
        <v>9.36</v>
      </c>
      <c r="E330" s="108"/>
      <c r="F330" s="127"/>
      <c r="G330" s="128"/>
      <c r="H330" s="454">
        <f t="shared" si="146"/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4">SUM(O330:U330)</f>
        <v>0</v>
      </c>
      <c r="O330" s="462"/>
      <c r="P330" s="462"/>
      <c r="Q330" s="462"/>
      <c r="R330" s="462"/>
      <c r="S330" s="462"/>
      <c r="T330" s="462"/>
      <c r="U330" s="462"/>
      <c r="V330" s="132">
        <f t="shared" ref="V330" si="155">SUM(X330:AA330)</f>
        <v>0</v>
      </c>
      <c r="W330" s="133" t="str">
        <f t="shared" ref="W330" si="156">IF(ISERROR(V330/G330),"",V330/G330)</f>
        <v/>
      </c>
      <c r="X330" s="132"/>
      <c r="Y330" s="132"/>
      <c r="Z330" s="132"/>
      <c r="AA330" s="132"/>
    </row>
    <row r="331" spans="1:27" ht="20.100000000000001" hidden="1" customHeight="1">
      <c r="A331" s="299">
        <v>30700015</v>
      </c>
      <c r="B331" s="453" t="s">
        <v>242</v>
      </c>
      <c r="C331" s="126"/>
      <c r="D331" s="108">
        <v>4.5</v>
      </c>
      <c r="E331" s="108"/>
      <c r="F331" s="127"/>
      <c r="G331" s="128"/>
      <c r="H331" s="454">
        <f t="shared" si="146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462"/>
      <c r="P331" s="462"/>
      <c r="Q331" s="462"/>
      <c r="R331" s="462"/>
      <c r="S331" s="462"/>
      <c r="T331" s="462"/>
      <c r="U331" s="462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299">
        <v>30700012</v>
      </c>
      <c r="B332" s="453" t="s">
        <v>243</v>
      </c>
      <c r="C332" s="126"/>
      <c r="D332" s="108">
        <v>4.5</v>
      </c>
      <c r="E332" s="108"/>
      <c r="F332" s="127"/>
      <c r="G332" s="128"/>
      <c r="H332" s="454">
        <f t="shared" si="146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462"/>
      <c r="P332" s="462"/>
      <c r="Q332" s="462"/>
      <c r="R332" s="462"/>
      <c r="S332" s="462"/>
      <c r="T332" s="462"/>
      <c r="U332" s="462"/>
      <c r="V332" s="132"/>
      <c r="W332" s="133"/>
      <c r="X332" s="132"/>
      <c r="Y332" s="132"/>
      <c r="Z332" s="132"/>
      <c r="AA332" s="132"/>
    </row>
    <row r="333" spans="1:27" ht="20.100000000000001" hidden="1" customHeight="1">
      <c r="A333" s="299"/>
      <c r="B333" s="199" t="s">
        <v>438</v>
      </c>
      <c r="C333" s="126"/>
      <c r="D333" s="108">
        <v>4.5</v>
      </c>
      <c r="E333" s="108"/>
      <c r="F333" s="127"/>
      <c r="G333" s="128"/>
      <c r="H333" s="454">
        <f t="shared" si="146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462"/>
      <c r="P333" s="462"/>
      <c r="Q333" s="462"/>
      <c r="R333" s="462"/>
      <c r="S333" s="462"/>
      <c r="T333" s="462"/>
      <c r="U333" s="462"/>
      <c r="V333" s="132"/>
      <c r="W333" s="133"/>
      <c r="X333" s="132"/>
      <c r="Y333" s="132"/>
      <c r="Z333" s="132"/>
      <c r="AA333" s="132"/>
    </row>
    <row r="334" spans="1:27" ht="20.100000000000001" customHeight="1">
      <c r="A334" s="578" t="s">
        <v>244</v>
      </c>
      <c r="B334" s="579"/>
      <c r="C334" s="463" t="s">
        <v>202</v>
      </c>
      <c r="D334" s="143"/>
      <c r="E334" s="143"/>
      <c r="F334" s="144"/>
      <c r="G334" s="145">
        <f>SUM(G320:G333)</f>
        <v>171</v>
      </c>
      <c r="H334" s="146">
        <f>SUM(H320:H330)</f>
        <v>1208.1399999999999</v>
      </c>
      <c r="I334" s="146">
        <f>SUM(I320:I333)</f>
        <v>36</v>
      </c>
      <c r="J334" s="130"/>
      <c r="K334" s="146">
        <f>SUM(K320:K330)</f>
        <v>35.382608695652181</v>
      </c>
      <c r="L334" s="147"/>
      <c r="M334" s="150">
        <f t="shared" ref="M334:AA334" si="157">SUM(M320:M330)</f>
        <v>0.61739130434782297</v>
      </c>
      <c r="N334" s="146">
        <f t="shared" si="157"/>
        <v>0</v>
      </c>
      <c r="O334" s="148">
        <f t="shared" si="157"/>
        <v>0</v>
      </c>
      <c r="P334" s="148">
        <f t="shared" si="157"/>
        <v>0</v>
      </c>
      <c r="Q334" s="148">
        <f t="shared" si="157"/>
        <v>0</v>
      </c>
      <c r="R334" s="148">
        <f t="shared" si="157"/>
        <v>0</v>
      </c>
      <c r="S334" s="148">
        <f t="shared" si="157"/>
        <v>0</v>
      </c>
      <c r="T334" s="148">
        <f t="shared" si="157"/>
        <v>0</v>
      </c>
      <c r="U334" s="148">
        <f t="shared" si="157"/>
        <v>0</v>
      </c>
      <c r="V334" s="149">
        <f t="shared" si="157"/>
        <v>0</v>
      </c>
      <c r="W334" s="133">
        <f t="shared" si="157"/>
        <v>0</v>
      </c>
      <c r="X334" s="149">
        <f t="shared" si="157"/>
        <v>0</v>
      </c>
      <c r="Y334" s="149">
        <f t="shared" si="157"/>
        <v>0</v>
      </c>
      <c r="Z334" s="149">
        <f t="shared" si="157"/>
        <v>0</v>
      </c>
      <c r="AA334" s="149">
        <f t="shared" si="157"/>
        <v>0</v>
      </c>
    </row>
    <row r="335" spans="1:27" ht="20.100000000000001" customHeight="1">
      <c r="A335" s="580" t="s">
        <v>246</v>
      </c>
      <c r="B335" s="581"/>
      <c r="C335" s="581"/>
      <c r="D335" s="581"/>
      <c r="E335" s="581"/>
      <c r="F335" s="582"/>
      <c r="G335" s="154">
        <f>SUM(G199,G257,G292,G308,G319,G334)</f>
        <v>5951</v>
      </c>
      <c r="H335" s="154">
        <f>SUM(H199,H257,H292,H308,H319,H334)</f>
        <v>30359.000000000004</v>
      </c>
      <c r="I335" s="154">
        <f>SUM(I199,I257,I292,I308,I319,I334)</f>
        <v>315.57</v>
      </c>
      <c r="J335" s="155">
        <f t="array" ref="J335">IF(ISERROR(G335/I335),"",G335/I335)</f>
        <v>18.857939601356275</v>
      </c>
      <c r="K335" s="154">
        <f>SUM(K199,K257,K292,K308,K319,K334)</f>
        <v>288.04240403375172</v>
      </c>
      <c r="L335" s="155">
        <f>IF(ISERROR(G335/K335),"",G335/K335)</f>
        <v>20.66015252151098</v>
      </c>
      <c r="M335" s="154">
        <f t="shared" ref="M335:AA335" si="158">SUM(M199,M257,M292,M308,M319,M334)</f>
        <v>27.527595966248274</v>
      </c>
      <c r="N335" s="154">
        <f t="shared" si="158"/>
        <v>0</v>
      </c>
      <c r="O335" s="154">
        <f t="shared" si="158"/>
        <v>0</v>
      </c>
      <c r="P335" s="154">
        <f t="shared" si="158"/>
        <v>0</v>
      </c>
      <c r="Q335" s="154">
        <f t="shared" si="158"/>
        <v>0</v>
      </c>
      <c r="R335" s="154">
        <f t="shared" si="158"/>
        <v>0</v>
      </c>
      <c r="S335" s="154">
        <f t="shared" si="158"/>
        <v>0</v>
      </c>
      <c r="T335" s="154">
        <f t="shared" si="158"/>
        <v>0</v>
      </c>
      <c r="U335" s="154">
        <f t="shared" si="158"/>
        <v>0</v>
      </c>
      <c r="V335" s="154">
        <f t="shared" si="158"/>
        <v>0</v>
      </c>
      <c r="W335" s="154">
        <f t="shared" si="158"/>
        <v>0</v>
      </c>
      <c r="X335" s="154">
        <f t="shared" si="158"/>
        <v>0</v>
      </c>
      <c r="Y335" s="154">
        <f t="shared" si="158"/>
        <v>0</v>
      </c>
      <c r="Z335" s="154">
        <f t="shared" si="158"/>
        <v>0</v>
      </c>
      <c r="AA335" s="154">
        <f t="shared" si="158"/>
        <v>0</v>
      </c>
    </row>
    <row r="336" spans="1:27" ht="20.100000000000001" customHeight="1">
      <c r="A336" s="583" t="s">
        <v>476</v>
      </c>
      <c r="B336" s="456" t="s">
        <v>247</v>
      </c>
      <c r="C336" s="586" t="s">
        <v>248</v>
      </c>
      <c r="D336" s="587"/>
      <c r="E336" s="588" t="s">
        <v>249</v>
      </c>
      <c r="F336" s="588"/>
      <c r="G336" s="591" t="s">
        <v>250</v>
      </c>
      <c r="H336" s="591"/>
      <c r="I336" s="588" t="s">
        <v>251</v>
      </c>
      <c r="J336" s="588"/>
      <c r="K336" s="588" t="s">
        <v>252</v>
      </c>
      <c r="L336" s="588"/>
      <c r="M336" s="588" t="s">
        <v>253</v>
      </c>
      <c r="N336" s="588"/>
      <c r="O336" s="588" t="s">
        <v>254</v>
      </c>
      <c r="P336" s="591" t="s">
        <v>255</v>
      </c>
      <c r="Q336" s="591"/>
      <c r="R336" s="591" t="s">
        <v>252</v>
      </c>
      <c r="S336" s="591"/>
      <c r="T336" s="591" t="s">
        <v>256</v>
      </c>
      <c r="U336" s="591"/>
      <c r="V336" s="591" t="s">
        <v>257</v>
      </c>
      <c r="W336" s="591"/>
      <c r="X336" s="591" t="s">
        <v>252</v>
      </c>
      <c r="Y336" s="591"/>
      <c r="Z336" s="591" t="s">
        <v>256</v>
      </c>
      <c r="AA336" s="591"/>
    </row>
    <row r="337" spans="1:27" ht="20.100000000000001" customHeight="1">
      <c r="A337" s="584"/>
      <c r="B337" s="456" t="s">
        <v>258</v>
      </c>
      <c r="C337" s="626">
        <v>1</v>
      </c>
      <c r="D337" s="627"/>
      <c r="E337" s="590">
        <f>C337*11</f>
        <v>11</v>
      </c>
      <c r="F337" s="590"/>
      <c r="G337" s="591">
        <v>1</v>
      </c>
      <c r="H337" s="591"/>
      <c r="I337" s="590">
        <f>G337*11</f>
        <v>11</v>
      </c>
      <c r="J337" s="590"/>
      <c r="K337" s="590">
        <f>E337-I337</f>
        <v>0</v>
      </c>
      <c r="L337" s="590"/>
      <c r="M337" s="592">
        <f>IF(ISERROR(K337/E337),"",K337/E337)</f>
        <v>0</v>
      </c>
      <c r="N337" s="592"/>
      <c r="O337" s="588"/>
      <c r="P337" s="591" t="s">
        <v>201</v>
      </c>
      <c r="Q337" s="591"/>
      <c r="R337" s="593">
        <f>SUM(O199:U199)</f>
        <v>0</v>
      </c>
      <c r="S337" s="593"/>
      <c r="T337" s="594" t="str">
        <f t="array" ref="T337">IF(ISERROR(R337/R344),"",R337/R344)</f>
        <v/>
      </c>
      <c r="U337" s="594"/>
      <c r="V337" s="591" t="s">
        <v>259</v>
      </c>
      <c r="W337" s="591"/>
      <c r="X337" s="628">
        <f>SUM(P198,P256,P291,P307,P318,P333)</f>
        <v>0</v>
      </c>
      <c r="Y337" s="629"/>
      <c r="Z337" s="594" t="str">
        <f t="array" ref="Z337">IF(ISERROR(X337/X344),"",X337/X344)</f>
        <v/>
      </c>
      <c r="AA337" s="594"/>
    </row>
    <row r="338" spans="1:27" ht="20.100000000000001" customHeight="1">
      <c r="A338" s="584"/>
      <c r="B338" s="456" t="s">
        <v>260</v>
      </c>
      <c r="C338" s="586">
        <v>0</v>
      </c>
      <c r="D338" s="587"/>
      <c r="E338" s="590">
        <f>C338*11</f>
        <v>0</v>
      </c>
      <c r="F338" s="590"/>
      <c r="G338" s="591">
        <v>0</v>
      </c>
      <c r="H338" s="591"/>
      <c r="I338" s="590">
        <f>G338*11</f>
        <v>0</v>
      </c>
      <c r="J338" s="590"/>
      <c r="K338" s="590">
        <f>E338-I338</f>
        <v>0</v>
      </c>
      <c r="L338" s="590"/>
      <c r="M338" s="592" t="str">
        <f>IF(ISERROR(K338/E338),"",K338/E338)</f>
        <v/>
      </c>
      <c r="N338" s="592"/>
      <c r="O338" s="588"/>
      <c r="P338" s="591" t="s">
        <v>216</v>
      </c>
      <c r="Q338" s="591"/>
      <c r="R338" s="593">
        <f>SUM(O257:U257)</f>
        <v>0</v>
      </c>
      <c r="S338" s="593"/>
      <c r="T338" s="594" t="str">
        <f>IF(ISERROR(R338/R344),"",R338/R344)</f>
        <v/>
      </c>
      <c r="U338" s="594"/>
      <c r="V338" s="591" t="s">
        <v>261</v>
      </c>
      <c r="W338" s="591"/>
      <c r="X338" s="628">
        <f>SUM(P199,P257,P292,P308,P319,P334)</f>
        <v>0</v>
      </c>
      <c r="Y338" s="629"/>
      <c r="Z338" s="594" t="str">
        <f>IF(ISERROR(X338/X344),"",X338/X344)</f>
        <v/>
      </c>
      <c r="AA338" s="594"/>
    </row>
    <row r="339" spans="1:27" ht="20.100000000000001" customHeight="1">
      <c r="A339" s="584"/>
      <c r="B339" s="456" t="s">
        <v>262</v>
      </c>
      <c r="C339" s="586">
        <v>0</v>
      </c>
      <c r="D339" s="587"/>
      <c r="E339" s="590">
        <f>C339*8</f>
        <v>0</v>
      </c>
      <c r="F339" s="590"/>
      <c r="G339" s="591">
        <v>1</v>
      </c>
      <c r="H339" s="591"/>
      <c r="I339" s="590">
        <f>G339*8</f>
        <v>8</v>
      </c>
      <c r="J339" s="590"/>
      <c r="K339" s="590">
        <f>E339-I339</f>
        <v>-8</v>
      </c>
      <c r="L339" s="590"/>
      <c r="M339" s="592" t="str">
        <f>IF(ISERROR(K339/E339),"",K339/E339)</f>
        <v/>
      </c>
      <c r="N339" s="592"/>
      <c r="O339" s="588"/>
      <c r="P339" s="591" t="s">
        <v>224</v>
      </c>
      <c r="Q339" s="591"/>
      <c r="R339" s="593">
        <f>SUM(O292:U292)</f>
        <v>0</v>
      </c>
      <c r="S339" s="593"/>
      <c r="T339" s="594" t="str">
        <f>IF(ISERROR(R339/R344),"",R339/R344)</f>
        <v/>
      </c>
      <c r="U339" s="594"/>
      <c r="V339" s="591" t="s">
        <v>263</v>
      </c>
      <c r="W339" s="591"/>
      <c r="X339" s="628">
        <f>SUM(P200,P258,P293,P309,P320,P335)</f>
        <v>0</v>
      </c>
      <c r="Y339" s="629"/>
      <c r="Z339" s="594" t="str">
        <f>IF(ISERROR(X339/X344),"",X339/X344)</f>
        <v/>
      </c>
      <c r="AA339" s="594"/>
    </row>
    <row r="340" spans="1:27" ht="20.100000000000001" customHeight="1">
      <c r="A340" s="584"/>
      <c r="B340" s="456" t="s">
        <v>264</v>
      </c>
      <c r="C340" s="586">
        <v>1</v>
      </c>
      <c r="D340" s="587"/>
      <c r="E340" s="590">
        <f>C340*11</f>
        <v>11</v>
      </c>
      <c r="F340" s="590"/>
      <c r="G340" s="591">
        <v>1</v>
      </c>
      <c r="H340" s="591"/>
      <c r="I340" s="590">
        <f>G340*11</f>
        <v>11</v>
      </c>
      <c r="J340" s="590"/>
      <c r="K340" s="590">
        <f>E340-I340</f>
        <v>0</v>
      </c>
      <c r="L340" s="590"/>
      <c r="M340" s="592">
        <f>IF(ISERROR(K340/E340),"",K340/E340)</f>
        <v>0</v>
      </c>
      <c r="N340" s="592"/>
      <c r="O340" s="588"/>
      <c r="P340" s="591" t="s">
        <v>231</v>
      </c>
      <c r="Q340" s="591"/>
      <c r="R340" s="593">
        <f>SUM(O308:U308)</f>
        <v>0</v>
      </c>
      <c r="S340" s="593"/>
      <c r="T340" s="594" t="str">
        <f>IF(ISERROR(R340/R344),"",R340/R344)</f>
        <v/>
      </c>
      <c r="U340" s="594"/>
      <c r="V340" s="591" t="s">
        <v>265</v>
      </c>
      <c r="W340" s="591"/>
      <c r="X340" s="628">
        <f>SUM(P202,P259,P294,P310,P321,P336)</f>
        <v>0</v>
      </c>
      <c r="Y340" s="629"/>
      <c r="Z340" s="594" t="str">
        <f>IF(ISERROR(X340/X344),"",X340/X344)</f>
        <v/>
      </c>
      <c r="AA340" s="594"/>
    </row>
    <row r="341" spans="1:27" ht="20.100000000000001" customHeight="1">
      <c r="A341" s="585"/>
      <c r="B341" s="456" t="s">
        <v>266</v>
      </c>
      <c r="C341" s="596">
        <f>SUM(C337:D340)</f>
        <v>2</v>
      </c>
      <c r="D341" s="597"/>
      <c r="E341" s="590">
        <f>SUM(E337:F340)</f>
        <v>22</v>
      </c>
      <c r="F341" s="590"/>
      <c r="G341" s="591">
        <f>SUM(G337:H340)</f>
        <v>3</v>
      </c>
      <c r="H341" s="591"/>
      <c r="I341" s="590">
        <f>SUM(I337:J340)</f>
        <v>30</v>
      </c>
      <c r="J341" s="590"/>
      <c r="K341" s="590">
        <f>SUM(K337:L340)</f>
        <v>-8</v>
      </c>
      <c r="L341" s="590"/>
      <c r="M341" s="592">
        <f>IF(ISERROR(K341/E341),"",K341/E341)</f>
        <v>-0.36363636363636365</v>
      </c>
      <c r="N341" s="592"/>
      <c r="O341" s="588"/>
      <c r="P341" s="591" t="s">
        <v>234</v>
      </c>
      <c r="Q341" s="591"/>
      <c r="R341" s="593">
        <f>SUM(O319:U319)</f>
        <v>0</v>
      </c>
      <c r="S341" s="593"/>
      <c r="T341" s="594" t="str">
        <f>IF(ISERROR(R341/R344),"",R341/R344)</f>
        <v/>
      </c>
      <c r="U341" s="594"/>
      <c r="V341" s="591" t="s">
        <v>267</v>
      </c>
      <c r="W341" s="591"/>
      <c r="X341" s="628">
        <f>SUM(P203,P260,P295,P311,P322,P337)</f>
        <v>0</v>
      </c>
      <c r="Y341" s="629"/>
      <c r="Z341" s="594" t="str">
        <f>IF(ISERROR(X341/X344),"",X341/X344)</f>
        <v/>
      </c>
      <c r="AA341" s="594"/>
    </row>
    <row r="342" spans="1:27" ht="20.100000000000001" customHeight="1">
      <c r="A342" s="309" t="s">
        <v>477</v>
      </c>
      <c r="B342" s="456">
        <f>G335</f>
        <v>5951</v>
      </c>
      <c r="C342" s="598" t="s">
        <v>269</v>
      </c>
      <c r="D342" s="599"/>
      <c r="E342" s="591">
        <f>H335</f>
        <v>30359.000000000004</v>
      </c>
      <c r="F342" s="591"/>
      <c r="G342" s="591" t="s">
        <v>270</v>
      </c>
      <c r="H342" s="591"/>
      <c r="I342" s="600">
        <f>L335</f>
        <v>20.66015252151098</v>
      </c>
      <c r="J342" s="600"/>
      <c r="K342" s="588" t="s">
        <v>271</v>
      </c>
      <c r="L342" s="588"/>
      <c r="M342" s="600">
        <f>J335</f>
        <v>18.857939601356275</v>
      </c>
      <c r="N342" s="600"/>
      <c r="O342" s="588"/>
      <c r="P342" s="591" t="s">
        <v>244</v>
      </c>
      <c r="Q342" s="591"/>
      <c r="R342" s="593">
        <f>SUM(O334:U334)</f>
        <v>0</v>
      </c>
      <c r="S342" s="593"/>
      <c r="T342" s="594" t="str">
        <f>IF(ISERROR(R342/R344),"",R342/R344)</f>
        <v/>
      </c>
      <c r="U342" s="594"/>
      <c r="V342" s="591" t="s">
        <v>272</v>
      </c>
      <c r="W342" s="591"/>
      <c r="X342" s="628">
        <f>SUM(P204,P261,P296,P312,P323,P338)</f>
        <v>0</v>
      </c>
      <c r="Y342" s="629"/>
      <c r="Z342" s="594" t="str">
        <f>IF(ISERROR(X342/X344),"",X342/X344)</f>
        <v/>
      </c>
      <c r="AA342" s="594"/>
    </row>
    <row r="343" spans="1:27" ht="20.100000000000001" customHeight="1">
      <c r="A343" s="310" t="s">
        <v>478</v>
      </c>
      <c r="B343" s="456">
        <f>I335+C341</f>
        <v>317.57</v>
      </c>
      <c r="C343" s="601" t="s">
        <v>251</v>
      </c>
      <c r="D343" s="602"/>
      <c r="E343" s="603">
        <f>K335+I341</f>
        <v>318.04240403375172</v>
      </c>
      <c r="F343" s="603"/>
      <c r="G343" s="591" t="s">
        <v>274</v>
      </c>
      <c r="H343" s="591"/>
      <c r="I343" s="600">
        <f>B343-E343</f>
        <v>-0.47240403375172946</v>
      </c>
      <c r="J343" s="600"/>
      <c r="K343" s="588" t="s">
        <v>275</v>
      </c>
      <c r="L343" s="588"/>
      <c r="M343" s="592">
        <f>IF(ISERROR(I343/E343),"",I343/E343)</f>
        <v>-1.4853492105461395E-3</v>
      </c>
      <c r="N343" s="592"/>
      <c r="O343" s="588"/>
      <c r="P343" s="591" t="s">
        <v>245</v>
      </c>
      <c r="Q343" s="591"/>
      <c r="R343" s="593"/>
      <c r="S343" s="593"/>
      <c r="T343" s="594" t="str">
        <f>IF(ISERROR(R343/R344),"",R343/R344)</f>
        <v/>
      </c>
      <c r="U343" s="594"/>
      <c r="V343" s="591" t="s">
        <v>264</v>
      </c>
      <c r="W343" s="591"/>
      <c r="X343" s="628">
        <f>SUM(P205,P262,P297,P313,P324,P339)</f>
        <v>0</v>
      </c>
      <c r="Y343" s="629"/>
      <c r="Z343" s="594" t="str">
        <f>IF(ISERROR(X343/X344),"",X343/X344)</f>
        <v/>
      </c>
      <c r="AA343" s="594"/>
    </row>
    <row r="344" spans="1:27" ht="20.100000000000001" customHeight="1">
      <c r="A344" s="310" t="s">
        <v>479</v>
      </c>
      <c r="B344" s="456">
        <f>N335</f>
        <v>0</v>
      </c>
      <c r="C344" s="601" t="s">
        <v>277</v>
      </c>
      <c r="D344" s="602"/>
      <c r="E344" s="594">
        <f>IF(ISERROR(B344/B343),"",B344/B343)</f>
        <v>0</v>
      </c>
      <c r="F344" s="594"/>
      <c r="G344" s="591" t="s">
        <v>278</v>
      </c>
      <c r="H344" s="591"/>
      <c r="I344" s="588">
        <f>V335</f>
        <v>0</v>
      </c>
      <c r="J344" s="588"/>
      <c r="K344" s="588" t="s">
        <v>279</v>
      </c>
      <c r="L344" s="588"/>
      <c r="M344" s="592">
        <f t="array" ref="M344">IF(ISERROR(I344/B342),"",I344/B342)</f>
        <v>0</v>
      </c>
      <c r="N344" s="592"/>
      <c r="O344" s="588"/>
      <c r="P344" s="591" t="s">
        <v>266</v>
      </c>
      <c r="Q344" s="591"/>
      <c r="R344" s="593">
        <f>SUM(R337:S343)</f>
        <v>0</v>
      </c>
      <c r="S344" s="593"/>
      <c r="T344" s="594"/>
      <c r="U344" s="594"/>
      <c r="V344" s="591" t="s">
        <v>266</v>
      </c>
      <c r="W344" s="591"/>
      <c r="X344" s="595">
        <f>SUM(X337:Y343)</f>
        <v>0</v>
      </c>
      <c r="Y344" s="595"/>
      <c r="Z344" s="594"/>
      <c r="AA344" s="594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4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604" t="s">
        <v>480</v>
      </c>
      <c r="B346" s="607" t="s">
        <v>280</v>
      </c>
      <c r="C346" s="607" t="s">
        <v>281</v>
      </c>
      <c r="D346" s="607" t="s">
        <v>282</v>
      </c>
      <c r="E346" s="610" t="s">
        <v>283</v>
      </c>
      <c r="F346" s="623" t="s">
        <v>284</v>
      </c>
      <c r="G346" s="588" t="s">
        <v>285</v>
      </c>
      <c r="H346" s="588"/>
      <c r="I346" s="607" t="s">
        <v>286</v>
      </c>
      <c r="J346" s="613" t="s">
        <v>271</v>
      </c>
      <c r="K346" s="616" t="s">
        <v>287</v>
      </c>
      <c r="L346" s="607" t="s">
        <v>270</v>
      </c>
      <c r="M346" s="619" t="s">
        <v>288</v>
      </c>
      <c r="N346" s="621" t="s">
        <v>252</v>
      </c>
      <c r="O346" s="588" t="s">
        <v>289</v>
      </c>
      <c r="P346" s="588"/>
      <c r="Q346" s="588"/>
      <c r="R346" s="588"/>
      <c r="S346" s="588"/>
      <c r="T346" s="588"/>
      <c r="U346" s="588"/>
      <c r="V346" s="588" t="s">
        <v>290</v>
      </c>
      <c r="W346" s="621" t="s">
        <v>291</v>
      </c>
      <c r="X346" s="588" t="s">
        <v>292</v>
      </c>
      <c r="Y346" s="588"/>
      <c r="Z346" s="588"/>
      <c r="AA346" s="588"/>
    </row>
    <row r="347" spans="1:27" ht="21.95" customHeight="1">
      <c r="A347" s="605"/>
      <c r="B347" s="608"/>
      <c r="C347" s="608"/>
      <c r="D347" s="608"/>
      <c r="E347" s="611"/>
      <c r="F347" s="624"/>
      <c r="G347" s="588"/>
      <c r="H347" s="588"/>
      <c r="I347" s="608"/>
      <c r="J347" s="614"/>
      <c r="K347" s="617"/>
      <c r="L347" s="608"/>
      <c r="M347" s="620"/>
      <c r="N347" s="621"/>
      <c r="O347" s="588" t="s">
        <v>259</v>
      </c>
      <c r="P347" s="588" t="s">
        <v>261</v>
      </c>
      <c r="Q347" s="588" t="s">
        <v>263</v>
      </c>
      <c r="R347" s="622" t="s">
        <v>265</v>
      </c>
      <c r="S347" s="591" t="s">
        <v>267</v>
      </c>
      <c r="T347" s="588" t="s">
        <v>272</v>
      </c>
      <c r="U347" s="588" t="s">
        <v>264</v>
      </c>
      <c r="V347" s="588"/>
      <c r="W347" s="621"/>
      <c r="X347" s="588" t="s">
        <v>293</v>
      </c>
      <c r="Y347" s="588" t="s">
        <v>294</v>
      </c>
      <c r="Z347" s="588" t="s">
        <v>295</v>
      </c>
      <c r="AA347" s="588" t="s">
        <v>264</v>
      </c>
    </row>
    <row r="348" spans="1:27" ht="21.95" customHeight="1">
      <c r="A348" s="606"/>
      <c r="B348" s="609"/>
      <c r="C348" s="609"/>
      <c r="D348" s="609"/>
      <c r="E348" s="612"/>
      <c r="F348" s="625"/>
      <c r="G348" s="348" t="s">
        <v>296</v>
      </c>
      <c r="H348" s="460" t="s">
        <v>297</v>
      </c>
      <c r="I348" s="609"/>
      <c r="J348" s="615"/>
      <c r="K348" s="618"/>
      <c r="L348" s="609"/>
      <c r="M348" s="620"/>
      <c r="N348" s="621"/>
      <c r="O348" s="588"/>
      <c r="P348" s="588"/>
      <c r="Q348" s="588"/>
      <c r="R348" s="622"/>
      <c r="S348" s="591"/>
      <c r="T348" s="588"/>
      <c r="U348" s="588"/>
      <c r="V348" s="588"/>
      <c r="W348" s="621"/>
      <c r="X348" s="588"/>
      <c r="Y348" s="588"/>
      <c r="Z348" s="588"/>
      <c r="AA348" s="588"/>
    </row>
    <row r="349" spans="1:27" ht="20.100000000000001" hidden="1" customHeight="1">
      <c r="A349" s="299">
        <v>30100030</v>
      </c>
      <c r="B349" s="453" t="s">
        <v>178</v>
      </c>
      <c r="C349" s="126" t="s">
        <v>179</v>
      </c>
      <c r="D349" s="108">
        <v>5.03</v>
      </c>
      <c r="E349" s="108"/>
      <c r="F349" s="127"/>
      <c r="G349" s="128"/>
      <c r="H349" s="454">
        <f t="shared" ref="H349:H369" si="159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58" si="160">IF(ISERROR(I349-K349),"",I349-K349)</f>
        <v>0</v>
      </c>
      <c r="N349" s="130">
        <f t="shared" ref="N349:N354" si="161">SUM(O349:U349)</f>
        <v>0</v>
      </c>
      <c r="O349" s="462"/>
      <c r="P349" s="462"/>
      <c r="Q349" s="462"/>
      <c r="R349" s="462"/>
      <c r="S349" s="462"/>
      <c r="T349" s="462"/>
      <c r="U349" s="462"/>
      <c r="V349" s="132">
        <f t="shared" ref="V349:V354" si="162">SUM(X349:AA349)</f>
        <v>0</v>
      </c>
      <c r="W349" s="133" t="str">
        <f t="shared" ref="W349:W354" si="163">IF(ISERROR(V349/G349),"",V349/G349)</f>
        <v/>
      </c>
      <c r="X349" s="132"/>
      <c r="Y349" s="132"/>
      <c r="Z349" s="132"/>
      <c r="AA349" s="132"/>
    </row>
    <row r="350" spans="1:27" ht="20.100000000000001" hidden="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28"/>
      <c r="H350" s="454">
        <f t="shared" si="159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60"/>
        <v>0</v>
      </c>
      <c r="N350" s="130">
        <f t="shared" si="161"/>
        <v>0</v>
      </c>
      <c r="O350" s="462"/>
      <c r="P350" s="462"/>
      <c r="Q350" s="462"/>
      <c r="R350" s="462"/>
      <c r="S350" s="462"/>
      <c r="T350" s="462"/>
      <c r="U350" s="462"/>
      <c r="V350" s="132">
        <f t="shared" si="162"/>
        <v>0</v>
      </c>
      <c r="W350" s="133" t="str">
        <f t="shared" si="163"/>
        <v/>
      </c>
      <c r="X350" s="132"/>
      <c r="Y350" s="132"/>
      <c r="Z350" s="132"/>
      <c r="AA350" s="132"/>
    </row>
    <row r="351" spans="1:27" ht="20.100000000000001" hidden="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28"/>
      <c r="H351" s="454">
        <f t="shared" si="159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60"/>
        <v>0</v>
      </c>
      <c r="N351" s="130">
        <f t="shared" si="161"/>
        <v>0</v>
      </c>
      <c r="O351" s="462"/>
      <c r="P351" s="462"/>
      <c r="Q351" s="462"/>
      <c r="R351" s="462"/>
      <c r="S351" s="462"/>
      <c r="T351" s="462"/>
      <c r="U351" s="462"/>
      <c r="V351" s="132">
        <f t="shared" si="162"/>
        <v>0</v>
      </c>
      <c r="W351" s="133" t="str">
        <f t="shared" si="163"/>
        <v/>
      </c>
      <c r="X351" s="132"/>
      <c r="Y351" s="132"/>
      <c r="Z351" s="132"/>
      <c r="AA351" s="132"/>
    </row>
    <row r="352" spans="1:27" ht="20.100000000000001" hidden="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28"/>
      <c r="H352" s="454">
        <f t="shared" si="159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60"/>
        <v>0</v>
      </c>
      <c r="N352" s="130">
        <f t="shared" si="161"/>
        <v>0</v>
      </c>
      <c r="O352" s="462"/>
      <c r="P352" s="462"/>
      <c r="Q352" s="462"/>
      <c r="R352" s="462"/>
      <c r="S352" s="462"/>
      <c r="T352" s="462"/>
      <c r="U352" s="462"/>
      <c r="V352" s="132">
        <f t="shared" si="162"/>
        <v>0</v>
      </c>
      <c r="W352" s="133" t="str">
        <f t="shared" si="163"/>
        <v/>
      </c>
      <c r="X352" s="132"/>
      <c r="Y352" s="132"/>
      <c r="Z352" s="132"/>
      <c r="AA352" s="132"/>
    </row>
    <row r="353" spans="1:27" ht="20.100000000000001" hidden="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28"/>
      <c r="H353" s="454">
        <f t="shared" si="159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60"/>
        <v>0</v>
      </c>
      <c r="N353" s="130">
        <f t="shared" si="161"/>
        <v>0</v>
      </c>
      <c r="O353" s="462"/>
      <c r="P353" s="462"/>
      <c r="Q353" s="462"/>
      <c r="R353" s="462"/>
      <c r="S353" s="462"/>
      <c r="T353" s="462"/>
      <c r="U353" s="462"/>
      <c r="V353" s="132">
        <f t="shared" si="162"/>
        <v>0</v>
      </c>
      <c r="W353" s="133" t="str">
        <f t="shared" si="163"/>
        <v/>
      </c>
      <c r="X353" s="132"/>
      <c r="Y353" s="132"/>
      <c r="Z353" s="132"/>
      <c r="AA353" s="132"/>
    </row>
    <row r="354" spans="1:27" ht="20.100000000000001" hidden="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137"/>
      <c r="H354" s="454">
        <f t="shared" si="159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60"/>
        <v>0</v>
      </c>
      <c r="N354" s="130">
        <f t="shared" si="161"/>
        <v>0</v>
      </c>
      <c r="O354" s="462"/>
      <c r="P354" s="462"/>
      <c r="Q354" s="462"/>
      <c r="R354" s="462"/>
      <c r="S354" s="462"/>
      <c r="T354" s="462"/>
      <c r="U354" s="462"/>
      <c r="V354" s="132">
        <f t="shared" si="162"/>
        <v>0</v>
      </c>
      <c r="W354" s="133" t="str">
        <f t="shared" si="163"/>
        <v/>
      </c>
      <c r="X354" s="132"/>
      <c r="Y354" s="132"/>
      <c r="Z354" s="132"/>
      <c r="AA354" s="132"/>
    </row>
    <row r="355" spans="1:27" ht="20.100000000000001" hidden="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28"/>
      <c r="H355" s="454">
        <f t="shared" si="159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60"/>
        <v>0</v>
      </c>
      <c r="N355" s="130"/>
      <c r="O355" s="462"/>
      <c r="P355" s="462"/>
      <c r="Q355" s="462"/>
      <c r="R355" s="462"/>
      <c r="S355" s="462"/>
      <c r="T355" s="462"/>
      <c r="U355" s="462"/>
      <c r="V355" s="132"/>
      <c r="W355" s="133"/>
      <c r="X355" s="132"/>
      <c r="Y355" s="132"/>
      <c r="Z355" s="132"/>
      <c r="AA355" s="132"/>
    </row>
    <row r="356" spans="1:27" ht="20.100000000000001" hidden="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28"/>
      <c r="H356" s="454">
        <f t="shared" si="159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60"/>
        <v>0</v>
      </c>
      <c r="N356" s="130"/>
      <c r="O356" s="462"/>
      <c r="P356" s="462"/>
      <c r="Q356" s="462"/>
      <c r="R356" s="462"/>
      <c r="S356" s="462"/>
      <c r="T356" s="462"/>
      <c r="U356" s="462"/>
      <c r="V356" s="132"/>
      <c r="W356" s="133"/>
      <c r="X356" s="132"/>
      <c r="Y356" s="132"/>
      <c r="Z356" s="132"/>
      <c r="AA356" s="132"/>
    </row>
    <row r="357" spans="1:27" ht="20.100000000000001" hidden="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28"/>
      <c r="H357" s="454">
        <f t="shared" si="159"/>
        <v>0</v>
      </c>
      <c r="I357" s="454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60"/>
        <v>0</v>
      </c>
      <c r="N357" s="130">
        <f>SUM(O357:U357)</f>
        <v>0</v>
      </c>
      <c r="O357" s="462"/>
      <c r="P357" s="462"/>
      <c r="Q357" s="462"/>
      <c r="R357" s="462"/>
      <c r="S357" s="462"/>
      <c r="T357" s="462"/>
      <c r="U357" s="462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hidden="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28"/>
      <c r="H358" s="454">
        <f t="shared" si="159"/>
        <v>0</v>
      </c>
      <c r="I358" s="454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60"/>
        <v>0</v>
      </c>
      <c r="N358" s="130">
        <f>SUM(O358:U358)</f>
        <v>0</v>
      </c>
      <c r="O358" s="462"/>
      <c r="P358" s="462"/>
      <c r="Q358" s="462"/>
      <c r="R358" s="462"/>
      <c r="S358" s="462"/>
      <c r="T358" s="462"/>
      <c r="U358" s="462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hidden="1" customHeight="1">
      <c r="A359" s="302">
        <v>30100063</v>
      </c>
      <c r="B359" s="134" t="s">
        <v>466</v>
      </c>
      <c r="C359" s="126" t="s">
        <v>192</v>
      </c>
      <c r="D359" s="108">
        <v>5.03</v>
      </c>
      <c r="E359" s="108"/>
      <c r="F359" s="126"/>
      <c r="G359" s="128"/>
      <c r="H359" s="454">
        <f t="shared" si="159"/>
        <v>0</v>
      </c>
      <c r="I359" s="454"/>
      <c r="J359" s="130"/>
      <c r="K359" s="131"/>
      <c r="L359" s="129"/>
      <c r="M359" s="109"/>
      <c r="N359" s="130"/>
      <c r="O359" s="462"/>
      <c r="P359" s="462"/>
      <c r="Q359" s="462"/>
      <c r="R359" s="462"/>
      <c r="S359" s="462"/>
      <c r="T359" s="462"/>
      <c r="U359" s="462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30100061</v>
      </c>
      <c r="B360" s="134" t="s">
        <v>466</v>
      </c>
      <c r="C360" s="126" t="s">
        <v>193</v>
      </c>
      <c r="D360" s="108">
        <v>5.03</v>
      </c>
      <c r="E360" s="108"/>
      <c r="F360" s="126"/>
      <c r="G360" s="128"/>
      <c r="H360" s="454">
        <f t="shared" si="159"/>
        <v>0</v>
      </c>
      <c r="I360" s="454"/>
      <c r="J360" s="130"/>
      <c r="K360" s="131"/>
      <c r="L360" s="129"/>
      <c r="M360" s="109"/>
      <c r="N360" s="130"/>
      <c r="O360" s="462"/>
      <c r="P360" s="462"/>
      <c r="Q360" s="462"/>
      <c r="R360" s="462"/>
      <c r="S360" s="462"/>
      <c r="T360" s="462"/>
      <c r="U360" s="462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28"/>
      <c r="H361" s="454">
        <f t="shared" si="159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ref="M361:M369" si="164">IF(ISERROR(I361-K361),"",I361-K361)</f>
        <v>0</v>
      </c>
      <c r="N361" s="130">
        <f t="shared" ref="N361:N363" si="165">SUM(O361:U361)</f>
        <v>0</v>
      </c>
      <c r="O361" s="462"/>
      <c r="P361" s="462"/>
      <c r="Q361" s="462"/>
      <c r="R361" s="462"/>
      <c r="S361" s="462"/>
      <c r="T361" s="462"/>
      <c r="U361" s="462"/>
      <c r="V361" s="132">
        <f t="shared" ref="V361:V363" si="166">SUM(X361:AA361)</f>
        <v>0</v>
      </c>
      <c r="W361" s="133" t="str">
        <f t="shared" ref="W361:W363" si="167">IF(ISERROR(V361/G361),"",V361/G361)</f>
        <v/>
      </c>
      <c r="X361" s="132"/>
      <c r="Y361" s="132"/>
      <c r="Z361" s="132"/>
      <c r="AA361" s="132"/>
    </row>
    <row r="362" spans="1:27" ht="20.100000000000001" hidden="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28"/>
      <c r="H362" s="454">
        <f t="shared" si="159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4"/>
        <v>0</v>
      </c>
      <c r="N362" s="130">
        <f t="shared" si="165"/>
        <v>0</v>
      </c>
      <c r="O362" s="462"/>
      <c r="P362" s="462"/>
      <c r="Q362" s="462"/>
      <c r="R362" s="462"/>
      <c r="S362" s="462"/>
      <c r="T362" s="462"/>
      <c r="U362" s="462"/>
      <c r="V362" s="132">
        <f t="shared" si="166"/>
        <v>0</v>
      </c>
      <c r="W362" s="133" t="str">
        <f t="shared" si="167"/>
        <v/>
      </c>
      <c r="X362" s="132"/>
      <c r="Y362" s="132"/>
      <c r="Z362" s="132"/>
      <c r="AA362" s="132"/>
    </row>
    <row r="363" spans="1:27" ht="20.100000000000001" hidden="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28"/>
      <c r="H363" s="454">
        <f t="shared" si="159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4"/>
        <v>0</v>
      </c>
      <c r="N363" s="130">
        <f t="shared" si="165"/>
        <v>0</v>
      </c>
      <c r="O363" s="462"/>
      <c r="P363" s="462"/>
      <c r="Q363" s="462"/>
      <c r="R363" s="462"/>
      <c r="S363" s="462"/>
      <c r="T363" s="462"/>
      <c r="U363" s="462"/>
      <c r="V363" s="132">
        <f t="shared" si="166"/>
        <v>0</v>
      </c>
      <c r="W363" s="133" t="str">
        <f t="shared" si="167"/>
        <v/>
      </c>
      <c r="X363" s="132"/>
      <c r="Y363" s="132"/>
      <c r="Z363" s="132"/>
      <c r="AA363" s="132"/>
    </row>
    <row r="364" spans="1:27" ht="20.100000000000001" hidden="1" customHeight="1">
      <c r="A364" s="300">
        <v>30100003</v>
      </c>
      <c r="B364" s="141" t="s">
        <v>198</v>
      </c>
      <c r="C364" s="460" t="s">
        <v>190</v>
      </c>
      <c r="D364" s="108">
        <v>4.8</v>
      </c>
      <c r="E364" s="108"/>
      <c r="F364" s="127"/>
      <c r="G364" s="128"/>
      <c r="H364" s="454">
        <f t="shared" si="159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4"/>
        <v>0</v>
      </c>
      <c r="N364" s="130"/>
      <c r="O364" s="462"/>
      <c r="P364" s="462"/>
      <c r="Q364" s="462"/>
      <c r="R364" s="462"/>
      <c r="S364" s="462"/>
      <c r="T364" s="462"/>
      <c r="U364" s="462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30100004</v>
      </c>
      <c r="B365" s="141" t="s">
        <v>198</v>
      </c>
      <c r="C365" s="460" t="s">
        <v>187</v>
      </c>
      <c r="D365" s="108">
        <v>4.8</v>
      </c>
      <c r="E365" s="108"/>
      <c r="F365" s="127"/>
      <c r="G365" s="128"/>
      <c r="H365" s="454">
        <f t="shared" si="159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4"/>
        <v>0</v>
      </c>
      <c r="N365" s="130"/>
      <c r="O365" s="462"/>
      <c r="P365" s="462"/>
      <c r="Q365" s="462"/>
      <c r="R365" s="462"/>
      <c r="S365" s="462"/>
      <c r="T365" s="462"/>
      <c r="U365" s="462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30100006</v>
      </c>
      <c r="B366" s="141" t="s">
        <v>198</v>
      </c>
      <c r="C366" s="460" t="s">
        <v>179</v>
      </c>
      <c r="D366" s="108">
        <v>4.8</v>
      </c>
      <c r="E366" s="108"/>
      <c r="F366" s="127"/>
      <c r="G366" s="128"/>
      <c r="H366" s="454">
        <f t="shared" si="159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4"/>
        <v>0</v>
      </c>
      <c r="N366" s="130"/>
      <c r="O366" s="462"/>
      <c r="P366" s="462"/>
      <c r="Q366" s="462"/>
      <c r="R366" s="462"/>
      <c r="S366" s="462"/>
      <c r="T366" s="462"/>
      <c r="U366" s="462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0">
        <v>30100005</v>
      </c>
      <c r="B367" s="141" t="s">
        <v>198</v>
      </c>
      <c r="C367" s="460" t="s">
        <v>199</v>
      </c>
      <c r="D367" s="108">
        <v>4.8</v>
      </c>
      <c r="E367" s="108"/>
      <c r="F367" s="127"/>
      <c r="G367" s="128"/>
      <c r="H367" s="454">
        <f t="shared" si="159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4"/>
        <v>0</v>
      </c>
      <c r="N367" s="130"/>
      <c r="O367" s="462"/>
      <c r="P367" s="462"/>
      <c r="Q367" s="462"/>
      <c r="R367" s="462"/>
      <c r="S367" s="462"/>
      <c r="T367" s="462"/>
      <c r="U367" s="462"/>
      <c r="V367" s="132"/>
      <c r="W367" s="133"/>
      <c r="X367" s="132"/>
      <c r="Y367" s="132"/>
      <c r="Z367" s="132"/>
      <c r="AA367" s="132"/>
    </row>
    <row r="368" spans="1:27" ht="20.100000000000001" hidden="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28"/>
      <c r="H368" s="454">
        <f t="shared" si="159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4"/>
        <v>0</v>
      </c>
      <c r="N368" s="130">
        <f t="shared" ref="N368:N369" si="168">SUM(O368:U368)</f>
        <v>0</v>
      </c>
      <c r="O368" s="462"/>
      <c r="P368" s="462"/>
      <c r="Q368" s="462"/>
      <c r="R368" s="462"/>
      <c r="S368" s="462"/>
      <c r="T368" s="462"/>
      <c r="U368" s="462"/>
      <c r="V368" s="132">
        <f t="shared" ref="V368:V369" si="169">SUM(X368:AA368)</f>
        <v>0</v>
      </c>
      <c r="W368" s="133" t="str">
        <f t="shared" ref="W368:W369" si="170">IF(ISERROR(V368/G368),"",V368/G368)</f>
        <v/>
      </c>
      <c r="X368" s="132"/>
      <c r="Y368" s="132"/>
      <c r="Z368" s="132"/>
      <c r="AA368" s="132"/>
    </row>
    <row r="369" spans="1:27" ht="20.100000000000001" hidden="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28"/>
      <c r="H369" s="454">
        <f t="shared" si="159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4"/>
        <v>0</v>
      </c>
      <c r="N369" s="130">
        <f t="shared" si="168"/>
        <v>0</v>
      </c>
      <c r="O369" s="462"/>
      <c r="P369" s="462"/>
      <c r="Q369" s="462"/>
      <c r="R369" s="462"/>
      <c r="S369" s="462"/>
      <c r="T369" s="462"/>
      <c r="U369" s="462"/>
      <c r="V369" s="132">
        <f t="shared" si="169"/>
        <v>0</v>
      </c>
      <c r="W369" s="133" t="str">
        <f t="shared" si="170"/>
        <v/>
      </c>
      <c r="X369" s="132"/>
      <c r="Y369" s="132"/>
      <c r="Z369" s="132"/>
      <c r="AA369" s="132"/>
    </row>
    <row r="370" spans="1:27" ht="20.100000000000001" hidden="1" customHeight="1">
      <c r="A370" s="578" t="s">
        <v>201</v>
      </c>
      <c r="B370" s="579"/>
      <c r="C370" s="463" t="s">
        <v>202</v>
      </c>
      <c r="D370" s="143"/>
      <c r="E370" s="143"/>
      <c r="F370" s="144"/>
      <c r="G370" s="145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71">SUM(M349:M369)</f>
        <v>0</v>
      </c>
      <c r="N370" s="146">
        <f t="shared" si="171"/>
        <v>0</v>
      </c>
      <c r="O370" s="148">
        <f t="shared" si="171"/>
        <v>0</v>
      </c>
      <c r="P370" s="148">
        <f t="shared" si="171"/>
        <v>0</v>
      </c>
      <c r="Q370" s="148">
        <f t="shared" si="171"/>
        <v>0</v>
      </c>
      <c r="R370" s="148">
        <f t="shared" si="171"/>
        <v>0</v>
      </c>
      <c r="S370" s="148">
        <f t="shared" si="171"/>
        <v>0</v>
      </c>
      <c r="T370" s="148">
        <f t="shared" si="171"/>
        <v>0</v>
      </c>
      <c r="U370" s="148">
        <f t="shared" si="171"/>
        <v>0</v>
      </c>
      <c r="V370" s="149">
        <f t="shared" si="171"/>
        <v>0</v>
      </c>
      <c r="W370" s="133">
        <f t="shared" si="171"/>
        <v>0</v>
      </c>
      <c r="X370" s="149">
        <f t="shared" si="171"/>
        <v>0</v>
      </c>
      <c r="Y370" s="149">
        <f t="shared" si="171"/>
        <v>0</v>
      </c>
      <c r="Z370" s="149">
        <f t="shared" si="171"/>
        <v>0</v>
      </c>
      <c r="AA370" s="149">
        <f t="shared" si="171"/>
        <v>0</v>
      </c>
    </row>
    <row r="371" spans="1:27" ht="20.100000000000001" hidden="1" customHeight="1">
      <c r="A371" s="300">
        <v>30100012</v>
      </c>
      <c r="B371" s="453" t="s">
        <v>206</v>
      </c>
      <c r="C371" s="126" t="s">
        <v>199</v>
      </c>
      <c r="D371" s="108">
        <v>5.03</v>
      </c>
      <c r="E371" s="108"/>
      <c r="F371" s="127"/>
      <c r="G371" s="128"/>
      <c r="H371" s="454">
        <f t="shared" ref="H371:H427" si="172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" si="173">IF(ISERROR(I371-K371),"",I371-K371)</f>
        <v>0</v>
      </c>
      <c r="N371" s="130">
        <f t="shared" ref="N371" si="174">SUM(O371:U371)</f>
        <v>0</v>
      </c>
      <c r="O371" s="458"/>
      <c r="P371" s="458"/>
      <c r="Q371" s="458"/>
      <c r="R371" s="458"/>
      <c r="S371" s="458"/>
      <c r="T371" s="458"/>
      <c r="U371" s="458"/>
      <c r="V371" s="132">
        <f t="shared" ref="V371" si="175">SUM(X371:AA371)</f>
        <v>0</v>
      </c>
      <c r="W371" s="133" t="str">
        <f t="shared" ref="W371" si="176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30100011</v>
      </c>
      <c r="B372" s="453" t="s">
        <v>425</v>
      </c>
      <c r="C372" s="187" t="s">
        <v>428</v>
      </c>
      <c r="D372" s="108">
        <v>5.03</v>
      </c>
      <c r="E372" s="108"/>
      <c r="F372" s="127"/>
      <c r="G372" s="128"/>
      <c r="H372" s="454">
        <f t="shared" si="172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458"/>
      <c r="P372" s="458"/>
      <c r="Q372" s="458"/>
      <c r="R372" s="458"/>
      <c r="S372" s="458"/>
      <c r="T372" s="458"/>
      <c r="U372" s="458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0">
        <v>30100010</v>
      </c>
      <c r="B373" s="453" t="s">
        <v>206</v>
      </c>
      <c r="C373" s="126" t="s">
        <v>186</v>
      </c>
      <c r="D373" s="108">
        <v>5.03</v>
      </c>
      <c r="E373" s="108"/>
      <c r="F373" s="127"/>
      <c r="G373" s="128"/>
      <c r="H373" s="454">
        <f t="shared" si="172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ref="M373:M408" si="177">IF(ISERROR(I373-K373),"",I373-K373)</f>
        <v>0</v>
      </c>
      <c r="N373" s="130">
        <f t="shared" ref="N373:N375" si="178">SUM(O373:U373)</f>
        <v>0</v>
      </c>
      <c r="O373" s="458"/>
      <c r="P373" s="458"/>
      <c r="Q373" s="458"/>
      <c r="R373" s="458"/>
      <c r="S373" s="458"/>
      <c r="T373" s="458"/>
      <c r="U373" s="458"/>
      <c r="V373" s="132">
        <f t="shared" ref="V373:V375" si="179">SUM(X373:AA373)</f>
        <v>0</v>
      </c>
      <c r="W373" s="133" t="str">
        <f t="shared" ref="W373:W375" si="180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0">
        <v>30100014</v>
      </c>
      <c r="B374" s="453" t="s">
        <v>206</v>
      </c>
      <c r="C374" s="126" t="s">
        <v>203</v>
      </c>
      <c r="D374" s="108">
        <v>5.03</v>
      </c>
      <c r="E374" s="108"/>
      <c r="F374" s="127"/>
      <c r="G374" s="128"/>
      <c r="H374" s="454">
        <f t="shared" si="172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7"/>
        <v>0</v>
      </c>
      <c r="N374" s="130">
        <f t="shared" si="178"/>
        <v>0</v>
      </c>
      <c r="O374" s="458"/>
      <c r="P374" s="458"/>
      <c r="Q374" s="458"/>
      <c r="R374" s="458"/>
      <c r="S374" s="458"/>
      <c r="T374" s="458"/>
      <c r="U374" s="458"/>
      <c r="V374" s="132">
        <f t="shared" si="179"/>
        <v>0</v>
      </c>
      <c r="W374" s="133" t="str">
        <f t="shared" si="180"/>
        <v/>
      </c>
      <c r="X374" s="132"/>
      <c r="Y374" s="132"/>
      <c r="Z374" s="132"/>
      <c r="AA374" s="132"/>
    </row>
    <row r="375" spans="1:27" ht="20.100000000000001" hidden="1" customHeight="1">
      <c r="A375" s="300">
        <v>30100013</v>
      </c>
      <c r="B375" s="453" t="s">
        <v>206</v>
      </c>
      <c r="C375" s="126" t="s">
        <v>207</v>
      </c>
      <c r="D375" s="108">
        <v>5.03</v>
      </c>
      <c r="E375" s="108"/>
      <c r="F375" s="127"/>
      <c r="G375" s="128"/>
      <c r="H375" s="454">
        <f t="shared" si="172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7"/>
        <v>0</v>
      </c>
      <c r="N375" s="130">
        <f t="shared" si="178"/>
        <v>0</v>
      </c>
      <c r="O375" s="458"/>
      <c r="P375" s="458"/>
      <c r="Q375" s="458"/>
      <c r="R375" s="458"/>
      <c r="S375" s="458"/>
      <c r="T375" s="458"/>
      <c r="U375" s="458"/>
      <c r="V375" s="132">
        <f t="shared" si="179"/>
        <v>0</v>
      </c>
      <c r="W375" s="133" t="str">
        <f t="shared" si="180"/>
        <v/>
      </c>
      <c r="X375" s="132"/>
      <c r="Y375" s="132"/>
      <c r="Z375" s="132"/>
      <c r="AA375" s="132"/>
    </row>
    <row r="376" spans="1:27" ht="20.100000000000001" hidden="1" customHeight="1">
      <c r="A376" s="300">
        <v>30100016</v>
      </c>
      <c r="B376" s="453" t="s">
        <v>414</v>
      </c>
      <c r="C376" s="187" t="s">
        <v>415</v>
      </c>
      <c r="D376" s="108"/>
      <c r="E376" s="108"/>
      <c r="F376" s="127"/>
      <c r="G376" s="128"/>
      <c r="H376" s="454">
        <f t="shared" si="172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7"/>
        <v>0</v>
      </c>
      <c r="N376" s="130"/>
      <c r="O376" s="458"/>
      <c r="P376" s="458"/>
      <c r="Q376" s="458"/>
      <c r="R376" s="458"/>
      <c r="S376" s="458"/>
      <c r="T376" s="458"/>
      <c r="U376" s="458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30100017</v>
      </c>
      <c r="B377" s="453" t="s">
        <v>414</v>
      </c>
      <c r="C377" s="187" t="s">
        <v>416</v>
      </c>
      <c r="D377" s="108"/>
      <c r="E377" s="108"/>
      <c r="F377" s="127"/>
      <c r="G377" s="128"/>
      <c r="H377" s="454">
        <f t="shared" si="172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7"/>
        <v>0</v>
      </c>
      <c r="N377" s="130"/>
      <c r="O377" s="458"/>
      <c r="P377" s="458"/>
      <c r="Q377" s="458"/>
      <c r="R377" s="458"/>
      <c r="S377" s="458"/>
      <c r="T377" s="458"/>
      <c r="U377" s="458"/>
      <c r="V377" s="132"/>
      <c r="W377" s="133"/>
      <c r="X377" s="132"/>
      <c r="Y377" s="132"/>
      <c r="Z377" s="132"/>
      <c r="AA377" s="132"/>
    </row>
    <row r="378" spans="1:27" ht="20.100000000000001" hidden="1" customHeight="1">
      <c r="A378" s="300">
        <v>30100015</v>
      </c>
      <c r="B378" s="453" t="s">
        <v>414</v>
      </c>
      <c r="C378" s="187" t="s">
        <v>61</v>
      </c>
      <c r="D378" s="108"/>
      <c r="E378" s="108"/>
      <c r="F378" s="127"/>
      <c r="G378" s="128"/>
      <c r="H378" s="454">
        <f t="shared" si="172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7"/>
        <v>0</v>
      </c>
      <c r="N378" s="130"/>
      <c r="O378" s="458"/>
      <c r="P378" s="458"/>
      <c r="Q378" s="458"/>
      <c r="R378" s="458"/>
      <c r="S378" s="458"/>
      <c r="T378" s="458"/>
      <c r="U378" s="458"/>
      <c r="V378" s="132"/>
      <c r="W378" s="133"/>
      <c r="X378" s="132"/>
      <c r="Y378" s="132"/>
      <c r="Z378" s="132"/>
      <c r="AA378" s="132"/>
    </row>
    <row r="379" spans="1:27" ht="20.100000000000001" hidden="1" customHeight="1">
      <c r="A379" s="300">
        <v>30100027</v>
      </c>
      <c r="B379" s="453" t="s">
        <v>208</v>
      </c>
      <c r="C379" s="126" t="s">
        <v>179</v>
      </c>
      <c r="D379" s="108">
        <v>5.08</v>
      </c>
      <c r="E379" s="108"/>
      <c r="F379" s="127"/>
      <c r="G379" s="128"/>
      <c r="H379" s="454">
        <f t="shared" si="172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7"/>
        <v>0</v>
      </c>
      <c r="N379" s="130">
        <f t="shared" ref="N379:N394" si="181">SUM(O379:U379)</f>
        <v>0</v>
      </c>
      <c r="O379" s="458"/>
      <c r="P379" s="458"/>
      <c r="Q379" s="458"/>
      <c r="R379" s="458"/>
      <c r="S379" s="458"/>
      <c r="T379" s="458"/>
      <c r="U379" s="458"/>
      <c r="V379" s="132">
        <f t="shared" ref="V379:V390" si="182">SUM(X379:AA379)</f>
        <v>0</v>
      </c>
      <c r="W379" s="133" t="str">
        <f t="shared" ref="W379:W390" si="183">IF(ISERROR(V379/G379),"",V379/G379)</f>
        <v/>
      </c>
      <c r="X379" s="132"/>
      <c r="Y379" s="132"/>
      <c r="Z379" s="132"/>
      <c r="AA379" s="132"/>
    </row>
    <row r="380" spans="1:27" ht="20.100000000000001" hidden="1" customHeight="1">
      <c r="A380" s="300">
        <v>30100023</v>
      </c>
      <c r="B380" s="453" t="s">
        <v>208</v>
      </c>
      <c r="C380" s="126" t="s">
        <v>204</v>
      </c>
      <c r="D380" s="108">
        <v>5.08</v>
      </c>
      <c r="E380" s="108"/>
      <c r="F380" s="127"/>
      <c r="G380" s="128"/>
      <c r="H380" s="454">
        <f t="shared" si="172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7"/>
        <v>0</v>
      </c>
      <c r="N380" s="130">
        <f t="shared" si="181"/>
        <v>0</v>
      </c>
      <c r="O380" s="458"/>
      <c r="P380" s="458"/>
      <c r="Q380" s="458"/>
      <c r="R380" s="458"/>
      <c r="S380" s="458"/>
      <c r="T380" s="458"/>
      <c r="U380" s="458"/>
      <c r="V380" s="132">
        <f t="shared" si="182"/>
        <v>0</v>
      </c>
      <c r="W380" s="133" t="str">
        <f t="shared" si="183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30100024</v>
      </c>
      <c r="B381" s="453" t="s">
        <v>208</v>
      </c>
      <c r="C381" s="126" t="s">
        <v>205</v>
      </c>
      <c r="D381" s="108">
        <v>5.08</v>
      </c>
      <c r="E381" s="108"/>
      <c r="F381" s="127"/>
      <c r="G381" s="128"/>
      <c r="H381" s="454">
        <f t="shared" si="172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7"/>
        <v>0</v>
      </c>
      <c r="N381" s="130">
        <f t="shared" si="181"/>
        <v>0</v>
      </c>
      <c r="O381" s="458"/>
      <c r="P381" s="458"/>
      <c r="Q381" s="458"/>
      <c r="R381" s="458"/>
      <c r="S381" s="458"/>
      <c r="T381" s="458"/>
      <c r="U381" s="458"/>
      <c r="V381" s="132">
        <f t="shared" si="182"/>
        <v>0</v>
      </c>
      <c r="W381" s="133" t="str">
        <f t="shared" si="183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30100022</v>
      </c>
      <c r="B382" s="453" t="s">
        <v>208</v>
      </c>
      <c r="C382" s="126" t="s">
        <v>186</v>
      </c>
      <c r="D382" s="108">
        <v>5.08</v>
      </c>
      <c r="E382" s="108"/>
      <c r="F382" s="127"/>
      <c r="G382" s="128"/>
      <c r="H382" s="454">
        <f t="shared" si="172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7"/>
        <v>0</v>
      </c>
      <c r="N382" s="130">
        <f t="shared" si="181"/>
        <v>0</v>
      </c>
      <c r="O382" s="458"/>
      <c r="P382" s="458"/>
      <c r="Q382" s="458"/>
      <c r="R382" s="458"/>
      <c r="S382" s="458"/>
      <c r="T382" s="458"/>
      <c r="U382" s="458"/>
      <c r="V382" s="132">
        <f t="shared" si="182"/>
        <v>0</v>
      </c>
      <c r="W382" s="133" t="str">
        <f t="shared" si="183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30100029</v>
      </c>
      <c r="B383" s="453" t="s">
        <v>208</v>
      </c>
      <c r="C383" s="126" t="s">
        <v>203</v>
      </c>
      <c r="D383" s="108">
        <v>5.08</v>
      </c>
      <c r="E383" s="108"/>
      <c r="F383" s="127"/>
      <c r="G383" s="128"/>
      <c r="H383" s="454">
        <f t="shared" si="172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7"/>
        <v>0</v>
      </c>
      <c r="N383" s="130">
        <f t="shared" si="181"/>
        <v>0</v>
      </c>
      <c r="O383" s="458"/>
      <c r="P383" s="458"/>
      <c r="Q383" s="458"/>
      <c r="R383" s="458"/>
      <c r="S383" s="458"/>
      <c r="T383" s="458"/>
      <c r="U383" s="458"/>
      <c r="V383" s="132">
        <f t="shared" si="182"/>
        <v>0</v>
      </c>
      <c r="W383" s="133" t="str">
        <f t="shared" si="183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30100026</v>
      </c>
      <c r="B384" s="453" t="s">
        <v>208</v>
      </c>
      <c r="C384" s="126" t="s">
        <v>199</v>
      </c>
      <c r="D384" s="108">
        <v>5.08</v>
      </c>
      <c r="E384" s="108"/>
      <c r="F384" s="127"/>
      <c r="G384" s="128"/>
      <c r="H384" s="454">
        <f t="shared" si="172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7"/>
        <v>0</v>
      </c>
      <c r="N384" s="130">
        <f t="shared" si="181"/>
        <v>0</v>
      </c>
      <c r="O384" s="462"/>
      <c r="P384" s="462"/>
      <c r="Q384" s="462"/>
      <c r="R384" s="462"/>
      <c r="S384" s="462"/>
      <c r="T384" s="462"/>
      <c r="U384" s="462"/>
      <c r="V384" s="132">
        <f t="shared" si="182"/>
        <v>0</v>
      </c>
      <c r="W384" s="133" t="str">
        <f t="shared" si="183"/>
        <v/>
      </c>
      <c r="X384" s="132"/>
      <c r="Y384" s="132"/>
      <c r="Z384" s="132"/>
      <c r="AA384" s="132"/>
    </row>
    <row r="385" spans="1:27" ht="20.100000000000001" hidden="1" customHeight="1">
      <c r="A385" s="300">
        <v>30100025</v>
      </c>
      <c r="B385" s="453" t="s">
        <v>208</v>
      </c>
      <c r="C385" s="126" t="s">
        <v>187</v>
      </c>
      <c r="D385" s="108">
        <v>5.08</v>
      </c>
      <c r="E385" s="108"/>
      <c r="F385" s="127"/>
      <c r="G385" s="128"/>
      <c r="H385" s="454">
        <f t="shared" si="172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7"/>
        <v>0</v>
      </c>
      <c r="N385" s="130">
        <f t="shared" si="181"/>
        <v>0</v>
      </c>
      <c r="O385" s="458"/>
      <c r="P385" s="458"/>
      <c r="Q385" s="458"/>
      <c r="R385" s="458"/>
      <c r="S385" s="458"/>
      <c r="T385" s="458"/>
      <c r="U385" s="458"/>
      <c r="V385" s="132">
        <f t="shared" si="182"/>
        <v>0</v>
      </c>
      <c r="W385" s="133" t="str">
        <f t="shared" si="183"/>
        <v/>
      </c>
      <c r="X385" s="132"/>
      <c r="Y385" s="132"/>
      <c r="Z385" s="132"/>
      <c r="AA385" s="132"/>
    </row>
    <row r="386" spans="1:27" ht="20.100000000000001" hidden="1" customHeight="1">
      <c r="A386" s="300">
        <v>30100028</v>
      </c>
      <c r="B386" s="453" t="s">
        <v>208</v>
      </c>
      <c r="C386" s="126" t="s">
        <v>207</v>
      </c>
      <c r="D386" s="108">
        <v>5.08</v>
      </c>
      <c r="E386" s="108"/>
      <c r="F386" s="127"/>
      <c r="G386" s="128"/>
      <c r="H386" s="454">
        <f t="shared" si="172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7"/>
        <v>0</v>
      </c>
      <c r="N386" s="130">
        <f t="shared" si="181"/>
        <v>0</v>
      </c>
      <c r="O386" s="462"/>
      <c r="P386" s="462"/>
      <c r="Q386" s="462"/>
      <c r="R386" s="462"/>
      <c r="S386" s="462"/>
      <c r="T386" s="462"/>
      <c r="U386" s="462"/>
      <c r="V386" s="132">
        <f t="shared" si="182"/>
        <v>0</v>
      </c>
      <c r="W386" s="133" t="str">
        <f t="shared" si="183"/>
        <v/>
      </c>
      <c r="X386" s="132"/>
      <c r="Y386" s="132"/>
      <c r="Z386" s="132"/>
      <c r="AA386" s="132"/>
    </row>
    <row r="387" spans="1:27" ht="20.100000000000001" hidden="1" customHeight="1">
      <c r="A387" s="300">
        <v>30100032</v>
      </c>
      <c r="B387" s="453" t="s">
        <v>209</v>
      </c>
      <c r="C387" s="126" t="s">
        <v>194</v>
      </c>
      <c r="D387" s="108">
        <v>5.03</v>
      </c>
      <c r="E387" s="108"/>
      <c r="F387" s="127"/>
      <c r="G387" s="128"/>
      <c r="H387" s="454">
        <f t="shared" si="172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7"/>
        <v>0</v>
      </c>
      <c r="N387" s="130">
        <f t="shared" si="181"/>
        <v>0</v>
      </c>
      <c r="O387" s="458"/>
      <c r="P387" s="458"/>
      <c r="Q387" s="458"/>
      <c r="R387" s="458"/>
      <c r="S387" s="458"/>
      <c r="T387" s="458"/>
      <c r="U387" s="458"/>
      <c r="V387" s="132">
        <f t="shared" si="182"/>
        <v>0</v>
      </c>
      <c r="W387" s="133" t="str">
        <f t="shared" si="183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30100033</v>
      </c>
      <c r="B388" s="453" t="s">
        <v>209</v>
      </c>
      <c r="C388" s="126" t="s">
        <v>179</v>
      </c>
      <c r="D388" s="108">
        <v>5.03</v>
      </c>
      <c r="E388" s="108"/>
      <c r="F388" s="127"/>
      <c r="G388" s="128"/>
      <c r="H388" s="454">
        <f t="shared" si="172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7"/>
        <v>0</v>
      </c>
      <c r="N388" s="130">
        <f t="shared" si="181"/>
        <v>0</v>
      </c>
      <c r="O388" s="458"/>
      <c r="P388" s="458"/>
      <c r="Q388" s="458"/>
      <c r="R388" s="458"/>
      <c r="S388" s="458"/>
      <c r="T388" s="458"/>
      <c r="U388" s="458"/>
      <c r="V388" s="132">
        <f t="shared" si="182"/>
        <v>0</v>
      </c>
      <c r="W388" s="133" t="str">
        <f t="shared" si="183"/>
        <v/>
      </c>
      <c r="X388" s="132"/>
      <c r="Y388" s="132"/>
      <c r="Z388" s="132"/>
      <c r="AA388" s="132"/>
    </row>
    <row r="389" spans="1:27" ht="20.100000000000001" hidden="1" customHeight="1">
      <c r="A389" s="300">
        <v>30100062</v>
      </c>
      <c r="B389" s="453" t="s">
        <v>209</v>
      </c>
      <c r="C389" s="126" t="s">
        <v>195</v>
      </c>
      <c r="D389" s="108">
        <v>5.03</v>
      </c>
      <c r="E389" s="108"/>
      <c r="F389" s="127"/>
      <c r="G389" s="128"/>
      <c r="H389" s="454">
        <f t="shared" si="172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7"/>
        <v>0</v>
      </c>
      <c r="N389" s="130">
        <f t="shared" si="181"/>
        <v>0</v>
      </c>
      <c r="O389" s="458"/>
      <c r="P389" s="458"/>
      <c r="Q389" s="458"/>
      <c r="R389" s="458"/>
      <c r="S389" s="458"/>
      <c r="T389" s="458"/>
      <c r="U389" s="458"/>
      <c r="V389" s="132">
        <f t="shared" si="182"/>
        <v>0</v>
      </c>
      <c r="W389" s="133" t="str">
        <f t="shared" si="183"/>
        <v/>
      </c>
      <c r="X389" s="132"/>
      <c r="Y389" s="132"/>
      <c r="Z389" s="132"/>
      <c r="AA389" s="132"/>
    </row>
    <row r="390" spans="1:27" ht="20.100000000000001" hidden="1" customHeight="1">
      <c r="A390" s="300">
        <v>30100031</v>
      </c>
      <c r="B390" s="453" t="s">
        <v>209</v>
      </c>
      <c r="C390" s="126" t="s">
        <v>204</v>
      </c>
      <c r="D390" s="108">
        <v>5.03</v>
      </c>
      <c r="E390" s="108"/>
      <c r="F390" s="127"/>
      <c r="G390" s="128"/>
      <c r="H390" s="454">
        <f t="shared" si="172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7"/>
        <v>0</v>
      </c>
      <c r="N390" s="130">
        <f t="shared" si="181"/>
        <v>0</v>
      </c>
      <c r="O390" s="458"/>
      <c r="P390" s="458"/>
      <c r="Q390" s="458"/>
      <c r="R390" s="458"/>
      <c r="S390" s="458"/>
      <c r="T390" s="458"/>
      <c r="U390" s="458"/>
      <c r="V390" s="132">
        <f t="shared" si="182"/>
        <v>0</v>
      </c>
      <c r="W390" s="133" t="str">
        <f t="shared" si="183"/>
        <v/>
      </c>
      <c r="X390" s="132"/>
      <c r="Y390" s="132"/>
      <c r="Z390" s="132"/>
      <c r="AA390" s="132"/>
    </row>
    <row r="391" spans="1:27" ht="20.100000000000001" hidden="1" customHeight="1">
      <c r="A391" s="300">
        <v>30100019</v>
      </c>
      <c r="B391" s="453" t="s">
        <v>382</v>
      </c>
      <c r="C391" s="187" t="s">
        <v>383</v>
      </c>
      <c r="D391" s="108">
        <v>5.03</v>
      </c>
      <c r="E391" s="108"/>
      <c r="F391" s="127"/>
      <c r="G391" s="128"/>
      <c r="H391" s="454">
        <f t="shared" si="172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7"/>
        <v>0</v>
      </c>
      <c r="N391" s="130">
        <f t="shared" si="181"/>
        <v>0</v>
      </c>
      <c r="O391" s="458"/>
      <c r="P391" s="458"/>
      <c r="Q391" s="458"/>
      <c r="R391" s="458"/>
      <c r="S391" s="458"/>
      <c r="T391" s="458"/>
      <c r="U391" s="458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30100020</v>
      </c>
      <c r="B392" s="453" t="s">
        <v>382</v>
      </c>
      <c r="C392" s="187" t="s">
        <v>384</v>
      </c>
      <c r="D392" s="108">
        <v>5.03</v>
      </c>
      <c r="E392" s="108"/>
      <c r="F392" s="127"/>
      <c r="G392" s="128"/>
      <c r="H392" s="454">
        <f t="shared" si="172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7"/>
        <v>0</v>
      </c>
      <c r="N392" s="130">
        <f t="shared" si="181"/>
        <v>0</v>
      </c>
      <c r="O392" s="458"/>
      <c r="P392" s="458"/>
      <c r="Q392" s="458"/>
      <c r="R392" s="458"/>
      <c r="S392" s="458"/>
      <c r="T392" s="458"/>
      <c r="U392" s="458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0">
        <v>30100021</v>
      </c>
      <c r="B393" s="453" t="s">
        <v>382</v>
      </c>
      <c r="C393" s="187" t="s">
        <v>389</v>
      </c>
      <c r="D393" s="108">
        <v>5.03</v>
      </c>
      <c r="E393" s="108"/>
      <c r="F393" s="127"/>
      <c r="G393" s="128"/>
      <c r="H393" s="454">
        <f t="shared" si="172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7"/>
        <v>0</v>
      </c>
      <c r="N393" s="130">
        <f t="shared" si="181"/>
        <v>0</v>
      </c>
      <c r="O393" s="458"/>
      <c r="P393" s="458"/>
      <c r="Q393" s="458"/>
      <c r="R393" s="458"/>
      <c r="S393" s="458"/>
      <c r="T393" s="458"/>
      <c r="U393" s="458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0">
        <v>30100018</v>
      </c>
      <c r="B394" s="453" t="s">
        <v>382</v>
      </c>
      <c r="C394" s="187" t="s">
        <v>391</v>
      </c>
      <c r="D394" s="108">
        <v>5.03</v>
      </c>
      <c r="E394" s="108"/>
      <c r="F394" s="127"/>
      <c r="G394" s="128"/>
      <c r="H394" s="454">
        <f t="shared" si="172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7"/>
        <v>0</v>
      </c>
      <c r="N394" s="130">
        <f t="shared" si="181"/>
        <v>0</v>
      </c>
      <c r="O394" s="458"/>
      <c r="P394" s="458"/>
      <c r="Q394" s="458"/>
      <c r="R394" s="458"/>
      <c r="S394" s="458"/>
      <c r="T394" s="458"/>
      <c r="U394" s="458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30700007</v>
      </c>
      <c r="B395" s="453" t="s">
        <v>418</v>
      </c>
      <c r="C395" s="187" t="s">
        <v>364</v>
      </c>
      <c r="D395" s="108">
        <v>5.03</v>
      </c>
      <c r="E395" s="108"/>
      <c r="F395" s="127"/>
      <c r="G395" s="128"/>
      <c r="H395" s="454">
        <f t="shared" si="172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7"/>
        <v>0</v>
      </c>
      <c r="N395" s="130"/>
      <c r="O395" s="458"/>
      <c r="P395" s="458"/>
      <c r="Q395" s="458"/>
      <c r="R395" s="458"/>
      <c r="S395" s="458"/>
      <c r="T395" s="458"/>
      <c r="U395" s="458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30700006</v>
      </c>
      <c r="B396" s="453" t="s">
        <v>418</v>
      </c>
      <c r="C396" s="187" t="s">
        <v>365</v>
      </c>
      <c r="D396" s="108">
        <v>5.03</v>
      </c>
      <c r="E396" s="108"/>
      <c r="F396" s="127"/>
      <c r="G396" s="128"/>
      <c r="H396" s="454">
        <f t="shared" si="172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7"/>
        <v>0</v>
      </c>
      <c r="N396" s="130"/>
      <c r="O396" s="458"/>
      <c r="P396" s="458"/>
      <c r="Q396" s="458"/>
      <c r="R396" s="458"/>
      <c r="S396" s="458"/>
      <c r="T396" s="458"/>
      <c r="U396" s="458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3">
        <v>30700008</v>
      </c>
      <c r="B397" s="453" t="s">
        <v>418</v>
      </c>
      <c r="C397" s="187" t="s">
        <v>366</v>
      </c>
      <c r="D397" s="108">
        <v>5.03</v>
      </c>
      <c r="E397" s="108"/>
      <c r="F397" s="127"/>
      <c r="G397" s="128"/>
      <c r="H397" s="454">
        <f t="shared" si="172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7"/>
        <v>0</v>
      </c>
      <c r="N397" s="130"/>
      <c r="O397" s="458"/>
      <c r="P397" s="458"/>
      <c r="Q397" s="458"/>
      <c r="R397" s="458"/>
      <c r="S397" s="458"/>
      <c r="T397" s="458"/>
      <c r="U397" s="458"/>
      <c r="V397" s="132"/>
      <c r="W397" s="133"/>
      <c r="X397" s="132"/>
      <c r="Y397" s="132"/>
      <c r="Z397" s="132"/>
      <c r="AA397" s="132"/>
    </row>
    <row r="398" spans="1:27" ht="20.100000000000001" hidden="1" customHeight="1">
      <c r="A398" s="303">
        <v>30700009</v>
      </c>
      <c r="B398" s="453" t="s">
        <v>418</v>
      </c>
      <c r="C398" s="187" t="s">
        <v>367</v>
      </c>
      <c r="D398" s="108">
        <v>5.03</v>
      </c>
      <c r="E398" s="108"/>
      <c r="F398" s="127"/>
      <c r="G398" s="128"/>
      <c r="H398" s="454">
        <f t="shared" si="172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7"/>
        <v>0</v>
      </c>
      <c r="N398" s="130"/>
      <c r="O398" s="458"/>
      <c r="P398" s="458"/>
      <c r="Q398" s="458"/>
      <c r="R398" s="458"/>
      <c r="S398" s="458"/>
      <c r="T398" s="458"/>
      <c r="U398" s="458"/>
      <c r="V398" s="132"/>
      <c r="W398" s="133"/>
      <c r="X398" s="132"/>
      <c r="Y398" s="132"/>
      <c r="Z398" s="132"/>
      <c r="AA398" s="132"/>
    </row>
    <row r="399" spans="1:27" ht="20.100000000000001" hidden="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28"/>
      <c r="H399" s="454">
        <f t="shared" si="172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7"/>
        <v>0</v>
      </c>
      <c r="N399" s="130">
        <f t="shared" ref="N399:N408" si="184">SUM(O399:U399)</f>
        <v>0</v>
      </c>
      <c r="O399" s="462"/>
      <c r="P399" s="462"/>
      <c r="Q399" s="462"/>
      <c r="R399" s="462"/>
      <c r="S399" s="462"/>
      <c r="T399" s="462"/>
      <c r="U399" s="462"/>
      <c r="V399" s="132">
        <f t="shared" ref="V399:V408" si="185">SUM(X399:AA399)</f>
        <v>0</v>
      </c>
      <c r="W399" s="133" t="str">
        <f t="shared" ref="W399:W408" si="186">IF(ISERROR(V399/G399),"",V399/G399)</f>
        <v/>
      </c>
      <c r="X399" s="132"/>
      <c r="Y399" s="132"/>
      <c r="Z399" s="132"/>
      <c r="AA399" s="132"/>
    </row>
    <row r="400" spans="1:27" ht="20.100000000000001" hidden="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28"/>
      <c r="H400" s="454">
        <f t="shared" si="172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77"/>
        <v>0</v>
      </c>
      <c r="N400" s="130">
        <f t="shared" si="184"/>
        <v>0</v>
      </c>
      <c r="O400" s="462"/>
      <c r="P400" s="462"/>
      <c r="Q400" s="462"/>
      <c r="R400" s="462"/>
      <c r="S400" s="462"/>
      <c r="T400" s="462"/>
      <c r="U400" s="462"/>
      <c r="V400" s="132">
        <f t="shared" si="185"/>
        <v>0</v>
      </c>
      <c r="W400" s="133" t="str">
        <f t="shared" si="186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28"/>
      <c r="H401" s="454">
        <f t="shared" si="172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77"/>
        <v>0</v>
      </c>
      <c r="N401" s="130">
        <f t="shared" si="184"/>
        <v>0</v>
      </c>
      <c r="O401" s="462"/>
      <c r="P401" s="462"/>
      <c r="Q401" s="462"/>
      <c r="R401" s="462"/>
      <c r="S401" s="462"/>
      <c r="T401" s="462"/>
      <c r="U401" s="462"/>
      <c r="V401" s="132">
        <f t="shared" si="185"/>
        <v>0</v>
      </c>
      <c r="W401" s="133" t="str">
        <f t="shared" si="186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28"/>
      <c r="H402" s="454">
        <f t="shared" si="172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7"/>
        <v>0</v>
      </c>
      <c r="N402" s="130">
        <f t="shared" si="184"/>
        <v>0</v>
      </c>
      <c r="O402" s="462"/>
      <c r="P402" s="462"/>
      <c r="Q402" s="462"/>
      <c r="R402" s="462"/>
      <c r="S402" s="462"/>
      <c r="T402" s="462"/>
      <c r="U402" s="462"/>
      <c r="V402" s="132">
        <f t="shared" si="185"/>
        <v>0</v>
      </c>
      <c r="W402" s="133" t="str">
        <f t="shared" si="186"/>
        <v/>
      </c>
      <c r="X402" s="132"/>
      <c r="Y402" s="132"/>
      <c r="Z402" s="132"/>
      <c r="AA402" s="132"/>
    </row>
    <row r="403" spans="1:27" ht="20.100000000000001" hidden="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28"/>
      <c r="H403" s="454">
        <f t="shared" si="172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7"/>
        <v>0</v>
      </c>
      <c r="N403" s="130">
        <f t="shared" si="184"/>
        <v>0</v>
      </c>
      <c r="O403" s="462"/>
      <c r="P403" s="462"/>
      <c r="Q403" s="462"/>
      <c r="R403" s="462"/>
      <c r="S403" s="462"/>
      <c r="T403" s="462"/>
      <c r="U403" s="462"/>
      <c r="V403" s="132">
        <f t="shared" si="185"/>
        <v>0</v>
      </c>
      <c r="W403" s="133" t="str">
        <f t="shared" si="186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28"/>
      <c r="H404" s="454">
        <f t="shared" si="172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7"/>
        <v>0</v>
      </c>
      <c r="N404" s="130">
        <f t="shared" si="184"/>
        <v>0</v>
      </c>
      <c r="O404" s="462"/>
      <c r="P404" s="462"/>
      <c r="Q404" s="462"/>
      <c r="R404" s="462"/>
      <c r="S404" s="462"/>
      <c r="T404" s="462"/>
      <c r="U404" s="462"/>
      <c r="V404" s="132">
        <f t="shared" si="185"/>
        <v>0</v>
      </c>
      <c r="W404" s="133" t="str">
        <f t="shared" si="186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28"/>
      <c r="H405" s="454">
        <f t="shared" si="172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7"/>
        <v>0</v>
      </c>
      <c r="N405" s="130">
        <f t="shared" si="184"/>
        <v>0</v>
      </c>
      <c r="O405" s="462"/>
      <c r="P405" s="462"/>
      <c r="Q405" s="462"/>
      <c r="R405" s="462"/>
      <c r="S405" s="462"/>
      <c r="T405" s="462"/>
      <c r="U405" s="462"/>
      <c r="V405" s="132">
        <f t="shared" si="185"/>
        <v>0</v>
      </c>
      <c r="W405" s="133" t="str">
        <f t="shared" si="186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28"/>
      <c r="H406" s="454">
        <f t="shared" si="172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7"/>
        <v>0</v>
      </c>
      <c r="N406" s="130">
        <f t="shared" si="184"/>
        <v>0</v>
      </c>
      <c r="O406" s="462"/>
      <c r="P406" s="462"/>
      <c r="Q406" s="462"/>
      <c r="R406" s="462"/>
      <c r="S406" s="462"/>
      <c r="T406" s="462"/>
      <c r="U406" s="462"/>
      <c r="V406" s="132">
        <f t="shared" si="185"/>
        <v>0</v>
      </c>
      <c r="W406" s="133" t="str">
        <f t="shared" si="186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28"/>
      <c r="H407" s="454">
        <f t="shared" si="172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77"/>
        <v>0</v>
      </c>
      <c r="N407" s="130">
        <f t="shared" si="184"/>
        <v>0</v>
      </c>
      <c r="O407" s="462"/>
      <c r="P407" s="462"/>
      <c r="Q407" s="462"/>
      <c r="R407" s="462"/>
      <c r="S407" s="462"/>
      <c r="T407" s="462"/>
      <c r="U407" s="462"/>
      <c r="V407" s="132">
        <f t="shared" si="185"/>
        <v>0</v>
      </c>
      <c r="W407" s="133" t="str">
        <f t="shared" si="186"/>
        <v/>
      </c>
      <c r="X407" s="132"/>
      <c r="Y407" s="132"/>
      <c r="Z407" s="132"/>
      <c r="AA407" s="132"/>
    </row>
    <row r="408" spans="1:27" ht="20.100000000000001" hidden="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28"/>
      <c r="H408" s="454">
        <f t="shared" si="172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77"/>
        <v>0</v>
      </c>
      <c r="N408" s="130">
        <f t="shared" si="184"/>
        <v>0</v>
      </c>
      <c r="O408" s="462"/>
      <c r="P408" s="462"/>
      <c r="Q408" s="462"/>
      <c r="R408" s="462"/>
      <c r="S408" s="462"/>
      <c r="T408" s="462"/>
      <c r="U408" s="462"/>
      <c r="V408" s="132">
        <f t="shared" si="185"/>
        <v>0</v>
      </c>
      <c r="W408" s="133" t="str">
        <f t="shared" si="186"/>
        <v/>
      </c>
      <c r="X408" s="132"/>
      <c r="Y408" s="132"/>
      <c r="Z408" s="132"/>
      <c r="AA408" s="132"/>
    </row>
    <row r="409" spans="1:27" ht="20.100000000000001" hidden="1" customHeight="1">
      <c r="A409" s="300">
        <v>30100043</v>
      </c>
      <c r="B409" s="134" t="s">
        <v>429</v>
      </c>
      <c r="C409" s="187" t="s">
        <v>428</v>
      </c>
      <c r="D409" s="108">
        <v>50.3</v>
      </c>
      <c r="E409" s="108"/>
      <c r="F409" s="127"/>
      <c r="G409" s="128"/>
      <c r="H409" s="454">
        <f t="shared" si="172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462"/>
      <c r="P409" s="462"/>
      <c r="Q409" s="462"/>
      <c r="R409" s="462"/>
      <c r="S409" s="462"/>
      <c r="T409" s="462"/>
      <c r="U409" s="462"/>
      <c r="V409" s="132"/>
      <c r="W409" s="133"/>
      <c r="X409" s="132"/>
      <c r="Y409" s="132"/>
      <c r="Z409" s="132"/>
      <c r="AA409" s="132"/>
    </row>
    <row r="410" spans="1:27" ht="20.100000000000001" hidden="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28"/>
      <c r="H410" s="454">
        <f t="shared" si="172"/>
        <v>0</v>
      </c>
      <c r="I410" s="129"/>
      <c r="J410" s="130"/>
      <c r="K410" s="131"/>
      <c r="L410" s="129">
        <v>50</v>
      </c>
      <c r="M410" s="109"/>
      <c r="N410" s="130"/>
      <c r="O410" s="462"/>
      <c r="P410" s="462"/>
      <c r="Q410" s="462"/>
      <c r="R410" s="462"/>
      <c r="S410" s="462"/>
      <c r="T410" s="462"/>
      <c r="U410" s="462"/>
      <c r="V410" s="132"/>
      <c r="W410" s="133"/>
      <c r="X410" s="132"/>
      <c r="Y410" s="132"/>
      <c r="Z410" s="132"/>
      <c r="AA410" s="132"/>
    </row>
    <row r="411" spans="1:27" ht="20.100000000000001" hidden="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28"/>
      <c r="H411" s="454">
        <f t="shared" si="172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7">IF(ISERROR(I411-K411),"",I411-K411)</f>
        <v>0</v>
      </c>
      <c r="N411" s="130">
        <f t="shared" ref="N411:N412" si="188">SUM(O411:U411)</f>
        <v>0</v>
      </c>
      <c r="O411" s="462"/>
      <c r="P411" s="462"/>
      <c r="Q411" s="462"/>
      <c r="R411" s="462"/>
      <c r="S411" s="462"/>
      <c r="T411" s="462"/>
      <c r="U411" s="462"/>
      <c r="V411" s="132">
        <f t="shared" ref="V411:V412" si="189">SUM(X411:AA411)</f>
        <v>0</v>
      </c>
      <c r="W411" s="133" t="str">
        <f t="shared" ref="W411:W412" si="190">IF(ISERROR(V411/G411),"",V411/G411)</f>
        <v/>
      </c>
      <c r="X411" s="132"/>
      <c r="Y411" s="132"/>
      <c r="Z411" s="132"/>
      <c r="AA411" s="132"/>
    </row>
    <row r="412" spans="1:27" ht="20.100000000000001" hidden="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28"/>
      <c r="H412" s="454">
        <f t="shared" si="172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7"/>
        <v>0</v>
      </c>
      <c r="N412" s="130">
        <f t="shared" si="188"/>
        <v>0</v>
      </c>
      <c r="O412" s="462"/>
      <c r="P412" s="462"/>
      <c r="Q412" s="462"/>
      <c r="R412" s="462"/>
      <c r="S412" s="462"/>
      <c r="T412" s="462"/>
      <c r="U412" s="462"/>
      <c r="V412" s="132">
        <f t="shared" si="189"/>
        <v>0</v>
      </c>
      <c r="W412" s="133" t="str">
        <f t="shared" si="190"/>
        <v/>
      </c>
      <c r="X412" s="132"/>
      <c r="Y412" s="132"/>
      <c r="Z412" s="132"/>
      <c r="AA412" s="132"/>
    </row>
    <row r="413" spans="1:27" ht="20.100000000000001" hidden="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28"/>
      <c r="H413" s="454">
        <f t="shared" si="172"/>
        <v>0</v>
      </c>
      <c r="I413" s="129"/>
      <c r="J413" s="130"/>
      <c r="K413" s="131"/>
      <c r="L413" s="129"/>
      <c r="M413" s="109"/>
      <c r="N413" s="130"/>
      <c r="O413" s="462"/>
      <c r="P413" s="462"/>
      <c r="Q413" s="462"/>
      <c r="R413" s="462"/>
      <c r="S413" s="462"/>
      <c r="T413" s="462"/>
      <c r="U413" s="462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28"/>
      <c r="H414" s="454">
        <f t="shared" si="172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91">IF(ISERROR(I414-K414),"",I414-K414)</f>
        <v/>
      </c>
      <c r="N414" s="130">
        <f t="shared" ref="N414:N417" si="192">SUM(O414:U414)</f>
        <v>0</v>
      </c>
      <c r="O414" s="462"/>
      <c r="P414" s="462"/>
      <c r="Q414" s="462"/>
      <c r="R414" s="462"/>
      <c r="S414" s="462"/>
      <c r="T414" s="462"/>
      <c r="U414" s="462"/>
      <c r="V414" s="132">
        <f t="shared" ref="V414:V417" si="193">SUM(X414:AA414)</f>
        <v>0</v>
      </c>
      <c r="W414" s="133" t="str">
        <f t="shared" ref="W414:W417" si="194">IF(ISERROR(V414/G414),"",V414/G414)</f>
        <v/>
      </c>
      <c r="X414" s="132"/>
      <c r="Y414" s="132"/>
      <c r="Z414" s="132"/>
      <c r="AA414" s="132"/>
    </row>
    <row r="415" spans="1:27" ht="20.100000000000001" hidden="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28"/>
      <c r="H415" s="454">
        <f t="shared" si="172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1"/>
        <v/>
      </c>
      <c r="N415" s="130">
        <f t="shared" si="192"/>
        <v>0</v>
      </c>
      <c r="O415" s="462"/>
      <c r="P415" s="462"/>
      <c r="Q415" s="462"/>
      <c r="R415" s="462"/>
      <c r="S415" s="462"/>
      <c r="T415" s="462"/>
      <c r="U415" s="462"/>
      <c r="V415" s="132">
        <f t="shared" si="193"/>
        <v>0</v>
      </c>
      <c r="W415" s="133" t="str">
        <f t="shared" si="194"/>
        <v/>
      </c>
      <c r="X415" s="132"/>
      <c r="Y415" s="132"/>
      <c r="Z415" s="132"/>
      <c r="AA415" s="132"/>
    </row>
    <row r="416" spans="1:27" ht="20.100000000000001" hidden="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28"/>
      <c r="H416" s="454">
        <f t="shared" si="172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91"/>
        <v/>
      </c>
      <c r="N416" s="130">
        <f t="shared" si="192"/>
        <v>0</v>
      </c>
      <c r="O416" s="462"/>
      <c r="P416" s="462"/>
      <c r="Q416" s="462"/>
      <c r="R416" s="462"/>
      <c r="S416" s="462"/>
      <c r="T416" s="462"/>
      <c r="U416" s="462"/>
      <c r="V416" s="132">
        <f t="shared" si="193"/>
        <v>0</v>
      </c>
      <c r="W416" s="133" t="str">
        <f t="shared" si="194"/>
        <v/>
      </c>
      <c r="X416" s="132"/>
      <c r="Y416" s="132"/>
      <c r="Z416" s="132"/>
      <c r="AA416" s="132"/>
    </row>
    <row r="417" spans="1:27" ht="20.100000000000001" hidden="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28"/>
      <c r="H417" s="454">
        <f t="shared" si="172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91"/>
        <v/>
      </c>
      <c r="N417" s="130">
        <f t="shared" si="192"/>
        <v>0</v>
      </c>
      <c r="O417" s="462"/>
      <c r="P417" s="462"/>
      <c r="Q417" s="462"/>
      <c r="R417" s="462"/>
      <c r="S417" s="462"/>
      <c r="T417" s="462"/>
      <c r="U417" s="462"/>
      <c r="V417" s="132">
        <f t="shared" si="193"/>
        <v>0</v>
      </c>
      <c r="W417" s="133" t="str">
        <f t="shared" si="194"/>
        <v/>
      </c>
      <c r="X417" s="132"/>
      <c r="Y417" s="132"/>
      <c r="Z417" s="132"/>
      <c r="AA417" s="132"/>
    </row>
    <row r="418" spans="1:27" ht="20.100000000000001" hidden="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28"/>
      <c r="H418" s="454">
        <f t="shared" si="172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1"/>
        <v>0</v>
      </c>
      <c r="N418" s="130"/>
      <c r="O418" s="462"/>
      <c r="P418" s="462"/>
      <c r="Q418" s="462"/>
      <c r="R418" s="462"/>
      <c r="S418" s="462"/>
      <c r="T418" s="462"/>
      <c r="U418" s="462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28"/>
      <c r="H419" s="454">
        <f t="shared" si="172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1"/>
        <v>0</v>
      </c>
      <c r="N419" s="130"/>
      <c r="O419" s="462"/>
      <c r="P419" s="462"/>
      <c r="Q419" s="462"/>
      <c r="R419" s="462"/>
      <c r="S419" s="462"/>
      <c r="T419" s="462"/>
      <c r="U419" s="462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28"/>
      <c r="H420" s="454">
        <f t="shared" si="172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91"/>
        <v>0</v>
      </c>
      <c r="N420" s="130"/>
      <c r="O420" s="462"/>
      <c r="P420" s="462"/>
      <c r="Q420" s="462"/>
      <c r="R420" s="462"/>
      <c r="S420" s="462"/>
      <c r="T420" s="462"/>
      <c r="U420" s="462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28"/>
      <c r="H421" s="454">
        <f t="shared" si="172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91"/>
        <v>0</v>
      </c>
      <c r="N421" s="130"/>
      <c r="O421" s="462"/>
      <c r="P421" s="462"/>
      <c r="Q421" s="462"/>
      <c r="R421" s="462"/>
      <c r="S421" s="462"/>
      <c r="T421" s="462"/>
      <c r="U421" s="462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28"/>
      <c r="H422" s="454">
        <f t="shared" si="172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1"/>
        <v>0</v>
      </c>
      <c r="N422" s="130"/>
      <c r="O422" s="462"/>
      <c r="P422" s="462"/>
      <c r="Q422" s="462"/>
      <c r="R422" s="462"/>
      <c r="S422" s="462"/>
      <c r="T422" s="462"/>
      <c r="U422" s="462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28"/>
      <c r="H423" s="454">
        <f t="shared" si="172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1"/>
        <v>0</v>
      </c>
      <c r="N423" s="130"/>
      <c r="O423" s="462"/>
      <c r="P423" s="462"/>
      <c r="Q423" s="462"/>
      <c r="R423" s="462"/>
      <c r="S423" s="462"/>
      <c r="T423" s="462"/>
      <c r="U423" s="462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28"/>
      <c r="H424" s="454">
        <f t="shared" si="172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1"/>
        <v>0</v>
      </c>
      <c r="N424" s="130"/>
      <c r="O424" s="462"/>
      <c r="P424" s="462"/>
      <c r="Q424" s="462"/>
      <c r="R424" s="462"/>
      <c r="S424" s="462"/>
      <c r="T424" s="462"/>
      <c r="U424" s="462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28"/>
      <c r="H425" s="454">
        <f t="shared" si="172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1"/>
        <v>0</v>
      </c>
      <c r="N425" s="130"/>
      <c r="O425" s="462"/>
      <c r="P425" s="462"/>
      <c r="Q425" s="462"/>
      <c r="R425" s="462"/>
      <c r="S425" s="462"/>
      <c r="T425" s="462"/>
      <c r="U425" s="462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28"/>
      <c r="H426" s="454">
        <f t="shared" si="172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91"/>
        <v>0</v>
      </c>
      <c r="N426" s="130"/>
      <c r="O426" s="462"/>
      <c r="P426" s="462"/>
      <c r="Q426" s="462"/>
      <c r="R426" s="462"/>
      <c r="S426" s="462"/>
      <c r="T426" s="462"/>
      <c r="U426" s="462"/>
      <c r="V426" s="132"/>
      <c r="W426" s="133"/>
      <c r="X426" s="132"/>
      <c r="Y426" s="132"/>
      <c r="Z426" s="132"/>
      <c r="AA426" s="132"/>
    </row>
    <row r="427" spans="1:27" ht="20.100000000000001" hidden="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28"/>
      <c r="H427" s="454">
        <f t="shared" si="172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91"/>
        <v>0</v>
      </c>
      <c r="N427" s="130"/>
      <c r="O427" s="462"/>
      <c r="P427" s="462"/>
      <c r="Q427" s="462"/>
      <c r="R427" s="462"/>
      <c r="S427" s="462"/>
      <c r="T427" s="462"/>
      <c r="U427" s="462"/>
      <c r="V427" s="132"/>
      <c r="W427" s="133"/>
      <c r="X427" s="132"/>
      <c r="Y427" s="132"/>
      <c r="Z427" s="132"/>
      <c r="AA427" s="132"/>
    </row>
    <row r="428" spans="1:27" ht="20.100000000000001" hidden="1" customHeight="1">
      <c r="A428" s="589" t="s">
        <v>216</v>
      </c>
      <c r="B428" s="589"/>
      <c r="C428" s="463" t="s">
        <v>202</v>
      </c>
      <c r="D428" s="143"/>
      <c r="E428" s="143"/>
      <c r="F428" s="144"/>
      <c r="G428" s="145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5">SUM(M371:M427)</f>
        <v>0</v>
      </c>
      <c r="N428" s="146">
        <f t="shared" si="195"/>
        <v>0</v>
      </c>
      <c r="O428" s="148">
        <f t="shared" si="195"/>
        <v>0</v>
      </c>
      <c r="P428" s="148">
        <f t="shared" si="195"/>
        <v>0</v>
      </c>
      <c r="Q428" s="148">
        <f t="shared" si="195"/>
        <v>0</v>
      </c>
      <c r="R428" s="148">
        <f t="shared" si="195"/>
        <v>0</v>
      </c>
      <c r="S428" s="148">
        <f t="shared" si="195"/>
        <v>0</v>
      </c>
      <c r="T428" s="148">
        <f t="shared" si="195"/>
        <v>0</v>
      </c>
      <c r="U428" s="148">
        <f t="shared" si="195"/>
        <v>0</v>
      </c>
      <c r="V428" s="149">
        <f t="shared" si="195"/>
        <v>0</v>
      </c>
      <c r="W428" s="133" t="str">
        <f t="shared" ref="W428:W435" si="196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hidden="1" customHeight="1">
      <c r="A429" s="299">
        <v>30400012</v>
      </c>
      <c r="B429" s="453" t="s">
        <v>217</v>
      </c>
      <c r="C429" s="126" t="s">
        <v>179</v>
      </c>
      <c r="D429" s="108">
        <v>5.03</v>
      </c>
      <c r="E429" s="108"/>
      <c r="F429" s="127"/>
      <c r="G429" s="128"/>
      <c r="H429" s="454">
        <f t="shared" ref="H429:H462" si="197">D429*G429</f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ref="M429:M436" si="198">IF(ISERROR(I429-K429),"",I429-K429)</f>
        <v>0</v>
      </c>
      <c r="N429" s="130">
        <f t="shared" ref="N429:N436" si="199">SUM(O429:U429)</f>
        <v>0</v>
      </c>
      <c r="O429" s="462"/>
      <c r="P429" s="462"/>
      <c r="Q429" s="462"/>
      <c r="R429" s="462"/>
      <c r="S429" s="462"/>
      <c r="T429" s="462"/>
      <c r="U429" s="462"/>
      <c r="V429" s="132">
        <f t="shared" ref="V429:V435" si="200">SUM(X429:AA429)</f>
        <v>0</v>
      </c>
      <c r="W429" s="133" t="str">
        <f t="shared" si="196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30400010</v>
      </c>
      <c r="B430" s="453" t="s">
        <v>217</v>
      </c>
      <c r="C430" s="126" t="s">
        <v>186</v>
      </c>
      <c r="D430" s="108">
        <v>5.03</v>
      </c>
      <c r="E430" s="108"/>
      <c r="F430" s="127"/>
      <c r="G430" s="128"/>
      <c r="H430" s="454">
        <f t="shared" si="197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8.8000000000000007</v>
      </c>
      <c r="M430" s="109">
        <f t="shared" si="198"/>
        <v>0</v>
      </c>
      <c r="N430" s="130">
        <f t="shared" si="199"/>
        <v>0</v>
      </c>
      <c r="O430" s="462"/>
      <c r="P430" s="462"/>
      <c r="Q430" s="462"/>
      <c r="R430" s="462"/>
      <c r="S430" s="462"/>
      <c r="T430" s="462"/>
      <c r="U430" s="462"/>
      <c r="V430" s="132">
        <f t="shared" si="200"/>
        <v>0</v>
      </c>
      <c r="W430" s="133" t="str">
        <f t="shared" si="196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30400011</v>
      </c>
      <c r="B431" s="453" t="s">
        <v>217</v>
      </c>
      <c r="C431" s="126" t="s">
        <v>204</v>
      </c>
      <c r="D431" s="108">
        <v>5.03</v>
      </c>
      <c r="E431" s="108"/>
      <c r="F431" s="127"/>
      <c r="G431" s="128"/>
      <c r="H431" s="454">
        <f t="shared" si="197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8.8000000000000007</v>
      </c>
      <c r="M431" s="109">
        <f t="shared" si="198"/>
        <v>0</v>
      </c>
      <c r="N431" s="130">
        <f t="shared" si="199"/>
        <v>0</v>
      </c>
      <c r="O431" s="462"/>
      <c r="P431" s="462"/>
      <c r="Q431" s="462"/>
      <c r="R431" s="462"/>
      <c r="S431" s="462"/>
      <c r="T431" s="462"/>
      <c r="U431" s="462"/>
      <c r="V431" s="132">
        <f t="shared" si="200"/>
        <v>0</v>
      </c>
      <c r="W431" s="133" t="str">
        <f t="shared" si="196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28"/>
      <c r="H432" s="454">
        <f t="shared" si="197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8"/>
        <v>0</v>
      </c>
      <c r="N432" s="130">
        <f t="shared" si="199"/>
        <v>0</v>
      </c>
      <c r="O432" s="462"/>
      <c r="P432" s="462"/>
      <c r="Q432" s="462"/>
      <c r="R432" s="462"/>
      <c r="S432" s="462"/>
      <c r="T432" s="462"/>
      <c r="U432" s="462"/>
      <c r="V432" s="132">
        <f t="shared" si="200"/>
        <v>0</v>
      </c>
      <c r="W432" s="133" t="str">
        <f t="shared" si="196"/>
        <v/>
      </c>
      <c r="X432" s="132"/>
      <c r="Y432" s="132"/>
      <c r="Z432" s="132"/>
      <c r="AA432" s="132"/>
    </row>
    <row r="433" spans="1:27" ht="20.10000000000000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>
        <v>42741</v>
      </c>
      <c r="G433" s="128">
        <f>24+17</f>
        <v>41</v>
      </c>
      <c r="H433" s="454">
        <f t="shared" si="197"/>
        <v>206.23000000000002</v>
      </c>
      <c r="I433" s="129">
        <f>0.5+1.5</f>
        <v>2</v>
      </c>
      <c r="J433" s="130">
        <f t="array" ref="J433">IF(ISERROR(G433/I433),"",G433/I433)</f>
        <v>20.5</v>
      </c>
      <c r="K433" s="131">
        <f t="array" ref="K433">IF(ISERROR(G433/L433),"",G433/L433)</f>
        <v>4.408602150537634</v>
      </c>
      <c r="L433" s="129">
        <v>9.3000000000000007</v>
      </c>
      <c r="M433" s="109">
        <f t="shared" si="198"/>
        <v>-2.408602150537634</v>
      </c>
      <c r="N433" s="130">
        <f t="shared" si="199"/>
        <v>0</v>
      </c>
      <c r="O433" s="462"/>
      <c r="P433" s="462"/>
      <c r="Q433" s="462"/>
      <c r="R433" s="462"/>
      <c r="S433" s="462"/>
      <c r="T433" s="462"/>
      <c r="U433" s="462"/>
      <c r="V433" s="132">
        <f t="shared" si="200"/>
        <v>0</v>
      </c>
      <c r="W433" s="133">
        <f t="shared" si="196"/>
        <v>0</v>
      </c>
      <c r="X433" s="132"/>
      <c r="Y433" s="132"/>
      <c r="Z433" s="132"/>
      <c r="AA433" s="132"/>
    </row>
    <row r="434" spans="1:27" ht="20.100000000000001" hidden="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/>
      <c r="G434" s="128"/>
      <c r="H434" s="454">
        <f t="shared" si="197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9.3000000000000007</v>
      </c>
      <c r="M434" s="109">
        <f t="shared" si="198"/>
        <v>0</v>
      </c>
      <c r="N434" s="130">
        <f t="shared" si="199"/>
        <v>0</v>
      </c>
      <c r="O434" s="462"/>
      <c r="P434" s="462"/>
      <c r="Q434" s="462"/>
      <c r="R434" s="462"/>
      <c r="S434" s="462"/>
      <c r="T434" s="462"/>
      <c r="U434" s="462"/>
      <c r="V434" s="132">
        <f t="shared" si="200"/>
        <v>0</v>
      </c>
      <c r="W434" s="133" t="str">
        <f t="shared" si="196"/>
        <v/>
      </c>
      <c r="X434" s="132"/>
      <c r="Y434" s="132"/>
      <c r="Z434" s="132"/>
      <c r="AA434" s="132"/>
    </row>
    <row r="435" spans="1:27" ht="20.100000000000001" hidden="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/>
      <c r="G435" s="128"/>
      <c r="H435" s="454">
        <f t="shared" si="197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9.3000000000000007</v>
      </c>
      <c r="M435" s="109">
        <f t="shared" si="198"/>
        <v>0</v>
      </c>
      <c r="N435" s="130">
        <f t="shared" si="199"/>
        <v>0</v>
      </c>
      <c r="O435" s="462"/>
      <c r="P435" s="462"/>
      <c r="Q435" s="462"/>
      <c r="R435" s="462"/>
      <c r="S435" s="462"/>
      <c r="T435" s="462"/>
      <c r="U435" s="462"/>
      <c r="V435" s="132">
        <f t="shared" si="200"/>
        <v>0</v>
      </c>
      <c r="W435" s="133" t="str">
        <f t="shared" si="196"/>
        <v/>
      </c>
      <c r="X435" s="132"/>
      <c r="Y435" s="132"/>
      <c r="Z435" s="132"/>
      <c r="AA435" s="132"/>
    </row>
    <row r="436" spans="1:27" ht="20.100000000000001" hidden="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/>
      <c r="G436" s="128"/>
      <c r="H436" s="454">
        <f t="shared" si="197"/>
        <v>0</v>
      </c>
      <c r="I436" s="129"/>
      <c r="J436" s="130"/>
      <c r="K436" s="131">
        <f t="array" ref="K436">IF(ISERROR(G436/L436),"",G436/L436)</f>
        <v>0</v>
      </c>
      <c r="L436" s="129">
        <v>9.3000000000000007</v>
      </c>
      <c r="M436" s="109">
        <f t="shared" si="198"/>
        <v>0</v>
      </c>
      <c r="N436" s="130">
        <f t="shared" si="199"/>
        <v>0</v>
      </c>
      <c r="O436" s="462"/>
      <c r="P436" s="462"/>
      <c r="Q436" s="462"/>
      <c r="R436" s="462"/>
      <c r="S436" s="462"/>
      <c r="T436" s="462"/>
      <c r="U436" s="462"/>
      <c r="V436" s="132"/>
      <c r="W436" s="133"/>
      <c r="X436" s="132"/>
      <c r="Y436" s="132"/>
      <c r="Z436" s="132"/>
      <c r="AA436" s="132"/>
    </row>
    <row r="437" spans="1:27" ht="20.100000000000001" hidden="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28"/>
      <c r="H437" s="454">
        <f t="shared" si="197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462"/>
      <c r="P437" s="462"/>
      <c r="Q437" s="462"/>
      <c r="R437" s="462"/>
      <c r="S437" s="462"/>
      <c r="T437" s="462"/>
      <c r="U437" s="462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28"/>
      <c r="H438" s="454">
        <f t="shared" si="197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462"/>
      <c r="P438" s="462"/>
      <c r="Q438" s="462"/>
      <c r="R438" s="462"/>
      <c r="S438" s="462"/>
      <c r="T438" s="462"/>
      <c r="U438" s="462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28"/>
      <c r="H439" s="454">
        <f t="shared" si="197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462"/>
      <c r="P439" s="462"/>
      <c r="Q439" s="462"/>
      <c r="R439" s="462"/>
      <c r="S439" s="462"/>
      <c r="T439" s="462"/>
      <c r="U439" s="462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28"/>
      <c r="H440" s="454">
        <f t="shared" si="197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462"/>
      <c r="P440" s="462"/>
      <c r="Q440" s="462"/>
      <c r="R440" s="462"/>
      <c r="S440" s="462"/>
      <c r="T440" s="462"/>
      <c r="U440" s="462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hidden="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28"/>
      <c r="H441" s="454">
        <f t="shared" si="197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2" si="201">IF(ISERROR(I441-K441),"",I441-K441)</f>
        <v>0</v>
      </c>
      <c r="N441" s="130">
        <f t="shared" ref="N441:N456" si="202">SUM(O441:U441)</f>
        <v>0</v>
      </c>
      <c r="O441" s="462"/>
      <c r="P441" s="462"/>
      <c r="Q441" s="462"/>
      <c r="R441" s="462"/>
      <c r="S441" s="462"/>
      <c r="T441" s="462"/>
      <c r="U441" s="462"/>
      <c r="V441" s="132">
        <f t="shared" ref="V441:V444" si="203">SUM(X441:AA441)</f>
        <v>0</v>
      </c>
      <c r="W441" s="133" t="str">
        <f t="shared" ref="W441:W448" si="204">IF(ISERROR(V441/G441),"",V441/G441)</f>
        <v/>
      </c>
      <c r="X441" s="132"/>
      <c r="Y441" s="132"/>
      <c r="Z441" s="132"/>
      <c r="AA441" s="132"/>
    </row>
    <row r="442" spans="1:27" ht="20.100000000000001" hidden="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28"/>
      <c r="H442" s="454">
        <f t="shared" si="197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1"/>
        <v/>
      </c>
      <c r="N442" s="130">
        <f t="shared" si="202"/>
        <v>0</v>
      </c>
      <c r="O442" s="462"/>
      <c r="P442" s="462"/>
      <c r="Q442" s="462"/>
      <c r="R442" s="462"/>
      <c r="S442" s="462"/>
      <c r="T442" s="462"/>
      <c r="U442" s="462"/>
      <c r="V442" s="132">
        <f t="shared" si="203"/>
        <v>0</v>
      </c>
      <c r="W442" s="133" t="str">
        <f t="shared" si="204"/>
        <v/>
      </c>
      <c r="X442" s="132"/>
      <c r="Y442" s="132"/>
      <c r="Z442" s="132"/>
      <c r="AA442" s="132"/>
    </row>
    <row r="443" spans="1:27" ht="20.100000000000001" hidden="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28"/>
      <c r="H443" s="454">
        <f t="shared" si="197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201"/>
        <v/>
      </c>
      <c r="N443" s="130">
        <f t="shared" si="202"/>
        <v>0</v>
      </c>
      <c r="O443" s="462"/>
      <c r="P443" s="462"/>
      <c r="Q443" s="462"/>
      <c r="R443" s="462"/>
      <c r="S443" s="462"/>
      <c r="T443" s="462"/>
      <c r="U443" s="462"/>
      <c r="V443" s="132">
        <f t="shared" si="203"/>
        <v>0</v>
      </c>
      <c r="W443" s="133" t="str">
        <f t="shared" si="204"/>
        <v/>
      </c>
      <c r="X443" s="132"/>
      <c r="Y443" s="132"/>
      <c r="Z443" s="132"/>
      <c r="AA443" s="132"/>
    </row>
    <row r="444" spans="1:27" ht="20.100000000000001" hidden="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28"/>
      <c r="H444" s="454">
        <f t="shared" si="197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201"/>
        <v/>
      </c>
      <c r="N444" s="130">
        <f t="shared" si="202"/>
        <v>0</v>
      </c>
      <c r="O444" s="462"/>
      <c r="P444" s="462"/>
      <c r="Q444" s="462"/>
      <c r="R444" s="462"/>
      <c r="S444" s="462"/>
      <c r="T444" s="462"/>
      <c r="U444" s="462"/>
      <c r="V444" s="132">
        <f t="shared" si="203"/>
        <v>0</v>
      </c>
      <c r="W444" s="133" t="str">
        <f t="shared" si="204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30600005</v>
      </c>
      <c r="B445" s="453" t="s">
        <v>222</v>
      </c>
      <c r="C445" s="126" t="s">
        <v>181</v>
      </c>
      <c r="D445" s="108">
        <v>9.36</v>
      </c>
      <c r="E445" s="108"/>
      <c r="F445" s="127"/>
      <c r="G445" s="128"/>
      <c r="H445" s="454">
        <f t="shared" si="197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1"/>
        <v>0</v>
      </c>
      <c r="N445" s="130">
        <f t="shared" si="202"/>
        <v>0</v>
      </c>
      <c r="O445" s="462"/>
      <c r="P445" s="462"/>
      <c r="Q445" s="462"/>
      <c r="R445" s="462"/>
      <c r="S445" s="462"/>
      <c r="T445" s="462"/>
      <c r="U445" s="462"/>
      <c r="V445" s="132">
        <f t="shared" ref="V445:V448" si="205">SUM(X445:AA445)</f>
        <v>0</v>
      </c>
      <c r="W445" s="133" t="str">
        <f t="shared" si="204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30600008</v>
      </c>
      <c r="B446" s="453" t="s">
        <v>222</v>
      </c>
      <c r="C446" s="126" t="s">
        <v>179</v>
      </c>
      <c r="D446" s="108">
        <v>9.36</v>
      </c>
      <c r="E446" s="108"/>
      <c r="F446" s="127"/>
      <c r="G446" s="128"/>
      <c r="H446" s="454">
        <f t="shared" si="197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1"/>
        <v>0</v>
      </c>
      <c r="N446" s="130">
        <f t="shared" si="202"/>
        <v>0</v>
      </c>
      <c r="O446" s="462"/>
      <c r="P446" s="462"/>
      <c r="Q446" s="462"/>
      <c r="R446" s="462"/>
      <c r="S446" s="462"/>
      <c r="T446" s="462"/>
      <c r="U446" s="462"/>
      <c r="V446" s="132">
        <f t="shared" si="205"/>
        <v>0</v>
      </c>
      <c r="W446" s="133" t="str">
        <f t="shared" si="204"/>
        <v/>
      </c>
      <c r="X446" s="132"/>
      <c r="Y446" s="132"/>
      <c r="Z446" s="132"/>
      <c r="AA446" s="132"/>
    </row>
    <row r="447" spans="1:27" ht="20.100000000000001" hidden="1" customHeight="1">
      <c r="A447" s="304">
        <v>30600007</v>
      </c>
      <c r="B447" s="453" t="s">
        <v>222</v>
      </c>
      <c r="C447" s="126" t="s">
        <v>221</v>
      </c>
      <c r="D447" s="108">
        <v>9.36</v>
      </c>
      <c r="E447" s="108"/>
      <c r="F447" s="127"/>
      <c r="G447" s="128"/>
      <c r="H447" s="454">
        <f t="shared" si="197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201"/>
        <v>0</v>
      </c>
      <c r="N447" s="130">
        <f t="shared" si="202"/>
        <v>0</v>
      </c>
      <c r="O447" s="462"/>
      <c r="P447" s="462"/>
      <c r="Q447" s="462"/>
      <c r="R447" s="462"/>
      <c r="S447" s="462"/>
      <c r="T447" s="462"/>
      <c r="U447" s="462"/>
      <c r="V447" s="132">
        <f t="shared" si="205"/>
        <v>0</v>
      </c>
      <c r="W447" s="133" t="str">
        <f t="shared" si="204"/>
        <v/>
      </c>
      <c r="X447" s="132"/>
      <c r="Y447" s="132"/>
      <c r="Z447" s="132"/>
      <c r="AA447" s="132"/>
    </row>
    <row r="448" spans="1:27" ht="20.100000000000001" hidden="1" customHeight="1">
      <c r="A448" s="304">
        <v>30600006</v>
      </c>
      <c r="B448" s="453" t="s">
        <v>222</v>
      </c>
      <c r="C448" s="126" t="s">
        <v>186</v>
      </c>
      <c r="D448" s="108">
        <v>9.36</v>
      </c>
      <c r="E448" s="108"/>
      <c r="F448" s="127"/>
      <c r="G448" s="128"/>
      <c r="H448" s="454">
        <f t="shared" si="197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201"/>
        <v>0</v>
      </c>
      <c r="N448" s="130">
        <f t="shared" si="202"/>
        <v>0</v>
      </c>
      <c r="O448" s="462"/>
      <c r="P448" s="462"/>
      <c r="Q448" s="462"/>
      <c r="R448" s="462"/>
      <c r="S448" s="462"/>
      <c r="T448" s="462"/>
      <c r="U448" s="462"/>
      <c r="V448" s="132">
        <f t="shared" si="205"/>
        <v>0</v>
      </c>
      <c r="W448" s="133" t="str">
        <f t="shared" si="204"/>
        <v/>
      </c>
      <c r="X448" s="132"/>
      <c r="Y448" s="132"/>
      <c r="Z448" s="132"/>
      <c r="AA448" s="132"/>
    </row>
    <row r="449" spans="1:27" ht="20.100000000000001" hidden="1" customHeight="1">
      <c r="A449" s="299">
        <v>30400026</v>
      </c>
      <c r="B449" s="453" t="s">
        <v>393</v>
      </c>
      <c r="C449" s="187" t="s">
        <v>395</v>
      </c>
      <c r="D449" s="108">
        <v>5</v>
      </c>
      <c r="E449" s="108"/>
      <c r="F449" s="127"/>
      <c r="G449" s="128"/>
      <c r="H449" s="454">
        <f t="shared" si="197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1"/>
        <v>0</v>
      </c>
      <c r="N449" s="130">
        <f t="shared" si="202"/>
        <v>0</v>
      </c>
      <c r="O449" s="462"/>
      <c r="P449" s="462"/>
      <c r="Q449" s="462"/>
      <c r="R449" s="462"/>
      <c r="S449" s="462"/>
      <c r="T449" s="462"/>
      <c r="U449" s="462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>
        <v>30400028</v>
      </c>
      <c r="B450" s="453" t="s">
        <v>393</v>
      </c>
      <c r="C450" s="187" t="s">
        <v>402</v>
      </c>
      <c r="D450" s="108">
        <v>5</v>
      </c>
      <c r="E450" s="108"/>
      <c r="F450" s="127"/>
      <c r="G450" s="128"/>
      <c r="H450" s="454">
        <f t="shared" si="197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1"/>
        <v>0</v>
      </c>
      <c r="N450" s="130">
        <f t="shared" si="202"/>
        <v>0</v>
      </c>
      <c r="O450" s="462"/>
      <c r="P450" s="462"/>
      <c r="Q450" s="462"/>
      <c r="R450" s="462"/>
      <c r="S450" s="462"/>
      <c r="T450" s="462"/>
      <c r="U450" s="462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30400027</v>
      </c>
      <c r="B451" s="453" t="s">
        <v>404</v>
      </c>
      <c r="C451" s="187" t="s">
        <v>405</v>
      </c>
      <c r="D451" s="108">
        <v>5</v>
      </c>
      <c r="E451" s="108"/>
      <c r="F451" s="127"/>
      <c r="G451" s="128"/>
      <c r="H451" s="454">
        <f t="shared" si="197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1"/>
        <v>0</v>
      </c>
      <c r="N451" s="130">
        <f t="shared" si="202"/>
        <v>0</v>
      </c>
      <c r="O451" s="462"/>
      <c r="P451" s="462"/>
      <c r="Q451" s="462"/>
      <c r="R451" s="462"/>
      <c r="S451" s="462"/>
      <c r="T451" s="462"/>
      <c r="U451" s="462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/>
      <c r="B452" s="453" t="s">
        <v>342</v>
      </c>
      <c r="C452" s="187" t="s">
        <v>372</v>
      </c>
      <c r="D452" s="108">
        <v>5</v>
      </c>
      <c r="E452" s="108"/>
      <c r="F452" s="127"/>
      <c r="G452" s="128"/>
      <c r="H452" s="454">
        <f t="shared" si="197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1"/>
        <v>0</v>
      </c>
      <c r="N452" s="130">
        <f t="shared" si="202"/>
        <v>0</v>
      </c>
      <c r="O452" s="462"/>
      <c r="P452" s="462"/>
      <c r="Q452" s="462"/>
      <c r="R452" s="462"/>
      <c r="S452" s="462"/>
      <c r="T452" s="462"/>
      <c r="U452" s="462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30600009</v>
      </c>
      <c r="B453" s="453" t="s">
        <v>343</v>
      </c>
      <c r="C453" s="126" t="s">
        <v>345</v>
      </c>
      <c r="D453" s="108">
        <v>5</v>
      </c>
      <c r="E453" s="108"/>
      <c r="F453" s="127"/>
      <c r="G453" s="128"/>
      <c r="H453" s="454">
        <f t="shared" si="197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201"/>
        <v>0</v>
      </c>
      <c r="N453" s="130">
        <f t="shared" si="202"/>
        <v>0</v>
      </c>
      <c r="O453" s="462"/>
      <c r="P453" s="462"/>
      <c r="Q453" s="462"/>
      <c r="R453" s="462"/>
      <c r="S453" s="462"/>
      <c r="T453" s="462"/>
      <c r="U453" s="462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299">
        <v>30600010</v>
      </c>
      <c r="B454" s="453" t="s">
        <v>343</v>
      </c>
      <c r="C454" s="126" t="s">
        <v>347</v>
      </c>
      <c r="D454" s="108">
        <v>5</v>
      </c>
      <c r="E454" s="108"/>
      <c r="F454" s="127"/>
      <c r="G454" s="128"/>
      <c r="H454" s="454">
        <f t="shared" si="197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201"/>
        <v>0</v>
      </c>
      <c r="N454" s="130">
        <f t="shared" si="202"/>
        <v>0</v>
      </c>
      <c r="O454" s="462"/>
      <c r="P454" s="462"/>
      <c r="Q454" s="462"/>
      <c r="R454" s="462"/>
      <c r="S454" s="462"/>
      <c r="T454" s="462"/>
      <c r="U454" s="462"/>
      <c r="V454" s="132"/>
      <c r="W454" s="133"/>
      <c r="X454" s="132"/>
      <c r="Y454" s="132"/>
      <c r="Z454" s="132"/>
      <c r="AA454" s="132"/>
    </row>
    <row r="455" spans="1:27" ht="20.100000000000001" hidden="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/>
      <c r="G455" s="128"/>
      <c r="H455" s="454">
        <f t="shared" si="197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15.5</v>
      </c>
      <c r="M455" s="109">
        <f t="shared" si="201"/>
        <v>0</v>
      </c>
      <c r="N455" s="130">
        <f t="shared" si="202"/>
        <v>0</v>
      </c>
      <c r="O455" s="462"/>
      <c r="P455" s="462"/>
      <c r="Q455" s="462"/>
      <c r="R455" s="462"/>
      <c r="S455" s="462"/>
      <c r="T455" s="462"/>
      <c r="U455" s="462"/>
      <c r="V455" s="132">
        <f t="shared" ref="V455:V456" si="206">SUM(X455:AA455)</f>
        <v>0</v>
      </c>
      <c r="W455" s="133" t="str">
        <f t="shared" ref="W455:W456" si="207">IF(ISERROR(V455/G455),"",V455/G455)</f>
        <v/>
      </c>
      <c r="X455" s="132"/>
      <c r="Y455" s="132"/>
      <c r="Z455" s="132"/>
      <c r="AA455" s="132"/>
    </row>
    <row r="456" spans="1:27" ht="20.10000000000000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>
        <v>42741</v>
      </c>
      <c r="G456" s="128">
        <f>100*5+38+100*6+17+89+60+95</f>
        <v>1399</v>
      </c>
      <c r="H456" s="454">
        <f t="shared" si="197"/>
        <v>7078.94</v>
      </c>
      <c r="I456" s="129">
        <f>7+6.5+8.5+4.5+4.5+7+8*2</f>
        <v>54</v>
      </c>
      <c r="J456" s="130">
        <f t="array" ref="J456">IF(ISERROR(G456/I456),"",G456/I456)</f>
        <v>25.907407407407408</v>
      </c>
      <c r="K456" s="131">
        <f t="array" ref="K456">IF(ISERROR(G456/L456),"",G456/L456)</f>
        <v>90.258064516129039</v>
      </c>
      <c r="L456" s="129">
        <v>15.5</v>
      </c>
      <c r="M456" s="109">
        <f t="shared" si="201"/>
        <v>-36.258064516129039</v>
      </c>
      <c r="N456" s="130">
        <f t="shared" si="202"/>
        <v>0</v>
      </c>
      <c r="O456" s="462"/>
      <c r="P456" s="462"/>
      <c r="Q456" s="462"/>
      <c r="R456" s="462"/>
      <c r="S456" s="462"/>
      <c r="T456" s="462"/>
      <c r="U456" s="462"/>
      <c r="V456" s="132">
        <f t="shared" si="206"/>
        <v>0</v>
      </c>
      <c r="W456" s="133">
        <f t="shared" si="207"/>
        <v>0</v>
      </c>
      <c r="X456" s="132"/>
      <c r="Y456" s="132"/>
      <c r="Z456" s="132"/>
      <c r="AA456" s="132"/>
    </row>
    <row r="457" spans="1:27" ht="20.100000000000001" hidden="1" customHeight="1">
      <c r="A457" s="299">
        <v>30400004</v>
      </c>
      <c r="B457" s="151" t="s">
        <v>419</v>
      </c>
      <c r="C457" s="187" t="s">
        <v>73</v>
      </c>
      <c r="D457" s="108"/>
      <c r="E457" s="108"/>
      <c r="F457" s="127"/>
      <c r="G457" s="128"/>
      <c r="H457" s="454">
        <f t="shared" si="197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1"/>
        <v>0</v>
      </c>
      <c r="N457" s="130"/>
      <c r="O457" s="462"/>
      <c r="P457" s="462"/>
      <c r="Q457" s="462"/>
      <c r="R457" s="462"/>
      <c r="S457" s="462"/>
      <c r="T457" s="462"/>
      <c r="U457" s="462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28"/>
      <c r="H458" s="454">
        <f t="shared" si="197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201"/>
        <v>0</v>
      </c>
      <c r="N458" s="130"/>
      <c r="O458" s="462"/>
      <c r="P458" s="462"/>
      <c r="Q458" s="462"/>
      <c r="R458" s="462"/>
      <c r="S458" s="462"/>
      <c r="T458" s="462"/>
      <c r="U458" s="462"/>
      <c r="V458" s="132"/>
      <c r="W458" s="133"/>
      <c r="X458" s="132"/>
      <c r="Y458" s="132"/>
      <c r="Z458" s="132"/>
      <c r="AA458" s="132"/>
    </row>
    <row r="459" spans="1:27" ht="20.100000000000001" hidden="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28"/>
      <c r="H459" s="454">
        <f t="shared" si="197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201"/>
        <v>0</v>
      </c>
      <c r="N459" s="130"/>
      <c r="O459" s="462"/>
      <c r="P459" s="462"/>
      <c r="Q459" s="462"/>
      <c r="R459" s="462"/>
      <c r="S459" s="462"/>
      <c r="T459" s="462"/>
      <c r="U459" s="462"/>
      <c r="V459" s="132"/>
      <c r="W459" s="133"/>
      <c r="X459" s="132"/>
      <c r="Y459" s="132"/>
      <c r="Z459" s="132"/>
      <c r="AA459" s="132"/>
    </row>
    <row r="460" spans="1:27" ht="20.100000000000001" hidden="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28"/>
      <c r="H460" s="454">
        <f t="shared" si="197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201"/>
        <v>0</v>
      </c>
      <c r="N460" s="130">
        <f t="shared" ref="N460:N462" si="208">SUM(O460:U460)</f>
        <v>0</v>
      </c>
      <c r="O460" s="462"/>
      <c r="P460" s="462"/>
      <c r="Q460" s="462"/>
      <c r="R460" s="462"/>
      <c r="S460" s="462"/>
      <c r="T460" s="462"/>
      <c r="U460" s="462"/>
      <c r="V460" s="132">
        <f t="shared" ref="V460:V462" si="209">SUM(X460:AA460)</f>
        <v>0</v>
      </c>
      <c r="W460" s="133" t="str">
        <f t="shared" ref="W460:W484" si="210">IF(ISERROR(V460/G460),"",V460/G460)</f>
        <v/>
      </c>
      <c r="X460" s="132"/>
      <c r="Y460" s="132"/>
      <c r="Z460" s="132"/>
      <c r="AA460" s="132"/>
    </row>
    <row r="461" spans="1:27" ht="20.100000000000001" hidden="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28"/>
      <c r="H461" s="454">
        <f t="shared" si="197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si="201"/>
        <v>0</v>
      </c>
      <c r="N461" s="130">
        <f t="shared" si="208"/>
        <v>0</v>
      </c>
      <c r="O461" s="462"/>
      <c r="P461" s="462"/>
      <c r="Q461" s="462"/>
      <c r="R461" s="462"/>
      <c r="S461" s="462"/>
      <c r="T461" s="462"/>
      <c r="U461" s="462"/>
      <c r="V461" s="132">
        <f t="shared" si="209"/>
        <v>0</v>
      </c>
      <c r="W461" s="133" t="str">
        <f t="shared" si="210"/>
        <v/>
      </c>
      <c r="X461" s="132"/>
      <c r="Y461" s="132"/>
      <c r="Z461" s="132"/>
      <c r="AA461" s="132"/>
    </row>
    <row r="462" spans="1:27" ht="20.100000000000001" hidden="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28"/>
      <c r="H462" s="454">
        <f t="shared" si="197"/>
        <v>0</v>
      </c>
      <c r="I462" s="129"/>
      <c r="J462" s="130" t="str">
        <f t="array" ref="J462">IF(ISERROR(G462/I462),"",G462/I462)</f>
        <v/>
      </c>
      <c r="K462" s="454">
        <f t="array" ref="K462">IF(ISERROR(G462/L462),"",G462/L462)</f>
        <v>0</v>
      </c>
      <c r="L462" s="129">
        <v>9</v>
      </c>
      <c r="M462" s="109">
        <f t="shared" si="201"/>
        <v>0</v>
      </c>
      <c r="N462" s="130">
        <f t="shared" si="208"/>
        <v>0</v>
      </c>
      <c r="O462" s="462"/>
      <c r="P462" s="462"/>
      <c r="Q462" s="462"/>
      <c r="R462" s="462"/>
      <c r="S462" s="462"/>
      <c r="T462" s="462"/>
      <c r="U462" s="462"/>
      <c r="V462" s="132">
        <f t="shared" si="209"/>
        <v>0</v>
      </c>
      <c r="W462" s="133" t="str">
        <f t="shared" si="210"/>
        <v/>
      </c>
      <c r="X462" s="132"/>
      <c r="Y462" s="132"/>
      <c r="Z462" s="132"/>
      <c r="AA462" s="132"/>
    </row>
    <row r="463" spans="1:27" ht="20.100000000000001" customHeight="1">
      <c r="A463" s="578" t="s">
        <v>224</v>
      </c>
      <c r="B463" s="579"/>
      <c r="C463" s="463" t="s">
        <v>202</v>
      </c>
      <c r="D463" s="143"/>
      <c r="E463" s="143"/>
      <c r="F463" s="144"/>
      <c r="G463" s="145">
        <f>SUM(G429:G462)</f>
        <v>1440</v>
      </c>
      <c r="H463" s="146">
        <f>SUM(H429:H462)</f>
        <v>7285.17</v>
      </c>
      <c r="I463" s="146">
        <f>SUM(I429:I462)</f>
        <v>56</v>
      </c>
      <c r="J463" s="130">
        <f t="array" ref="J463">IF(ISERROR(G463/I463),"",G463/I463)</f>
        <v>25.714285714285715</v>
      </c>
      <c r="K463" s="146">
        <f>SUM(K429:K462)</f>
        <v>94.666666666666671</v>
      </c>
      <c r="L463" s="147"/>
      <c r="M463" s="150">
        <f t="shared" ref="M463:V463" si="211">SUM(M429:M462)</f>
        <v>-38.666666666666671</v>
      </c>
      <c r="N463" s="146">
        <f t="shared" si="211"/>
        <v>0</v>
      </c>
      <c r="O463" s="148">
        <f t="shared" si="211"/>
        <v>0</v>
      </c>
      <c r="P463" s="148">
        <f t="shared" si="211"/>
        <v>0</v>
      </c>
      <c r="Q463" s="148">
        <f t="shared" si="211"/>
        <v>0</v>
      </c>
      <c r="R463" s="148">
        <f t="shared" si="211"/>
        <v>0</v>
      </c>
      <c r="S463" s="148">
        <f t="shared" si="211"/>
        <v>0</v>
      </c>
      <c r="T463" s="148">
        <f t="shared" si="211"/>
        <v>0</v>
      </c>
      <c r="U463" s="148">
        <f t="shared" si="211"/>
        <v>0</v>
      </c>
      <c r="V463" s="149">
        <f t="shared" si="211"/>
        <v>0</v>
      </c>
      <c r="W463" s="133">
        <f t="shared" si="210"/>
        <v>0</v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hidden="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28"/>
      <c r="H464" s="454">
        <f t="shared" ref="H464:H478" si="212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8" si="213">IF(ISERROR(I464-K464),"",I464-K464)</f>
        <v>0</v>
      </c>
      <c r="N464" s="130">
        <f t="shared" ref="N464:N478" si="214">SUM(O464:U464)</f>
        <v>0</v>
      </c>
      <c r="O464" s="462"/>
      <c r="P464" s="462"/>
      <c r="Q464" s="462"/>
      <c r="R464" s="462"/>
      <c r="S464" s="462"/>
      <c r="T464" s="462"/>
      <c r="U464" s="462"/>
      <c r="V464" s="132">
        <f t="shared" ref="V464:V478" si="215">SUM(X464:AA464)</f>
        <v>0</v>
      </c>
      <c r="W464" s="133" t="str">
        <f t="shared" si="210"/>
        <v/>
      </c>
      <c r="X464" s="132"/>
      <c r="Y464" s="132"/>
      <c r="Z464" s="132"/>
      <c r="AA464" s="132"/>
    </row>
    <row r="465" spans="1:27" ht="20.100000000000001" hidden="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28"/>
      <c r="H465" s="454">
        <f t="shared" si="212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3"/>
        <v>0</v>
      </c>
      <c r="N465" s="130">
        <f t="shared" si="214"/>
        <v>0</v>
      </c>
      <c r="O465" s="462"/>
      <c r="P465" s="462"/>
      <c r="Q465" s="462"/>
      <c r="R465" s="462"/>
      <c r="S465" s="462"/>
      <c r="T465" s="462"/>
      <c r="U465" s="462"/>
      <c r="V465" s="132">
        <f t="shared" si="215"/>
        <v>0</v>
      </c>
      <c r="W465" s="133" t="str">
        <f t="shared" si="210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28"/>
      <c r="H466" s="454">
        <f t="shared" si="212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3"/>
        <v>0</v>
      </c>
      <c r="N466" s="130">
        <f t="shared" si="214"/>
        <v>0</v>
      </c>
      <c r="O466" s="462"/>
      <c r="P466" s="462"/>
      <c r="Q466" s="462"/>
      <c r="R466" s="462"/>
      <c r="S466" s="462"/>
      <c r="T466" s="462"/>
      <c r="U466" s="462"/>
      <c r="V466" s="132">
        <f t="shared" si="215"/>
        <v>0</v>
      </c>
      <c r="W466" s="133" t="str">
        <f t="shared" si="210"/>
        <v/>
      </c>
      <c r="X466" s="132"/>
      <c r="Y466" s="132"/>
      <c r="Z466" s="132"/>
      <c r="AA466" s="132"/>
    </row>
    <row r="467" spans="1:27" ht="20.100000000000001" hidden="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28"/>
      <c r="H467" s="454">
        <f t="shared" si="212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3"/>
        <v>0</v>
      </c>
      <c r="N467" s="130">
        <f t="shared" si="214"/>
        <v>0</v>
      </c>
      <c r="O467" s="462"/>
      <c r="P467" s="462"/>
      <c r="Q467" s="462"/>
      <c r="R467" s="462"/>
      <c r="S467" s="462"/>
      <c r="T467" s="462"/>
      <c r="U467" s="462"/>
      <c r="V467" s="132">
        <f t="shared" si="215"/>
        <v>0</v>
      </c>
      <c r="W467" s="133" t="str">
        <f t="shared" si="210"/>
        <v/>
      </c>
      <c r="X467" s="132"/>
      <c r="Y467" s="132"/>
      <c r="Z467" s="132"/>
      <c r="AA467" s="132"/>
    </row>
    <row r="468" spans="1:27" ht="20.100000000000001" hidden="1" customHeight="1">
      <c r="A468" s="299">
        <v>30100054</v>
      </c>
      <c r="B468" s="140" t="s">
        <v>227</v>
      </c>
      <c r="C468" s="459" t="s">
        <v>203</v>
      </c>
      <c r="D468" s="108">
        <v>5.03</v>
      </c>
      <c r="E468" s="108"/>
      <c r="F468" s="127"/>
      <c r="G468" s="128"/>
      <c r="H468" s="454">
        <f t="shared" si="212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3"/>
        <v>0</v>
      </c>
      <c r="N468" s="130">
        <f t="shared" si="214"/>
        <v>0</v>
      </c>
      <c r="O468" s="462"/>
      <c r="P468" s="462"/>
      <c r="Q468" s="462"/>
      <c r="R468" s="462"/>
      <c r="S468" s="462"/>
      <c r="T468" s="462"/>
      <c r="U468" s="462"/>
      <c r="V468" s="132">
        <f t="shared" si="215"/>
        <v>0</v>
      </c>
      <c r="W468" s="133" t="str">
        <f t="shared" si="210"/>
        <v/>
      </c>
      <c r="X468" s="132"/>
      <c r="Y468" s="132"/>
      <c r="Z468" s="132"/>
      <c r="AA468" s="132"/>
    </row>
    <row r="469" spans="1:27" ht="20.100000000000001" hidden="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28"/>
      <c r="H469" s="454">
        <f t="shared" si="212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3"/>
        <v>0</v>
      </c>
      <c r="N469" s="130">
        <f t="shared" si="214"/>
        <v>0</v>
      </c>
      <c r="O469" s="462"/>
      <c r="P469" s="462"/>
      <c r="Q469" s="462"/>
      <c r="R469" s="462"/>
      <c r="S469" s="462"/>
      <c r="T469" s="462"/>
      <c r="U469" s="462"/>
      <c r="V469" s="132">
        <f t="shared" si="215"/>
        <v>0</v>
      </c>
      <c r="W469" s="133" t="str">
        <f t="shared" si="210"/>
        <v/>
      </c>
      <c r="X469" s="132"/>
      <c r="Y469" s="132"/>
      <c r="Z469" s="132"/>
      <c r="AA469" s="132"/>
    </row>
    <row r="470" spans="1:27" ht="20.100000000000001" hidden="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28"/>
      <c r="H470" s="454">
        <f t="shared" si="212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3"/>
        <v>0</v>
      </c>
      <c r="N470" s="130">
        <f t="shared" si="214"/>
        <v>0</v>
      </c>
      <c r="O470" s="462"/>
      <c r="P470" s="462"/>
      <c r="Q470" s="462"/>
      <c r="R470" s="462"/>
      <c r="S470" s="462"/>
      <c r="T470" s="462"/>
      <c r="U470" s="462"/>
      <c r="V470" s="132">
        <f t="shared" si="215"/>
        <v>0</v>
      </c>
      <c r="W470" s="133" t="str">
        <f t="shared" si="210"/>
        <v/>
      </c>
      <c r="X470" s="132"/>
      <c r="Y470" s="132"/>
      <c r="Z470" s="132"/>
      <c r="AA470" s="132"/>
    </row>
    <row r="471" spans="1:27" ht="20.100000000000001" hidden="1" customHeight="1">
      <c r="A471" s="299"/>
      <c r="B471" s="140" t="s">
        <v>227</v>
      </c>
      <c r="C471" s="459" t="s">
        <v>228</v>
      </c>
      <c r="D471" s="108">
        <v>5.03</v>
      </c>
      <c r="E471" s="108"/>
      <c r="F471" s="127"/>
      <c r="G471" s="128"/>
      <c r="H471" s="454">
        <f t="shared" si="212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3"/>
        <v>0</v>
      </c>
      <c r="N471" s="130">
        <f t="shared" si="214"/>
        <v>0</v>
      </c>
      <c r="O471" s="462"/>
      <c r="P471" s="462"/>
      <c r="Q471" s="462"/>
      <c r="R471" s="462"/>
      <c r="S471" s="462"/>
      <c r="T471" s="462"/>
      <c r="U471" s="462"/>
      <c r="V471" s="132">
        <f t="shared" si="215"/>
        <v>0</v>
      </c>
      <c r="W471" s="133" t="str">
        <f t="shared" si="210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30101067</v>
      </c>
      <c r="B472" s="140" t="s">
        <v>229</v>
      </c>
      <c r="C472" s="459" t="s">
        <v>212</v>
      </c>
      <c r="D472" s="108">
        <v>5.03</v>
      </c>
      <c r="E472" s="108"/>
      <c r="F472" s="127"/>
      <c r="G472" s="128"/>
      <c r="H472" s="454">
        <f t="shared" si="212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3"/>
        <v/>
      </c>
      <c r="N472" s="130">
        <f t="shared" si="214"/>
        <v>0</v>
      </c>
      <c r="O472" s="462"/>
      <c r="P472" s="462"/>
      <c r="Q472" s="462"/>
      <c r="R472" s="462"/>
      <c r="S472" s="462"/>
      <c r="T472" s="462"/>
      <c r="U472" s="462"/>
      <c r="V472" s="132">
        <f t="shared" si="215"/>
        <v>0</v>
      </c>
      <c r="W472" s="133" t="str">
        <f t="shared" si="210"/>
        <v/>
      </c>
      <c r="X472" s="132"/>
      <c r="Y472" s="132"/>
      <c r="Z472" s="132"/>
      <c r="AA472" s="132"/>
    </row>
    <row r="473" spans="1:27" ht="20.100000000000001" hidden="1" customHeight="1">
      <c r="A473" s="299">
        <v>30101068</v>
      </c>
      <c r="B473" s="140" t="s">
        <v>229</v>
      </c>
      <c r="C473" s="459" t="s">
        <v>203</v>
      </c>
      <c r="D473" s="108">
        <v>5.03</v>
      </c>
      <c r="E473" s="108"/>
      <c r="F473" s="127"/>
      <c r="G473" s="128"/>
      <c r="H473" s="454">
        <f t="shared" si="212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3"/>
        <v/>
      </c>
      <c r="N473" s="130">
        <f t="shared" si="214"/>
        <v>0</v>
      </c>
      <c r="O473" s="462"/>
      <c r="P473" s="462"/>
      <c r="Q473" s="462"/>
      <c r="R473" s="462"/>
      <c r="S473" s="462"/>
      <c r="T473" s="462"/>
      <c r="U473" s="462"/>
      <c r="V473" s="132">
        <f t="shared" si="215"/>
        <v>0</v>
      </c>
      <c r="W473" s="133" t="str">
        <f t="shared" si="210"/>
        <v/>
      </c>
      <c r="X473" s="132"/>
      <c r="Y473" s="132"/>
      <c r="Z473" s="132"/>
      <c r="AA473" s="132"/>
    </row>
    <row r="474" spans="1:27" ht="20.100000000000001" hidden="1" customHeight="1">
      <c r="A474" s="299">
        <v>30101069</v>
      </c>
      <c r="B474" s="140" t="s">
        <v>229</v>
      </c>
      <c r="C474" s="459" t="s">
        <v>186</v>
      </c>
      <c r="D474" s="108">
        <v>5.03</v>
      </c>
      <c r="E474" s="108"/>
      <c r="F474" s="127"/>
      <c r="G474" s="128"/>
      <c r="H474" s="454">
        <f t="shared" si="212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3"/>
        <v/>
      </c>
      <c r="N474" s="130">
        <f t="shared" si="214"/>
        <v>0</v>
      </c>
      <c r="O474" s="462"/>
      <c r="P474" s="462"/>
      <c r="Q474" s="462"/>
      <c r="R474" s="462"/>
      <c r="S474" s="462"/>
      <c r="T474" s="462"/>
      <c r="U474" s="462"/>
      <c r="V474" s="132">
        <f t="shared" si="215"/>
        <v>0</v>
      </c>
      <c r="W474" s="133" t="str">
        <f t="shared" si="210"/>
        <v/>
      </c>
      <c r="X474" s="132"/>
      <c r="Y474" s="132"/>
      <c r="Z474" s="132"/>
      <c r="AA474" s="132"/>
    </row>
    <row r="475" spans="1:27" ht="20.100000000000001" hidden="1" customHeight="1">
      <c r="A475" s="299">
        <v>30101070</v>
      </c>
      <c r="B475" s="140" t="s">
        <v>229</v>
      </c>
      <c r="C475" s="459" t="s">
        <v>228</v>
      </c>
      <c r="D475" s="108">
        <v>5.03</v>
      </c>
      <c r="E475" s="108"/>
      <c r="F475" s="127"/>
      <c r="G475" s="128"/>
      <c r="H475" s="454">
        <f t="shared" si="212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3"/>
        <v/>
      </c>
      <c r="N475" s="130">
        <f t="shared" si="214"/>
        <v>0</v>
      </c>
      <c r="O475" s="462"/>
      <c r="P475" s="462"/>
      <c r="Q475" s="462"/>
      <c r="R475" s="462"/>
      <c r="S475" s="462"/>
      <c r="T475" s="462"/>
      <c r="U475" s="462"/>
      <c r="V475" s="132">
        <f t="shared" si="215"/>
        <v>0</v>
      </c>
      <c r="W475" s="133" t="str">
        <f t="shared" si="210"/>
        <v/>
      </c>
      <c r="X475" s="132"/>
      <c r="Y475" s="132"/>
      <c r="Z475" s="132"/>
      <c r="AA475" s="132"/>
    </row>
    <row r="476" spans="1:27" ht="20.100000000000001" hidden="1" customHeight="1">
      <c r="A476" s="299">
        <v>30101071</v>
      </c>
      <c r="B476" s="140" t="s">
        <v>229</v>
      </c>
      <c r="C476" s="459" t="s">
        <v>199</v>
      </c>
      <c r="D476" s="108">
        <v>5.03</v>
      </c>
      <c r="E476" s="108"/>
      <c r="F476" s="127"/>
      <c r="G476" s="128"/>
      <c r="H476" s="454">
        <f t="shared" si="212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3"/>
        <v/>
      </c>
      <c r="N476" s="130">
        <f t="shared" si="214"/>
        <v>0</v>
      </c>
      <c r="O476" s="462"/>
      <c r="P476" s="462"/>
      <c r="Q476" s="462"/>
      <c r="R476" s="462"/>
      <c r="S476" s="462"/>
      <c r="T476" s="462"/>
      <c r="U476" s="462"/>
      <c r="V476" s="132">
        <f t="shared" si="215"/>
        <v>0</v>
      </c>
      <c r="W476" s="133" t="str">
        <f t="shared" si="210"/>
        <v/>
      </c>
      <c r="X476" s="132"/>
      <c r="Y476" s="132"/>
      <c r="Z476" s="132"/>
      <c r="AA476" s="132"/>
    </row>
    <row r="477" spans="1:27" ht="20.100000000000001" hidden="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28"/>
      <c r="H477" s="454">
        <f t="shared" si="212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si="213"/>
        <v>0</v>
      </c>
      <c r="N477" s="130">
        <f t="shared" si="214"/>
        <v>0</v>
      </c>
      <c r="O477" s="462"/>
      <c r="P477" s="462"/>
      <c r="Q477" s="462"/>
      <c r="R477" s="462"/>
      <c r="S477" s="462"/>
      <c r="T477" s="462"/>
      <c r="U477" s="462"/>
      <c r="V477" s="132">
        <f t="shared" si="215"/>
        <v>0</v>
      </c>
      <c r="W477" s="133" t="str">
        <f t="shared" si="210"/>
        <v/>
      </c>
      <c r="X477" s="132"/>
      <c r="Y477" s="132"/>
      <c r="Z477" s="132"/>
      <c r="AA477" s="132"/>
    </row>
    <row r="478" spans="1:27" ht="20.100000000000001" hidden="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28"/>
      <c r="H478" s="454">
        <f t="shared" si="212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3"/>
        <v>0</v>
      </c>
      <c r="N478" s="130">
        <f t="shared" si="214"/>
        <v>0</v>
      </c>
      <c r="O478" s="462"/>
      <c r="P478" s="462"/>
      <c r="Q478" s="462"/>
      <c r="R478" s="462"/>
      <c r="S478" s="462"/>
      <c r="T478" s="462"/>
      <c r="U478" s="462"/>
      <c r="V478" s="132">
        <f t="shared" si="215"/>
        <v>0</v>
      </c>
      <c r="W478" s="133" t="str">
        <f t="shared" si="210"/>
        <v/>
      </c>
      <c r="X478" s="132"/>
      <c r="Y478" s="132"/>
      <c r="Z478" s="132"/>
      <c r="AA478" s="132"/>
    </row>
    <row r="479" spans="1:27" ht="20.100000000000001" hidden="1" customHeight="1">
      <c r="A479" s="578" t="s">
        <v>231</v>
      </c>
      <c r="B479" s="579"/>
      <c r="C479" s="463" t="s">
        <v>202</v>
      </c>
      <c r="D479" s="143"/>
      <c r="E479" s="143"/>
      <c r="F479" s="144"/>
      <c r="G479" s="145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10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hidden="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28"/>
      <c r="H480" s="454">
        <f t="shared" ref="H480:H489" si="216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4" si="217">IF(ISERROR(I480-K480),"",I480-K480)</f>
        <v>0</v>
      </c>
      <c r="N480" s="130">
        <f t="shared" ref="N480:N484" si="218">SUM(O480:U480)</f>
        <v>0</v>
      </c>
      <c r="O480" s="462"/>
      <c r="P480" s="462"/>
      <c r="Q480" s="462"/>
      <c r="R480" s="462"/>
      <c r="S480" s="462"/>
      <c r="T480" s="462"/>
      <c r="U480" s="462"/>
      <c r="V480" s="132">
        <f t="shared" ref="V480:V484" si="219">SUM(X480:AA480)</f>
        <v>0</v>
      </c>
      <c r="W480" s="133" t="str">
        <f t="shared" si="210"/>
        <v/>
      </c>
      <c r="X480" s="132"/>
      <c r="Y480" s="132"/>
      <c r="Z480" s="132"/>
      <c r="AA480" s="132"/>
    </row>
    <row r="481" spans="1:27" ht="20.100000000000001" hidden="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28"/>
      <c r="H481" s="454">
        <f t="shared" si="216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7"/>
        <v>0</v>
      </c>
      <c r="N481" s="130">
        <f t="shared" si="218"/>
        <v>0</v>
      </c>
      <c r="O481" s="462"/>
      <c r="P481" s="462"/>
      <c r="Q481" s="462"/>
      <c r="R481" s="462"/>
      <c r="S481" s="462"/>
      <c r="T481" s="462"/>
      <c r="U481" s="462"/>
      <c r="V481" s="132">
        <f t="shared" si="219"/>
        <v>0</v>
      </c>
      <c r="W481" s="133" t="str">
        <f t="shared" si="210"/>
        <v/>
      </c>
      <c r="X481" s="132"/>
      <c r="Y481" s="132"/>
      <c r="Z481" s="132"/>
      <c r="AA481" s="132"/>
    </row>
    <row r="482" spans="1:27" ht="20.100000000000001" hidden="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28"/>
      <c r="H482" s="454">
        <f t="shared" si="216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7"/>
        <v>0</v>
      </c>
      <c r="N482" s="130">
        <f t="shared" si="218"/>
        <v>0</v>
      </c>
      <c r="O482" s="462"/>
      <c r="P482" s="462"/>
      <c r="Q482" s="462"/>
      <c r="R482" s="462"/>
      <c r="S482" s="462"/>
      <c r="T482" s="462"/>
      <c r="U482" s="462"/>
      <c r="V482" s="132">
        <f t="shared" si="219"/>
        <v>0</v>
      </c>
      <c r="W482" s="133" t="str">
        <f t="shared" si="210"/>
        <v/>
      </c>
      <c r="X482" s="132"/>
      <c r="Y482" s="132"/>
      <c r="Z482" s="132"/>
      <c r="AA482" s="132"/>
    </row>
    <row r="483" spans="1:27" ht="20.100000000000001" hidden="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28"/>
      <c r="H483" s="454">
        <f t="shared" si="216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17"/>
        <v>0</v>
      </c>
      <c r="N483" s="130">
        <f t="shared" si="218"/>
        <v>0</v>
      </c>
      <c r="O483" s="462"/>
      <c r="P483" s="462"/>
      <c r="Q483" s="462"/>
      <c r="R483" s="462"/>
      <c r="S483" s="462"/>
      <c r="T483" s="462"/>
      <c r="U483" s="462"/>
      <c r="V483" s="132">
        <f t="shared" si="219"/>
        <v>0</v>
      </c>
      <c r="W483" s="133" t="str">
        <f t="shared" si="210"/>
        <v/>
      </c>
      <c r="X483" s="132"/>
      <c r="Y483" s="132"/>
      <c r="Z483" s="132"/>
      <c r="AA483" s="132"/>
    </row>
    <row r="484" spans="1:27" ht="20.100000000000001" hidden="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28"/>
      <c r="H484" s="454">
        <f t="shared" si="216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17"/>
        <v>0</v>
      </c>
      <c r="N484" s="130">
        <f t="shared" si="218"/>
        <v>0</v>
      </c>
      <c r="O484" s="462"/>
      <c r="P484" s="462"/>
      <c r="Q484" s="462"/>
      <c r="R484" s="462"/>
      <c r="S484" s="462"/>
      <c r="T484" s="462"/>
      <c r="U484" s="462"/>
      <c r="V484" s="132">
        <f t="shared" si="219"/>
        <v>0</v>
      </c>
      <c r="W484" s="133" t="str">
        <f t="shared" si="210"/>
        <v/>
      </c>
      <c r="X484" s="132"/>
      <c r="Y484" s="132"/>
      <c r="Z484" s="132"/>
      <c r="AA484" s="132"/>
    </row>
    <row r="485" spans="1:27" ht="20.100000000000001" hidden="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28"/>
      <c r="H485" s="454">
        <f t="shared" si="216"/>
        <v>0</v>
      </c>
      <c r="I485" s="129"/>
      <c r="J485" s="130"/>
      <c r="K485" s="131"/>
      <c r="L485" s="129">
        <v>13.5</v>
      </c>
      <c r="M485" s="109"/>
      <c r="N485" s="130"/>
      <c r="O485" s="462"/>
      <c r="P485" s="462"/>
      <c r="Q485" s="462"/>
      <c r="R485" s="462"/>
      <c r="S485" s="462"/>
      <c r="T485" s="462"/>
      <c r="U485" s="462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30400020</v>
      </c>
      <c r="B486" s="134" t="s">
        <v>439</v>
      </c>
      <c r="C486" s="187" t="s">
        <v>516</v>
      </c>
      <c r="D486" s="108">
        <v>5.04</v>
      </c>
      <c r="E486" s="108"/>
      <c r="F486" s="127"/>
      <c r="G486" s="128"/>
      <c r="H486" s="454">
        <f t="shared" si="216"/>
        <v>0</v>
      </c>
      <c r="I486" s="129"/>
      <c r="J486" s="130"/>
      <c r="K486" s="131"/>
      <c r="L486" s="129">
        <v>13.5</v>
      </c>
      <c r="M486" s="109"/>
      <c r="N486" s="130"/>
      <c r="O486" s="462"/>
      <c r="P486" s="462"/>
      <c r="Q486" s="462"/>
      <c r="R486" s="462"/>
      <c r="S486" s="462"/>
      <c r="T486" s="462"/>
      <c r="U486" s="462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0">
        <v>30400021</v>
      </c>
      <c r="B487" s="134" t="s">
        <v>439</v>
      </c>
      <c r="C487" s="187" t="s">
        <v>517</v>
      </c>
      <c r="D487" s="108">
        <v>5.04</v>
      </c>
      <c r="E487" s="108"/>
      <c r="F487" s="127"/>
      <c r="G487" s="128"/>
      <c r="H487" s="454">
        <f t="shared" si="216"/>
        <v>0</v>
      </c>
      <c r="I487" s="129"/>
      <c r="J487" s="130"/>
      <c r="K487" s="131"/>
      <c r="L487" s="129">
        <v>13.5</v>
      </c>
      <c r="M487" s="109"/>
      <c r="N487" s="130"/>
      <c r="O487" s="462"/>
      <c r="P487" s="462"/>
      <c r="Q487" s="462"/>
      <c r="R487" s="462"/>
      <c r="S487" s="462"/>
      <c r="T487" s="462"/>
      <c r="U487" s="462"/>
      <c r="V487" s="132"/>
      <c r="W487" s="133"/>
      <c r="X487" s="132"/>
      <c r="Y487" s="132"/>
      <c r="Z487" s="132"/>
      <c r="AA487" s="132"/>
    </row>
    <row r="488" spans="1:27" ht="20.100000000000001" hidden="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28"/>
      <c r="H488" s="454">
        <f t="shared" si="216"/>
        <v>0</v>
      </c>
      <c r="I488" s="129"/>
      <c r="J488" s="130"/>
      <c r="K488" s="131"/>
      <c r="L488" s="129">
        <v>13.5</v>
      </c>
      <c r="M488" s="109"/>
      <c r="N488" s="130"/>
      <c r="O488" s="462"/>
      <c r="P488" s="462"/>
      <c r="Q488" s="462"/>
      <c r="R488" s="462"/>
      <c r="S488" s="462"/>
      <c r="T488" s="462"/>
      <c r="U488" s="462"/>
      <c r="V488" s="132"/>
      <c r="W488" s="133"/>
      <c r="X488" s="132"/>
      <c r="Y488" s="132"/>
      <c r="Z488" s="132"/>
      <c r="AA488" s="132"/>
    </row>
    <row r="489" spans="1:27" ht="20.100000000000001" hidden="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28"/>
      <c r="H489" s="454">
        <f t="shared" si="216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ref="M489" si="220">IF(ISERROR(I489-K489),"",I489-K489)</f>
        <v>0</v>
      </c>
      <c r="N489" s="130">
        <f t="shared" ref="N489" si="221">SUM(O489:U489)</f>
        <v>0</v>
      </c>
      <c r="O489" s="462"/>
      <c r="P489" s="462"/>
      <c r="Q489" s="462"/>
      <c r="R489" s="462"/>
      <c r="S489" s="462"/>
      <c r="T489" s="462"/>
      <c r="U489" s="462"/>
      <c r="V489" s="132">
        <f t="shared" ref="V489" si="222">SUM(X489:AA489)</f>
        <v>0</v>
      </c>
      <c r="W489" s="133" t="str">
        <f t="shared" ref="W489:W494" si="223">IF(ISERROR(V489/G489),"",V489/G489)</f>
        <v/>
      </c>
      <c r="X489" s="132"/>
      <c r="Y489" s="132"/>
      <c r="Z489" s="132"/>
      <c r="AA489" s="132"/>
    </row>
    <row r="490" spans="1:27" ht="20.100000000000001" hidden="1" customHeight="1">
      <c r="A490" s="578" t="s">
        <v>234</v>
      </c>
      <c r="B490" s="579"/>
      <c r="C490" s="463" t="s">
        <v>202</v>
      </c>
      <c r="D490" s="143"/>
      <c r="E490" s="143"/>
      <c r="F490" s="144"/>
      <c r="G490" s="145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3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hidden="1" customHeight="1">
      <c r="A491" s="299">
        <v>30700013</v>
      </c>
      <c r="B491" s="141" t="s">
        <v>235</v>
      </c>
      <c r="C491" s="460"/>
      <c r="D491" s="108">
        <v>3.65</v>
      </c>
      <c r="E491" s="108"/>
      <c r="F491" s="153"/>
      <c r="G491" s="128"/>
      <c r="H491" s="454">
        <f t="shared" ref="H491:H505" si="224">D491*G491</f>
        <v>0</v>
      </c>
      <c r="I491" s="129"/>
      <c r="J491" s="130" t="str">
        <f t="array" ref="J491">IF(ISERROR(G491/I491),"",G491/I491)</f>
        <v/>
      </c>
      <c r="K491" s="454">
        <f t="array" ref="K491">IF(ISERROR(G491/L491),"",G491/L491)</f>
        <v>0</v>
      </c>
      <c r="L491" s="129">
        <v>5</v>
      </c>
      <c r="M491" s="109">
        <f t="shared" ref="M491:M494" si="225">IF(ISERROR(I491-K491),"",I491-K491)</f>
        <v>0</v>
      </c>
      <c r="N491" s="130">
        <f t="shared" ref="N491:N494" si="226">SUM(O491:U491)</f>
        <v>0</v>
      </c>
      <c r="O491" s="462"/>
      <c r="P491" s="462"/>
      <c r="Q491" s="462"/>
      <c r="R491" s="462"/>
      <c r="S491" s="462"/>
      <c r="T491" s="462"/>
      <c r="U491" s="462"/>
      <c r="V491" s="132">
        <f t="shared" ref="V491:V494" si="227">SUM(X491:AA491)</f>
        <v>0</v>
      </c>
      <c r="W491" s="133" t="str">
        <f t="shared" si="223"/>
        <v/>
      </c>
      <c r="X491" s="132"/>
      <c r="Y491" s="132"/>
      <c r="Z491" s="132"/>
      <c r="AA491" s="132"/>
    </row>
    <row r="492" spans="1:27" ht="20.100000000000001" hidden="1" customHeight="1">
      <c r="A492" s="299">
        <v>30700014</v>
      </c>
      <c r="B492" s="141" t="s">
        <v>236</v>
      </c>
      <c r="C492" s="460"/>
      <c r="D492" s="108">
        <v>6.58</v>
      </c>
      <c r="E492" s="108"/>
      <c r="F492" s="127"/>
      <c r="G492" s="128"/>
      <c r="H492" s="454">
        <f t="shared" si="224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5"/>
        <v>0</v>
      </c>
      <c r="N492" s="130">
        <f t="shared" si="226"/>
        <v>0</v>
      </c>
      <c r="O492" s="462"/>
      <c r="P492" s="462"/>
      <c r="Q492" s="462"/>
      <c r="R492" s="462"/>
      <c r="S492" s="462"/>
      <c r="T492" s="462"/>
      <c r="U492" s="462"/>
      <c r="V492" s="132">
        <f t="shared" si="227"/>
        <v>0</v>
      </c>
      <c r="W492" s="133" t="str">
        <f t="shared" si="223"/>
        <v/>
      </c>
      <c r="X492" s="132"/>
      <c r="Y492" s="132"/>
      <c r="Z492" s="132"/>
      <c r="AA492" s="132"/>
    </row>
    <row r="493" spans="1:27" ht="20.100000000000001" hidden="1" customHeight="1">
      <c r="A493" s="299">
        <v>30700016</v>
      </c>
      <c r="B493" s="141" t="s">
        <v>237</v>
      </c>
      <c r="C493" s="460"/>
      <c r="D493" s="108">
        <v>7.8</v>
      </c>
      <c r="E493" s="108"/>
      <c r="F493" s="127"/>
      <c r="G493" s="128"/>
      <c r="H493" s="454">
        <f t="shared" si="224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5"/>
        <v>0</v>
      </c>
      <c r="N493" s="130">
        <f t="shared" si="226"/>
        <v>0</v>
      </c>
      <c r="O493" s="462"/>
      <c r="P493" s="462"/>
      <c r="Q493" s="462"/>
      <c r="R493" s="462"/>
      <c r="S493" s="462"/>
      <c r="T493" s="462"/>
      <c r="U493" s="462"/>
      <c r="V493" s="132">
        <f t="shared" si="227"/>
        <v>0</v>
      </c>
      <c r="W493" s="133" t="str">
        <f t="shared" si="223"/>
        <v/>
      </c>
      <c r="X493" s="132"/>
      <c r="Y493" s="132"/>
      <c r="Z493" s="132"/>
      <c r="AA493" s="132"/>
    </row>
    <row r="494" spans="1:27" ht="20.100000000000001" hidden="1" customHeight="1">
      <c r="A494" s="299">
        <v>30700017</v>
      </c>
      <c r="B494" s="141" t="s">
        <v>238</v>
      </c>
      <c r="C494" s="460"/>
      <c r="D494" s="108">
        <v>4.4000000000000004</v>
      </c>
      <c r="E494" s="108"/>
      <c r="F494" s="127"/>
      <c r="G494" s="128"/>
      <c r="H494" s="454">
        <f t="shared" si="224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5"/>
        <v>0</v>
      </c>
      <c r="N494" s="130">
        <f t="shared" si="226"/>
        <v>0</v>
      </c>
      <c r="O494" s="462"/>
      <c r="P494" s="462"/>
      <c r="Q494" s="462"/>
      <c r="R494" s="462"/>
      <c r="S494" s="462"/>
      <c r="T494" s="462"/>
      <c r="U494" s="462"/>
      <c r="V494" s="132">
        <f t="shared" si="227"/>
        <v>0</v>
      </c>
      <c r="W494" s="133" t="str">
        <f t="shared" si="223"/>
        <v/>
      </c>
      <c r="X494" s="132"/>
      <c r="Y494" s="132"/>
      <c r="Z494" s="132"/>
      <c r="AA494" s="132"/>
    </row>
    <row r="495" spans="1:27" ht="20.100000000000001" hidden="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28"/>
      <c r="H495" s="454">
        <f t="shared" si="224"/>
        <v>0</v>
      </c>
      <c r="I495" s="129"/>
      <c r="J495" s="130"/>
      <c r="K495" s="131"/>
      <c r="L495" s="129"/>
      <c r="M495" s="109"/>
      <c r="N495" s="130"/>
      <c r="O495" s="462"/>
      <c r="P495" s="462"/>
      <c r="Q495" s="462"/>
      <c r="R495" s="462"/>
      <c r="S495" s="462"/>
      <c r="T495" s="462"/>
      <c r="U495" s="462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299">
        <v>30700001</v>
      </c>
      <c r="B496" s="127" t="s">
        <v>359</v>
      </c>
      <c r="C496" s="460"/>
      <c r="D496" s="108"/>
      <c r="E496" s="108"/>
      <c r="F496" s="127"/>
      <c r="G496" s="128"/>
      <c r="H496" s="454">
        <f t="shared" si="224"/>
        <v>0</v>
      </c>
      <c r="I496" s="129"/>
      <c r="J496" s="130"/>
      <c r="K496" s="131"/>
      <c r="L496" s="129">
        <v>6</v>
      </c>
      <c r="M496" s="109"/>
      <c r="N496" s="130"/>
      <c r="O496" s="462"/>
      <c r="P496" s="462"/>
      <c r="Q496" s="462"/>
      <c r="R496" s="462"/>
      <c r="S496" s="462"/>
      <c r="T496" s="462"/>
      <c r="U496" s="462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/>
      <c r="B497" s="460" t="s">
        <v>239</v>
      </c>
      <c r="C497" s="460" t="s">
        <v>179</v>
      </c>
      <c r="D497" s="108">
        <v>6.04</v>
      </c>
      <c r="E497" s="108"/>
      <c r="F497" s="127"/>
      <c r="G497" s="128"/>
      <c r="H497" s="454">
        <f t="shared" si="224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498" si="228">IF(ISERROR(I497-K497),"",I497-K497)</f>
        <v>0</v>
      </c>
      <c r="N497" s="130">
        <f t="shared" ref="N497:N498" si="229">SUM(O497:U497)</f>
        <v>0</v>
      </c>
      <c r="O497" s="462"/>
      <c r="P497" s="462"/>
      <c r="Q497" s="462"/>
      <c r="R497" s="462"/>
      <c r="S497" s="462"/>
      <c r="T497" s="462"/>
      <c r="U497" s="462"/>
      <c r="V497" s="132">
        <f t="shared" ref="V497:V498" si="230">SUM(X497:AA497)</f>
        <v>0</v>
      </c>
      <c r="W497" s="133" t="str">
        <f t="shared" ref="W497:W498" si="231">IF(ISERROR(V497/G497),"",V497/G497)</f>
        <v/>
      </c>
      <c r="X497" s="132"/>
      <c r="Y497" s="132"/>
      <c r="Z497" s="132"/>
      <c r="AA497" s="132"/>
    </row>
    <row r="498" spans="1:27" ht="20.100000000000001" hidden="1" customHeight="1">
      <c r="A498" s="305">
        <v>30700019</v>
      </c>
      <c r="B498" s="460" t="s">
        <v>239</v>
      </c>
      <c r="C498" s="460" t="s">
        <v>186</v>
      </c>
      <c r="D498" s="108">
        <v>6.04</v>
      </c>
      <c r="E498" s="108"/>
      <c r="F498" s="127"/>
      <c r="G498" s="128"/>
      <c r="H498" s="454">
        <f t="shared" si="224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8"/>
        <v>0</v>
      </c>
      <c r="N498" s="130">
        <f t="shared" si="229"/>
        <v>0</v>
      </c>
      <c r="O498" s="462"/>
      <c r="P498" s="462"/>
      <c r="Q498" s="462"/>
      <c r="R498" s="462"/>
      <c r="S498" s="462"/>
      <c r="T498" s="462"/>
      <c r="U498" s="462"/>
      <c r="V498" s="132">
        <f t="shared" si="230"/>
        <v>0</v>
      </c>
      <c r="W498" s="133" t="str">
        <f t="shared" si="231"/>
        <v/>
      </c>
      <c r="X498" s="132"/>
      <c r="Y498" s="132"/>
      <c r="Z498" s="132"/>
      <c r="AA498" s="132"/>
    </row>
    <row r="499" spans="1:27" ht="20.100000000000001" hidden="1" customHeight="1">
      <c r="A499" s="305">
        <v>30601015</v>
      </c>
      <c r="B499" s="460" t="s">
        <v>443</v>
      </c>
      <c r="C499" s="460" t="s">
        <v>179</v>
      </c>
      <c r="D499" s="108"/>
      <c r="E499" s="108"/>
      <c r="F499" s="127"/>
      <c r="G499" s="128"/>
      <c r="H499" s="454">
        <f t="shared" si="224"/>
        <v>0</v>
      </c>
      <c r="I499" s="129"/>
      <c r="J499" s="130"/>
      <c r="K499" s="131"/>
      <c r="L499" s="129"/>
      <c r="M499" s="109"/>
      <c r="N499" s="130"/>
      <c r="O499" s="462"/>
      <c r="P499" s="462"/>
      <c r="Q499" s="462"/>
      <c r="R499" s="462"/>
      <c r="S499" s="462"/>
      <c r="T499" s="462"/>
      <c r="U499" s="462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305">
        <v>30101016</v>
      </c>
      <c r="B500" s="460" t="s">
        <v>443</v>
      </c>
      <c r="C500" s="460" t="s">
        <v>186</v>
      </c>
      <c r="D500" s="108"/>
      <c r="E500" s="108"/>
      <c r="F500" s="127"/>
      <c r="G500" s="128"/>
      <c r="H500" s="454">
        <f t="shared" si="224"/>
        <v>0</v>
      </c>
      <c r="I500" s="129"/>
      <c r="J500" s="130"/>
      <c r="K500" s="131"/>
      <c r="L500" s="129"/>
      <c r="M500" s="109"/>
      <c r="N500" s="130"/>
      <c r="O500" s="462"/>
      <c r="P500" s="462"/>
      <c r="Q500" s="462"/>
      <c r="R500" s="462"/>
      <c r="S500" s="462"/>
      <c r="T500" s="462"/>
      <c r="U500" s="462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30700018</v>
      </c>
      <c r="B501" s="453" t="s">
        <v>240</v>
      </c>
      <c r="C501" s="126"/>
      <c r="D501" s="108">
        <v>7.3</v>
      </c>
      <c r="E501" s="108"/>
      <c r="F501" s="127"/>
      <c r="G501" s="128"/>
      <c r="H501" s="454">
        <f t="shared" si="224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ref="M501" si="232">IF(ISERROR(I501-K501),"",I501-K501)</f>
        <v>0</v>
      </c>
      <c r="N501" s="130">
        <f t="shared" ref="N501" si="233">SUM(O501:U501)</f>
        <v>0</v>
      </c>
      <c r="O501" s="462"/>
      <c r="P501" s="462"/>
      <c r="Q501" s="462"/>
      <c r="R501" s="462"/>
      <c r="S501" s="462"/>
      <c r="T501" s="462"/>
      <c r="U501" s="462"/>
      <c r="V501" s="132">
        <f t="shared" ref="V501" si="234">SUM(X501:AA501)</f>
        <v>0</v>
      </c>
      <c r="W501" s="133" t="str">
        <f t="shared" ref="W501" si="235">IF(ISERROR(V501/G501),"",V501/G501)</f>
        <v/>
      </c>
      <c r="X501" s="132"/>
      <c r="Y501" s="132"/>
      <c r="Z501" s="132"/>
      <c r="AA501" s="132"/>
    </row>
    <row r="502" spans="1:27" ht="20.100000000000001" hidden="1" customHeight="1">
      <c r="A502" s="299">
        <v>30700010</v>
      </c>
      <c r="B502" s="453" t="s">
        <v>241</v>
      </c>
      <c r="C502" s="126"/>
      <c r="D502" s="108">
        <f>78*120/1000</f>
        <v>9.36</v>
      </c>
      <c r="E502" s="108"/>
      <c r="F502" s="127"/>
      <c r="G502" s="128"/>
      <c r="H502" s="454">
        <f t="shared" si="224"/>
        <v>0</v>
      </c>
      <c r="I502" s="129"/>
      <c r="J502" s="130"/>
      <c r="K502" s="131"/>
      <c r="L502" s="129"/>
      <c r="M502" s="109"/>
      <c r="N502" s="130"/>
      <c r="O502" s="462"/>
      <c r="P502" s="462"/>
      <c r="Q502" s="462"/>
      <c r="R502" s="462"/>
      <c r="S502" s="462"/>
      <c r="T502" s="462"/>
      <c r="U502" s="462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299">
        <v>30700015</v>
      </c>
      <c r="B503" s="453" t="s">
        <v>242</v>
      </c>
      <c r="C503" s="126"/>
      <c r="D503" s="108">
        <v>4.5</v>
      </c>
      <c r="E503" s="108"/>
      <c r="F503" s="127"/>
      <c r="G503" s="128"/>
      <c r="H503" s="454">
        <f t="shared" si="224"/>
        <v>0</v>
      </c>
      <c r="I503" s="129"/>
      <c r="J503" s="130"/>
      <c r="K503" s="131"/>
      <c r="L503" s="129"/>
      <c r="M503" s="109"/>
      <c r="N503" s="130"/>
      <c r="O503" s="462"/>
      <c r="P503" s="462"/>
      <c r="Q503" s="462"/>
      <c r="R503" s="462"/>
      <c r="S503" s="462"/>
      <c r="T503" s="462"/>
      <c r="U503" s="462"/>
      <c r="V503" s="132"/>
      <c r="W503" s="133"/>
      <c r="X503" s="132"/>
      <c r="Y503" s="132"/>
      <c r="Z503" s="132"/>
      <c r="AA503" s="132"/>
    </row>
    <row r="504" spans="1:27" ht="20.100000000000001" hidden="1" customHeight="1">
      <c r="A504" s="299">
        <v>30700012</v>
      </c>
      <c r="B504" s="453" t="s">
        <v>243</v>
      </c>
      <c r="C504" s="126"/>
      <c r="D504" s="108">
        <v>4.5</v>
      </c>
      <c r="E504" s="108"/>
      <c r="F504" s="127"/>
      <c r="G504" s="128"/>
      <c r="H504" s="454">
        <f t="shared" si="224"/>
        <v>0</v>
      </c>
      <c r="I504" s="129"/>
      <c r="J504" s="130"/>
      <c r="K504" s="131"/>
      <c r="L504" s="129"/>
      <c r="M504" s="109"/>
      <c r="N504" s="130"/>
      <c r="O504" s="462"/>
      <c r="P504" s="462"/>
      <c r="Q504" s="462"/>
      <c r="R504" s="462"/>
      <c r="S504" s="462"/>
      <c r="T504" s="462"/>
      <c r="U504" s="462"/>
      <c r="V504" s="132"/>
      <c r="W504" s="133"/>
      <c r="X504" s="132"/>
      <c r="Y504" s="132"/>
      <c r="Z504" s="132"/>
      <c r="AA504" s="132"/>
    </row>
    <row r="505" spans="1:27" ht="20.100000000000001" hidden="1" customHeight="1">
      <c r="A505" s="299"/>
      <c r="B505" s="453"/>
      <c r="C505" s="126"/>
      <c r="D505" s="108"/>
      <c r="E505" s="108"/>
      <c r="F505" s="127"/>
      <c r="G505" s="128"/>
      <c r="H505" s="454">
        <f t="shared" si="224"/>
        <v>0</v>
      </c>
      <c r="I505" s="129"/>
      <c r="J505" s="130"/>
      <c r="K505" s="131"/>
      <c r="L505" s="129"/>
      <c r="M505" s="109"/>
      <c r="N505" s="130"/>
      <c r="O505" s="462"/>
      <c r="P505" s="462"/>
      <c r="Q505" s="462"/>
      <c r="R505" s="462"/>
      <c r="S505" s="462"/>
      <c r="T505" s="462"/>
      <c r="U505" s="462"/>
      <c r="V505" s="132"/>
      <c r="W505" s="133"/>
      <c r="X505" s="132"/>
      <c r="Y505" s="132"/>
      <c r="Z505" s="132"/>
      <c r="AA505" s="132"/>
    </row>
    <row r="506" spans="1:27" ht="20.100000000000001" hidden="1" customHeight="1">
      <c r="A506" s="578" t="s">
        <v>244</v>
      </c>
      <c r="B506" s="579"/>
      <c r="C506" s="463" t="s">
        <v>202</v>
      </c>
      <c r="D506" s="143"/>
      <c r="E506" s="143"/>
      <c r="F506" s="144"/>
      <c r="G506" s="145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6">SUM(M491:M501)</f>
        <v>0</v>
      </c>
      <c r="N506" s="146">
        <f t="shared" si="236"/>
        <v>0</v>
      </c>
      <c r="O506" s="148">
        <f t="shared" si="236"/>
        <v>0</v>
      </c>
      <c r="P506" s="148">
        <f t="shared" si="236"/>
        <v>0</v>
      </c>
      <c r="Q506" s="148">
        <f t="shared" si="236"/>
        <v>0</v>
      </c>
      <c r="R506" s="148">
        <f t="shared" si="236"/>
        <v>0</v>
      </c>
      <c r="S506" s="148">
        <f t="shared" si="236"/>
        <v>0</v>
      </c>
      <c r="T506" s="148">
        <f t="shared" si="236"/>
        <v>0</v>
      </c>
      <c r="U506" s="148">
        <f t="shared" si="236"/>
        <v>0</v>
      </c>
      <c r="V506" s="149">
        <f t="shared" si="236"/>
        <v>0</v>
      </c>
      <c r="W506" s="133">
        <f t="shared" si="236"/>
        <v>0</v>
      </c>
      <c r="X506" s="149">
        <f t="shared" si="236"/>
        <v>0</v>
      </c>
      <c r="Y506" s="149">
        <f t="shared" si="236"/>
        <v>0</v>
      </c>
      <c r="Z506" s="149">
        <f t="shared" si="236"/>
        <v>0</v>
      </c>
      <c r="AA506" s="149">
        <f t="shared" si="236"/>
        <v>0</v>
      </c>
    </row>
    <row r="507" spans="1:27" ht="20.100000000000001" customHeight="1">
      <c r="A507" s="580" t="s">
        <v>246</v>
      </c>
      <c r="B507" s="581"/>
      <c r="C507" s="581"/>
      <c r="D507" s="581"/>
      <c r="E507" s="581"/>
      <c r="F507" s="582"/>
      <c r="G507" s="154">
        <f>SUM(G370,G428,G463,G479,G490,G506)</f>
        <v>1440</v>
      </c>
      <c r="H507" s="154">
        <f>SUM(H370,H428,H463,H479,H490,H506)</f>
        <v>7285.17</v>
      </c>
      <c r="I507" s="154">
        <f>SUM(I370,I428,I463,I479,I490,I506)</f>
        <v>56</v>
      </c>
      <c r="J507" s="155">
        <f t="array" ref="J507">IF(ISERROR(G507/I507),"",G507/I507)</f>
        <v>25.714285714285715</v>
      </c>
      <c r="K507" s="154">
        <f>SUM(K370,K428,K463,K479,K490,K506)</f>
        <v>94.666666666666671</v>
      </c>
      <c r="L507" s="155">
        <f>IF(ISERROR(G507/K507),"",G507/K507)</f>
        <v>15.211267605633802</v>
      </c>
      <c r="M507" s="154">
        <f t="shared" ref="M507:V507" si="237">SUM(M370,M428,M463,M479,M490,M506)</f>
        <v>-38.666666666666671</v>
      </c>
      <c r="N507" s="154">
        <f t="shared" si="237"/>
        <v>0</v>
      </c>
      <c r="O507" s="154">
        <f t="shared" si="237"/>
        <v>0</v>
      </c>
      <c r="P507" s="154">
        <f t="shared" si="237"/>
        <v>0</v>
      </c>
      <c r="Q507" s="154">
        <f t="shared" si="237"/>
        <v>0</v>
      </c>
      <c r="R507" s="154">
        <f t="shared" si="237"/>
        <v>0</v>
      </c>
      <c r="S507" s="154">
        <f t="shared" si="237"/>
        <v>0</v>
      </c>
      <c r="T507" s="154">
        <f t="shared" si="237"/>
        <v>0</v>
      </c>
      <c r="U507" s="154">
        <f t="shared" si="237"/>
        <v>0</v>
      </c>
      <c r="V507" s="154">
        <f t="shared" si="237"/>
        <v>0</v>
      </c>
      <c r="W507" s="156">
        <f t="shared" ref="W507" si="238">IF(ISERROR(V507/G507),"",V507/G507)</f>
        <v>0</v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583" t="s">
        <v>476</v>
      </c>
      <c r="B508" s="456" t="s">
        <v>247</v>
      </c>
      <c r="C508" s="586" t="s">
        <v>248</v>
      </c>
      <c r="D508" s="587"/>
      <c r="E508" s="588" t="s">
        <v>249</v>
      </c>
      <c r="F508" s="588"/>
      <c r="G508" s="591" t="s">
        <v>250</v>
      </c>
      <c r="H508" s="591"/>
      <c r="I508" s="588" t="s">
        <v>251</v>
      </c>
      <c r="J508" s="588"/>
      <c r="K508" s="588" t="s">
        <v>252</v>
      </c>
      <c r="L508" s="588"/>
      <c r="M508" s="588" t="s">
        <v>253</v>
      </c>
      <c r="N508" s="588"/>
      <c r="O508" s="588" t="s">
        <v>254</v>
      </c>
      <c r="P508" s="591" t="s">
        <v>255</v>
      </c>
      <c r="Q508" s="591"/>
      <c r="R508" s="591" t="s">
        <v>252</v>
      </c>
      <c r="S508" s="591"/>
      <c r="T508" s="591" t="s">
        <v>256</v>
      </c>
      <c r="U508" s="591"/>
      <c r="V508" s="591" t="s">
        <v>257</v>
      </c>
      <c r="W508" s="591"/>
      <c r="X508" s="591" t="s">
        <v>252</v>
      </c>
      <c r="Y508" s="591"/>
      <c r="Z508" s="591" t="s">
        <v>256</v>
      </c>
      <c r="AA508" s="591"/>
    </row>
    <row r="509" spans="1:27" ht="20.100000000000001" customHeight="1">
      <c r="A509" s="584"/>
      <c r="B509" s="456" t="s">
        <v>258</v>
      </c>
      <c r="C509" s="586">
        <v>0</v>
      </c>
      <c r="D509" s="587"/>
      <c r="E509" s="590">
        <f>C509*11</f>
        <v>0</v>
      </c>
      <c r="F509" s="590"/>
      <c r="G509" s="591">
        <v>0</v>
      </c>
      <c r="H509" s="591"/>
      <c r="I509" s="590">
        <f>G509*11</f>
        <v>0</v>
      </c>
      <c r="J509" s="590"/>
      <c r="K509" s="590">
        <f>E509-I509</f>
        <v>0</v>
      </c>
      <c r="L509" s="590"/>
      <c r="M509" s="592" t="str">
        <f>IF(ISERROR(K509/E509),"",K509/E509)</f>
        <v/>
      </c>
      <c r="N509" s="592"/>
      <c r="O509" s="588"/>
      <c r="P509" s="591" t="s">
        <v>201</v>
      </c>
      <c r="Q509" s="591"/>
      <c r="R509" s="593">
        <f>SUM(O370:U370)</f>
        <v>0</v>
      </c>
      <c r="S509" s="593"/>
      <c r="T509" s="594" t="str">
        <f t="array" ref="T509">IF(ISERROR(R509/R516),"",R509/R516)</f>
        <v/>
      </c>
      <c r="U509" s="594"/>
      <c r="V509" s="591" t="s">
        <v>259</v>
      </c>
      <c r="W509" s="591"/>
      <c r="X509" s="595">
        <f>SUM(O370,O428,O463,O479,O490,O506)</f>
        <v>0</v>
      </c>
      <c r="Y509" s="595"/>
      <c r="Z509" s="594" t="str">
        <f t="array" ref="Z509">IF(ISERROR(X509/X516),"",X509/X516)</f>
        <v/>
      </c>
      <c r="AA509" s="594"/>
    </row>
    <row r="510" spans="1:27" ht="20.100000000000001" customHeight="1">
      <c r="A510" s="584"/>
      <c r="B510" s="456" t="s">
        <v>260</v>
      </c>
      <c r="C510" s="586">
        <v>0</v>
      </c>
      <c r="D510" s="587"/>
      <c r="E510" s="590">
        <f>C510*11</f>
        <v>0</v>
      </c>
      <c r="F510" s="590"/>
      <c r="G510" s="591">
        <v>0</v>
      </c>
      <c r="H510" s="591"/>
      <c r="I510" s="590">
        <f>G510*11</f>
        <v>0</v>
      </c>
      <c r="J510" s="590"/>
      <c r="K510" s="590">
        <f>E510-I510</f>
        <v>0</v>
      </c>
      <c r="L510" s="590"/>
      <c r="M510" s="592" t="str">
        <f>IF(ISERROR(K510/E510),"",K510/E510)</f>
        <v/>
      </c>
      <c r="N510" s="592"/>
      <c r="O510" s="588"/>
      <c r="P510" s="591" t="s">
        <v>216</v>
      </c>
      <c r="Q510" s="591"/>
      <c r="R510" s="593">
        <f>SUM(O428:U428)</f>
        <v>0</v>
      </c>
      <c r="S510" s="593"/>
      <c r="T510" s="594" t="str">
        <f>IF(ISERROR(R510/R516),"",R510/R516)</f>
        <v/>
      </c>
      <c r="U510" s="594"/>
      <c r="V510" s="591" t="s">
        <v>261</v>
      </c>
      <c r="W510" s="591"/>
      <c r="X510" s="595">
        <f>SUM(O371,O429,O464,O480,O491,O507)</f>
        <v>0</v>
      </c>
      <c r="Y510" s="595"/>
      <c r="Z510" s="594" t="str">
        <f>IF(ISERROR(X510/X516),"",X510/X516)</f>
        <v/>
      </c>
      <c r="AA510" s="594"/>
    </row>
    <row r="511" spans="1:27" ht="20.100000000000001" customHeight="1">
      <c r="A511" s="584"/>
      <c r="B511" s="456" t="s">
        <v>262</v>
      </c>
      <c r="C511" s="586">
        <v>0</v>
      </c>
      <c r="D511" s="587"/>
      <c r="E511" s="590">
        <f>C511*11</f>
        <v>0</v>
      </c>
      <c r="F511" s="590"/>
      <c r="G511" s="591">
        <v>0</v>
      </c>
      <c r="H511" s="591"/>
      <c r="I511" s="590">
        <f>G511*11</f>
        <v>0</v>
      </c>
      <c r="J511" s="590"/>
      <c r="K511" s="590">
        <f>E511-I511</f>
        <v>0</v>
      </c>
      <c r="L511" s="590"/>
      <c r="M511" s="592" t="str">
        <f>IF(ISERROR(K511/E511),"",K511/E511)</f>
        <v/>
      </c>
      <c r="N511" s="592"/>
      <c r="O511" s="588"/>
      <c r="P511" s="591" t="s">
        <v>224</v>
      </c>
      <c r="Q511" s="591"/>
      <c r="R511" s="593">
        <f>SUM(O463:U463)</f>
        <v>0</v>
      </c>
      <c r="S511" s="593"/>
      <c r="T511" s="594" t="str">
        <f>IF(ISERROR(R511/R516),"",R511/R516)</f>
        <v/>
      </c>
      <c r="U511" s="594"/>
      <c r="V511" s="591" t="s">
        <v>263</v>
      </c>
      <c r="W511" s="591"/>
      <c r="X511" s="595">
        <f>SUM(O373,O430,O465,O481,O492,O508)</f>
        <v>0</v>
      </c>
      <c r="Y511" s="595"/>
      <c r="Z511" s="594" t="str">
        <f>IF(ISERROR(X511/X516),"",X511/X516)</f>
        <v/>
      </c>
      <c r="AA511" s="594"/>
    </row>
    <row r="512" spans="1:27" ht="20.100000000000001" customHeight="1">
      <c r="A512" s="584"/>
      <c r="B512" s="456" t="s">
        <v>264</v>
      </c>
      <c r="C512" s="586">
        <v>1</v>
      </c>
      <c r="D512" s="587"/>
      <c r="E512" s="590">
        <f>C512*11</f>
        <v>11</v>
      </c>
      <c r="F512" s="590"/>
      <c r="G512" s="591">
        <v>1</v>
      </c>
      <c r="H512" s="591"/>
      <c r="I512" s="590">
        <f>G512*11</f>
        <v>11</v>
      </c>
      <c r="J512" s="590"/>
      <c r="K512" s="590">
        <f>E512-I512</f>
        <v>0</v>
      </c>
      <c r="L512" s="590"/>
      <c r="M512" s="592">
        <f>IF(ISERROR(K512/E512),"",K512/E512)</f>
        <v>0</v>
      </c>
      <c r="N512" s="592"/>
      <c r="O512" s="588"/>
      <c r="P512" s="591" t="s">
        <v>231</v>
      </c>
      <c r="Q512" s="591"/>
      <c r="R512" s="593">
        <f>SUM(O479:U479)</f>
        <v>0</v>
      </c>
      <c r="S512" s="593"/>
      <c r="T512" s="594" t="str">
        <f>IF(ISERROR(R512/R516),"",R512/R516)</f>
        <v/>
      </c>
      <c r="U512" s="594"/>
      <c r="V512" s="591" t="s">
        <v>265</v>
      </c>
      <c r="W512" s="591"/>
      <c r="X512" s="595">
        <f>SUM(O374,O431,O466,O482,O493,O509)</f>
        <v>0</v>
      </c>
      <c r="Y512" s="595"/>
      <c r="Z512" s="594" t="str">
        <f>IF(ISERROR(X512/X516),"",X512/X516)</f>
        <v/>
      </c>
      <c r="AA512" s="594"/>
    </row>
    <row r="513" spans="1:27" ht="20.100000000000001" customHeight="1">
      <c r="A513" s="585"/>
      <c r="B513" s="456" t="s">
        <v>266</v>
      </c>
      <c r="C513" s="596">
        <f>SUM(C509:D512)</f>
        <v>1</v>
      </c>
      <c r="D513" s="597"/>
      <c r="E513" s="590">
        <f>SUM(E509:F512)</f>
        <v>11</v>
      </c>
      <c r="F513" s="590"/>
      <c r="G513" s="591">
        <f>SUM(G509:H512)</f>
        <v>1</v>
      </c>
      <c r="H513" s="591"/>
      <c r="I513" s="590">
        <f>SUM(I509:J512)</f>
        <v>11</v>
      </c>
      <c r="J513" s="590"/>
      <c r="K513" s="590">
        <f>SUM(K509:L512)</f>
        <v>0</v>
      </c>
      <c r="L513" s="590"/>
      <c r="M513" s="592">
        <f>IF(ISERROR(K513/E513),"",K513/E513)</f>
        <v>0</v>
      </c>
      <c r="N513" s="592"/>
      <c r="O513" s="588"/>
      <c r="P513" s="591" t="s">
        <v>234</v>
      </c>
      <c r="Q513" s="591"/>
      <c r="R513" s="593">
        <f>SUM(O490:U490)</f>
        <v>0</v>
      </c>
      <c r="S513" s="593"/>
      <c r="T513" s="594" t="str">
        <f>IF(ISERROR(R513/R516),"",R513/R516)</f>
        <v/>
      </c>
      <c r="U513" s="594"/>
      <c r="V513" s="591" t="s">
        <v>267</v>
      </c>
      <c r="W513" s="591"/>
      <c r="X513" s="595">
        <f>SUM(O375,O432,O467,O483,O494,O510)</f>
        <v>0</v>
      </c>
      <c r="Y513" s="595"/>
      <c r="Z513" s="594" t="str">
        <f>IF(ISERROR(X513/X516),"",X513/X516)</f>
        <v/>
      </c>
      <c r="AA513" s="594"/>
    </row>
    <row r="514" spans="1:27" ht="20.100000000000001" customHeight="1">
      <c r="A514" s="307" t="s">
        <v>477</v>
      </c>
      <c r="B514" s="456">
        <f>G507</f>
        <v>1440</v>
      </c>
      <c r="C514" s="598" t="s">
        <v>269</v>
      </c>
      <c r="D514" s="599"/>
      <c r="E514" s="591">
        <f>H507</f>
        <v>7285.17</v>
      </c>
      <c r="F514" s="591"/>
      <c r="G514" s="591" t="s">
        <v>270</v>
      </c>
      <c r="H514" s="591"/>
      <c r="I514" s="600">
        <f>L507</f>
        <v>15.211267605633802</v>
      </c>
      <c r="J514" s="600"/>
      <c r="K514" s="588" t="s">
        <v>271</v>
      </c>
      <c r="L514" s="588"/>
      <c r="M514" s="600">
        <f>J507</f>
        <v>25.714285714285715</v>
      </c>
      <c r="N514" s="600"/>
      <c r="O514" s="588"/>
      <c r="P514" s="591" t="s">
        <v>244</v>
      </c>
      <c r="Q514" s="591"/>
      <c r="R514" s="593">
        <f>SUM(O506:U506)</f>
        <v>0</v>
      </c>
      <c r="S514" s="593"/>
      <c r="T514" s="594" t="str">
        <f>IF(ISERROR(R514/R516),"",R514/R516)</f>
        <v/>
      </c>
      <c r="U514" s="594"/>
      <c r="V514" s="591" t="s">
        <v>272</v>
      </c>
      <c r="W514" s="591"/>
      <c r="X514" s="595">
        <f>SUM(O376,O433,O468,O484,O495,O511)</f>
        <v>0</v>
      </c>
      <c r="Y514" s="595"/>
      <c r="Z514" s="594" t="str">
        <f>IF(ISERROR(X514/X516),"",X514/X516)</f>
        <v/>
      </c>
      <c r="AA514" s="594"/>
    </row>
    <row r="515" spans="1:27" ht="20.100000000000001" customHeight="1">
      <c r="A515" s="308" t="s">
        <v>478</v>
      </c>
      <c r="B515" s="456">
        <f>I507+C513</f>
        <v>57</v>
      </c>
      <c r="C515" s="601" t="s">
        <v>251</v>
      </c>
      <c r="D515" s="602"/>
      <c r="E515" s="603">
        <f>K507+I513</f>
        <v>105.66666666666667</v>
      </c>
      <c r="F515" s="603"/>
      <c r="G515" s="591" t="s">
        <v>274</v>
      </c>
      <c r="H515" s="591"/>
      <c r="I515" s="600">
        <f>B515-E515</f>
        <v>-48.666666666666671</v>
      </c>
      <c r="J515" s="600"/>
      <c r="K515" s="588" t="s">
        <v>275</v>
      </c>
      <c r="L515" s="588"/>
      <c r="M515" s="592">
        <f>IF(ISERROR(I515/E515),"",I515/E515)</f>
        <v>-0.4605678233438486</v>
      </c>
      <c r="N515" s="592"/>
      <c r="O515" s="588"/>
      <c r="P515" s="591" t="s">
        <v>245</v>
      </c>
      <c r="Q515" s="591"/>
      <c r="R515" s="593"/>
      <c r="S515" s="593"/>
      <c r="T515" s="594" t="str">
        <f>IF(ISERROR(R515/R516),"",R515/R516)</f>
        <v/>
      </c>
      <c r="U515" s="594"/>
      <c r="V515" s="591" t="s">
        <v>264</v>
      </c>
      <c r="W515" s="591"/>
      <c r="X515" s="595">
        <f>SUM(O377,O434,O469,O489,O496,O512)</f>
        <v>0</v>
      </c>
      <c r="Y515" s="595"/>
      <c r="Z515" s="594" t="str">
        <f>IF(ISERROR(X515/X516),"",X515/X516)</f>
        <v/>
      </c>
      <c r="AA515" s="594"/>
    </row>
    <row r="516" spans="1:27" ht="20.100000000000001" customHeight="1">
      <c r="A516" s="308" t="s">
        <v>479</v>
      </c>
      <c r="B516" s="456">
        <f>N507</f>
        <v>0</v>
      </c>
      <c r="C516" s="601" t="s">
        <v>277</v>
      </c>
      <c r="D516" s="602"/>
      <c r="E516" s="594">
        <f>IF(ISERROR(B516/B515),"",B516/B515)</f>
        <v>0</v>
      </c>
      <c r="F516" s="594"/>
      <c r="G516" s="591" t="s">
        <v>278</v>
      </c>
      <c r="H516" s="591"/>
      <c r="I516" s="588">
        <f>V507</f>
        <v>0</v>
      </c>
      <c r="J516" s="588"/>
      <c r="K516" s="588" t="s">
        <v>279</v>
      </c>
      <c r="L516" s="588"/>
      <c r="M516" s="592">
        <f t="array" ref="M516">IF(ISERROR(I516/B514),"",I516/B514)</f>
        <v>0</v>
      </c>
      <c r="N516" s="592"/>
      <c r="O516" s="588"/>
      <c r="P516" s="591" t="s">
        <v>266</v>
      </c>
      <c r="Q516" s="591"/>
      <c r="R516" s="593">
        <f>SUM(R509:S515)</f>
        <v>0</v>
      </c>
      <c r="S516" s="593"/>
      <c r="T516" s="594"/>
      <c r="U516" s="594"/>
      <c r="V516" s="591" t="s">
        <v>266</v>
      </c>
      <c r="W516" s="591"/>
      <c r="X516" s="595">
        <f>SUM(X509:Y515)</f>
        <v>0</v>
      </c>
      <c r="Y516" s="595"/>
      <c r="Z516" s="594"/>
      <c r="AA516" s="594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630" t="str">
        <f>IF(ISERROR(#REF!/#REF!),"",#REF!/#REF!)</f>
        <v/>
      </c>
      <c r="H517" s="630"/>
      <c r="I517" s="630"/>
      <c r="J517" s="125"/>
      <c r="K517" s="160"/>
      <c r="L517" s="122"/>
      <c r="M517" s="122"/>
      <c r="N517" s="630" t="str">
        <f>IF(ISERROR(G517/#REF!),"",G517/#REF!)</f>
        <v/>
      </c>
      <c r="O517" s="630"/>
      <c r="P517" s="630"/>
      <c r="Q517" s="630"/>
      <c r="R517" s="630"/>
      <c r="S517" s="457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6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633" t="s">
        <v>268</v>
      </c>
      <c r="B519" s="633"/>
      <c r="C519" s="586">
        <f>SUM(B171,B342,B514)</f>
        <v>13791</v>
      </c>
      <c r="D519" s="587"/>
      <c r="E519" s="633" t="s">
        <v>269</v>
      </c>
      <c r="F519" s="633"/>
      <c r="G519" s="603">
        <f>SUM(E171,E342,E514)</f>
        <v>70137.14</v>
      </c>
      <c r="H519" s="603"/>
      <c r="I519" s="591" t="s">
        <v>270</v>
      </c>
      <c r="J519" s="633"/>
      <c r="K519" s="586">
        <f>IF(ISERROR(C519/G520),"",C519/G520)</f>
        <v>16.684961563765977</v>
      </c>
      <c r="L519" s="587"/>
      <c r="M519" s="591" t="s">
        <v>271</v>
      </c>
      <c r="N519" s="591"/>
      <c r="O519" s="628">
        <f t="array" ref="O519">IF(ISERROR(C519/C520),"",C519/C520)</f>
        <v>17.938578805655641</v>
      </c>
      <c r="P519" s="629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591" t="s">
        <v>273</v>
      </c>
      <c r="B520" s="591"/>
      <c r="C520" s="586">
        <f>SUM(B172,B343,B515)</f>
        <v>768.79</v>
      </c>
      <c r="D520" s="587"/>
      <c r="E520" s="591" t="s">
        <v>251</v>
      </c>
      <c r="F520" s="591"/>
      <c r="G520" s="603">
        <f>SUM(E172,E343,E515)</f>
        <v>826.55269820634942</v>
      </c>
      <c r="H520" s="603"/>
      <c r="I520" s="601" t="s">
        <v>274</v>
      </c>
      <c r="J520" s="602"/>
      <c r="K520" s="598">
        <f>C520-G520</f>
        <v>-57.762698206349455</v>
      </c>
      <c r="L520" s="599"/>
      <c r="M520" s="598" t="s">
        <v>275</v>
      </c>
      <c r="N520" s="599"/>
      <c r="O520" s="631">
        <f>IF(ISERROR(K520/C520),"",K520/C520)</f>
        <v>-7.5134559771003084E-2</v>
      </c>
      <c r="P520" s="632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601" t="s">
        <v>276</v>
      </c>
      <c r="B521" s="602"/>
      <c r="C521" s="586">
        <f>SUM(B173,B344,B516)</f>
        <v>0</v>
      </c>
      <c r="D521" s="587"/>
      <c r="E521" s="601" t="s">
        <v>277</v>
      </c>
      <c r="F521" s="602"/>
      <c r="G521" s="594">
        <f>IF(ISERROR(C521/C520),"",C521/C520)</f>
        <v>0</v>
      </c>
      <c r="H521" s="594"/>
      <c r="I521" s="591" t="s">
        <v>278</v>
      </c>
      <c r="J521" s="633"/>
      <c r="K521" s="603">
        <f>SUM(I173,I344,I516)</f>
        <v>0</v>
      </c>
      <c r="L521" s="603"/>
      <c r="M521" s="633" t="s">
        <v>279</v>
      </c>
      <c r="N521" s="633"/>
      <c r="O521" s="631">
        <f t="array" ref="O521">IF(ISERROR(K521/C519),"",K521/C519)</f>
        <v>0</v>
      </c>
      <c r="P521" s="632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347"/>
      <c r="H522" s="168"/>
      <c r="I522" s="457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601" t="s">
        <v>298</v>
      </c>
      <c r="B523" s="602"/>
      <c r="C523" s="601" t="s">
        <v>299</v>
      </c>
      <c r="D523" s="602"/>
      <c r="E523" s="601" t="s">
        <v>256</v>
      </c>
      <c r="F523" s="602"/>
      <c r="G523" s="634" t="s">
        <v>254</v>
      </c>
      <c r="H523" s="635"/>
      <c r="I523" s="601" t="s">
        <v>255</v>
      </c>
      <c r="J523" s="599"/>
      <c r="K523" s="601" t="s">
        <v>300</v>
      </c>
      <c r="L523" s="602"/>
      <c r="M523" s="601" t="s">
        <v>256</v>
      </c>
      <c r="N523" s="602"/>
      <c r="O523" s="591" t="s">
        <v>257</v>
      </c>
      <c r="P523" s="591"/>
      <c r="Q523" s="601" t="s">
        <v>300</v>
      </c>
      <c r="R523" s="602"/>
      <c r="S523" s="601" t="s">
        <v>256</v>
      </c>
      <c r="T523" s="602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640" t="s">
        <v>201</v>
      </c>
      <c r="B524" s="602"/>
      <c r="C524" s="601">
        <f>SUM(G28,G199,G370)</f>
        <v>3421</v>
      </c>
      <c r="D524" s="602"/>
      <c r="E524" s="641">
        <f>IF(ISERROR(C524/C530),"",C524/C530)</f>
        <v>0.24806032920020304</v>
      </c>
      <c r="F524" s="642"/>
      <c r="G524" s="636"/>
      <c r="H524" s="637"/>
      <c r="I524" s="643" t="s">
        <v>301</v>
      </c>
      <c r="J524" s="644"/>
      <c r="K524" s="598">
        <f t="shared" ref="K524:K529" si="239">SUM(R166,U337,U509)</f>
        <v>0</v>
      </c>
      <c r="L524" s="599"/>
      <c r="M524" s="641" t="str">
        <f t="array" ref="M524">IF(ISERROR(K524/K530),"",K524/K530)</f>
        <v/>
      </c>
      <c r="N524" s="642"/>
      <c r="O524" s="591" t="s">
        <v>259</v>
      </c>
      <c r="P524" s="591"/>
      <c r="Q524" s="628">
        <f t="shared" ref="Q524:Q529" si="240">SUM(X166,AA337,AA509)</f>
        <v>0</v>
      </c>
      <c r="R524" s="629"/>
      <c r="S524" s="641" t="str">
        <f t="array" ref="S524">IF(ISERROR(Q524/Q530),"",Q524/Q530)</f>
        <v/>
      </c>
      <c r="T524" s="642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640" t="s">
        <v>216</v>
      </c>
      <c r="B525" s="602"/>
      <c r="C525" s="601">
        <f>SUM(G86,G257,G428)</f>
        <v>5007</v>
      </c>
      <c r="D525" s="602"/>
      <c r="E525" s="641">
        <f>IF(ISERROR(C525/C530),"",C525/C530)</f>
        <v>0.36306286708723079</v>
      </c>
      <c r="F525" s="642"/>
      <c r="G525" s="636"/>
      <c r="H525" s="637"/>
      <c r="I525" s="643" t="s">
        <v>302</v>
      </c>
      <c r="J525" s="644"/>
      <c r="K525" s="598">
        <f t="shared" si="239"/>
        <v>0</v>
      </c>
      <c r="L525" s="599"/>
      <c r="M525" s="641" t="str">
        <f>IF(ISERROR(K525/K530),"",K525/K530)</f>
        <v/>
      </c>
      <c r="N525" s="642"/>
      <c r="O525" s="591" t="s">
        <v>261</v>
      </c>
      <c r="P525" s="591"/>
      <c r="Q525" s="628">
        <f t="shared" si="240"/>
        <v>0</v>
      </c>
      <c r="R525" s="629"/>
      <c r="S525" s="641" t="str">
        <f>IF(ISERROR(Q525/Q530),"",Q525/Q530)</f>
        <v/>
      </c>
      <c r="T525" s="642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640" t="s">
        <v>224</v>
      </c>
      <c r="B526" s="602"/>
      <c r="C526" s="601">
        <f>SUM(G121,G292,G463)</f>
        <v>1844</v>
      </c>
      <c r="D526" s="602"/>
      <c r="E526" s="641">
        <f>IF(ISERROR(C526/C530),"",C526/C530)</f>
        <v>0.13371039083460229</v>
      </c>
      <c r="F526" s="642"/>
      <c r="G526" s="636"/>
      <c r="H526" s="637"/>
      <c r="I526" s="643" t="s">
        <v>303</v>
      </c>
      <c r="J526" s="644"/>
      <c r="K526" s="598">
        <f t="shared" si="239"/>
        <v>0</v>
      </c>
      <c r="L526" s="599"/>
      <c r="M526" s="641" t="str">
        <f>IF(ISERROR(K526/K530),"",K526/K530)</f>
        <v/>
      </c>
      <c r="N526" s="642"/>
      <c r="O526" s="591" t="s">
        <v>263</v>
      </c>
      <c r="P526" s="591"/>
      <c r="Q526" s="628">
        <f t="shared" si="240"/>
        <v>0</v>
      </c>
      <c r="R526" s="629"/>
      <c r="S526" s="641" t="str">
        <f>IF(ISERROR(Q526/Q530),"",Q526/Q530)</f>
        <v/>
      </c>
      <c r="T526" s="642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640" t="s">
        <v>231</v>
      </c>
      <c r="B527" s="602"/>
      <c r="C527" s="601">
        <f>SUM(G137,G308,G479)</f>
        <v>1852</v>
      </c>
      <c r="D527" s="602"/>
      <c r="E527" s="641">
        <f>IF(ISERROR(C527/C530),"",C527/C530)</f>
        <v>0.13429047929809296</v>
      </c>
      <c r="F527" s="642"/>
      <c r="G527" s="636"/>
      <c r="H527" s="637"/>
      <c r="I527" s="643" t="s">
        <v>304</v>
      </c>
      <c r="J527" s="644"/>
      <c r="K527" s="598">
        <f t="shared" si="239"/>
        <v>0</v>
      </c>
      <c r="L527" s="599"/>
      <c r="M527" s="641" t="str">
        <f>IF(ISERROR(K527/K530),"",K527/K530)</f>
        <v/>
      </c>
      <c r="N527" s="642"/>
      <c r="O527" s="591" t="s">
        <v>305</v>
      </c>
      <c r="P527" s="591"/>
      <c r="Q527" s="628">
        <f t="shared" si="240"/>
        <v>0</v>
      </c>
      <c r="R527" s="629"/>
      <c r="S527" s="641" t="str">
        <f>IF(ISERROR(Q527/Q530),"",Q527/Q530)</f>
        <v/>
      </c>
      <c r="T527" s="642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640" t="s">
        <v>234</v>
      </c>
      <c r="B528" s="602"/>
      <c r="C528" s="601">
        <f>SUM(G148,G319,G490)</f>
        <v>1237</v>
      </c>
      <c r="D528" s="602"/>
      <c r="E528" s="641">
        <f>IF(ISERROR(C528/C530),"",C528/C530)</f>
        <v>8.9696178667246759E-2</v>
      </c>
      <c r="F528" s="642"/>
      <c r="G528" s="636"/>
      <c r="H528" s="637"/>
      <c r="I528" s="643" t="s">
        <v>306</v>
      </c>
      <c r="J528" s="644"/>
      <c r="K528" s="598">
        <f t="shared" si="239"/>
        <v>0</v>
      </c>
      <c r="L528" s="599"/>
      <c r="M528" s="641" t="str">
        <f>IF(ISERROR(K528/K530),"",K528/K530)</f>
        <v/>
      </c>
      <c r="N528" s="642"/>
      <c r="O528" s="591" t="s">
        <v>267</v>
      </c>
      <c r="P528" s="591"/>
      <c r="Q528" s="628">
        <f t="shared" si="240"/>
        <v>0</v>
      </c>
      <c r="R528" s="629"/>
      <c r="S528" s="641" t="str">
        <f>IF(ISERROR(Q528/Q530),"",Q528/Q530)</f>
        <v/>
      </c>
      <c r="T528" s="642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640" t="s">
        <v>244</v>
      </c>
      <c r="B529" s="602"/>
      <c r="C529" s="601">
        <f>SUM(G163,G334,G506)</f>
        <v>430</v>
      </c>
      <c r="D529" s="602"/>
      <c r="E529" s="641">
        <f>IF(ISERROR(C529/C530),"",C529/C530)</f>
        <v>3.1179754912624175E-2</v>
      </c>
      <c r="F529" s="642"/>
      <c r="G529" s="636"/>
      <c r="H529" s="637"/>
      <c r="I529" s="643" t="s">
        <v>307</v>
      </c>
      <c r="J529" s="644"/>
      <c r="K529" s="598">
        <f t="shared" si="239"/>
        <v>0</v>
      </c>
      <c r="L529" s="599"/>
      <c r="M529" s="641" t="str">
        <f>IF(ISERROR(K529/K530),"",K529/K530)</f>
        <v/>
      </c>
      <c r="N529" s="642"/>
      <c r="O529" s="591" t="s">
        <v>272</v>
      </c>
      <c r="P529" s="591"/>
      <c r="Q529" s="628">
        <f t="shared" si="240"/>
        <v>0</v>
      </c>
      <c r="R529" s="629"/>
      <c r="S529" s="641" t="str">
        <f>IF(ISERROR(Q529/Q530),"",Q529/Q530)</f>
        <v/>
      </c>
      <c r="T529" s="642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601" t="s">
        <v>266</v>
      </c>
      <c r="B530" s="602"/>
      <c r="C530" s="601">
        <f>SUM(C524:C529)</f>
        <v>13791</v>
      </c>
      <c r="D530" s="602"/>
      <c r="E530" s="641">
        <f>SUM(E524:F529)</f>
        <v>1.0000000000000002</v>
      </c>
      <c r="F530" s="642"/>
      <c r="G530" s="638"/>
      <c r="H530" s="639"/>
      <c r="I530" s="601" t="s">
        <v>266</v>
      </c>
      <c r="J530" s="599"/>
      <c r="K530" s="598">
        <f>SUM(R173,U344,U516)</f>
        <v>0</v>
      </c>
      <c r="L530" s="599"/>
      <c r="M530" s="641"/>
      <c r="N530" s="642"/>
      <c r="O530" s="591" t="s">
        <v>266</v>
      </c>
      <c r="P530" s="591"/>
      <c r="Q530" s="628">
        <f>SUM(Q524:R529)</f>
        <v>0</v>
      </c>
      <c r="R530" s="629"/>
      <c r="S530" s="641">
        <f>SUM(S524:T529)</f>
        <v>0</v>
      </c>
      <c r="T530" s="642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502"/>
      <c r="D531" s="172"/>
      <c r="E531" s="172"/>
      <c r="F531" s="172"/>
      <c r="G531" s="173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643" t="s">
        <v>308</v>
      </c>
      <c r="B532" s="597"/>
      <c r="C532" s="460" t="s">
        <v>309</v>
      </c>
      <c r="D532" s="460" t="s">
        <v>310</v>
      </c>
      <c r="E532" s="460" t="s">
        <v>311</v>
      </c>
      <c r="F532" s="460" t="s">
        <v>312</v>
      </c>
      <c r="G532" s="348" t="s">
        <v>313</v>
      </c>
      <c r="H532" s="129" t="s">
        <v>314</v>
      </c>
      <c r="I532" s="129" t="s">
        <v>315</v>
      </c>
      <c r="J532" s="129" t="s">
        <v>316</v>
      </c>
      <c r="K532" s="462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454" t="s">
        <v>322</v>
      </c>
      <c r="Q532" s="129" t="s">
        <v>323</v>
      </c>
      <c r="R532" s="109" t="s">
        <v>324</v>
      </c>
      <c r="S532" s="460" t="s">
        <v>325</v>
      </c>
      <c r="T532" s="460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645" t="s">
        <v>327</v>
      </c>
      <c r="B533" s="646"/>
      <c r="C533" s="106">
        <f>D533+E533+F533-G533-O533-P533</f>
        <v>46</v>
      </c>
      <c r="D533" s="106">
        <f>+'5'!C533</f>
        <v>46</v>
      </c>
      <c r="E533" s="106"/>
      <c r="F533" s="106"/>
      <c r="G533" s="107"/>
      <c r="H533" s="106"/>
      <c r="I533" s="106"/>
      <c r="J533" s="106">
        <f>C533-H533-I533</f>
        <v>46</v>
      </c>
      <c r="K533" s="106"/>
      <c r="L533" s="106"/>
      <c r="M533" s="106"/>
      <c r="N533" s="106"/>
      <c r="O533" s="106"/>
      <c r="P533" s="108"/>
      <c r="Q533" s="106">
        <f>J533-K533-L533</f>
        <v>46</v>
      </c>
      <c r="R533" s="109">
        <f>Q533*11-M533-N533</f>
        <v>506</v>
      </c>
      <c r="S533" s="461">
        <f t="array" ref="S533">IF(ISERROR(Q533/J533),"",Q533/J533)</f>
        <v>1</v>
      </c>
      <c r="T533" s="461">
        <f t="array" ref="T533">IF(ISERROR((O533:P533)/C533),"",SUM(O533:P533)/C533)</f>
        <v>0</v>
      </c>
      <c r="X533" s="116"/>
      <c r="Y533" s="116"/>
      <c r="Z533" s="159"/>
      <c r="AA533" s="159"/>
    </row>
    <row r="534" spans="1:27" ht="20.100000000000001" customHeight="1">
      <c r="A534" s="645" t="s">
        <v>328</v>
      </c>
      <c r="B534" s="646"/>
      <c r="C534" s="106">
        <f>D534+E534+F534-G534-O534-P534</f>
        <v>44</v>
      </c>
      <c r="D534" s="106">
        <f>+'5'!C534</f>
        <v>44</v>
      </c>
      <c r="E534" s="110"/>
      <c r="F534" s="110"/>
      <c r="G534" s="107"/>
      <c r="H534" s="106"/>
      <c r="I534" s="106"/>
      <c r="J534" s="106">
        <f>C534-H534-I534</f>
        <v>44</v>
      </c>
      <c r="K534" s="106"/>
      <c r="L534" s="106"/>
      <c r="M534" s="106"/>
      <c r="N534" s="106"/>
      <c r="O534" s="110"/>
      <c r="P534" s="111"/>
      <c r="Q534" s="106">
        <f>J534-K534-L534</f>
        <v>44</v>
      </c>
      <c r="R534" s="109">
        <f>Q534*11-M534-N534</f>
        <v>484</v>
      </c>
      <c r="S534" s="461">
        <f t="array" ref="S534">IF(ISERROR(Q534/J534),"",Q534/J534)</f>
        <v>1</v>
      </c>
      <c r="T534" s="461">
        <f t="array" ref="T534">IF(ISERROR((O534:P534)/C534),"",SUM(O534:P534)/C534)</f>
        <v>0</v>
      </c>
      <c r="X534" s="116"/>
      <c r="Y534" s="116"/>
      <c r="Z534" s="159"/>
      <c r="AA534" s="159"/>
    </row>
    <row r="535" spans="1:27" ht="20.100000000000001" customHeight="1">
      <c r="A535" s="645" t="s">
        <v>329</v>
      </c>
      <c r="B535" s="646"/>
      <c r="C535" s="106">
        <f>D535+E535+F535-G535-O535-P535</f>
        <v>10</v>
      </c>
      <c r="D535" s="106">
        <f>+'5'!C535</f>
        <v>10</v>
      </c>
      <c r="E535" s="110"/>
      <c r="F535" s="110"/>
      <c r="G535" s="107"/>
      <c r="H535" s="106"/>
      <c r="I535" s="106"/>
      <c r="J535" s="106">
        <f>C535-H535-I535</f>
        <v>10</v>
      </c>
      <c r="K535" s="106"/>
      <c r="L535" s="106"/>
      <c r="M535" s="106"/>
      <c r="N535" s="106"/>
      <c r="O535" s="110"/>
      <c r="P535" s="111"/>
      <c r="Q535" s="106">
        <f>J535-K535-L535</f>
        <v>10</v>
      </c>
      <c r="R535" s="109">
        <f>Q535*11-M535-N535</f>
        <v>110</v>
      </c>
      <c r="S535" s="461">
        <f t="array" ref="S535">IF(ISERROR(Q535/J535),"",Q535/J535)</f>
        <v>1</v>
      </c>
      <c r="T535" s="461">
        <f t="array" ref="T535">IF(ISERROR((O535:P535)/C535),"",SUM(O535:P535)/C535)</f>
        <v>0</v>
      </c>
      <c r="V535" s="179"/>
      <c r="X535" s="116"/>
      <c r="Y535" s="116"/>
      <c r="Z535" s="159"/>
      <c r="AA535" s="159"/>
    </row>
    <row r="536" spans="1:27" ht="20.100000000000001" customHeight="1">
      <c r="A536" s="647" t="s">
        <v>330</v>
      </c>
      <c r="B536" s="648"/>
      <c r="C536" s="112">
        <f>SUM(C533:C535)</f>
        <v>100</v>
      </c>
      <c r="D536" s="112">
        <f t="shared" ref="D536:N536" si="241">SUM(D533:D535)</f>
        <v>100</v>
      </c>
      <c r="E536" s="112">
        <f t="shared" si="241"/>
        <v>0</v>
      </c>
      <c r="F536" s="112">
        <f t="shared" si="241"/>
        <v>0</v>
      </c>
      <c r="G536" s="113">
        <f t="shared" si="241"/>
        <v>0</v>
      </c>
      <c r="H536" s="112">
        <f t="shared" si="241"/>
        <v>0</v>
      </c>
      <c r="I536" s="112">
        <f t="shared" si="241"/>
        <v>0</v>
      </c>
      <c r="J536" s="112">
        <f t="shared" si="241"/>
        <v>100</v>
      </c>
      <c r="K536" s="112">
        <f t="shared" si="241"/>
        <v>0</v>
      </c>
      <c r="L536" s="112">
        <f t="shared" si="241"/>
        <v>0</v>
      </c>
      <c r="M536" s="112">
        <f t="shared" si="241"/>
        <v>0</v>
      </c>
      <c r="N536" s="112">
        <f t="shared" si="241"/>
        <v>0</v>
      </c>
      <c r="O536" s="112">
        <f>SUM(O533:O535)</f>
        <v>0</v>
      </c>
      <c r="P536" s="112">
        <f>SUM(P533:P535)</f>
        <v>0</v>
      </c>
      <c r="Q536" s="112">
        <f>SUM(Q533:Q535)</f>
        <v>100</v>
      </c>
      <c r="R536" s="114">
        <f>SUM(R533:R535)</f>
        <v>1100</v>
      </c>
      <c r="S536" s="115">
        <f t="array" ref="S536">IF(ISERROR(Q536/J536),"",Q536/J536)</f>
        <v>1</v>
      </c>
      <c r="T536" s="115">
        <f t="array" ref="T536">IF(ISERROR((O536:P536)/C536),"",SUM(O536:P536)/C536)</f>
        <v>0</v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7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7"/>
      <c r="H538" s="116"/>
      <c r="I538" s="118" t="s">
        <v>332</v>
      </c>
      <c r="J538" s="198" t="s">
        <v>447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54" spans="2:2">
      <c r="B554" s="121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348" activePane="bottomRight" state="frozen"/>
      <selection activeCell="E487" sqref="E487"/>
      <selection pane="topRight" activeCell="E487" sqref="E487"/>
      <selection pane="bottomLeft" activeCell="E487" sqref="E487"/>
      <selection pane="bottomRight" activeCell="G433" sqref="G433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55" t="s">
        <v>413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55"/>
      <c r="M1" s="555"/>
      <c r="N1" s="555"/>
      <c r="O1" s="555"/>
      <c r="P1" s="555"/>
      <c r="Q1" s="555"/>
      <c r="R1" s="555"/>
      <c r="S1" s="555"/>
      <c r="T1" s="555"/>
      <c r="U1" s="555"/>
      <c r="V1" s="555"/>
      <c r="W1" s="555"/>
      <c r="X1" s="555"/>
      <c r="Y1" s="555"/>
      <c r="Z1" s="555"/>
      <c r="AA1" s="555"/>
    </row>
    <row r="2" spans="1:27" ht="18.75">
      <c r="A2" s="556"/>
      <c r="B2" s="556"/>
      <c r="C2" s="556"/>
      <c r="D2" s="556"/>
      <c r="E2" s="556"/>
      <c r="F2" s="556"/>
      <c r="G2" s="556"/>
      <c r="H2" s="556"/>
      <c r="I2" s="556"/>
      <c r="J2" s="556"/>
      <c r="K2" s="556"/>
      <c r="L2" s="556"/>
      <c r="M2" s="556"/>
      <c r="N2" s="556"/>
      <c r="O2" s="556"/>
      <c r="P2" s="556"/>
      <c r="Q2" s="556"/>
      <c r="R2" s="556"/>
      <c r="S2" s="556"/>
      <c r="T2" s="556"/>
      <c r="U2" s="556"/>
      <c r="V2" s="556"/>
      <c r="W2" s="556"/>
      <c r="X2" s="556"/>
      <c r="Y2" s="556"/>
      <c r="Z2" s="556"/>
      <c r="AA2" s="556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57" t="s">
        <v>12</v>
      </c>
      <c r="B4" s="557" t="s">
        <v>25</v>
      </c>
      <c r="C4" s="557" t="s">
        <v>26</v>
      </c>
      <c r="D4" s="557" t="s">
        <v>27</v>
      </c>
      <c r="E4" s="560" t="s">
        <v>28</v>
      </c>
      <c r="F4" s="563" t="s">
        <v>29</v>
      </c>
      <c r="G4" s="566" t="s">
        <v>30</v>
      </c>
      <c r="H4" s="566"/>
      <c r="I4" s="557" t="s">
        <v>31</v>
      </c>
      <c r="J4" s="569" t="s">
        <v>32</v>
      </c>
      <c r="K4" s="572" t="s">
        <v>33</v>
      </c>
      <c r="L4" s="557" t="s">
        <v>34</v>
      </c>
      <c r="M4" s="575" t="s">
        <v>35</v>
      </c>
      <c r="N4" s="577" t="s">
        <v>36</v>
      </c>
      <c r="O4" s="566" t="s">
        <v>37</v>
      </c>
      <c r="P4" s="566"/>
      <c r="Q4" s="566"/>
      <c r="R4" s="566"/>
      <c r="S4" s="566"/>
      <c r="T4" s="566"/>
      <c r="U4" s="566"/>
      <c r="V4" s="566" t="s">
        <v>38</v>
      </c>
      <c r="W4" s="577" t="s">
        <v>39</v>
      </c>
      <c r="X4" s="566" t="s">
        <v>40</v>
      </c>
      <c r="Y4" s="566"/>
      <c r="Z4" s="566"/>
      <c r="AA4" s="566"/>
    </row>
    <row r="5" spans="1:27" s="104" customFormat="1" ht="15" customHeight="1">
      <c r="A5" s="558"/>
      <c r="B5" s="558"/>
      <c r="C5" s="558"/>
      <c r="D5" s="558"/>
      <c r="E5" s="561"/>
      <c r="F5" s="564"/>
      <c r="G5" s="566"/>
      <c r="H5" s="566"/>
      <c r="I5" s="558"/>
      <c r="J5" s="570"/>
      <c r="K5" s="573"/>
      <c r="L5" s="558"/>
      <c r="M5" s="576"/>
      <c r="N5" s="577"/>
      <c r="O5" s="566" t="s">
        <v>41</v>
      </c>
      <c r="P5" s="566" t="s">
        <v>42</v>
      </c>
      <c r="Q5" s="566" t="s">
        <v>43</v>
      </c>
      <c r="R5" s="567" t="s">
        <v>44</v>
      </c>
      <c r="S5" s="568" t="s">
        <v>45</v>
      </c>
      <c r="T5" s="566" t="s">
        <v>46</v>
      </c>
      <c r="U5" s="566" t="s">
        <v>47</v>
      </c>
      <c r="V5" s="566"/>
      <c r="W5" s="577"/>
      <c r="X5" s="566" t="s">
        <v>13</v>
      </c>
      <c r="Y5" s="566" t="s">
        <v>48</v>
      </c>
      <c r="Z5" s="566" t="s">
        <v>49</v>
      </c>
      <c r="AA5" s="566" t="s">
        <v>47</v>
      </c>
    </row>
    <row r="6" spans="1:27" s="104" customFormat="1" ht="27.75" customHeight="1">
      <c r="A6" s="559"/>
      <c r="B6" s="559"/>
      <c r="C6" s="559"/>
      <c r="D6" s="559"/>
      <c r="E6" s="562"/>
      <c r="F6" s="565"/>
      <c r="G6" s="350" t="s">
        <v>50</v>
      </c>
      <c r="H6" s="476" t="s">
        <v>51</v>
      </c>
      <c r="I6" s="559"/>
      <c r="J6" s="571"/>
      <c r="K6" s="574"/>
      <c r="L6" s="559"/>
      <c r="M6" s="576"/>
      <c r="N6" s="577"/>
      <c r="O6" s="566"/>
      <c r="P6" s="566"/>
      <c r="Q6" s="566"/>
      <c r="R6" s="567"/>
      <c r="S6" s="568"/>
      <c r="T6" s="566"/>
      <c r="U6" s="566"/>
      <c r="V6" s="566"/>
      <c r="W6" s="577"/>
      <c r="X6" s="566"/>
      <c r="Y6" s="566"/>
      <c r="Z6" s="566"/>
      <c r="AA6" s="566"/>
    </row>
    <row r="7" spans="1:27" ht="20.100000000000001" hidden="1" customHeight="1">
      <c r="A7" s="299">
        <v>30100030</v>
      </c>
      <c r="B7" s="465" t="s">
        <v>178</v>
      </c>
      <c r="C7" s="126" t="s">
        <v>179</v>
      </c>
      <c r="D7" s="108">
        <v>5.03</v>
      </c>
      <c r="E7" s="108"/>
      <c r="F7" s="127"/>
      <c r="G7" s="128"/>
      <c r="H7" s="466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474"/>
      <c r="P7" s="474"/>
      <c r="Q7" s="474"/>
      <c r="R7" s="474"/>
      <c r="S7" s="474"/>
      <c r="T7" s="474"/>
      <c r="U7" s="474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66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474"/>
      <c r="Q8" s="474"/>
      <c r="R8" s="474"/>
      <c r="S8" s="474"/>
      <c r="T8" s="474"/>
      <c r="U8" s="474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66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74"/>
      <c r="P9" s="474"/>
      <c r="Q9" s="474"/>
      <c r="R9" s="474"/>
      <c r="S9" s="474"/>
      <c r="T9" s="474"/>
      <c r="U9" s="474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466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474"/>
      <c r="P10" s="474"/>
      <c r="Q10" s="474"/>
      <c r="R10" s="474"/>
      <c r="S10" s="474"/>
      <c r="T10" s="474"/>
      <c r="U10" s="474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466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474"/>
      <c r="P11" s="474"/>
      <c r="Q11" s="474"/>
      <c r="R11" s="474"/>
      <c r="S11" s="474"/>
      <c r="T11" s="474"/>
      <c r="U11" s="474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466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474"/>
      <c r="P12" s="474"/>
      <c r="Q12" s="474"/>
      <c r="R12" s="474"/>
      <c r="S12" s="474"/>
      <c r="T12" s="474"/>
      <c r="U12" s="474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66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74"/>
      <c r="P13" s="474"/>
      <c r="Q13" s="474"/>
      <c r="R13" s="474"/>
      <c r="S13" s="474"/>
      <c r="T13" s="474"/>
      <c r="U13" s="474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66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74"/>
      <c r="P14" s="474"/>
      <c r="Q14" s="474"/>
      <c r="R14" s="474"/>
      <c r="S14" s="474"/>
      <c r="T14" s="474"/>
      <c r="U14" s="474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466">
        <f t="shared" si="0"/>
        <v>0</v>
      </c>
      <c r="I15" s="466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474"/>
      <c r="P15" s="474"/>
      <c r="Q15" s="474"/>
      <c r="R15" s="474"/>
      <c r="S15" s="474"/>
      <c r="T15" s="474"/>
      <c r="U15" s="474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39">
        <v>42741</v>
      </c>
      <c r="G16" s="152">
        <f>99+100*7</f>
        <v>799</v>
      </c>
      <c r="H16" s="466">
        <f t="shared" si="0"/>
        <v>4026.96</v>
      </c>
      <c r="I16" s="466">
        <v>47</v>
      </c>
      <c r="J16" s="130">
        <f t="array" ref="J16">IF(ISERROR(G16/I16),"",G16/I16)</f>
        <v>17</v>
      </c>
      <c r="K16" s="131">
        <f t="array" ref="K16">IF(ISERROR(G16/L16),"",G16/L16)</f>
        <v>47</v>
      </c>
      <c r="L16" s="129">
        <v>17</v>
      </c>
      <c r="M16" s="109">
        <f t="shared" si="1"/>
        <v>0</v>
      </c>
      <c r="N16" s="130">
        <f t="shared" si="4"/>
        <v>0</v>
      </c>
      <c r="O16" s="474"/>
      <c r="P16" s="474"/>
      <c r="Q16" s="474"/>
      <c r="R16" s="474"/>
      <c r="S16" s="474"/>
      <c r="T16" s="474"/>
      <c r="U16" s="474"/>
      <c r="V16" s="132">
        <f>SUM(X16:AA16)</f>
        <v>0</v>
      </c>
      <c r="W16" s="133">
        <f>IF(ISERROR(V16/G16),"",V16/G16)</f>
        <v>0</v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466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74"/>
      <c r="P17" s="474"/>
      <c r="Q17" s="474"/>
      <c r="R17" s="474"/>
      <c r="S17" s="474"/>
      <c r="T17" s="474"/>
      <c r="U17" s="474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466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74"/>
      <c r="P18" s="474"/>
      <c r="Q18" s="474"/>
      <c r="R18" s="474"/>
      <c r="S18" s="474"/>
      <c r="T18" s="474"/>
      <c r="U18" s="474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466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474"/>
      <c r="P19" s="474"/>
      <c r="Q19" s="474"/>
      <c r="R19" s="474"/>
      <c r="S19" s="474"/>
      <c r="T19" s="474"/>
      <c r="U19" s="474"/>
      <c r="V19" s="132">
        <f t="shared" ref="V19:V21" si="5">SUM(X19:AA19)</f>
        <v>0</v>
      </c>
      <c r="W19" s="467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466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474"/>
      <c r="P20" s="474"/>
      <c r="Q20" s="474"/>
      <c r="R20" s="474"/>
      <c r="S20" s="474"/>
      <c r="T20" s="474"/>
      <c r="U20" s="474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66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74"/>
      <c r="P21" s="474"/>
      <c r="Q21" s="474"/>
      <c r="R21" s="474"/>
      <c r="S21" s="474"/>
      <c r="T21" s="474"/>
      <c r="U21" s="474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472" t="s">
        <v>190</v>
      </c>
      <c r="D22" s="108">
        <v>4.8</v>
      </c>
      <c r="E22" s="108"/>
      <c r="F22" s="127"/>
      <c r="G22" s="128"/>
      <c r="H22" s="466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74"/>
      <c r="P22" s="474"/>
      <c r="Q22" s="474"/>
      <c r="R22" s="474"/>
      <c r="S22" s="474"/>
      <c r="T22" s="474"/>
      <c r="U22" s="474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472" t="s">
        <v>187</v>
      </c>
      <c r="D23" s="108">
        <v>4.8</v>
      </c>
      <c r="E23" s="108"/>
      <c r="F23" s="127"/>
      <c r="G23" s="128"/>
      <c r="H23" s="466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74"/>
      <c r="P23" s="474"/>
      <c r="Q23" s="474"/>
      <c r="R23" s="474"/>
      <c r="S23" s="474"/>
      <c r="T23" s="474"/>
      <c r="U23" s="474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472" t="s">
        <v>179</v>
      </c>
      <c r="D24" s="108">
        <v>4.8</v>
      </c>
      <c r="E24" s="108"/>
      <c r="F24" s="127"/>
      <c r="G24" s="128"/>
      <c r="H24" s="466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74"/>
      <c r="P24" s="474"/>
      <c r="Q24" s="474"/>
      <c r="R24" s="474"/>
      <c r="S24" s="474"/>
      <c r="T24" s="474"/>
      <c r="U24" s="474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472" t="s">
        <v>199</v>
      </c>
      <c r="D25" s="108">
        <v>4.8</v>
      </c>
      <c r="E25" s="108"/>
      <c r="F25" s="127"/>
      <c r="G25" s="128"/>
      <c r="H25" s="466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74"/>
      <c r="P25" s="474"/>
      <c r="Q25" s="474"/>
      <c r="R25" s="474"/>
      <c r="S25" s="474"/>
      <c r="T25" s="474"/>
      <c r="U25" s="474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66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74"/>
      <c r="P26" s="474"/>
      <c r="Q26" s="474"/>
      <c r="R26" s="474"/>
      <c r="S26" s="474"/>
      <c r="T26" s="474"/>
      <c r="U26" s="474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66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74"/>
      <c r="P27" s="474"/>
      <c r="Q27" s="474"/>
      <c r="R27" s="474"/>
      <c r="S27" s="474"/>
      <c r="T27" s="474"/>
      <c r="U27" s="474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578" t="s">
        <v>201</v>
      </c>
      <c r="B28" s="579"/>
      <c r="C28" s="475" t="s">
        <v>202</v>
      </c>
      <c r="D28" s="143"/>
      <c r="E28" s="143"/>
      <c r="F28" s="144"/>
      <c r="G28" s="145">
        <f>SUM(G7:G27)</f>
        <v>799</v>
      </c>
      <c r="H28" s="146">
        <f>SUM(H7:H27)</f>
        <v>4026.96</v>
      </c>
      <c r="I28" s="146">
        <f>SUM(I7:I27)</f>
        <v>47</v>
      </c>
      <c r="J28" s="130">
        <f t="array" ref="J28">IF(ISERROR(G28/I28),"",G28/I28)</f>
        <v>17</v>
      </c>
      <c r="K28" s="146">
        <f>SUM(K7:K27)</f>
        <v>47</v>
      </c>
      <c r="L28" s="147"/>
      <c r="M28" s="146">
        <f t="shared" ref="M28:V28" si="10">SUM(M7:M27)</f>
        <v>0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465" t="s">
        <v>206</v>
      </c>
      <c r="C29" s="126" t="s">
        <v>199</v>
      </c>
      <c r="D29" s="108">
        <v>5.03</v>
      </c>
      <c r="E29" s="108"/>
      <c r="F29" s="127"/>
      <c r="G29" s="128"/>
      <c r="H29" s="466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470"/>
      <c r="P29" s="470"/>
      <c r="Q29" s="470"/>
      <c r="R29" s="470"/>
      <c r="S29" s="470"/>
      <c r="T29" s="470"/>
      <c r="U29" s="470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465" t="s">
        <v>425</v>
      </c>
      <c r="C30" s="187" t="s">
        <v>427</v>
      </c>
      <c r="D30" s="108">
        <v>5.03</v>
      </c>
      <c r="E30" s="108"/>
      <c r="F30" s="127"/>
      <c r="G30" s="128"/>
      <c r="H30" s="466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470"/>
      <c r="P30" s="470"/>
      <c r="Q30" s="470"/>
      <c r="R30" s="470"/>
      <c r="S30" s="470"/>
      <c r="T30" s="470"/>
      <c r="U30" s="470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465" t="s">
        <v>206</v>
      </c>
      <c r="C31" s="126" t="s">
        <v>186</v>
      </c>
      <c r="D31" s="108">
        <v>5.03</v>
      </c>
      <c r="E31" s="108"/>
      <c r="F31" s="127"/>
      <c r="G31" s="128"/>
      <c r="H31" s="466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5" si="15">IF(ISERROR(I31-K31),"",I31-K31)</f>
        <v>0</v>
      </c>
      <c r="N31" s="130">
        <f t="shared" ref="N31:N33" si="16">SUM(O31:U31)</f>
        <v>0</v>
      </c>
      <c r="O31" s="470"/>
      <c r="P31" s="470"/>
      <c r="Q31" s="470"/>
      <c r="R31" s="470"/>
      <c r="S31" s="470"/>
      <c r="T31" s="470"/>
      <c r="U31" s="470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465" t="s">
        <v>206</v>
      </c>
      <c r="C32" s="126" t="s">
        <v>203</v>
      </c>
      <c r="D32" s="108">
        <v>5.03</v>
      </c>
      <c r="E32" s="108"/>
      <c r="F32" s="127"/>
      <c r="G32" s="128"/>
      <c r="H32" s="466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70"/>
      <c r="P32" s="470"/>
      <c r="Q32" s="470"/>
      <c r="R32" s="470"/>
      <c r="S32" s="470"/>
      <c r="T32" s="470"/>
      <c r="U32" s="470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465" t="s">
        <v>206</v>
      </c>
      <c r="C33" s="126" t="s">
        <v>207</v>
      </c>
      <c r="D33" s="108">
        <v>5.03</v>
      </c>
      <c r="E33" s="108"/>
      <c r="F33" s="127"/>
      <c r="G33" s="128"/>
      <c r="H33" s="466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470"/>
      <c r="P33" s="470"/>
      <c r="Q33" s="470"/>
      <c r="R33" s="470"/>
      <c r="S33" s="470"/>
      <c r="T33" s="470"/>
      <c r="U33" s="470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customHeight="1">
      <c r="A34" s="300">
        <v>30100016</v>
      </c>
      <c r="B34" s="465" t="s">
        <v>414</v>
      </c>
      <c r="C34" s="187" t="s">
        <v>415</v>
      </c>
      <c r="D34" s="108">
        <v>5.03</v>
      </c>
      <c r="E34" s="108"/>
      <c r="F34" s="127">
        <v>42741</v>
      </c>
      <c r="G34" s="152">
        <f>108+19+108*4</f>
        <v>559</v>
      </c>
      <c r="H34" s="466">
        <f t="shared" si="11"/>
        <v>2811.77</v>
      </c>
      <c r="I34" s="129">
        <v>11</v>
      </c>
      <c r="J34" s="130">
        <f t="array" ref="J34">IF(ISERROR(G34/I34),"",G34/I34)</f>
        <v>50.81818181818182</v>
      </c>
      <c r="K34" s="131">
        <f t="array" ref="K34">IF(ISERROR(G34/L34),"",G34/L34)</f>
        <v>10.75</v>
      </c>
      <c r="L34" s="129">
        <v>52</v>
      </c>
      <c r="M34" s="109">
        <f t="shared" si="15"/>
        <v>0.25</v>
      </c>
      <c r="N34" s="130"/>
      <c r="O34" s="470"/>
      <c r="P34" s="470"/>
      <c r="Q34" s="470"/>
      <c r="R34" s="470"/>
      <c r="S34" s="470"/>
      <c r="T34" s="470"/>
      <c r="U34" s="470"/>
      <c r="V34" s="132"/>
      <c r="W34" s="133"/>
      <c r="X34" s="132"/>
      <c r="Y34" s="132"/>
      <c r="Z34" s="132"/>
      <c r="AA34" s="132"/>
    </row>
    <row r="35" spans="1:27" ht="20.100000000000001" customHeight="1">
      <c r="A35" s="300">
        <v>30100017</v>
      </c>
      <c r="B35" s="465" t="s">
        <v>414</v>
      </c>
      <c r="C35" s="187" t="s">
        <v>416</v>
      </c>
      <c r="D35" s="108">
        <v>5.03</v>
      </c>
      <c r="E35" s="108"/>
      <c r="F35" s="127">
        <v>42741</v>
      </c>
      <c r="G35" s="152">
        <f>33+108*5</f>
        <v>573</v>
      </c>
      <c r="H35" s="466">
        <f t="shared" si="11"/>
        <v>2882.19</v>
      </c>
      <c r="I35" s="129">
        <v>11</v>
      </c>
      <c r="J35" s="130">
        <f t="array" ref="J35">IF(ISERROR(G35/I35),"",G35/I35)</f>
        <v>52.090909090909093</v>
      </c>
      <c r="K35" s="131">
        <f t="array" ref="K35">IF(ISERROR(G35/L35),"",G35/L35)</f>
        <v>11.01923076923077</v>
      </c>
      <c r="L35" s="129">
        <v>52</v>
      </c>
      <c r="M35" s="109">
        <f t="shared" si="15"/>
        <v>-1.9230769230770051E-2</v>
      </c>
      <c r="N35" s="130"/>
      <c r="O35" s="470"/>
      <c r="P35" s="470"/>
      <c r="Q35" s="470"/>
      <c r="R35" s="470"/>
      <c r="S35" s="470"/>
      <c r="T35" s="470"/>
      <c r="U35" s="470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465" t="s">
        <v>414</v>
      </c>
      <c r="C36" s="187" t="s">
        <v>61</v>
      </c>
      <c r="D36" s="108">
        <v>5.03</v>
      </c>
      <c r="E36" s="108"/>
      <c r="F36" s="127"/>
      <c r="G36" s="128"/>
      <c r="H36" s="466">
        <f t="shared" si="11"/>
        <v>0</v>
      </c>
      <c r="I36" s="129"/>
      <c r="J36" s="130"/>
      <c r="K36" s="131"/>
      <c r="L36" s="129">
        <v>52</v>
      </c>
      <c r="M36" s="109"/>
      <c r="N36" s="130"/>
      <c r="O36" s="470"/>
      <c r="P36" s="470"/>
      <c r="Q36" s="470"/>
      <c r="R36" s="470"/>
      <c r="S36" s="470"/>
      <c r="T36" s="470"/>
      <c r="U36" s="470"/>
      <c r="V36" s="132"/>
      <c r="W36" s="133"/>
      <c r="X36" s="132"/>
      <c r="Y36" s="132"/>
      <c r="Z36" s="132"/>
      <c r="AA36" s="132"/>
    </row>
    <row r="37" spans="1:27" ht="20.100000000000001" customHeight="1">
      <c r="A37" s="300">
        <v>30100027</v>
      </c>
      <c r="B37" s="465" t="s">
        <v>208</v>
      </c>
      <c r="C37" s="126" t="s">
        <v>179</v>
      </c>
      <c r="D37" s="108">
        <v>5.08</v>
      </c>
      <c r="E37" s="108"/>
      <c r="F37" s="127">
        <v>42742</v>
      </c>
      <c r="G37" s="152">
        <f>108+39+3+108*2</f>
        <v>366</v>
      </c>
      <c r="H37" s="466">
        <f t="shared" si="11"/>
        <v>1859.28</v>
      </c>
      <c r="I37" s="129">
        <v>17.5</v>
      </c>
      <c r="J37" s="130">
        <f t="array" ref="J37">IF(ISERROR(G37/I37),"",G37/I37)</f>
        <v>20.914285714285715</v>
      </c>
      <c r="K37" s="131">
        <f t="array" ref="K37">IF(ISERROR(G37/L37),"",G37/L37)</f>
        <v>17.428571428571427</v>
      </c>
      <c r="L37" s="129">
        <v>21</v>
      </c>
      <c r="M37" s="109">
        <f t="shared" ref="M37:M66" si="19">IF(ISERROR(I37-K37),"",I37-K37)</f>
        <v>7.1428571428572951E-2</v>
      </c>
      <c r="N37" s="130">
        <f t="shared" ref="N37:N52" si="20">SUM(O37:U37)</f>
        <v>0</v>
      </c>
      <c r="O37" s="470"/>
      <c r="P37" s="470"/>
      <c r="Q37" s="470"/>
      <c r="R37" s="470"/>
      <c r="S37" s="470"/>
      <c r="T37" s="470"/>
      <c r="U37" s="470"/>
      <c r="V37" s="132">
        <f t="shared" ref="V37:V48" si="21">SUM(X37:AA37)</f>
        <v>0</v>
      </c>
      <c r="W37" s="133">
        <f t="shared" ref="W37:W48" si="22">IF(ISERROR(V37/G37),"",V37/G37)</f>
        <v>0</v>
      </c>
      <c r="X37" s="132"/>
      <c r="Y37" s="132"/>
      <c r="Z37" s="132"/>
      <c r="AA37" s="132"/>
    </row>
    <row r="38" spans="1:27" ht="20.100000000000001" customHeight="1">
      <c r="A38" s="300">
        <v>30100023</v>
      </c>
      <c r="B38" s="465" t="s">
        <v>208</v>
      </c>
      <c r="C38" s="126" t="s">
        <v>204</v>
      </c>
      <c r="D38" s="108">
        <v>5.08</v>
      </c>
      <c r="E38" s="108"/>
      <c r="F38" s="127">
        <v>42742</v>
      </c>
      <c r="G38" s="152">
        <f>17+108*3</f>
        <v>341</v>
      </c>
      <c r="H38" s="466">
        <f t="shared" si="11"/>
        <v>1732.28</v>
      </c>
      <c r="I38" s="129">
        <v>16</v>
      </c>
      <c r="J38" s="130">
        <f t="array" ref="J38">IF(ISERROR(G38/I38),"",G38/I38)</f>
        <v>21.3125</v>
      </c>
      <c r="K38" s="131">
        <f t="array" ref="K38">IF(ISERROR(G38/L38),"",G38/L38)</f>
        <v>16.238095238095237</v>
      </c>
      <c r="L38" s="129">
        <v>21</v>
      </c>
      <c r="M38" s="109">
        <f t="shared" si="19"/>
        <v>-0.23809523809523725</v>
      </c>
      <c r="N38" s="130">
        <f t="shared" si="20"/>
        <v>0</v>
      </c>
      <c r="O38" s="470"/>
      <c r="P38" s="470"/>
      <c r="Q38" s="470"/>
      <c r="R38" s="470"/>
      <c r="S38" s="470"/>
      <c r="T38" s="470"/>
      <c r="U38" s="470"/>
      <c r="V38" s="132">
        <f t="shared" si="21"/>
        <v>0</v>
      </c>
      <c r="W38" s="133">
        <f t="shared" si="22"/>
        <v>0</v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465" t="s">
        <v>208</v>
      </c>
      <c r="C39" s="126" t="s">
        <v>205</v>
      </c>
      <c r="D39" s="108">
        <v>5.08</v>
      </c>
      <c r="E39" s="108"/>
      <c r="F39" s="127"/>
      <c r="G39" s="128"/>
      <c r="H39" s="466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470"/>
      <c r="P39" s="470"/>
      <c r="Q39" s="470"/>
      <c r="R39" s="470"/>
      <c r="S39" s="470"/>
      <c r="T39" s="470"/>
      <c r="U39" s="470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465" t="s">
        <v>208</v>
      </c>
      <c r="C40" s="126" t="s">
        <v>186</v>
      </c>
      <c r="D40" s="108">
        <v>5.08</v>
      </c>
      <c r="E40" s="108"/>
      <c r="F40" s="127"/>
      <c r="G40" s="128"/>
      <c r="H40" s="466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470"/>
      <c r="P40" s="470"/>
      <c r="Q40" s="470"/>
      <c r="R40" s="470"/>
      <c r="S40" s="470"/>
      <c r="T40" s="470"/>
      <c r="U40" s="470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465" t="s">
        <v>208</v>
      </c>
      <c r="C41" s="126" t="s">
        <v>203</v>
      </c>
      <c r="D41" s="108">
        <v>5.08</v>
      </c>
      <c r="E41" s="108"/>
      <c r="F41" s="127"/>
      <c r="G41" s="128"/>
      <c r="H41" s="466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470"/>
      <c r="P41" s="470"/>
      <c r="Q41" s="470"/>
      <c r="R41" s="470"/>
      <c r="S41" s="470"/>
      <c r="T41" s="470"/>
      <c r="U41" s="470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465" t="s">
        <v>208</v>
      </c>
      <c r="C42" s="126" t="s">
        <v>199</v>
      </c>
      <c r="D42" s="108">
        <v>5.08</v>
      </c>
      <c r="E42" s="108"/>
      <c r="F42" s="127"/>
      <c r="G42" s="128"/>
      <c r="H42" s="466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474"/>
      <c r="P42" s="474"/>
      <c r="Q42" s="474"/>
      <c r="R42" s="474"/>
      <c r="S42" s="474"/>
      <c r="T42" s="474"/>
      <c r="U42" s="474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465" t="s">
        <v>208</v>
      </c>
      <c r="C43" s="126" t="s">
        <v>187</v>
      </c>
      <c r="D43" s="108">
        <v>5.08</v>
      </c>
      <c r="E43" s="108"/>
      <c r="F43" s="127"/>
      <c r="G43" s="128"/>
      <c r="H43" s="466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470"/>
      <c r="P43" s="470"/>
      <c r="Q43" s="470"/>
      <c r="R43" s="470"/>
      <c r="S43" s="470"/>
      <c r="T43" s="470"/>
      <c r="U43" s="470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465" t="s">
        <v>208</v>
      </c>
      <c r="C44" s="126" t="s">
        <v>207</v>
      </c>
      <c r="D44" s="108">
        <v>5.08</v>
      </c>
      <c r="E44" s="108"/>
      <c r="F44" s="127"/>
      <c r="G44" s="128"/>
      <c r="H44" s="466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474"/>
      <c r="P44" s="474"/>
      <c r="Q44" s="474"/>
      <c r="R44" s="474"/>
      <c r="S44" s="474"/>
      <c r="T44" s="474"/>
      <c r="U44" s="474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465" t="s">
        <v>209</v>
      </c>
      <c r="C45" s="126" t="s">
        <v>194</v>
      </c>
      <c r="D45" s="108">
        <v>5.03</v>
      </c>
      <c r="E45" s="108"/>
      <c r="F45" s="127"/>
      <c r="G45" s="128"/>
      <c r="H45" s="466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470"/>
      <c r="P45" s="470"/>
      <c r="Q45" s="470"/>
      <c r="R45" s="470"/>
      <c r="S45" s="470"/>
      <c r="T45" s="470"/>
      <c r="U45" s="470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465" t="s">
        <v>209</v>
      </c>
      <c r="C46" s="126" t="s">
        <v>179</v>
      </c>
      <c r="D46" s="108">
        <v>5.03</v>
      </c>
      <c r="E46" s="108"/>
      <c r="F46" s="127"/>
      <c r="G46" s="128"/>
      <c r="H46" s="466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470"/>
      <c r="P46" s="470"/>
      <c r="Q46" s="470"/>
      <c r="R46" s="470"/>
      <c r="S46" s="470"/>
      <c r="T46" s="470"/>
      <c r="U46" s="470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465" t="s">
        <v>209</v>
      </c>
      <c r="C47" s="126" t="s">
        <v>195</v>
      </c>
      <c r="D47" s="108">
        <v>5.03</v>
      </c>
      <c r="E47" s="108"/>
      <c r="F47" s="127"/>
      <c r="G47" s="128"/>
      <c r="H47" s="466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470"/>
      <c r="P47" s="470"/>
      <c r="Q47" s="470"/>
      <c r="R47" s="470"/>
      <c r="S47" s="470"/>
      <c r="T47" s="470"/>
      <c r="U47" s="470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465" t="s">
        <v>209</v>
      </c>
      <c r="C48" s="126" t="s">
        <v>204</v>
      </c>
      <c r="D48" s="108">
        <v>5.03</v>
      </c>
      <c r="E48" s="108"/>
      <c r="F48" s="127"/>
      <c r="G48" s="128"/>
      <c r="H48" s="466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470"/>
      <c r="P48" s="470"/>
      <c r="Q48" s="470"/>
      <c r="R48" s="470"/>
      <c r="S48" s="470"/>
      <c r="T48" s="470"/>
      <c r="U48" s="470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465" t="s">
        <v>382</v>
      </c>
      <c r="C49" s="187" t="s">
        <v>383</v>
      </c>
      <c r="D49" s="108">
        <v>5.03</v>
      </c>
      <c r="E49" s="108"/>
      <c r="F49" s="127"/>
      <c r="G49" s="128"/>
      <c r="H49" s="466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470"/>
      <c r="P49" s="470"/>
      <c r="Q49" s="470"/>
      <c r="R49" s="470"/>
      <c r="S49" s="470"/>
      <c r="T49" s="470"/>
      <c r="U49" s="470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465" t="s">
        <v>382</v>
      </c>
      <c r="C50" s="187" t="s">
        <v>384</v>
      </c>
      <c r="D50" s="108">
        <v>5.03</v>
      </c>
      <c r="E50" s="108"/>
      <c r="F50" s="127"/>
      <c r="G50" s="128"/>
      <c r="H50" s="466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470"/>
      <c r="P50" s="470"/>
      <c r="Q50" s="470"/>
      <c r="R50" s="470"/>
      <c r="S50" s="470"/>
      <c r="T50" s="470"/>
      <c r="U50" s="470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465" t="s">
        <v>382</v>
      </c>
      <c r="C51" s="187" t="s">
        <v>389</v>
      </c>
      <c r="D51" s="108">
        <v>5.03</v>
      </c>
      <c r="E51" s="108"/>
      <c r="F51" s="127"/>
      <c r="G51" s="128"/>
      <c r="H51" s="466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470"/>
      <c r="P51" s="470"/>
      <c r="Q51" s="470"/>
      <c r="R51" s="470"/>
      <c r="S51" s="470"/>
      <c r="T51" s="470"/>
      <c r="U51" s="470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465" t="s">
        <v>382</v>
      </c>
      <c r="C52" s="187" t="s">
        <v>391</v>
      </c>
      <c r="D52" s="108">
        <v>5.03</v>
      </c>
      <c r="E52" s="108"/>
      <c r="F52" s="127"/>
      <c r="G52" s="128"/>
      <c r="H52" s="466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470"/>
      <c r="P52" s="470"/>
      <c r="Q52" s="470"/>
      <c r="R52" s="470"/>
      <c r="S52" s="470"/>
      <c r="T52" s="470"/>
      <c r="U52" s="470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465" t="s">
        <v>418</v>
      </c>
      <c r="C53" s="187" t="s">
        <v>364</v>
      </c>
      <c r="D53" s="108">
        <v>5.03</v>
      </c>
      <c r="E53" s="108"/>
      <c r="F53" s="127"/>
      <c r="G53" s="128"/>
      <c r="H53" s="466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470"/>
      <c r="P53" s="470"/>
      <c r="Q53" s="470"/>
      <c r="R53" s="470"/>
      <c r="S53" s="470"/>
      <c r="T53" s="470"/>
      <c r="U53" s="470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465" t="s">
        <v>418</v>
      </c>
      <c r="C54" s="187" t="s">
        <v>365</v>
      </c>
      <c r="D54" s="108">
        <v>5.03</v>
      </c>
      <c r="E54" s="108"/>
      <c r="F54" s="127"/>
      <c r="G54" s="128"/>
      <c r="H54" s="466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470"/>
      <c r="P54" s="470"/>
      <c r="Q54" s="470"/>
      <c r="R54" s="470"/>
      <c r="S54" s="470"/>
      <c r="T54" s="470"/>
      <c r="U54" s="470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465" t="s">
        <v>418</v>
      </c>
      <c r="C55" s="187" t="s">
        <v>366</v>
      </c>
      <c r="D55" s="108">
        <v>5.03</v>
      </c>
      <c r="E55" s="108"/>
      <c r="F55" s="127"/>
      <c r="G55" s="128"/>
      <c r="H55" s="466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470"/>
      <c r="P55" s="470"/>
      <c r="Q55" s="470"/>
      <c r="R55" s="470"/>
      <c r="S55" s="470"/>
      <c r="T55" s="470"/>
      <c r="U55" s="470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465" t="s">
        <v>418</v>
      </c>
      <c r="C56" s="187" t="s">
        <v>367</v>
      </c>
      <c r="D56" s="108">
        <v>5.03</v>
      </c>
      <c r="E56" s="108"/>
      <c r="F56" s="127"/>
      <c r="G56" s="128"/>
      <c r="H56" s="466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470"/>
      <c r="P56" s="470"/>
      <c r="Q56" s="470"/>
      <c r="R56" s="470"/>
      <c r="S56" s="470"/>
      <c r="T56" s="470"/>
      <c r="U56" s="470"/>
      <c r="V56" s="132"/>
      <c r="W56" s="133"/>
      <c r="X56" s="132"/>
      <c r="Y56" s="132"/>
      <c r="Z56" s="132"/>
      <c r="AA56" s="132"/>
    </row>
    <row r="57" spans="1:27" ht="20.10000000000000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>
        <v>42740</v>
      </c>
      <c r="G57" s="152">
        <f>108+50+108*2</f>
        <v>374</v>
      </c>
      <c r="H57" s="466">
        <f t="shared" si="11"/>
        <v>1881.22</v>
      </c>
      <c r="I57" s="129">
        <v>9</v>
      </c>
      <c r="J57" s="130">
        <f t="array" ref="J57">IF(ISERROR(G57/I57),"",G57/I57)</f>
        <v>41.555555555555557</v>
      </c>
      <c r="K57" s="131">
        <f t="array" ref="K57">IF(ISERROR(G57/L57),"",G57/L57)</f>
        <v>9.35</v>
      </c>
      <c r="L57" s="129">
        <v>40</v>
      </c>
      <c r="M57" s="109">
        <f t="shared" si="19"/>
        <v>-0.34999999999999964</v>
      </c>
      <c r="N57" s="130">
        <f t="shared" ref="N57:N66" si="23">SUM(O57:U57)</f>
        <v>0</v>
      </c>
      <c r="O57" s="474"/>
      <c r="P57" s="474"/>
      <c r="Q57" s="474"/>
      <c r="R57" s="474"/>
      <c r="S57" s="474"/>
      <c r="T57" s="474"/>
      <c r="U57" s="474"/>
      <c r="V57" s="132">
        <f t="shared" ref="V57:V66" si="24">SUM(X57:AA57)</f>
        <v>0</v>
      </c>
      <c r="W57" s="133">
        <f t="shared" ref="W57:W66" si="25">IF(ISERROR(V57/G57),"",V57/G57)</f>
        <v>0</v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66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474"/>
      <c r="P58" s="474"/>
      <c r="Q58" s="474"/>
      <c r="R58" s="474"/>
      <c r="S58" s="474"/>
      <c r="T58" s="474"/>
      <c r="U58" s="474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>
        <v>42740</v>
      </c>
      <c r="G59" s="152">
        <f>57+108+108</f>
        <v>273</v>
      </c>
      <c r="H59" s="466">
        <f t="shared" si="11"/>
        <v>1373.19</v>
      </c>
      <c r="I59" s="129">
        <v>7</v>
      </c>
      <c r="J59" s="130">
        <f t="array" ref="J59">IF(ISERROR(G59/I59),"",G59/I59)</f>
        <v>39</v>
      </c>
      <c r="K59" s="131">
        <f t="array" ref="K59">IF(ISERROR(G59/L59),"",G59/L59)</f>
        <v>6.8250000000000002</v>
      </c>
      <c r="L59" s="129">
        <v>40</v>
      </c>
      <c r="M59" s="109">
        <f t="shared" si="19"/>
        <v>0.17499999999999982</v>
      </c>
      <c r="N59" s="130">
        <f t="shared" si="23"/>
        <v>0</v>
      </c>
      <c r="O59" s="474"/>
      <c r="P59" s="474"/>
      <c r="Q59" s="474"/>
      <c r="R59" s="474"/>
      <c r="S59" s="474"/>
      <c r="T59" s="474"/>
      <c r="U59" s="474"/>
      <c r="V59" s="132">
        <f t="shared" si="24"/>
        <v>0</v>
      </c>
      <c r="W59" s="133">
        <f t="shared" si="25"/>
        <v>0</v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66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474"/>
      <c r="P60" s="474"/>
      <c r="Q60" s="474"/>
      <c r="R60" s="474"/>
      <c r="S60" s="474"/>
      <c r="T60" s="474"/>
      <c r="U60" s="474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66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474"/>
      <c r="P61" s="474"/>
      <c r="Q61" s="474"/>
      <c r="R61" s="474"/>
      <c r="S61" s="474"/>
      <c r="T61" s="474"/>
      <c r="U61" s="474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66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474"/>
      <c r="P62" s="474"/>
      <c r="Q62" s="474"/>
      <c r="R62" s="474"/>
      <c r="S62" s="474"/>
      <c r="T62" s="474"/>
      <c r="U62" s="474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66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474"/>
      <c r="P63" s="474"/>
      <c r="Q63" s="474"/>
      <c r="R63" s="474"/>
      <c r="S63" s="474"/>
      <c r="T63" s="474"/>
      <c r="U63" s="474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66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474"/>
      <c r="P64" s="474"/>
      <c r="Q64" s="474"/>
      <c r="R64" s="474"/>
      <c r="S64" s="474"/>
      <c r="T64" s="474"/>
      <c r="U64" s="474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66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474"/>
      <c r="P65" s="474"/>
      <c r="Q65" s="474"/>
      <c r="R65" s="474"/>
      <c r="S65" s="474"/>
      <c r="T65" s="474"/>
      <c r="U65" s="474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66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474"/>
      <c r="P66" s="474"/>
      <c r="Q66" s="474"/>
      <c r="R66" s="474"/>
      <c r="S66" s="474"/>
      <c r="T66" s="474"/>
      <c r="U66" s="474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466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74"/>
      <c r="P67" s="474"/>
      <c r="Q67" s="474"/>
      <c r="R67" s="474"/>
      <c r="S67" s="474"/>
      <c r="T67" s="474"/>
      <c r="U67" s="474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66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74"/>
      <c r="P68" s="474"/>
      <c r="Q68" s="474"/>
      <c r="R68" s="474"/>
      <c r="S68" s="474"/>
      <c r="T68" s="474"/>
      <c r="U68" s="474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466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474"/>
      <c r="P69" s="474"/>
      <c r="Q69" s="474"/>
      <c r="R69" s="474"/>
      <c r="S69" s="474"/>
      <c r="T69" s="474"/>
      <c r="U69" s="474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>
        <v>42741</v>
      </c>
      <c r="G70" s="152">
        <f>36+100*10</f>
        <v>1036</v>
      </c>
      <c r="H70" s="466">
        <f t="shared" si="11"/>
        <v>5211.08</v>
      </c>
      <c r="I70" s="129">
        <v>48</v>
      </c>
      <c r="J70" s="130">
        <f t="array" ref="J70">IF(ISERROR(G70/I70),"",G70/I70)</f>
        <v>21.583333333333332</v>
      </c>
      <c r="K70" s="131">
        <f t="array" ref="K70">IF(ISERROR(G70/L70),"",G70/L70)</f>
        <v>48.186046511627907</v>
      </c>
      <c r="L70" s="129">
        <v>21.5</v>
      </c>
      <c r="M70" s="109">
        <f t="shared" si="26"/>
        <v>-0.18604651162790731</v>
      </c>
      <c r="N70" s="130">
        <f t="shared" si="27"/>
        <v>0</v>
      </c>
      <c r="O70" s="474"/>
      <c r="P70" s="474"/>
      <c r="Q70" s="474"/>
      <c r="R70" s="474"/>
      <c r="S70" s="474"/>
      <c r="T70" s="474"/>
      <c r="U70" s="474"/>
      <c r="V70" s="132">
        <f t="shared" si="28"/>
        <v>0</v>
      </c>
      <c r="W70" s="133">
        <f t="shared" si="29"/>
        <v>0</v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66">
        <f t="shared" si="11"/>
        <v>0</v>
      </c>
      <c r="I71" s="129"/>
      <c r="J71" s="130"/>
      <c r="K71" s="131"/>
      <c r="L71" s="129"/>
      <c r="M71" s="109"/>
      <c r="N71" s="130"/>
      <c r="O71" s="474"/>
      <c r="P71" s="474"/>
      <c r="Q71" s="474"/>
      <c r="R71" s="474"/>
      <c r="S71" s="474"/>
      <c r="T71" s="474"/>
      <c r="U71" s="474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66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474"/>
      <c r="P72" s="474"/>
      <c r="Q72" s="474"/>
      <c r="R72" s="474"/>
      <c r="S72" s="474"/>
      <c r="T72" s="474"/>
      <c r="U72" s="474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66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474"/>
      <c r="P73" s="474"/>
      <c r="Q73" s="474"/>
      <c r="R73" s="474"/>
      <c r="S73" s="474"/>
      <c r="T73" s="474"/>
      <c r="U73" s="474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66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474"/>
      <c r="P74" s="474"/>
      <c r="Q74" s="474"/>
      <c r="R74" s="474"/>
      <c r="S74" s="474"/>
      <c r="T74" s="474"/>
      <c r="U74" s="474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66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474"/>
      <c r="P75" s="474"/>
      <c r="Q75" s="474"/>
      <c r="R75" s="474"/>
      <c r="S75" s="474"/>
      <c r="T75" s="474"/>
      <c r="U75" s="474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66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474"/>
      <c r="P76" s="474"/>
      <c r="Q76" s="474"/>
      <c r="R76" s="474"/>
      <c r="S76" s="474"/>
      <c r="T76" s="474"/>
      <c r="U76" s="474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66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474"/>
      <c r="P77" s="474"/>
      <c r="Q77" s="474"/>
      <c r="R77" s="474"/>
      <c r="S77" s="474"/>
      <c r="T77" s="474"/>
      <c r="U77" s="474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66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474"/>
      <c r="P78" s="474"/>
      <c r="Q78" s="474"/>
      <c r="R78" s="474"/>
      <c r="S78" s="474"/>
      <c r="T78" s="474"/>
      <c r="U78" s="474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66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474"/>
      <c r="P79" s="474"/>
      <c r="Q79" s="474"/>
      <c r="R79" s="474"/>
      <c r="S79" s="474"/>
      <c r="T79" s="474"/>
      <c r="U79" s="474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66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74"/>
      <c r="P80" s="474"/>
      <c r="Q80" s="474"/>
      <c r="R80" s="474"/>
      <c r="S80" s="474"/>
      <c r="T80" s="474"/>
      <c r="U80" s="474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66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74"/>
      <c r="P81" s="474"/>
      <c r="Q81" s="474"/>
      <c r="R81" s="474"/>
      <c r="S81" s="474"/>
      <c r="T81" s="474"/>
      <c r="U81" s="474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66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74"/>
      <c r="P82" s="474"/>
      <c r="Q82" s="474"/>
      <c r="R82" s="474"/>
      <c r="S82" s="474"/>
      <c r="T82" s="474"/>
      <c r="U82" s="474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66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74"/>
      <c r="P83" s="474"/>
      <c r="Q83" s="474"/>
      <c r="R83" s="474"/>
      <c r="S83" s="474"/>
      <c r="T83" s="474"/>
      <c r="U83" s="474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66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74"/>
      <c r="P84" s="474"/>
      <c r="Q84" s="474"/>
      <c r="R84" s="474"/>
      <c r="S84" s="474"/>
      <c r="T84" s="474"/>
      <c r="U84" s="474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66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74"/>
      <c r="P85" s="474"/>
      <c r="Q85" s="474"/>
      <c r="R85" s="474"/>
      <c r="S85" s="474"/>
      <c r="T85" s="474"/>
      <c r="U85" s="474"/>
      <c r="V85" s="132"/>
      <c r="W85" s="133"/>
      <c r="X85" s="132"/>
      <c r="Y85" s="132"/>
      <c r="Z85" s="132"/>
      <c r="AA85" s="132"/>
    </row>
    <row r="86" spans="1:27" ht="20.100000000000001" customHeight="1">
      <c r="A86" s="589" t="s">
        <v>216</v>
      </c>
      <c r="B86" s="589"/>
      <c r="C86" s="475" t="s">
        <v>202</v>
      </c>
      <c r="D86" s="143"/>
      <c r="E86" s="143"/>
      <c r="F86" s="144"/>
      <c r="G86" s="145">
        <f>SUM(G29:G85)</f>
        <v>3522</v>
      </c>
      <c r="H86" s="146">
        <f>SUM(H29:H85)</f>
        <v>17751.010000000002</v>
      </c>
      <c r="I86" s="146">
        <f>SUM(I29:I85)</f>
        <v>119.5</v>
      </c>
      <c r="J86" s="130">
        <f t="array" ref="J86">IF(ISERROR(G86/I86),"",G86/I86)</f>
        <v>29.472803347280333</v>
      </c>
      <c r="K86" s="146">
        <f>SUM(K29:K85)</f>
        <v>119.79694394752534</v>
      </c>
      <c r="L86" s="147"/>
      <c r="M86" s="150">
        <f t="shared" ref="M86:V86" si="34">SUM(M29:M85)</f>
        <v>-0.29694394752534148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465" t="s">
        <v>217</v>
      </c>
      <c r="C87" s="126" t="s">
        <v>179</v>
      </c>
      <c r="D87" s="108">
        <v>5.03</v>
      </c>
      <c r="E87" s="108"/>
      <c r="F87" s="127"/>
      <c r="G87" s="128"/>
      <c r="H87" s="466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474"/>
      <c r="P87" s="474"/>
      <c r="Q87" s="474"/>
      <c r="R87" s="474"/>
      <c r="S87" s="474"/>
      <c r="T87" s="474"/>
      <c r="U87" s="474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465" t="s">
        <v>217</v>
      </c>
      <c r="C88" s="126" t="s">
        <v>186</v>
      </c>
      <c r="D88" s="108">
        <v>5.03</v>
      </c>
      <c r="E88" s="108"/>
      <c r="F88" s="127"/>
      <c r="G88" s="128"/>
      <c r="H88" s="466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474"/>
      <c r="P88" s="474"/>
      <c r="Q88" s="474"/>
      <c r="R88" s="474"/>
      <c r="S88" s="474"/>
      <c r="T88" s="474"/>
      <c r="U88" s="474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465" t="s">
        <v>217</v>
      </c>
      <c r="C89" s="126" t="s">
        <v>204</v>
      </c>
      <c r="D89" s="108">
        <v>5.03</v>
      </c>
      <c r="E89" s="108"/>
      <c r="F89" s="127"/>
      <c r="G89" s="128"/>
      <c r="H89" s="466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474"/>
      <c r="P89" s="474"/>
      <c r="Q89" s="474"/>
      <c r="R89" s="474"/>
      <c r="S89" s="474"/>
      <c r="T89" s="474"/>
      <c r="U89" s="474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66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474"/>
      <c r="P90" s="474"/>
      <c r="Q90" s="474"/>
      <c r="R90" s="474"/>
      <c r="S90" s="474"/>
      <c r="T90" s="474"/>
      <c r="U90" s="474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466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474"/>
      <c r="P91" s="474"/>
      <c r="Q91" s="474"/>
      <c r="R91" s="474"/>
      <c r="S91" s="474"/>
      <c r="T91" s="474"/>
      <c r="U91" s="474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466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474"/>
      <c r="P92" s="474"/>
      <c r="Q92" s="474"/>
      <c r="R92" s="474"/>
      <c r="S92" s="474"/>
      <c r="T92" s="474"/>
      <c r="U92" s="474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466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474"/>
      <c r="P93" s="474"/>
      <c r="Q93" s="474"/>
      <c r="R93" s="474"/>
      <c r="S93" s="474"/>
      <c r="T93" s="474"/>
      <c r="U93" s="474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466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474"/>
      <c r="P94" s="474"/>
      <c r="Q94" s="474"/>
      <c r="R94" s="474"/>
      <c r="S94" s="474"/>
      <c r="T94" s="474"/>
      <c r="U94" s="474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52"/>
      <c r="H95" s="466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474"/>
      <c r="P95" s="474"/>
      <c r="Q95" s="474"/>
      <c r="R95" s="474"/>
      <c r="S95" s="474"/>
      <c r="T95" s="474"/>
      <c r="U95" s="474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66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474"/>
      <c r="P96" s="474"/>
      <c r="Q96" s="474"/>
      <c r="R96" s="474"/>
      <c r="S96" s="474"/>
      <c r="T96" s="474"/>
      <c r="U96" s="474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66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474"/>
      <c r="P97" s="474"/>
      <c r="Q97" s="474"/>
      <c r="R97" s="474"/>
      <c r="S97" s="474"/>
      <c r="T97" s="474"/>
      <c r="U97" s="474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66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474"/>
      <c r="P98" s="474"/>
      <c r="Q98" s="474"/>
      <c r="R98" s="474"/>
      <c r="S98" s="474"/>
      <c r="T98" s="474"/>
      <c r="U98" s="474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466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474"/>
      <c r="P99" s="474"/>
      <c r="Q99" s="474"/>
      <c r="R99" s="474"/>
      <c r="S99" s="474"/>
      <c r="T99" s="474"/>
      <c r="U99" s="474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66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474"/>
      <c r="P100" s="474"/>
      <c r="Q100" s="474"/>
      <c r="R100" s="474"/>
      <c r="S100" s="474"/>
      <c r="T100" s="474"/>
      <c r="U100" s="474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66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474"/>
      <c r="P101" s="474"/>
      <c r="Q101" s="474"/>
      <c r="R101" s="474"/>
      <c r="S101" s="474"/>
      <c r="T101" s="474"/>
      <c r="U101" s="474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66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474"/>
      <c r="P102" s="474"/>
      <c r="Q102" s="474"/>
      <c r="R102" s="474"/>
      <c r="S102" s="474"/>
      <c r="T102" s="474"/>
      <c r="U102" s="474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465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66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474"/>
      <c r="P103" s="474"/>
      <c r="Q103" s="474"/>
      <c r="R103" s="474"/>
      <c r="S103" s="474"/>
      <c r="T103" s="474"/>
      <c r="U103" s="474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465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66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474"/>
      <c r="P104" s="474"/>
      <c r="Q104" s="474"/>
      <c r="R104" s="474"/>
      <c r="S104" s="474"/>
      <c r="T104" s="474"/>
      <c r="U104" s="474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465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66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474"/>
      <c r="P105" s="474"/>
      <c r="Q105" s="474"/>
      <c r="R105" s="474"/>
      <c r="S105" s="474"/>
      <c r="T105" s="474"/>
      <c r="U105" s="474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465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66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474"/>
      <c r="P106" s="474"/>
      <c r="Q106" s="474"/>
      <c r="R106" s="474"/>
      <c r="S106" s="474"/>
      <c r="T106" s="474"/>
      <c r="U106" s="474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465" t="s">
        <v>393</v>
      </c>
      <c r="C107" s="187" t="s">
        <v>395</v>
      </c>
      <c r="D107" s="108">
        <v>5</v>
      </c>
      <c r="E107" s="108"/>
      <c r="F107" s="127"/>
      <c r="G107" s="128"/>
      <c r="H107" s="466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474"/>
      <c r="P107" s="474"/>
      <c r="Q107" s="474"/>
      <c r="R107" s="474"/>
      <c r="S107" s="474"/>
      <c r="T107" s="474"/>
      <c r="U107" s="474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465" t="s">
        <v>393</v>
      </c>
      <c r="C108" s="187" t="s">
        <v>402</v>
      </c>
      <c r="D108" s="108">
        <v>5</v>
      </c>
      <c r="E108" s="108"/>
      <c r="F108" s="127"/>
      <c r="G108" s="128"/>
      <c r="H108" s="466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474"/>
      <c r="P108" s="474"/>
      <c r="Q108" s="474"/>
      <c r="R108" s="474"/>
      <c r="S108" s="474"/>
      <c r="T108" s="474"/>
      <c r="U108" s="474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465" t="s">
        <v>404</v>
      </c>
      <c r="C109" s="187" t="s">
        <v>405</v>
      </c>
      <c r="D109" s="108">
        <v>5</v>
      </c>
      <c r="E109" s="108"/>
      <c r="F109" s="127"/>
      <c r="G109" s="128"/>
      <c r="H109" s="466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474"/>
      <c r="P109" s="474"/>
      <c r="Q109" s="474"/>
      <c r="R109" s="474"/>
      <c r="S109" s="474"/>
      <c r="T109" s="474"/>
      <c r="U109" s="474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465" t="s">
        <v>492</v>
      </c>
      <c r="C110" s="187" t="s">
        <v>372</v>
      </c>
      <c r="D110" s="108">
        <v>5</v>
      </c>
      <c r="E110" s="108"/>
      <c r="F110" s="127"/>
      <c r="G110" s="128"/>
      <c r="H110" s="466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474"/>
      <c r="P110" s="474"/>
      <c r="Q110" s="474"/>
      <c r="R110" s="474"/>
      <c r="S110" s="474"/>
      <c r="T110" s="474"/>
      <c r="U110" s="474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465" t="s">
        <v>343</v>
      </c>
      <c r="C111" s="126" t="s">
        <v>345</v>
      </c>
      <c r="D111" s="108">
        <v>5</v>
      </c>
      <c r="E111" s="108"/>
      <c r="F111" s="127"/>
      <c r="G111" s="128"/>
      <c r="H111" s="466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474"/>
      <c r="P111" s="474"/>
      <c r="Q111" s="474"/>
      <c r="R111" s="474"/>
      <c r="S111" s="474"/>
      <c r="T111" s="474"/>
      <c r="U111" s="474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465" t="s">
        <v>343</v>
      </c>
      <c r="C112" s="126" t="s">
        <v>347</v>
      </c>
      <c r="D112" s="108">
        <v>5</v>
      </c>
      <c r="E112" s="108"/>
      <c r="F112" s="127"/>
      <c r="G112" s="128"/>
      <c r="H112" s="466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474"/>
      <c r="P112" s="474"/>
      <c r="Q112" s="474"/>
      <c r="R112" s="474"/>
      <c r="S112" s="474"/>
      <c r="T112" s="474"/>
      <c r="U112" s="474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66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474"/>
      <c r="P113" s="474"/>
      <c r="Q113" s="474"/>
      <c r="R113" s="474"/>
      <c r="S113" s="474"/>
      <c r="T113" s="474"/>
      <c r="U113" s="474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66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474"/>
      <c r="P114" s="474"/>
      <c r="Q114" s="474"/>
      <c r="R114" s="474"/>
      <c r="S114" s="474"/>
      <c r="T114" s="474"/>
      <c r="U114" s="474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466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474"/>
      <c r="P115" s="474"/>
      <c r="Q115" s="474"/>
      <c r="R115" s="474"/>
      <c r="S115" s="474"/>
      <c r="T115" s="474"/>
      <c r="U115" s="474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66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474"/>
      <c r="P116" s="474"/>
      <c r="Q116" s="474"/>
      <c r="R116" s="474"/>
      <c r="S116" s="474"/>
      <c r="T116" s="474"/>
      <c r="U116" s="474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466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474"/>
      <c r="P117" s="474"/>
      <c r="Q117" s="474"/>
      <c r="R117" s="474"/>
      <c r="S117" s="474"/>
      <c r="T117" s="474"/>
      <c r="U117" s="474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466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474"/>
      <c r="P118" s="474"/>
      <c r="Q118" s="474"/>
      <c r="R118" s="474"/>
      <c r="S118" s="474"/>
      <c r="T118" s="474"/>
      <c r="U118" s="474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66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474"/>
      <c r="P119" s="474"/>
      <c r="Q119" s="474"/>
      <c r="R119" s="474"/>
      <c r="S119" s="474"/>
      <c r="T119" s="474"/>
      <c r="U119" s="474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466">
        <f t="shared" si="36"/>
        <v>0</v>
      </c>
      <c r="I120" s="129"/>
      <c r="J120" s="130" t="str">
        <f t="array" ref="J120">IF(ISERROR(G120/I120),"",G120/I120)</f>
        <v/>
      </c>
      <c r="K120" s="466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474"/>
      <c r="P120" s="474"/>
      <c r="Q120" s="474"/>
      <c r="R120" s="474"/>
      <c r="S120" s="474"/>
      <c r="T120" s="474"/>
      <c r="U120" s="474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hidden="1" customHeight="1">
      <c r="A121" s="578" t="s">
        <v>224</v>
      </c>
      <c r="B121" s="579"/>
      <c r="C121" s="475" t="s">
        <v>202</v>
      </c>
      <c r="D121" s="143"/>
      <c r="E121" s="143"/>
      <c r="F121" s="144"/>
      <c r="G121" s="145">
        <f>SUM(G87:G120)</f>
        <v>0</v>
      </c>
      <c r="H121" s="146">
        <f>SUM(H87:H120)</f>
        <v>0</v>
      </c>
      <c r="I121" s="146">
        <f>SUM(I87:I120)</f>
        <v>0</v>
      </c>
      <c r="J121" s="130" t="str">
        <f t="array" ref="J121">IF(ISERROR(G121/I121),"",G121/I121)</f>
        <v/>
      </c>
      <c r="K121" s="146">
        <f>SUM(K87:K120)</f>
        <v>0</v>
      </c>
      <c r="L121" s="147"/>
      <c r="M121" s="150">
        <f t="shared" ref="M121:V121" si="50">SUM(M87:M120)</f>
        <v>0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 t="str">
        <f t="shared" si="49"/>
        <v/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66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474"/>
      <c r="P122" s="474"/>
      <c r="Q122" s="474"/>
      <c r="R122" s="474"/>
      <c r="S122" s="474"/>
      <c r="T122" s="474"/>
      <c r="U122" s="474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>
        <v>42742</v>
      </c>
      <c r="G123" s="152">
        <f>14+90*5</f>
        <v>464</v>
      </c>
      <c r="H123" s="466">
        <f t="shared" si="51"/>
        <v>2333.92</v>
      </c>
      <c r="I123" s="129">
        <v>19</v>
      </c>
      <c r="J123" s="130">
        <f t="array" ref="J123">IF(ISERROR(G123/I123),"",G123/I123)</f>
        <v>24.421052631578949</v>
      </c>
      <c r="K123" s="131">
        <f t="array" ref="K123">IF(ISERROR(G123/L123),"",G123/L123)</f>
        <v>18.559999999999999</v>
      </c>
      <c r="L123" s="129">
        <v>25</v>
      </c>
      <c r="M123" s="109">
        <f t="shared" si="52"/>
        <v>0.44000000000000128</v>
      </c>
      <c r="N123" s="130">
        <f t="shared" si="53"/>
        <v>0</v>
      </c>
      <c r="O123" s="474"/>
      <c r="P123" s="474"/>
      <c r="Q123" s="474"/>
      <c r="R123" s="474"/>
      <c r="S123" s="474"/>
      <c r="T123" s="474"/>
      <c r="U123" s="474"/>
      <c r="V123" s="132">
        <f t="shared" si="54"/>
        <v>0</v>
      </c>
      <c r="W123" s="133">
        <f t="shared" si="49"/>
        <v>0</v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466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474"/>
      <c r="P124" s="474"/>
      <c r="Q124" s="474"/>
      <c r="R124" s="474"/>
      <c r="S124" s="474"/>
      <c r="T124" s="474"/>
      <c r="U124" s="474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466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474"/>
      <c r="P125" s="474"/>
      <c r="Q125" s="474"/>
      <c r="R125" s="474"/>
      <c r="S125" s="474"/>
      <c r="T125" s="474"/>
      <c r="U125" s="474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471" t="s">
        <v>203</v>
      </c>
      <c r="D126" s="108">
        <v>5.03</v>
      </c>
      <c r="E126" s="108"/>
      <c r="F126" s="127"/>
      <c r="G126" s="128"/>
      <c r="H126" s="466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474"/>
      <c r="P126" s="474"/>
      <c r="Q126" s="474"/>
      <c r="R126" s="474"/>
      <c r="S126" s="474"/>
      <c r="T126" s="474"/>
      <c r="U126" s="474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66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474"/>
      <c r="P127" s="474"/>
      <c r="Q127" s="474"/>
      <c r="R127" s="474"/>
      <c r="S127" s="474"/>
      <c r="T127" s="474"/>
      <c r="U127" s="474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66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474"/>
      <c r="P128" s="474"/>
      <c r="Q128" s="474"/>
      <c r="R128" s="474"/>
      <c r="S128" s="474"/>
      <c r="T128" s="474"/>
      <c r="U128" s="474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471" t="s">
        <v>228</v>
      </c>
      <c r="D129" s="108">
        <v>5.03</v>
      </c>
      <c r="E129" s="108"/>
      <c r="F129" s="127"/>
      <c r="G129" s="128"/>
      <c r="H129" s="466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474"/>
      <c r="P129" s="474"/>
      <c r="Q129" s="474"/>
      <c r="R129" s="474"/>
      <c r="S129" s="474"/>
      <c r="T129" s="474"/>
      <c r="U129" s="474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471" t="s">
        <v>212</v>
      </c>
      <c r="D130" s="108">
        <v>5.03</v>
      </c>
      <c r="E130" s="108"/>
      <c r="F130" s="127"/>
      <c r="G130" s="128"/>
      <c r="H130" s="466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474"/>
      <c r="P130" s="474"/>
      <c r="Q130" s="474"/>
      <c r="R130" s="474"/>
      <c r="S130" s="474"/>
      <c r="T130" s="474"/>
      <c r="U130" s="474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471" t="s">
        <v>203</v>
      </c>
      <c r="D131" s="108">
        <v>5.03</v>
      </c>
      <c r="E131" s="108"/>
      <c r="F131" s="127"/>
      <c r="G131" s="128"/>
      <c r="H131" s="466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474"/>
      <c r="P131" s="474"/>
      <c r="Q131" s="474"/>
      <c r="R131" s="474"/>
      <c r="S131" s="474"/>
      <c r="T131" s="474"/>
      <c r="U131" s="474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471" t="s">
        <v>186</v>
      </c>
      <c r="D132" s="108">
        <v>5.03</v>
      </c>
      <c r="E132" s="108"/>
      <c r="F132" s="127"/>
      <c r="G132" s="128"/>
      <c r="H132" s="466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474"/>
      <c r="P132" s="474"/>
      <c r="Q132" s="474"/>
      <c r="R132" s="474"/>
      <c r="S132" s="474"/>
      <c r="T132" s="474"/>
      <c r="U132" s="474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471" t="s">
        <v>228</v>
      </c>
      <c r="D133" s="108">
        <v>5.03</v>
      </c>
      <c r="E133" s="108"/>
      <c r="F133" s="127"/>
      <c r="G133" s="128"/>
      <c r="H133" s="466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474"/>
      <c r="P133" s="474"/>
      <c r="Q133" s="474"/>
      <c r="R133" s="474"/>
      <c r="S133" s="474"/>
      <c r="T133" s="474"/>
      <c r="U133" s="474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471" t="s">
        <v>199</v>
      </c>
      <c r="D134" s="108">
        <v>5.03</v>
      </c>
      <c r="E134" s="108"/>
      <c r="F134" s="127"/>
      <c r="G134" s="128"/>
      <c r="H134" s="466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474"/>
      <c r="P134" s="474"/>
      <c r="Q134" s="474"/>
      <c r="R134" s="474"/>
      <c r="S134" s="474"/>
      <c r="T134" s="474"/>
      <c r="U134" s="474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66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474"/>
      <c r="P135" s="474"/>
      <c r="Q135" s="474"/>
      <c r="R135" s="474"/>
      <c r="S135" s="474"/>
      <c r="T135" s="474"/>
      <c r="U135" s="474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>
        <v>42741</v>
      </c>
      <c r="G136" s="152">
        <f>90*10</f>
        <v>900</v>
      </c>
      <c r="H136" s="466">
        <f t="shared" si="51"/>
        <v>4554</v>
      </c>
      <c r="I136" s="129">
        <v>36</v>
      </c>
      <c r="J136" s="130">
        <f t="array" ref="J136">IF(ISERROR(G136/I136),"",G136/I136)</f>
        <v>25</v>
      </c>
      <c r="K136" s="131">
        <f t="array" ref="K136">IF(ISERROR(G136/L136),"",G136/L136)</f>
        <v>39.130434782608695</v>
      </c>
      <c r="L136" s="129">
        <v>23</v>
      </c>
      <c r="M136" s="109">
        <f t="shared" si="52"/>
        <v>-3.1304347826086953</v>
      </c>
      <c r="N136" s="130">
        <f t="shared" si="53"/>
        <v>0</v>
      </c>
      <c r="O136" s="474"/>
      <c r="P136" s="474"/>
      <c r="Q136" s="474"/>
      <c r="R136" s="474"/>
      <c r="S136" s="474"/>
      <c r="T136" s="474"/>
      <c r="U136" s="474"/>
      <c r="V136" s="132">
        <f t="shared" si="54"/>
        <v>0</v>
      </c>
      <c r="W136" s="133">
        <f t="shared" si="49"/>
        <v>0</v>
      </c>
      <c r="X136" s="132"/>
      <c r="Y136" s="132"/>
      <c r="Z136" s="132"/>
      <c r="AA136" s="132"/>
    </row>
    <row r="137" spans="1:27" ht="20.100000000000001" customHeight="1">
      <c r="A137" s="578" t="s">
        <v>231</v>
      </c>
      <c r="B137" s="579"/>
      <c r="C137" s="475" t="s">
        <v>202</v>
      </c>
      <c r="D137" s="143"/>
      <c r="E137" s="143"/>
      <c r="F137" s="144"/>
      <c r="G137" s="145">
        <f>SUM(G122:G136)</f>
        <v>1364</v>
      </c>
      <c r="H137" s="146">
        <f>SUM(H122:H136)</f>
        <v>6887.92</v>
      </c>
      <c r="I137" s="146">
        <f>SUM(I122:I136)</f>
        <v>55</v>
      </c>
      <c r="J137" s="130">
        <f t="array" ref="J137">IF(ISERROR(G137/I137),"",G137/I137)</f>
        <v>24.8</v>
      </c>
      <c r="K137" s="146">
        <f>SUM(K122:K136)</f>
        <v>57.690434782608691</v>
      </c>
      <c r="L137" s="147"/>
      <c r="M137" s="150">
        <f>SUM(M122:M136)</f>
        <v>-2.6904347826086941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49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66">
        <f t="shared" ref="H138:H147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3" si="56">IF(ISERROR(I138-K138),"",I138-K138)</f>
        <v>0</v>
      </c>
      <c r="N138" s="130">
        <f t="shared" ref="N138:N142" si="57">SUM(O138:U138)</f>
        <v>0</v>
      </c>
      <c r="O138" s="474"/>
      <c r="P138" s="474"/>
      <c r="Q138" s="474"/>
      <c r="R138" s="474"/>
      <c r="S138" s="474"/>
      <c r="T138" s="474"/>
      <c r="U138" s="474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66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474"/>
      <c r="P139" s="474"/>
      <c r="Q139" s="474"/>
      <c r="R139" s="474"/>
      <c r="S139" s="474"/>
      <c r="T139" s="474"/>
      <c r="U139" s="474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66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474"/>
      <c r="P140" s="474"/>
      <c r="Q140" s="474"/>
      <c r="R140" s="474"/>
      <c r="S140" s="474"/>
      <c r="T140" s="474"/>
      <c r="U140" s="474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466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474"/>
      <c r="P141" s="474"/>
      <c r="Q141" s="474"/>
      <c r="R141" s="474"/>
      <c r="S141" s="474"/>
      <c r="T141" s="474"/>
      <c r="U141" s="474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66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474"/>
      <c r="P142" s="474"/>
      <c r="Q142" s="474"/>
      <c r="R142" s="474"/>
      <c r="S142" s="474"/>
      <c r="T142" s="474"/>
      <c r="U142" s="474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>
        <v>42741</v>
      </c>
      <c r="G143" s="152">
        <f>90*7</f>
        <v>630</v>
      </c>
      <c r="H143" s="466">
        <f t="shared" si="55"/>
        <v>3175.2</v>
      </c>
      <c r="I143" s="129">
        <v>47</v>
      </c>
      <c r="J143" s="130">
        <f t="array" ref="J143">IF(ISERROR(G143/I143),"",G143/I143)</f>
        <v>13.404255319148936</v>
      </c>
      <c r="K143" s="131">
        <f t="array" ref="K143">IF(ISERROR(G143/L143),"",G143/L143)</f>
        <v>46.666666666666664</v>
      </c>
      <c r="L143" s="129">
        <v>13.5</v>
      </c>
      <c r="M143" s="109">
        <f t="shared" si="56"/>
        <v>0.3333333333333357</v>
      </c>
      <c r="N143" s="130"/>
      <c r="O143" s="474"/>
      <c r="P143" s="474"/>
      <c r="Q143" s="474"/>
      <c r="R143" s="474"/>
      <c r="S143" s="474"/>
      <c r="T143" s="474"/>
      <c r="U143" s="474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/>
      <c r="G144" s="128"/>
      <c r="H144" s="466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474"/>
      <c r="P144" s="474"/>
      <c r="Q144" s="474"/>
      <c r="R144" s="474"/>
      <c r="S144" s="474"/>
      <c r="T144" s="474"/>
      <c r="U144" s="474"/>
      <c r="V144" s="132"/>
      <c r="W144" s="133"/>
      <c r="X144" s="132"/>
      <c r="Y144" s="132"/>
      <c r="Z144" s="132"/>
      <c r="AA144" s="132"/>
    </row>
    <row r="145" spans="1:27" ht="20.100000000000001" hidden="1" customHeight="1">
      <c r="A145" s="300">
        <v>30400021</v>
      </c>
      <c r="B145" s="134" t="s">
        <v>439</v>
      </c>
      <c r="C145" s="187" t="s">
        <v>53</v>
      </c>
      <c r="D145" s="108">
        <v>5.04</v>
      </c>
      <c r="E145" s="108"/>
      <c r="F145" s="127"/>
      <c r="G145" s="128"/>
      <c r="H145" s="466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474"/>
      <c r="P145" s="474"/>
      <c r="Q145" s="474"/>
      <c r="R145" s="474"/>
      <c r="S145" s="474"/>
      <c r="T145" s="474"/>
      <c r="U145" s="474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/>
      <c r="G146" s="128"/>
      <c r="H146" s="466">
        <f t="shared" si="55"/>
        <v>0</v>
      </c>
      <c r="I146" s="129"/>
      <c r="J146" s="130"/>
      <c r="K146" s="131">
        <f t="array" ref="K146">IF(ISERROR(G146/L146),"",G146/L146)</f>
        <v>0</v>
      </c>
      <c r="L146" s="129">
        <v>13.5</v>
      </c>
      <c r="M146" s="109"/>
      <c r="N146" s="130"/>
      <c r="O146" s="474"/>
      <c r="P146" s="474"/>
      <c r="Q146" s="474"/>
      <c r="R146" s="474"/>
      <c r="S146" s="474"/>
      <c r="T146" s="474"/>
      <c r="U146" s="474"/>
      <c r="V146" s="132"/>
      <c r="W146" s="133"/>
      <c r="X146" s="132"/>
      <c r="Y146" s="132"/>
      <c r="Z146" s="132"/>
      <c r="AA146" s="132"/>
    </row>
    <row r="147" spans="1:27" ht="20.100000000000001" hidden="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28"/>
      <c r="H147" s="466">
        <f t="shared" si="55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ref="M147" si="59">IF(ISERROR(I147-K147),"",I147-K147)</f>
        <v>0</v>
      </c>
      <c r="N147" s="130">
        <f t="shared" ref="N147" si="60">SUM(O147:U147)</f>
        <v>0</v>
      </c>
      <c r="O147" s="474"/>
      <c r="P147" s="474"/>
      <c r="Q147" s="474"/>
      <c r="R147" s="474"/>
      <c r="S147" s="474"/>
      <c r="T147" s="474"/>
      <c r="U147" s="474"/>
      <c r="V147" s="132">
        <f t="shared" ref="V147" si="61">SUM(X147:AA147)</f>
        <v>0</v>
      </c>
      <c r="W147" s="133" t="str">
        <f t="shared" ref="W147:W152" si="62">IF(ISERROR(V147/G147),"",V147/G147)</f>
        <v/>
      </c>
      <c r="X147" s="132"/>
      <c r="Y147" s="132"/>
      <c r="Z147" s="132"/>
      <c r="AA147" s="132"/>
    </row>
    <row r="148" spans="1:27" ht="20.100000000000001" customHeight="1">
      <c r="A148" s="578" t="s">
        <v>234</v>
      </c>
      <c r="B148" s="579"/>
      <c r="C148" s="475" t="s">
        <v>202</v>
      </c>
      <c r="D148" s="143"/>
      <c r="E148" s="143"/>
      <c r="F148" s="144"/>
      <c r="G148" s="145">
        <f>SUM(G138:G147)</f>
        <v>630</v>
      </c>
      <c r="H148" s="146">
        <f>SUM(H138:H147)</f>
        <v>3175.2</v>
      </c>
      <c r="I148" s="146">
        <f>SUM(I138:I147)</f>
        <v>47</v>
      </c>
      <c r="J148" s="130">
        <f t="array" ref="J148">IF(ISERROR(G148/I148),"",G148/I148)</f>
        <v>13.404255319148936</v>
      </c>
      <c r="K148" s="146">
        <f>SUM(K138:K147)</f>
        <v>46.666666666666664</v>
      </c>
      <c r="L148" s="147"/>
      <c r="M148" s="150">
        <f>SUM(M138:M147)</f>
        <v>0.3333333333333357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>
        <f t="shared" si="62"/>
        <v>0</v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hidden="1" customHeight="1">
      <c r="A149" s="299">
        <v>30700013</v>
      </c>
      <c r="B149" s="298" t="s">
        <v>103</v>
      </c>
      <c r="C149" s="472"/>
      <c r="D149" s="108">
        <v>3.65</v>
      </c>
      <c r="E149" s="108"/>
      <c r="F149" s="153"/>
      <c r="G149" s="128"/>
      <c r="H149" s="466">
        <f t="shared" ref="H149:H162" si="63">D149*G149</f>
        <v>0</v>
      </c>
      <c r="I149" s="129"/>
      <c r="J149" s="130" t="str">
        <f t="array" ref="J149">IF(ISERROR(G149/I149),"",G149/I149)</f>
        <v/>
      </c>
      <c r="K149" s="466">
        <f t="array" ref="K149">IF(ISERROR(G149/L149),"",G149/L149)</f>
        <v>0</v>
      </c>
      <c r="L149" s="129">
        <v>5</v>
      </c>
      <c r="M149" s="109">
        <f t="shared" ref="M149:M152" si="64">IF(ISERROR(I149-K149),"",I149-K149)</f>
        <v>0</v>
      </c>
      <c r="N149" s="130">
        <f t="shared" ref="N149:N152" si="65">SUM(O149:U149)</f>
        <v>0</v>
      </c>
      <c r="O149" s="474"/>
      <c r="P149" s="474"/>
      <c r="Q149" s="474"/>
      <c r="R149" s="474"/>
      <c r="S149" s="474"/>
      <c r="T149" s="474"/>
      <c r="U149" s="474"/>
      <c r="V149" s="132">
        <f t="shared" ref="V149:V152" si="66">SUM(X149:AA149)</f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customHeight="1">
      <c r="A150" s="299">
        <v>30700014</v>
      </c>
      <c r="B150" s="141" t="s">
        <v>236</v>
      </c>
      <c r="C150" s="472"/>
      <c r="D150" s="108">
        <v>6.58</v>
      </c>
      <c r="E150" s="108"/>
      <c r="F150" s="127">
        <v>42738</v>
      </c>
      <c r="G150" s="152">
        <v>36</v>
      </c>
      <c r="H150" s="466">
        <f t="shared" si="63"/>
        <v>236.88</v>
      </c>
      <c r="I150" s="129">
        <v>8</v>
      </c>
      <c r="J150" s="130">
        <f t="array" ref="J150">IF(ISERROR(G150/I150),"",G150/I150)</f>
        <v>4.5</v>
      </c>
      <c r="K150" s="131">
        <f t="array" ref="K150">IF(ISERROR(G150/L150),"",G150/L150)</f>
        <v>7.2</v>
      </c>
      <c r="L150" s="129">
        <v>5</v>
      </c>
      <c r="M150" s="109">
        <f t="shared" si="64"/>
        <v>0.79999999999999982</v>
      </c>
      <c r="N150" s="130">
        <f t="shared" si="65"/>
        <v>0</v>
      </c>
      <c r="O150" s="474"/>
      <c r="P150" s="474"/>
      <c r="Q150" s="474"/>
      <c r="R150" s="474"/>
      <c r="S150" s="474"/>
      <c r="T150" s="474"/>
      <c r="U150" s="474"/>
      <c r="V150" s="132">
        <f t="shared" si="66"/>
        <v>0</v>
      </c>
      <c r="W150" s="133">
        <f t="shared" si="62"/>
        <v>0</v>
      </c>
      <c r="X150" s="132"/>
      <c r="Y150" s="132"/>
      <c r="Z150" s="132"/>
      <c r="AA150" s="132"/>
    </row>
    <row r="151" spans="1:27" ht="20.100000000000001" customHeight="1">
      <c r="A151" s="299">
        <v>30700016</v>
      </c>
      <c r="B151" s="141" t="s">
        <v>237</v>
      </c>
      <c r="C151" s="472"/>
      <c r="D151" s="108">
        <v>7.8</v>
      </c>
      <c r="E151" s="108"/>
      <c r="F151" s="127">
        <v>42738</v>
      </c>
      <c r="G151" s="152">
        <f>21+32*3</f>
        <v>117</v>
      </c>
      <c r="H151" s="466">
        <f t="shared" si="63"/>
        <v>912.6</v>
      </c>
      <c r="I151" s="129">
        <v>26</v>
      </c>
      <c r="J151" s="130">
        <f t="array" ref="J151">IF(ISERROR(G151/I151),"",G151/I151)</f>
        <v>4.5</v>
      </c>
      <c r="K151" s="131">
        <f t="array" ref="K151">IF(ISERROR(G151/L151),"",G151/L151)</f>
        <v>25.434782608695656</v>
      </c>
      <c r="L151" s="129">
        <v>4.5999999999999996</v>
      </c>
      <c r="M151" s="109">
        <f t="shared" si="64"/>
        <v>0.56521739130434412</v>
      </c>
      <c r="N151" s="130">
        <f t="shared" si="65"/>
        <v>0</v>
      </c>
      <c r="O151" s="474"/>
      <c r="P151" s="474"/>
      <c r="Q151" s="474"/>
      <c r="R151" s="474"/>
      <c r="S151" s="474"/>
      <c r="T151" s="474"/>
      <c r="U151" s="474"/>
      <c r="V151" s="132">
        <f t="shared" si="66"/>
        <v>0</v>
      </c>
      <c r="W151" s="133">
        <f t="shared" si="62"/>
        <v>0</v>
      </c>
      <c r="X151" s="132"/>
      <c r="Y151" s="132"/>
      <c r="Z151" s="132"/>
      <c r="AA151" s="132"/>
    </row>
    <row r="152" spans="1:27" ht="20.100000000000001" customHeight="1">
      <c r="A152" s="299">
        <v>30700017</v>
      </c>
      <c r="B152" s="141" t="s">
        <v>238</v>
      </c>
      <c r="C152" s="472"/>
      <c r="D152" s="108">
        <v>4.4000000000000004</v>
      </c>
      <c r="E152" s="108"/>
      <c r="F152" s="127">
        <v>42738</v>
      </c>
      <c r="G152" s="152">
        <f>34+38</f>
        <v>72</v>
      </c>
      <c r="H152" s="466">
        <f t="shared" si="63"/>
        <v>316.8</v>
      </c>
      <c r="I152" s="129">
        <v>12.5</v>
      </c>
      <c r="J152" s="130">
        <f t="array" ref="J152">IF(ISERROR(G152/I152),"",G152/I152)</f>
        <v>5.76</v>
      </c>
      <c r="K152" s="131">
        <f t="array" ref="K152">IF(ISERROR(G152/L152),"",G152/L152)</f>
        <v>12.413793103448276</v>
      </c>
      <c r="L152" s="129">
        <v>5.8</v>
      </c>
      <c r="M152" s="109">
        <f t="shared" si="64"/>
        <v>8.6206896551724199E-2</v>
      </c>
      <c r="N152" s="130">
        <f t="shared" si="65"/>
        <v>0</v>
      </c>
      <c r="O152" s="474"/>
      <c r="P152" s="474"/>
      <c r="Q152" s="474"/>
      <c r="R152" s="474"/>
      <c r="S152" s="474"/>
      <c r="T152" s="474"/>
      <c r="U152" s="474"/>
      <c r="V152" s="132">
        <f t="shared" si="66"/>
        <v>0</v>
      </c>
      <c r="W152" s="133">
        <f t="shared" si="62"/>
        <v>0</v>
      </c>
      <c r="X152" s="132"/>
      <c r="Y152" s="132"/>
      <c r="Z152" s="132"/>
      <c r="AA152" s="132"/>
    </row>
    <row r="153" spans="1:27" ht="20.100000000000001" hidden="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28"/>
      <c r="H153" s="466">
        <f t="shared" si="63"/>
        <v>0</v>
      </c>
      <c r="I153" s="129"/>
      <c r="J153" s="130"/>
      <c r="K153" s="131"/>
      <c r="L153" s="129">
        <v>6</v>
      </c>
      <c r="M153" s="109"/>
      <c r="N153" s="130"/>
      <c r="O153" s="474"/>
      <c r="P153" s="474"/>
      <c r="Q153" s="474"/>
      <c r="R153" s="474"/>
      <c r="S153" s="474"/>
      <c r="T153" s="474"/>
      <c r="U153" s="474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5"/>
      <c r="B154" s="472" t="s">
        <v>239</v>
      </c>
      <c r="C154" s="472" t="s">
        <v>179</v>
      </c>
      <c r="D154" s="108">
        <v>6.04</v>
      </c>
      <c r="E154" s="108"/>
      <c r="F154" s="127"/>
      <c r="G154" s="128"/>
      <c r="H154" s="466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5" si="67">IF(ISERROR(I154-K154),"",I154-K154)</f>
        <v>0</v>
      </c>
      <c r="N154" s="130">
        <f t="shared" ref="N154:N155" si="68">SUM(O154:U154)</f>
        <v>0</v>
      </c>
      <c r="O154" s="474"/>
      <c r="P154" s="474"/>
      <c r="Q154" s="474"/>
      <c r="R154" s="474"/>
      <c r="S154" s="474"/>
      <c r="T154" s="474"/>
      <c r="U154" s="474"/>
      <c r="V154" s="132">
        <f t="shared" ref="V154:V155" si="69">SUM(X154:AA154)</f>
        <v>0</v>
      </c>
      <c r="W154" s="133" t="str">
        <f t="shared" ref="W154:W155" si="70">IF(ISERROR(V154/G154),"",V154/G154)</f>
        <v/>
      </c>
      <c r="X154" s="132"/>
      <c r="Y154" s="132"/>
      <c r="Z154" s="132"/>
      <c r="AA154" s="132"/>
    </row>
    <row r="155" spans="1:27" ht="20.100000000000001" hidden="1" customHeight="1">
      <c r="A155" s="305">
        <v>30700019</v>
      </c>
      <c r="B155" s="472" t="s">
        <v>239</v>
      </c>
      <c r="C155" s="472" t="s">
        <v>186</v>
      </c>
      <c r="D155" s="108">
        <v>6.04</v>
      </c>
      <c r="E155" s="108"/>
      <c r="F155" s="127"/>
      <c r="G155" s="128"/>
      <c r="H155" s="466">
        <f t="shared" si="63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7"/>
        <v>0</v>
      </c>
      <c r="N155" s="130">
        <f t="shared" si="68"/>
        <v>0</v>
      </c>
      <c r="O155" s="474"/>
      <c r="P155" s="474"/>
      <c r="Q155" s="474"/>
      <c r="R155" s="474"/>
      <c r="S155" s="474"/>
      <c r="T155" s="474"/>
      <c r="U155" s="474"/>
      <c r="V155" s="132">
        <f t="shared" si="69"/>
        <v>0</v>
      </c>
      <c r="W155" s="133" t="str">
        <f t="shared" si="70"/>
        <v/>
      </c>
      <c r="X155" s="132"/>
      <c r="Y155" s="132"/>
      <c r="Z155" s="132"/>
      <c r="AA155" s="132"/>
    </row>
    <row r="156" spans="1:27" ht="20.100000000000001" hidden="1" customHeight="1">
      <c r="A156" s="305">
        <v>30601015</v>
      </c>
      <c r="B156" s="472" t="s">
        <v>443</v>
      </c>
      <c r="C156" s="472" t="s">
        <v>179</v>
      </c>
      <c r="D156" s="108">
        <v>6</v>
      </c>
      <c r="E156" s="108"/>
      <c r="F156" s="127"/>
      <c r="G156" s="128"/>
      <c r="H156" s="466">
        <f t="shared" si="63"/>
        <v>0</v>
      </c>
      <c r="I156" s="129"/>
      <c r="J156" s="130"/>
      <c r="K156" s="131"/>
      <c r="L156" s="129"/>
      <c r="M156" s="109"/>
      <c r="N156" s="130"/>
      <c r="O156" s="474"/>
      <c r="P156" s="474"/>
      <c r="Q156" s="474"/>
      <c r="R156" s="474"/>
      <c r="S156" s="474"/>
      <c r="T156" s="474"/>
      <c r="U156" s="474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305">
        <v>30101016</v>
      </c>
      <c r="B157" s="472" t="s">
        <v>443</v>
      </c>
      <c r="C157" s="472" t="s">
        <v>60</v>
      </c>
      <c r="D157" s="108">
        <v>6</v>
      </c>
      <c r="E157" s="108"/>
      <c r="F157" s="127"/>
      <c r="G157" s="128"/>
      <c r="H157" s="466">
        <f t="shared" si="63"/>
        <v>0</v>
      </c>
      <c r="I157" s="129"/>
      <c r="J157" s="130"/>
      <c r="K157" s="131"/>
      <c r="L157" s="129">
        <v>6</v>
      </c>
      <c r="M157" s="109"/>
      <c r="N157" s="130"/>
      <c r="O157" s="474"/>
      <c r="P157" s="474"/>
      <c r="Q157" s="474"/>
      <c r="R157" s="474"/>
      <c r="S157" s="474"/>
      <c r="T157" s="474"/>
      <c r="U157" s="474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299">
        <v>30700018</v>
      </c>
      <c r="B158" s="465" t="s">
        <v>240</v>
      </c>
      <c r="C158" s="126"/>
      <c r="D158" s="108">
        <v>7.3</v>
      </c>
      <c r="E158" s="108"/>
      <c r="F158" s="127"/>
      <c r="G158" s="128"/>
      <c r="H158" s="466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1">IF(ISERROR(I158-K158),"",I158-K158)</f>
        <v/>
      </c>
      <c r="N158" s="130">
        <f t="shared" ref="N158:N159" si="72">SUM(O158:U158)</f>
        <v>0</v>
      </c>
      <c r="O158" s="474"/>
      <c r="P158" s="474"/>
      <c r="Q158" s="474"/>
      <c r="R158" s="474"/>
      <c r="S158" s="474"/>
      <c r="T158" s="474"/>
      <c r="U158" s="474"/>
      <c r="V158" s="132">
        <f t="shared" ref="V158:V159" si="73">SUM(X158:AA158)</f>
        <v>0</v>
      </c>
      <c r="W158" s="133" t="str">
        <f t="shared" ref="W158:W159" si="74">IF(ISERROR(V158/G158),"",V158/G158)</f>
        <v/>
      </c>
      <c r="X158" s="132"/>
      <c r="Y158" s="132"/>
      <c r="Z158" s="132"/>
      <c r="AA158" s="132"/>
    </row>
    <row r="159" spans="1:27" ht="20.100000000000001" hidden="1" customHeight="1">
      <c r="A159" s="299">
        <v>30700010</v>
      </c>
      <c r="B159" s="465" t="s">
        <v>241</v>
      </c>
      <c r="C159" s="126"/>
      <c r="D159" s="108">
        <f>78*120/1000</f>
        <v>9.36</v>
      </c>
      <c r="E159" s="108"/>
      <c r="F159" s="127"/>
      <c r="G159" s="128"/>
      <c r="H159" s="466">
        <f t="shared" si="63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2"/>
        <v>0</v>
      </c>
      <c r="O159" s="474"/>
      <c r="P159" s="474"/>
      <c r="Q159" s="474"/>
      <c r="R159" s="474"/>
      <c r="S159" s="474"/>
      <c r="T159" s="474"/>
      <c r="U159" s="474"/>
      <c r="V159" s="132">
        <f t="shared" si="73"/>
        <v>0</v>
      </c>
      <c r="W159" s="133" t="str">
        <f t="shared" si="74"/>
        <v/>
      </c>
      <c r="X159" s="132"/>
      <c r="Y159" s="132"/>
      <c r="Z159" s="132"/>
      <c r="AA159" s="132"/>
    </row>
    <row r="160" spans="1:27" ht="20.100000000000001" hidden="1" customHeight="1">
      <c r="A160" s="299">
        <v>30700015</v>
      </c>
      <c r="B160" s="465" t="s">
        <v>242</v>
      </c>
      <c r="C160" s="126"/>
      <c r="D160" s="108">
        <v>4.5</v>
      </c>
      <c r="E160" s="108"/>
      <c r="F160" s="127"/>
      <c r="G160" s="128"/>
      <c r="H160" s="466">
        <f t="shared" si="63"/>
        <v>0</v>
      </c>
      <c r="I160" s="129"/>
      <c r="J160" s="130"/>
      <c r="K160" s="131"/>
      <c r="L160" s="129"/>
      <c r="M160" s="109"/>
      <c r="N160" s="130"/>
      <c r="O160" s="474"/>
      <c r="P160" s="474"/>
      <c r="Q160" s="474"/>
      <c r="R160" s="474"/>
      <c r="S160" s="474"/>
      <c r="T160" s="474"/>
      <c r="U160" s="474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299">
        <v>30700012</v>
      </c>
      <c r="B161" s="465" t="s">
        <v>243</v>
      </c>
      <c r="C161" s="126"/>
      <c r="D161" s="108">
        <v>4.5</v>
      </c>
      <c r="E161" s="108"/>
      <c r="F161" s="127"/>
      <c r="G161" s="128"/>
      <c r="H161" s="466">
        <f t="shared" si="63"/>
        <v>0</v>
      </c>
      <c r="I161" s="129"/>
      <c r="J161" s="130"/>
      <c r="K161" s="131"/>
      <c r="L161" s="129"/>
      <c r="M161" s="109"/>
      <c r="N161" s="130"/>
      <c r="O161" s="474"/>
      <c r="P161" s="474"/>
      <c r="Q161" s="474"/>
      <c r="R161" s="474"/>
      <c r="S161" s="474"/>
      <c r="T161" s="474"/>
      <c r="U161" s="474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306">
        <v>30101063</v>
      </c>
      <c r="B162" s="254" t="s">
        <v>436</v>
      </c>
      <c r="C162" s="126"/>
      <c r="D162" s="108">
        <v>5.03</v>
      </c>
      <c r="E162" s="108"/>
      <c r="F162" s="127"/>
      <c r="G162" s="128"/>
      <c r="H162" s="466">
        <f t="shared" si="63"/>
        <v>0</v>
      </c>
      <c r="I162" s="129"/>
      <c r="J162" s="130"/>
      <c r="K162" s="131"/>
      <c r="L162" s="129"/>
      <c r="M162" s="109"/>
      <c r="N162" s="130"/>
      <c r="O162" s="474"/>
      <c r="P162" s="474"/>
      <c r="Q162" s="474"/>
      <c r="R162" s="474"/>
      <c r="S162" s="474"/>
      <c r="T162" s="474"/>
      <c r="U162" s="474"/>
      <c r="V162" s="132"/>
      <c r="W162" s="133"/>
      <c r="X162" s="132"/>
      <c r="Y162" s="132"/>
      <c r="Z162" s="132"/>
      <c r="AA162" s="132"/>
    </row>
    <row r="163" spans="1:27" ht="20.100000000000001" customHeight="1">
      <c r="A163" s="578" t="s">
        <v>244</v>
      </c>
      <c r="B163" s="579"/>
      <c r="C163" s="475" t="s">
        <v>202</v>
      </c>
      <c r="D163" s="143"/>
      <c r="E163" s="143"/>
      <c r="F163" s="144"/>
      <c r="G163" s="145">
        <f>SUM(G149:G161)</f>
        <v>225</v>
      </c>
      <c r="H163" s="146">
        <f>SUM(H149:H159)</f>
        <v>1466.28</v>
      </c>
      <c r="I163" s="146">
        <f>SUM(I149:I161)</f>
        <v>46.5</v>
      </c>
      <c r="J163" s="130">
        <f t="array" ref="J163">IF(ISERROR(G163/I163),"",G163/I163)</f>
        <v>4.838709677419355</v>
      </c>
      <c r="K163" s="146">
        <f>SUM(K149:K159)</f>
        <v>45.048575712143936</v>
      </c>
      <c r="L163" s="147"/>
      <c r="M163" s="150">
        <f t="shared" ref="M163:V163" si="75">SUM(M149:M159)</f>
        <v>1.4514242878560681</v>
      </c>
      <c r="N163" s="146">
        <f t="shared" si="75"/>
        <v>0</v>
      </c>
      <c r="O163" s="148">
        <f t="shared" si="75"/>
        <v>0</v>
      </c>
      <c r="P163" s="148">
        <f t="shared" si="75"/>
        <v>0</v>
      </c>
      <c r="Q163" s="148">
        <f t="shared" si="75"/>
        <v>0</v>
      </c>
      <c r="R163" s="148">
        <f t="shared" si="75"/>
        <v>0</v>
      </c>
      <c r="S163" s="148">
        <f t="shared" si="75"/>
        <v>0</v>
      </c>
      <c r="T163" s="148">
        <f t="shared" si="75"/>
        <v>0</v>
      </c>
      <c r="U163" s="148">
        <f t="shared" si="75"/>
        <v>0</v>
      </c>
      <c r="V163" s="149">
        <f t="shared" si="75"/>
        <v>0</v>
      </c>
      <c r="W163" s="133">
        <f>IF(ISERROR(V163/G163),"",V163/G163)</f>
        <v>0</v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580" t="s">
        <v>246</v>
      </c>
      <c r="B164" s="581"/>
      <c r="C164" s="581"/>
      <c r="D164" s="581"/>
      <c r="E164" s="581"/>
      <c r="F164" s="582"/>
      <c r="G164" s="154">
        <f>SUM(G28,G86,G121,G137,G148,G163)</f>
        <v>6540</v>
      </c>
      <c r="H164" s="154">
        <f>SUM(H28,H86,H121,H137,H148,H163)</f>
        <v>33307.370000000003</v>
      </c>
      <c r="I164" s="154">
        <f>SUM(I28,I86,I121,I137,I148,I163)</f>
        <v>315</v>
      </c>
      <c r="J164" s="155">
        <f t="array" ref="J164">IF(ISERROR(G164/I164),"",G164/I164)</f>
        <v>20.761904761904763</v>
      </c>
      <c r="K164" s="154">
        <f>SUM(K28,K86,K121,K137,K148,K163)</f>
        <v>316.20262110894464</v>
      </c>
      <c r="L164" s="155">
        <f>IF(ISERROR(G164/K164),"",G164/K164)</f>
        <v>20.682940505248705</v>
      </c>
      <c r="M164" s="154">
        <f t="shared" ref="M164:AA164" si="76">SUM(M28,M86,M121,M137,M148,M163)</f>
        <v>-1.2026211089446317</v>
      </c>
      <c r="N164" s="154">
        <f t="shared" si="76"/>
        <v>0</v>
      </c>
      <c r="O164" s="154">
        <f t="shared" si="76"/>
        <v>0</v>
      </c>
      <c r="P164" s="154">
        <f t="shared" si="76"/>
        <v>0</v>
      </c>
      <c r="Q164" s="154">
        <f t="shared" si="76"/>
        <v>0</v>
      </c>
      <c r="R164" s="154">
        <f t="shared" si="76"/>
        <v>0</v>
      </c>
      <c r="S164" s="154">
        <f t="shared" si="76"/>
        <v>0</v>
      </c>
      <c r="T164" s="154">
        <f t="shared" si="76"/>
        <v>0</v>
      </c>
      <c r="U164" s="154">
        <f t="shared" si="76"/>
        <v>0</v>
      </c>
      <c r="V164" s="154">
        <f t="shared" si="76"/>
        <v>0</v>
      </c>
      <c r="W164" s="154">
        <f t="shared" si="76"/>
        <v>0</v>
      </c>
      <c r="X164" s="154">
        <f t="shared" si="76"/>
        <v>0</v>
      </c>
      <c r="Y164" s="154">
        <f t="shared" si="76"/>
        <v>0</v>
      </c>
      <c r="Z164" s="154">
        <f t="shared" si="76"/>
        <v>0</v>
      </c>
      <c r="AA164" s="154">
        <f t="shared" si="76"/>
        <v>0</v>
      </c>
    </row>
    <row r="165" spans="1:27" ht="20.100000000000001" customHeight="1">
      <c r="A165" s="583" t="s">
        <v>476</v>
      </c>
      <c r="B165" s="468" t="s">
        <v>247</v>
      </c>
      <c r="C165" s="586" t="s">
        <v>248</v>
      </c>
      <c r="D165" s="587"/>
      <c r="E165" s="588" t="s">
        <v>249</v>
      </c>
      <c r="F165" s="588"/>
      <c r="G165" s="591" t="s">
        <v>250</v>
      </c>
      <c r="H165" s="591"/>
      <c r="I165" s="588" t="s">
        <v>251</v>
      </c>
      <c r="J165" s="588"/>
      <c r="K165" s="588" t="s">
        <v>252</v>
      </c>
      <c r="L165" s="588"/>
      <c r="M165" s="588" t="s">
        <v>253</v>
      </c>
      <c r="N165" s="588"/>
      <c r="O165" s="588" t="s">
        <v>254</v>
      </c>
      <c r="P165" s="591" t="s">
        <v>255</v>
      </c>
      <c r="Q165" s="591"/>
      <c r="R165" s="591" t="s">
        <v>252</v>
      </c>
      <c r="S165" s="591"/>
      <c r="T165" s="591" t="s">
        <v>256</v>
      </c>
      <c r="U165" s="591"/>
      <c r="V165" s="591" t="s">
        <v>257</v>
      </c>
      <c r="W165" s="591"/>
      <c r="X165" s="591" t="s">
        <v>252</v>
      </c>
      <c r="Y165" s="591"/>
      <c r="Z165" s="591" t="s">
        <v>256</v>
      </c>
      <c r="AA165" s="591"/>
    </row>
    <row r="166" spans="1:27" ht="20.100000000000001" customHeight="1">
      <c r="A166" s="584"/>
      <c r="B166" s="468" t="s">
        <v>258</v>
      </c>
      <c r="C166" s="586">
        <v>1</v>
      </c>
      <c r="D166" s="587"/>
      <c r="E166" s="590">
        <f>C166*11</f>
        <v>11</v>
      </c>
      <c r="F166" s="590"/>
      <c r="G166" s="591">
        <v>1</v>
      </c>
      <c r="H166" s="591"/>
      <c r="I166" s="590">
        <f>G166*11</f>
        <v>11</v>
      </c>
      <c r="J166" s="590"/>
      <c r="K166" s="590">
        <f>E166-I166</f>
        <v>0</v>
      </c>
      <c r="L166" s="590"/>
      <c r="M166" s="592">
        <f>IF(ISERROR(K166/E166),"",K166/E166)</f>
        <v>0</v>
      </c>
      <c r="N166" s="592"/>
      <c r="O166" s="588"/>
      <c r="P166" s="591" t="s">
        <v>201</v>
      </c>
      <c r="Q166" s="591"/>
      <c r="R166" s="593">
        <f>SUM(O28:U28)</f>
        <v>0</v>
      </c>
      <c r="S166" s="593"/>
      <c r="T166" s="594" t="str">
        <f t="array" ref="T166">IF(ISERROR(R166/R173),"",R166/R173)</f>
        <v/>
      </c>
      <c r="U166" s="594"/>
      <c r="V166" s="591" t="s">
        <v>259</v>
      </c>
      <c r="W166" s="591"/>
      <c r="X166" s="595">
        <f>SUM(P27,P85,P120,P136,P147,P161)</f>
        <v>0</v>
      </c>
      <c r="Y166" s="595"/>
      <c r="Z166" s="594" t="str">
        <f t="array" ref="Z166">IF(ISERROR(X166/X173),"",X166/X173)</f>
        <v/>
      </c>
      <c r="AA166" s="594"/>
    </row>
    <row r="167" spans="1:27" ht="20.100000000000001" customHeight="1">
      <c r="A167" s="584"/>
      <c r="B167" s="468" t="s">
        <v>260</v>
      </c>
      <c r="C167" s="586">
        <v>1</v>
      </c>
      <c r="D167" s="587"/>
      <c r="E167" s="590">
        <f>C167*11</f>
        <v>11</v>
      </c>
      <c r="F167" s="590"/>
      <c r="G167" s="591">
        <v>1</v>
      </c>
      <c r="H167" s="591"/>
      <c r="I167" s="590">
        <f>G167*11</f>
        <v>11</v>
      </c>
      <c r="J167" s="590"/>
      <c r="K167" s="590">
        <f>E167-I167</f>
        <v>0</v>
      </c>
      <c r="L167" s="590"/>
      <c r="M167" s="592">
        <f>IF(ISERROR(K167/E167),"",K167/E167)</f>
        <v>0</v>
      </c>
      <c r="N167" s="592"/>
      <c r="O167" s="588"/>
      <c r="P167" s="591" t="s">
        <v>216</v>
      </c>
      <c r="Q167" s="591"/>
      <c r="R167" s="593">
        <f>SUM(O86:U86)</f>
        <v>0</v>
      </c>
      <c r="S167" s="593"/>
      <c r="T167" s="594" t="str">
        <f>IF(ISERROR(R167/R173),"",R167/R173)</f>
        <v/>
      </c>
      <c r="U167" s="594"/>
      <c r="V167" s="591" t="s">
        <v>261</v>
      </c>
      <c r="W167" s="591"/>
      <c r="X167" s="595">
        <f>SUM(P28,P86,P121,P137,P148,P163)</f>
        <v>0</v>
      </c>
      <c r="Y167" s="595"/>
      <c r="Z167" s="594" t="str">
        <f>IF(ISERROR(X167/X173),"",X167/X173)</f>
        <v/>
      </c>
      <c r="AA167" s="594"/>
    </row>
    <row r="168" spans="1:27" ht="20.100000000000001" customHeight="1">
      <c r="A168" s="584"/>
      <c r="B168" s="468" t="s">
        <v>262</v>
      </c>
      <c r="C168" s="586">
        <v>1</v>
      </c>
      <c r="D168" s="587"/>
      <c r="E168" s="590">
        <f>C168*8</f>
        <v>8</v>
      </c>
      <c r="F168" s="590"/>
      <c r="G168" s="591">
        <v>1</v>
      </c>
      <c r="H168" s="591"/>
      <c r="I168" s="590">
        <f>G168*8</f>
        <v>8</v>
      </c>
      <c r="J168" s="590"/>
      <c r="K168" s="590">
        <f>E168-I168</f>
        <v>0</v>
      </c>
      <c r="L168" s="590"/>
      <c r="M168" s="592">
        <f>IF(ISERROR(K168/E168),"",K168/E168)</f>
        <v>0</v>
      </c>
      <c r="N168" s="592"/>
      <c r="O168" s="588"/>
      <c r="P168" s="591" t="s">
        <v>224</v>
      </c>
      <c r="Q168" s="591"/>
      <c r="R168" s="593">
        <f>SUM(O121:U121)</f>
        <v>0</v>
      </c>
      <c r="S168" s="593"/>
      <c r="T168" s="594" t="str">
        <f>IF(ISERROR(R168/R173),"",R168/R173)</f>
        <v/>
      </c>
      <c r="U168" s="594"/>
      <c r="V168" s="591" t="s">
        <v>263</v>
      </c>
      <c r="W168" s="591"/>
      <c r="X168" s="595">
        <f>SUM(P29,P87,P122,P138,P149,P164)</f>
        <v>0</v>
      </c>
      <c r="Y168" s="595"/>
      <c r="Z168" s="594" t="str">
        <f>IF(ISERROR(X168/X173),"",X168/X173)</f>
        <v/>
      </c>
      <c r="AA168" s="594"/>
    </row>
    <row r="169" spans="1:27" ht="20.100000000000001" customHeight="1">
      <c r="A169" s="584"/>
      <c r="B169" s="468" t="s">
        <v>264</v>
      </c>
      <c r="C169" s="586">
        <v>1</v>
      </c>
      <c r="D169" s="587"/>
      <c r="E169" s="590">
        <f>C169*11</f>
        <v>11</v>
      </c>
      <c r="F169" s="590"/>
      <c r="G169" s="591">
        <v>1</v>
      </c>
      <c r="H169" s="591"/>
      <c r="I169" s="590">
        <f>G169*11</f>
        <v>11</v>
      </c>
      <c r="J169" s="590"/>
      <c r="K169" s="590">
        <f>E169-I169</f>
        <v>0</v>
      </c>
      <c r="L169" s="590"/>
      <c r="M169" s="592">
        <f>IF(ISERROR(K169/E169),"",K169/E169)</f>
        <v>0</v>
      </c>
      <c r="N169" s="592"/>
      <c r="O169" s="588"/>
      <c r="P169" s="591" t="s">
        <v>231</v>
      </c>
      <c r="Q169" s="591"/>
      <c r="R169" s="593">
        <f>SUM(O137:U137)</f>
        <v>0</v>
      </c>
      <c r="S169" s="593"/>
      <c r="T169" s="594" t="str">
        <f>IF(ISERROR(R169/R173),"",R169/R173)</f>
        <v/>
      </c>
      <c r="U169" s="594"/>
      <c r="V169" s="591" t="s">
        <v>265</v>
      </c>
      <c r="W169" s="591"/>
      <c r="X169" s="595">
        <f>SUM(P31,P88,P123,P139,P150,P165)</f>
        <v>0</v>
      </c>
      <c r="Y169" s="595"/>
      <c r="Z169" s="594" t="str">
        <f>IF(ISERROR(X169/X173),"",X169/X173)</f>
        <v/>
      </c>
      <c r="AA169" s="594"/>
    </row>
    <row r="170" spans="1:27" ht="20.100000000000001" customHeight="1">
      <c r="A170" s="585"/>
      <c r="B170" s="468" t="s">
        <v>266</v>
      </c>
      <c r="C170" s="596">
        <f>SUM(C166:D169)</f>
        <v>4</v>
      </c>
      <c r="D170" s="597"/>
      <c r="E170" s="590">
        <f>SUM(E166:F169)</f>
        <v>41</v>
      </c>
      <c r="F170" s="590"/>
      <c r="G170" s="591">
        <f>SUM(G166:H169)</f>
        <v>4</v>
      </c>
      <c r="H170" s="591"/>
      <c r="I170" s="590">
        <f>SUM(I166:J169)</f>
        <v>41</v>
      </c>
      <c r="J170" s="590"/>
      <c r="K170" s="590">
        <f>SUM(K166:L169)</f>
        <v>0</v>
      </c>
      <c r="L170" s="590"/>
      <c r="M170" s="592">
        <f>IF(ISERROR(K170/E170),"",K170/E170)</f>
        <v>0</v>
      </c>
      <c r="N170" s="592"/>
      <c r="O170" s="588"/>
      <c r="P170" s="591" t="s">
        <v>234</v>
      </c>
      <c r="Q170" s="591"/>
      <c r="R170" s="593">
        <f>SUM(O148:U148)</f>
        <v>0</v>
      </c>
      <c r="S170" s="593"/>
      <c r="T170" s="594" t="str">
        <f>IF(ISERROR(R170/R173),"",R170/R173)</f>
        <v/>
      </c>
      <c r="U170" s="594"/>
      <c r="V170" s="591" t="s">
        <v>267</v>
      </c>
      <c r="W170" s="591"/>
      <c r="X170" s="595">
        <f>SUM(P32,P89,P124,P140,P151,P166)</f>
        <v>0</v>
      </c>
      <c r="Y170" s="595"/>
      <c r="Z170" s="594" t="str">
        <f>IF(ISERROR(X170/X173),"",X170/X173)</f>
        <v/>
      </c>
      <c r="AA170" s="594"/>
    </row>
    <row r="171" spans="1:27" ht="20.100000000000001" customHeight="1">
      <c r="A171" s="307" t="s">
        <v>477</v>
      </c>
      <c r="B171" s="468">
        <f>G164</f>
        <v>6540</v>
      </c>
      <c r="C171" s="598" t="s">
        <v>269</v>
      </c>
      <c r="D171" s="599"/>
      <c r="E171" s="591">
        <f>H164</f>
        <v>33307.370000000003</v>
      </c>
      <c r="F171" s="591"/>
      <c r="G171" s="591" t="s">
        <v>270</v>
      </c>
      <c r="H171" s="591"/>
      <c r="I171" s="600">
        <f>L164</f>
        <v>20.682940505248705</v>
      </c>
      <c r="J171" s="600"/>
      <c r="K171" s="588" t="s">
        <v>271</v>
      </c>
      <c r="L171" s="588"/>
      <c r="M171" s="600">
        <f>J164</f>
        <v>20.761904761904763</v>
      </c>
      <c r="N171" s="600"/>
      <c r="O171" s="588"/>
      <c r="P171" s="591" t="s">
        <v>244</v>
      </c>
      <c r="Q171" s="591"/>
      <c r="R171" s="593">
        <f>SUM(O163:U163)</f>
        <v>0</v>
      </c>
      <c r="S171" s="593"/>
      <c r="T171" s="594" t="str">
        <f>IF(ISERROR(R171/R173),"",R171/R173)</f>
        <v/>
      </c>
      <c r="U171" s="594"/>
      <c r="V171" s="591" t="s">
        <v>272</v>
      </c>
      <c r="W171" s="591"/>
      <c r="X171" s="595">
        <f>SUM(P33,P90,P125,P141,P152,P167)</f>
        <v>0</v>
      </c>
      <c r="Y171" s="595"/>
      <c r="Z171" s="594" t="str">
        <f>IF(ISERROR(X171/X173),"",X171/X173)</f>
        <v/>
      </c>
      <c r="AA171" s="594"/>
    </row>
    <row r="172" spans="1:27" ht="20.100000000000001" customHeight="1">
      <c r="A172" s="308" t="s">
        <v>478</v>
      </c>
      <c r="B172" s="468">
        <f>I164+C170</f>
        <v>319</v>
      </c>
      <c r="C172" s="601" t="s">
        <v>251</v>
      </c>
      <c r="D172" s="602"/>
      <c r="E172" s="603">
        <f>K164+I170</f>
        <v>357.20262110894464</v>
      </c>
      <c r="F172" s="603"/>
      <c r="G172" s="591" t="s">
        <v>274</v>
      </c>
      <c r="H172" s="591"/>
      <c r="I172" s="600">
        <f>B172-E172</f>
        <v>-38.202621108944641</v>
      </c>
      <c r="J172" s="600"/>
      <c r="K172" s="588" t="s">
        <v>275</v>
      </c>
      <c r="L172" s="588"/>
      <c r="M172" s="592">
        <f>IF(ISERROR(I172/E172),"",I172/E172)</f>
        <v>-0.10694944228108862</v>
      </c>
      <c r="N172" s="592"/>
      <c r="O172" s="588"/>
      <c r="P172" s="591" t="s">
        <v>245</v>
      </c>
      <c r="Q172" s="591"/>
      <c r="R172" s="593"/>
      <c r="S172" s="593"/>
      <c r="T172" s="594" t="str">
        <f>IF(ISERROR(R172/R173),"",R172/R173)</f>
        <v/>
      </c>
      <c r="U172" s="594"/>
      <c r="V172" s="591" t="s">
        <v>264</v>
      </c>
      <c r="W172" s="591"/>
      <c r="X172" s="595"/>
      <c r="Y172" s="595"/>
      <c r="Z172" s="594" t="str">
        <f>IF(ISERROR(X172/X173),"",X172/X173)</f>
        <v/>
      </c>
      <c r="AA172" s="594"/>
    </row>
    <row r="173" spans="1:27" ht="20.100000000000001" customHeight="1">
      <c r="A173" s="308" t="s">
        <v>479</v>
      </c>
      <c r="B173" s="468">
        <f>N164</f>
        <v>0</v>
      </c>
      <c r="C173" s="601" t="s">
        <v>277</v>
      </c>
      <c r="D173" s="602"/>
      <c r="E173" s="594">
        <f>IF(ISERROR(B173/B172),"",B173/B172)</f>
        <v>0</v>
      </c>
      <c r="F173" s="594"/>
      <c r="G173" s="591" t="s">
        <v>278</v>
      </c>
      <c r="H173" s="591"/>
      <c r="I173" s="588">
        <f>V164</f>
        <v>0</v>
      </c>
      <c r="J173" s="588"/>
      <c r="K173" s="588" t="s">
        <v>279</v>
      </c>
      <c r="L173" s="588"/>
      <c r="M173" s="592">
        <f t="array" ref="M173">IF(ISERROR(I173/B171),"",I173/B171)</f>
        <v>0</v>
      </c>
      <c r="N173" s="592"/>
      <c r="O173" s="588"/>
      <c r="P173" s="591" t="s">
        <v>266</v>
      </c>
      <c r="Q173" s="591"/>
      <c r="R173" s="593">
        <f>SUM(R166:S172)</f>
        <v>0</v>
      </c>
      <c r="S173" s="593"/>
      <c r="T173" s="594"/>
      <c r="U173" s="594"/>
      <c r="V173" s="591" t="s">
        <v>266</v>
      </c>
      <c r="W173" s="591"/>
      <c r="X173" s="595">
        <f>SUM(X166:Y172)</f>
        <v>0</v>
      </c>
      <c r="Y173" s="595"/>
      <c r="Z173" s="594"/>
      <c r="AA173" s="594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4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604" t="s">
        <v>480</v>
      </c>
      <c r="B175" s="607" t="s">
        <v>280</v>
      </c>
      <c r="C175" s="607" t="s">
        <v>281</v>
      </c>
      <c r="D175" s="607" t="s">
        <v>282</v>
      </c>
      <c r="E175" s="610" t="s">
        <v>283</v>
      </c>
      <c r="F175" s="623" t="s">
        <v>284</v>
      </c>
      <c r="G175" s="588" t="s">
        <v>285</v>
      </c>
      <c r="H175" s="588"/>
      <c r="I175" s="607" t="s">
        <v>286</v>
      </c>
      <c r="J175" s="613" t="s">
        <v>271</v>
      </c>
      <c r="K175" s="616" t="s">
        <v>287</v>
      </c>
      <c r="L175" s="607" t="s">
        <v>270</v>
      </c>
      <c r="M175" s="619" t="s">
        <v>288</v>
      </c>
      <c r="N175" s="621" t="s">
        <v>252</v>
      </c>
      <c r="O175" s="588" t="s">
        <v>289</v>
      </c>
      <c r="P175" s="588"/>
      <c r="Q175" s="588"/>
      <c r="R175" s="588"/>
      <c r="S175" s="588"/>
      <c r="T175" s="588"/>
      <c r="U175" s="588"/>
      <c r="V175" s="588" t="s">
        <v>290</v>
      </c>
      <c r="W175" s="621" t="s">
        <v>291</v>
      </c>
      <c r="X175" s="588" t="s">
        <v>292</v>
      </c>
      <c r="Y175" s="588"/>
      <c r="Z175" s="588"/>
      <c r="AA175" s="588"/>
    </row>
    <row r="176" spans="1:27" ht="21.95" customHeight="1">
      <c r="A176" s="605"/>
      <c r="B176" s="608"/>
      <c r="C176" s="608"/>
      <c r="D176" s="608"/>
      <c r="E176" s="611"/>
      <c r="F176" s="624"/>
      <c r="G176" s="588"/>
      <c r="H176" s="588"/>
      <c r="I176" s="608"/>
      <c r="J176" s="614"/>
      <c r="K176" s="617"/>
      <c r="L176" s="608"/>
      <c r="M176" s="620"/>
      <c r="N176" s="621"/>
      <c r="O176" s="588" t="s">
        <v>259</v>
      </c>
      <c r="P176" s="588" t="s">
        <v>261</v>
      </c>
      <c r="Q176" s="588" t="s">
        <v>263</v>
      </c>
      <c r="R176" s="622" t="s">
        <v>265</v>
      </c>
      <c r="S176" s="591" t="s">
        <v>267</v>
      </c>
      <c r="T176" s="588" t="s">
        <v>272</v>
      </c>
      <c r="U176" s="588" t="s">
        <v>264</v>
      </c>
      <c r="V176" s="588"/>
      <c r="W176" s="621"/>
      <c r="X176" s="588" t="s">
        <v>293</v>
      </c>
      <c r="Y176" s="588" t="s">
        <v>294</v>
      </c>
      <c r="Z176" s="588" t="s">
        <v>295</v>
      </c>
      <c r="AA176" s="588" t="s">
        <v>264</v>
      </c>
    </row>
    <row r="177" spans="1:27" ht="21.95" customHeight="1">
      <c r="A177" s="606"/>
      <c r="B177" s="609"/>
      <c r="C177" s="609"/>
      <c r="D177" s="609"/>
      <c r="E177" s="612"/>
      <c r="F177" s="625"/>
      <c r="G177" s="348" t="s">
        <v>296</v>
      </c>
      <c r="H177" s="472" t="s">
        <v>297</v>
      </c>
      <c r="I177" s="609"/>
      <c r="J177" s="615"/>
      <c r="K177" s="618"/>
      <c r="L177" s="609"/>
      <c r="M177" s="620"/>
      <c r="N177" s="621"/>
      <c r="O177" s="588"/>
      <c r="P177" s="588"/>
      <c r="Q177" s="588"/>
      <c r="R177" s="622"/>
      <c r="S177" s="591"/>
      <c r="T177" s="588"/>
      <c r="U177" s="588"/>
      <c r="V177" s="588"/>
      <c r="W177" s="621"/>
      <c r="X177" s="588"/>
      <c r="Y177" s="588"/>
      <c r="Z177" s="588"/>
      <c r="AA177" s="588"/>
    </row>
    <row r="178" spans="1:27" ht="20.100000000000001" hidden="1" customHeight="1">
      <c r="A178" s="299">
        <v>30100030</v>
      </c>
      <c r="B178" s="465" t="s">
        <v>178</v>
      </c>
      <c r="C178" s="126" t="s">
        <v>179</v>
      </c>
      <c r="D178" s="108">
        <v>5.03</v>
      </c>
      <c r="E178" s="108"/>
      <c r="F178" s="127"/>
      <c r="G178" s="152"/>
      <c r="H178" s="466">
        <f t="shared" ref="H178:H187" si="77">D178*G178</f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16</v>
      </c>
      <c r="M178" s="109">
        <f t="shared" ref="M178:M187" si="78">IF(ISERROR(I178-K178),"",I178-K178)</f>
        <v>0</v>
      </c>
      <c r="N178" s="130">
        <f>SUM(O178:U178)</f>
        <v>0</v>
      </c>
      <c r="O178" s="474"/>
      <c r="P178" s="474"/>
      <c r="Q178" s="474"/>
      <c r="R178" s="474"/>
      <c r="S178" s="474"/>
      <c r="T178" s="474"/>
      <c r="U178" s="474"/>
      <c r="V178" s="132">
        <f t="shared" ref="V178:V183" si="79">SUM(X178:AA178)</f>
        <v>0</v>
      </c>
      <c r="W178" s="133" t="str">
        <f t="shared" ref="W178:W183" si="80">IF(ISERROR(V178/G178),"",V178/G178)</f>
        <v/>
      </c>
      <c r="X178" s="132"/>
      <c r="Y178" s="132"/>
      <c r="Z178" s="132"/>
      <c r="AA178" s="132"/>
    </row>
    <row r="179" spans="1:27" ht="20.100000000000001" hidden="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28"/>
      <c r="H179" s="466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ref="N179:N187" si="81">SUM(O179:U179)</f>
        <v>0</v>
      </c>
      <c r="O179" s="474"/>
      <c r="P179" s="474"/>
      <c r="Q179" s="474"/>
      <c r="R179" s="474"/>
      <c r="S179" s="474"/>
      <c r="T179" s="474"/>
      <c r="U179" s="474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28"/>
      <c r="H180" s="466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474"/>
      <c r="P180" s="474"/>
      <c r="Q180" s="474"/>
      <c r="R180" s="474"/>
      <c r="S180" s="474"/>
      <c r="T180" s="474"/>
      <c r="U180" s="474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/>
      <c r="G181" s="128"/>
      <c r="H181" s="466">
        <f t="shared" si="77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19</v>
      </c>
      <c r="M181" s="109">
        <f t="shared" si="78"/>
        <v>0</v>
      </c>
      <c r="N181" s="130">
        <f t="shared" si="81"/>
        <v>0</v>
      </c>
      <c r="O181" s="474"/>
      <c r="P181" s="474"/>
      <c r="Q181" s="474"/>
      <c r="R181" s="474"/>
      <c r="S181" s="474"/>
      <c r="T181" s="474"/>
      <c r="U181" s="474"/>
      <c r="V181" s="132">
        <f t="shared" si="79"/>
        <v>0</v>
      </c>
      <c r="W181" s="133" t="str">
        <f t="shared" si="80"/>
        <v/>
      </c>
      <c r="X181" s="132"/>
      <c r="Y181" s="132"/>
      <c r="Z181" s="132"/>
      <c r="AA181" s="132"/>
    </row>
    <row r="182" spans="1:27" ht="20.100000000000001" hidden="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/>
      <c r="G182" s="128"/>
      <c r="H182" s="466">
        <f t="shared" si="77"/>
        <v>0</v>
      </c>
      <c r="I182" s="129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20</v>
      </c>
      <c r="M182" s="109">
        <f t="shared" si="78"/>
        <v>0</v>
      </c>
      <c r="N182" s="130">
        <f t="shared" si="81"/>
        <v>0</v>
      </c>
      <c r="O182" s="474"/>
      <c r="P182" s="474"/>
      <c r="Q182" s="474"/>
      <c r="R182" s="474"/>
      <c r="S182" s="474"/>
      <c r="T182" s="474"/>
      <c r="U182" s="474"/>
      <c r="V182" s="132">
        <f t="shared" si="79"/>
        <v>0</v>
      </c>
      <c r="W182" s="133" t="str">
        <f t="shared" si="80"/>
        <v/>
      </c>
      <c r="X182" s="132"/>
      <c r="Y182" s="132"/>
      <c r="Z182" s="132"/>
      <c r="AA182" s="132"/>
    </row>
    <row r="183" spans="1:27" ht="20.10000000000000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39">
        <v>42742</v>
      </c>
      <c r="G183" s="152">
        <f>100*4+86</f>
        <v>486</v>
      </c>
      <c r="H183" s="466">
        <f t="shared" si="77"/>
        <v>2449.44</v>
      </c>
      <c r="I183" s="138">
        <f>11*4</f>
        <v>44</v>
      </c>
      <c r="J183" s="130">
        <f t="array" ref="J183">IF(ISERROR(G183/I183),"",G183/I183)</f>
        <v>11.045454545454545</v>
      </c>
      <c r="K183" s="131">
        <f t="array" ref="K183">IF(ISERROR(G183/L183),"",G183/L183)</f>
        <v>25.578947368421051</v>
      </c>
      <c r="L183" s="129">
        <v>19</v>
      </c>
      <c r="M183" s="109">
        <f t="shared" si="78"/>
        <v>18.421052631578949</v>
      </c>
      <c r="N183" s="130">
        <f t="shared" si="81"/>
        <v>0</v>
      </c>
      <c r="O183" s="474"/>
      <c r="P183" s="474"/>
      <c r="Q183" s="474"/>
      <c r="R183" s="474"/>
      <c r="S183" s="474"/>
      <c r="T183" s="474"/>
      <c r="U183" s="474"/>
      <c r="V183" s="132">
        <f t="shared" si="79"/>
        <v>0</v>
      </c>
      <c r="W183" s="133">
        <f t="shared" si="80"/>
        <v>0</v>
      </c>
      <c r="X183" s="132"/>
      <c r="Y183" s="132"/>
      <c r="Z183" s="132"/>
      <c r="AA183" s="132"/>
    </row>
    <row r="184" spans="1:27" ht="20.100000000000001" hidden="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/>
      <c r="G184" s="128"/>
      <c r="H184" s="466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474"/>
      <c r="P184" s="474"/>
      <c r="Q184" s="474"/>
      <c r="R184" s="474"/>
      <c r="S184" s="474"/>
      <c r="T184" s="474"/>
      <c r="U184" s="474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28"/>
      <c r="H185" s="466">
        <f t="shared" si="77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78"/>
        <v>0</v>
      </c>
      <c r="N185" s="130">
        <f t="shared" si="81"/>
        <v>0</v>
      </c>
      <c r="O185" s="474"/>
      <c r="P185" s="474"/>
      <c r="Q185" s="474"/>
      <c r="R185" s="474"/>
      <c r="S185" s="474"/>
      <c r="T185" s="474"/>
      <c r="U185" s="474"/>
      <c r="V185" s="132"/>
      <c r="W185" s="133"/>
      <c r="X185" s="132"/>
      <c r="Y185" s="132"/>
      <c r="Z185" s="132"/>
      <c r="AA185" s="132"/>
    </row>
    <row r="186" spans="1:27" ht="20.100000000000001" hidden="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/>
      <c r="G186" s="128"/>
      <c r="H186" s="466">
        <f t="shared" si="77"/>
        <v>0</v>
      </c>
      <c r="I186" s="466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474"/>
      <c r="P186" s="474"/>
      <c r="Q186" s="474"/>
      <c r="R186" s="474"/>
      <c r="S186" s="474"/>
      <c r="T186" s="474"/>
      <c r="U186" s="474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>
        <v>42741</v>
      </c>
      <c r="G187" s="152">
        <f>100*2+25</f>
        <v>225</v>
      </c>
      <c r="H187" s="466">
        <f t="shared" si="77"/>
        <v>1134</v>
      </c>
      <c r="I187" s="466">
        <f>3.5*5</f>
        <v>17.5</v>
      </c>
      <c r="J187" s="130">
        <f t="array" ref="J187">IF(ISERROR(G187/I187),"",G187/I187)</f>
        <v>12.857142857142858</v>
      </c>
      <c r="K187" s="131">
        <f t="array" ref="K187">IF(ISERROR(G187/L187),"",G187/L187)</f>
        <v>13.235294117647058</v>
      </c>
      <c r="L187" s="129">
        <v>17</v>
      </c>
      <c r="M187" s="109">
        <f t="shared" si="78"/>
        <v>4.264705882352942</v>
      </c>
      <c r="N187" s="130">
        <f t="shared" si="81"/>
        <v>0</v>
      </c>
      <c r="O187" s="474"/>
      <c r="P187" s="474"/>
      <c r="Q187" s="474"/>
      <c r="R187" s="474"/>
      <c r="S187" s="474"/>
      <c r="T187" s="474"/>
      <c r="U187" s="474"/>
      <c r="V187" s="132">
        <f>SUM(X187:AA187)</f>
        <v>0</v>
      </c>
      <c r="W187" s="133">
        <f>IF(ISERROR(V187/G187),"",V187/G187)</f>
        <v>0</v>
      </c>
      <c r="X187" s="132"/>
      <c r="Y187" s="132"/>
      <c r="Z187" s="132"/>
      <c r="AA187" s="132"/>
    </row>
    <row r="188" spans="1:27" ht="20.100000000000001" hidden="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28"/>
      <c r="H188" s="466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474"/>
      <c r="P188" s="474"/>
      <c r="Q188" s="474"/>
      <c r="R188" s="474"/>
      <c r="S188" s="474"/>
      <c r="T188" s="474"/>
      <c r="U188" s="474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28"/>
      <c r="H189" s="466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474"/>
      <c r="P189" s="474"/>
      <c r="Q189" s="474"/>
      <c r="R189" s="474"/>
      <c r="S189" s="474"/>
      <c r="T189" s="474"/>
      <c r="U189" s="474"/>
      <c r="V189" s="132"/>
      <c r="W189" s="133"/>
      <c r="X189" s="132"/>
      <c r="Y189" s="132"/>
      <c r="Z189" s="132"/>
      <c r="AA189" s="132"/>
    </row>
    <row r="190" spans="1:27" ht="20.10000000000000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E190" s="108"/>
      <c r="F190" s="127">
        <v>42742</v>
      </c>
      <c r="G190" s="152">
        <f>90*5+74</f>
        <v>524</v>
      </c>
      <c r="H190" s="466">
        <f t="shared" ref="H190:H198" si="82">D190*G190</f>
        <v>2651.4399999999996</v>
      </c>
      <c r="I190" s="129">
        <f>8*6</f>
        <v>48</v>
      </c>
      <c r="J190" s="130">
        <f t="array" ref="J190">IF(ISERROR(G190/I190),"",G190/I190)</f>
        <v>10.916666666666666</v>
      </c>
      <c r="K190" s="131">
        <f t="array" ref="K190">IF(ISERROR(G190/L190),"",G190/L190)</f>
        <v>27.578947368421051</v>
      </c>
      <c r="L190" s="129">
        <v>19</v>
      </c>
      <c r="M190" s="109">
        <f t="shared" ref="M190:M198" si="83">IF(ISERROR(I190-K190),"",I190-K190)</f>
        <v>20.421052631578949</v>
      </c>
      <c r="N190" s="130">
        <f t="shared" ref="N190:N192" si="84">SUM(O190:U190)</f>
        <v>0</v>
      </c>
      <c r="O190" s="474"/>
      <c r="P190" s="474"/>
      <c r="Q190" s="474"/>
      <c r="R190" s="474"/>
      <c r="S190" s="474"/>
      <c r="T190" s="474"/>
      <c r="U190" s="474"/>
      <c r="V190" s="132">
        <f t="shared" ref="V190:V192" si="85">SUM(X190:AA190)</f>
        <v>0</v>
      </c>
      <c r="W190" s="133">
        <f t="shared" ref="W190:W192" si="86">IF(ISERROR(V190/G190),"",V190/G190)</f>
        <v>0</v>
      </c>
      <c r="X190" s="132"/>
      <c r="Y190" s="132"/>
      <c r="Z190" s="132"/>
      <c r="AA190" s="132"/>
    </row>
    <row r="191" spans="1:27" ht="20.100000000000001" hidden="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27"/>
      <c r="G191" s="128"/>
      <c r="H191" s="466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474"/>
      <c r="P191" s="474"/>
      <c r="Q191" s="474"/>
      <c r="R191" s="474"/>
      <c r="S191" s="474"/>
      <c r="T191" s="474"/>
      <c r="U191" s="474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hidden="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/>
      <c r="G192" s="128"/>
      <c r="H192" s="466">
        <f t="shared" si="82"/>
        <v>0</v>
      </c>
      <c r="I192" s="129"/>
      <c r="J192" s="130" t="str">
        <f t="array" ref="J192">IF(ISERROR(G192/I192),"",G192/I192)</f>
        <v/>
      </c>
      <c r="K192" s="131">
        <f t="array" ref="K192">IF(ISERROR(G192/L192),"",G192/L192)</f>
        <v>0</v>
      </c>
      <c r="L192" s="129">
        <v>23</v>
      </c>
      <c r="M192" s="109">
        <f t="shared" si="83"/>
        <v>0</v>
      </c>
      <c r="N192" s="130">
        <f t="shared" si="84"/>
        <v>0</v>
      </c>
      <c r="O192" s="474"/>
      <c r="P192" s="474"/>
      <c r="Q192" s="474"/>
      <c r="R192" s="474"/>
      <c r="S192" s="474"/>
      <c r="T192" s="474"/>
      <c r="U192" s="474"/>
      <c r="V192" s="132">
        <f t="shared" si="85"/>
        <v>0</v>
      </c>
      <c r="W192" s="133" t="str">
        <f t="shared" si="86"/>
        <v/>
      </c>
      <c r="X192" s="132"/>
      <c r="Y192" s="132"/>
      <c r="Z192" s="132"/>
      <c r="AA192" s="132"/>
    </row>
    <row r="193" spans="1:27" ht="20.100000000000001" hidden="1" customHeight="1">
      <c r="A193" s="300">
        <v>30100003</v>
      </c>
      <c r="B193" s="141" t="s">
        <v>198</v>
      </c>
      <c r="C193" s="472" t="s">
        <v>190</v>
      </c>
      <c r="D193" s="108">
        <v>4.8</v>
      </c>
      <c r="E193" s="108"/>
      <c r="F193" s="127"/>
      <c r="G193" s="128"/>
      <c r="H193" s="466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474"/>
      <c r="P193" s="474"/>
      <c r="Q193" s="474"/>
      <c r="R193" s="474"/>
      <c r="S193" s="474"/>
      <c r="T193" s="474"/>
      <c r="U193" s="474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30100004</v>
      </c>
      <c r="B194" s="141" t="s">
        <v>198</v>
      </c>
      <c r="C194" s="472" t="s">
        <v>187</v>
      </c>
      <c r="D194" s="108">
        <v>4.8</v>
      </c>
      <c r="E194" s="108"/>
      <c r="F194" s="127"/>
      <c r="G194" s="128"/>
      <c r="H194" s="466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474"/>
      <c r="P194" s="474"/>
      <c r="Q194" s="474"/>
      <c r="R194" s="474"/>
      <c r="S194" s="474"/>
      <c r="T194" s="474"/>
      <c r="U194" s="474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30100006</v>
      </c>
      <c r="B195" s="141" t="s">
        <v>198</v>
      </c>
      <c r="C195" s="472" t="s">
        <v>179</v>
      </c>
      <c r="D195" s="108">
        <v>4.8</v>
      </c>
      <c r="E195" s="108"/>
      <c r="F195" s="127"/>
      <c r="G195" s="128"/>
      <c r="H195" s="466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474"/>
      <c r="P195" s="474"/>
      <c r="Q195" s="474"/>
      <c r="R195" s="474"/>
      <c r="S195" s="474"/>
      <c r="T195" s="474"/>
      <c r="U195" s="474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30100005</v>
      </c>
      <c r="B196" s="141" t="s">
        <v>198</v>
      </c>
      <c r="C196" s="472" t="s">
        <v>199</v>
      </c>
      <c r="D196" s="108">
        <v>4.8</v>
      </c>
      <c r="E196" s="108"/>
      <c r="F196" s="127"/>
      <c r="G196" s="128"/>
      <c r="H196" s="466">
        <f t="shared" si="82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3"/>
        <v>0</v>
      </c>
      <c r="N196" s="130"/>
      <c r="O196" s="474"/>
      <c r="P196" s="474"/>
      <c r="Q196" s="474"/>
      <c r="R196" s="474"/>
      <c r="S196" s="474"/>
      <c r="T196" s="474"/>
      <c r="U196" s="474"/>
      <c r="V196" s="132"/>
      <c r="W196" s="133"/>
      <c r="X196" s="132"/>
      <c r="Y196" s="132"/>
      <c r="Z196" s="132"/>
      <c r="AA196" s="132"/>
    </row>
    <row r="197" spans="1:27" ht="20.100000000000001" hidden="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/>
      <c r="G197" s="128"/>
      <c r="H197" s="466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ref="N197:N198" si="87">SUM(O197:U197)</f>
        <v>0</v>
      </c>
      <c r="O197" s="474"/>
      <c r="P197" s="474"/>
      <c r="Q197" s="474"/>
      <c r="R197" s="474"/>
      <c r="S197" s="474"/>
      <c r="T197" s="474"/>
      <c r="U197" s="474"/>
      <c r="V197" s="132">
        <f t="shared" ref="V197:V198" si="88">SUM(X197:AA197)</f>
        <v>0</v>
      </c>
      <c r="W197" s="133" t="str">
        <f t="shared" ref="W197:W198" si="89">IF(ISERROR(V197/G197),"",V197/G197)</f>
        <v/>
      </c>
      <c r="X197" s="132"/>
      <c r="Y197" s="132"/>
      <c r="Z197" s="132"/>
      <c r="AA197" s="132"/>
    </row>
    <row r="198" spans="1:27" ht="20.100000000000001" hidden="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42"/>
      <c r="G198" s="128"/>
      <c r="H198" s="466">
        <f t="shared" si="82"/>
        <v>0</v>
      </c>
      <c r="I198" s="129"/>
      <c r="J198" s="130" t="str">
        <f t="array" ref="J198">IF(ISERROR(G198/I198),"",G198/I198)</f>
        <v/>
      </c>
      <c r="K198" s="131">
        <f t="array" ref="K198">IF(ISERROR(G198/L198),"",G198/L198)</f>
        <v>0</v>
      </c>
      <c r="L198" s="129">
        <v>23.5</v>
      </c>
      <c r="M198" s="109">
        <f t="shared" si="83"/>
        <v>0</v>
      </c>
      <c r="N198" s="130">
        <f t="shared" si="87"/>
        <v>0</v>
      </c>
      <c r="O198" s="474"/>
      <c r="P198" s="474"/>
      <c r="Q198" s="474"/>
      <c r="R198" s="474"/>
      <c r="S198" s="474"/>
      <c r="T198" s="474"/>
      <c r="U198" s="474"/>
      <c r="V198" s="132">
        <f t="shared" si="88"/>
        <v>0</v>
      </c>
      <c r="W198" s="133" t="str">
        <f t="shared" si="89"/>
        <v/>
      </c>
      <c r="X198" s="132"/>
      <c r="Y198" s="132"/>
      <c r="Z198" s="132"/>
      <c r="AA198" s="132"/>
    </row>
    <row r="199" spans="1:27" ht="20.100000000000001" customHeight="1">
      <c r="A199" s="578" t="s">
        <v>201</v>
      </c>
      <c r="B199" s="579"/>
      <c r="C199" s="475" t="s">
        <v>202</v>
      </c>
      <c r="D199" s="143"/>
      <c r="E199" s="143"/>
      <c r="F199" s="144"/>
      <c r="G199" s="145">
        <f>SUM(G178:G198)</f>
        <v>1235</v>
      </c>
      <c r="H199" s="146">
        <f>SUM(H178:H198)</f>
        <v>6234.8799999999992</v>
      </c>
      <c r="I199" s="146">
        <f>SUM(I178:I198)</f>
        <v>109.5</v>
      </c>
      <c r="J199" s="130">
        <f t="array" ref="J199">IF(ISERROR(G199/I199),"",G199/I199)</f>
        <v>11.278538812785389</v>
      </c>
      <c r="K199" s="146">
        <f>SUM(K178:K198)</f>
        <v>66.393188854489168</v>
      </c>
      <c r="L199" s="147"/>
      <c r="M199" s="150">
        <f t="shared" ref="M199:AA199" si="90">SUM(M178:M198)</f>
        <v>43.106811145510839</v>
      </c>
      <c r="N199" s="146">
        <f t="shared" si="90"/>
        <v>0</v>
      </c>
      <c r="O199" s="148">
        <f t="shared" si="90"/>
        <v>0</v>
      </c>
      <c r="P199" s="148">
        <f t="shared" si="90"/>
        <v>0</v>
      </c>
      <c r="Q199" s="148">
        <f t="shared" si="90"/>
        <v>0</v>
      </c>
      <c r="R199" s="148">
        <f t="shared" si="90"/>
        <v>0</v>
      </c>
      <c r="S199" s="148">
        <f t="shared" si="90"/>
        <v>0</v>
      </c>
      <c r="T199" s="148">
        <f t="shared" si="90"/>
        <v>0</v>
      </c>
      <c r="U199" s="148">
        <f t="shared" si="90"/>
        <v>0</v>
      </c>
      <c r="V199" s="149">
        <f t="shared" si="90"/>
        <v>0</v>
      </c>
      <c r="W199" s="133">
        <f t="shared" si="90"/>
        <v>0</v>
      </c>
      <c r="X199" s="149">
        <f t="shared" si="90"/>
        <v>0</v>
      </c>
      <c r="Y199" s="149">
        <f t="shared" si="90"/>
        <v>0</v>
      </c>
      <c r="Z199" s="149">
        <f t="shared" si="90"/>
        <v>0</v>
      </c>
      <c r="AA199" s="149">
        <f t="shared" si="90"/>
        <v>0</v>
      </c>
    </row>
    <row r="200" spans="1:27" ht="20.100000000000001" hidden="1" customHeight="1">
      <c r="A200" s="300">
        <v>30100012</v>
      </c>
      <c r="B200" s="465" t="s">
        <v>206</v>
      </c>
      <c r="C200" s="126" t="s">
        <v>199</v>
      </c>
      <c r="D200" s="108">
        <v>5.03</v>
      </c>
      <c r="E200" s="108"/>
      <c r="F200" s="127"/>
      <c r="G200" s="128"/>
      <c r="H200" s="466">
        <f t="shared" ref="H200:H256" si="91">D200*G200</f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 t="shared" ref="M200" si="92">IF(ISERROR(I200-K200),"",I200-K200)</f>
        <v>0</v>
      </c>
      <c r="N200" s="130">
        <f t="shared" ref="N200" si="93">SUM(O200:U200)</f>
        <v>0</v>
      </c>
      <c r="O200" s="470"/>
      <c r="P200" s="470"/>
      <c r="Q200" s="470"/>
      <c r="R200" s="470"/>
      <c r="S200" s="470"/>
      <c r="T200" s="470"/>
      <c r="U200" s="470"/>
      <c r="V200" s="132">
        <f t="shared" ref="V200" si="94">SUM(X200:AA200)</f>
        <v>0</v>
      </c>
      <c r="W200" s="133" t="str">
        <f t="shared" ref="W200" si="95">IF(ISERROR(V200/G200),"",V200/G200)</f>
        <v/>
      </c>
      <c r="X200" s="132"/>
      <c r="Y200" s="132"/>
      <c r="Z200" s="132"/>
      <c r="AA200" s="132"/>
    </row>
    <row r="201" spans="1:27" ht="20.100000000000001" hidden="1" customHeight="1">
      <c r="A201" s="300">
        <v>30100011</v>
      </c>
      <c r="B201" s="465" t="s">
        <v>425</v>
      </c>
      <c r="C201" s="187" t="s">
        <v>427</v>
      </c>
      <c r="D201" s="108">
        <v>5.03</v>
      </c>
      <c r="E201" s="108"/>
      <c r="F201" s="127"/>
      <c r="G201" s="128"/>
      <c r="H201" s="466">
        <f t="shared" si="91"/>
        <v>0</v>
      </c>
      <c r="I201" s="129"/>
      <c r="J201" s="130"/>
      <c r="K201" s="131"/>
      <c r="L201" s="129">
        <v>52</v>
      </c>
      <c r="M201" s="109"/>
      <c r="N201" s="130"/>
      <c r="O201" s="470"/>
      <c r="P201" s="470"/>
      <c r="Q201" s="470"/>
      <c r="R201" s="470"/>
      <c r="S201" s="470"/>
      <c r="T201" s="470"/>
      <c r="U201" s="470"/>
      <c r="V201" s="132"/>
      <c r="W201" s="133"/>
      <c r="X201" s="132"/>
      <c r="Y201" s="132"/>
      <c r="Z201" s="132"/>
      <c r="AA201" s="132"/>
    </row>
    <row r="202" spans="1:27" ht="20.100000000000001" customHeight="1">
      <c r="A202" s="300">
        <v>30100010</v>
      </c>
      <c r="B202" s="465" t="s">
        <v>206</v>
      </c>
      <c r="C202" s="126" t="s">
        <v>186</v>
      </c>
      <c r="D202" s="108">
        <v>5.03</v>
      </c>
      <c r="E202" s="108"/>
      <c r="F202" s="127">
        <v>42741</v>
      </c>
      <c r="G202" s="152">
        <f>108*8</f>
        <v>864</v>
      </c>
      <c r="H202" s="466">
        <f t="shared" si="91"/>
        <v>4345.92</v>
      </c>
      <c r="I202" s="129">
        <f>6*2</f>
        <v>12</v>
      </c>
      <c r="J202" s="130">
        <f t="array" ref="J202">IF(ISERROR(G202/I202),"",G202/I202)</f>
        <v>72</v>
      </c>
      <c r="K202" s="131">
        <f t="array" ref="K202">IF(ISERROR(G202/L202),"",G202/L202)</f>
        <v>16.615384615384617</v>
      </c>
      <c r="L202" s="129">
        <v>52</v>
      </c>
      <c r="M202" s="109">
        <f t="shared" ref="M202" si="96">IF(ISERROR(I202-K202),"",I202-K202)</f>
        <v>-4.6153846153846168</v>
      </c>
      <c r="N202" s="130">
        <f t="shared" ref="N202:N204" si="97">SUM(O202:U202)</f>
        <v>0</v>
      </c>
      <c r="O202" s="470"/>
      <c r="P202" s="470"/>
      <c r="Q202" s="470"/>
      <c r="R202" s="470"/>
      <c r="S202" s="470"/>
      <c r="T202" s="470"/>
      <c r="U202" s="470"/>
      <c r="V202" s="132">
        <f t="shared" ref="V202:V204" si="98">SUM(X202:AA202)</f>
        <v>0</v>
      </c>
      <c r="W202" s="133">
        <f t="shared" ref="W202:W204" si="99">IF(ISERROR(V202/G202),"",V202/G202)</f>
        <v>0</v>
      </c>
      <c r="X202" s="132"/>
      <c r="Y202" s="132"/>
      <c r="Z202" s="132"/>
      <c r="AA202" s="132"/>
    </row>
    <row r="203" spans="1:27" ht="20.100000000000001" hidden="1" customHeight="1">
      <c r="A203" s="300">
        <v>30100014</v>
      </c>
      <c r="B203" s="465" t="s">
        <v>206</v>
      </c>
      <c r="C203" s="126" t="s">
        <v>203</v>
      </c>
      <c r="D203" s="108">
        <v>5.03</v>
      </c>
      <c r="E203" s="108"/>
      <c r="F203" s="127"/>
      <c r="G203" s="128"/>
      <c r="H203" s="466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>IF(ISERROR(I203-K203),"",I203-K203)</f>
        <v>0</v>
      </c>
      <c r="N203" s="130">
        <f t="shared" si="97"/>
        <v>0</v>
      </c>
      <c r="O203" s="470"/>
      <c r="P203" s="470"/>
      <c r="Q203" s="470"/>
      <c r="R203" s="470"/>
      <c r="S203" s="470"/>
      <c r="T203" s="470"/>
      <c r="U203" s="470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30100013</v>
      </c>
      <c r="B204" s="465" t="s">
        <v>206</v>
      </c>
      <c r="C204" s="126" t="s">
        <v>207</v>
      </c>
      <c r="D204" s="108">
        <v>5.03</v>
      </c>
      <c r="E204" s="108"/>
      <c r="F204" s="127"/>
      <c r="G204" s="128"/>
      <c r="H204" s="466">
        <f t="shared" si="91"/>
        <v>0</v>
      </c>
      <c r="I204" s="129"/>
      <c r="J204" s="130" t="str">
        <f t="array" ref="J204">IF(ISERROR(G204/I204),"",G204/I204)</f>
        <v/>
      </c>
      <c r="K204" s="131">
        <f t="array" ref="K204">IF(ISERROR(G204/L204),"",G204/L204)</f>
        <v>0</v>
      </c>
      <c r="L204" s="129">
        <v>52</v>
      </c>
      <c r="M204" s="109">
        <f t="shared" ref="M204" si="100">IF(ISERROR(I204-K204),"",I204-K204)</f>
        <v>0</v>
      </c>
      <c r="N204" s="130">
        <f t="shared" si="97"/>
        <v>0</v>
      </c>
      <c r="O204" s="470"/>
      <c r="P204" s="470"/>
      <c r="Q204" s="470"/>
      <c r="R204" s="470"/>
      <c r="S204" s="470"/>
      <c r="T204" s="470"/>
      <c r="U204" s="470"/>
      <c r="V204" s="132">
        <f t="shared" si="98"/>
        <v>0</v>
      </c>
      <c r="W204" s="133" t="str">
        <f t="shared" si="99"/>
        <v/>
      </c>
      <c r="X204" s="132"/>
      <c r="Y204" s="132"/>
      <c r="Z204" s="132"/>
      <c r="AA204" s="132"/>
    </row>
    <row r="205" spans="1:27" ht="20.100000000000001" hidden="1" customHeight="1">
      <c r="A205" s="300">
        <v>30100016</v>
      </c>
      <c r="B205" s="465" t="s">
        <v>414</v>
      </c>
      <c r="C205" s="187" t="s">
        <v>415</v>
      </c>
      <c r="D205" s="108">
        <v>5.03</v>
      </c>
      <c r="E205" s="108"/>
      <c r="F205" s="127"/>
      <c r="G205" s="128"/>
      <c r="H205" s="466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470"/>
      <c r="P205" s="470"/>
      <c r="Q205" s="470"/>
      <c r="R205" s="470"/>
      <c r="S205" s="470"/>
      <c r="T205" s="470"/>
      <c r="U205" s="470"/>
      <c r="V205" s="132"/>
      <c r="W205" s="133"/>
      <c r="X205" s="132"/>
      <c r="Y205" s="132"/>
      <c r="Z205" s="132"/>
      <c r="AA205" s="132"/>
    </row>
    <row r="206" spans="1:27" ht="20.25" customHeight="1">
      <c r="A206" s="300">
        <v>30100017</v>
      </c>
      <c r="B206" s="465" t="s">
        <v>414</v>
      </c>
      <c r="C206" s="187" t="s">
        <v>416</v>
      </c>
      <c r="D206" s="108">
        <v>5.03</v>
      </c>
      <c r="E206" s="108"/>
      <c r="F206" s="127">
        <v>42741</v>
      </c>
      <c r="G206" s="152">
        <f>108*5+60</f>
        <v>600</v>
      </c>
      <c r="H206" s="466">
        <f t="shared" si="91"/>
        <v>3018</v>
      </c>
      <c r="I206" s="129">
        <f>5.5*2</f>
        <v>11</v>
      </c>
      <c r="J206" s="130">
        <f t="array" ref="J206">IF(ISERROR(G206/I206),"",G206/I206)</f>
        <v>54.545454545454547</v>
      </c>
      <c r="K206" s="131">
        <f t="array" ref="K206">IF(ISERROR(G206/L206),"",G206/L206)</f>
        <v>11.538461538461538</v>
      </c>
      <c r="L206" s="129">
        <v>52</v>
      </c>
      <c r="M206" s="109"/>
      <c r="N206" s="130"/>
      <c r="O206" s="470"/>
      <c r="P206" s="470"/>
      <c r="Q206" s="470"/>
      <c r="R206" s="470"/>
      <c r="S206" s="470"/>
      <c r="T206" s="470"/>
      <c r="U206" s="470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30100015</v>
      </c>
      <c r="B207" s="465" t="s">
        <v>414</v>
      </c>
      <c r="C207" s="187" t="s">
        <v>61</v>
      </c>
      <c r="D207" s="108">
        <v>5.03</v>
      </c>
      <c r="E207" s="108"/>
      <c r="F207" s="127"/>
      <c r="G207" s="128"/>
      <c r="H207" s="466">
        <f t="shared" si="91"/>
        <v>0</v>
      </c>
      <c r="I207" s="129"/>
      <c r="J207" s="130"/>
      <c r="K207" s="131"/>
      <c r="L207" s="129">
        <v>52</v>
      </c>
      <c r="M207" s="109"/>
      <c r="N207" s="130"/>
      <c r="O207" s="470"/>
      <c r="P207" s="470"/>
      <c r="Q207" s="470"/>
      <c r="R207" s="470"/>
      <c r="S207" s="470"/>
      <c r="T207" s="470"/>
      <c r="U207" s="470"/>
      <c r="V207" s="132"/>
      <c r="W207" s="133"/>
      <c r="X207" s="132"/>
      <c r="Y207" s="132"/>
      <c r="Z207" s="132"/>
      <c r="AA207" s="132"/>
    </row>
    <row r="208" spans="1:27" ht="20.100000000000001" hidden="1" customHeight="1">
      <c r="A208" s="300">
        <v>30100027</v>
      </c>
      <c r="B208" s="465" t="s">
        <v>208</v>
      </c>
      <c r="C208" s="126" t="s">
        <v>179</v>
      </c>
      <c r="D208" s="108">
        <v>5.08</v>
      </c>
      <c r="E208" s="108"/>
      <c r="F208" s="127"/>
      <c r="G208" s="128"/>
      <c r="H208" s="466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ref="M208:M237" si="101">IF(ISERROR(I208-K208),"",I208-K208)</f>
        <v>0</v>
      </c>
      <c r="N208" s="130">
        <f t="shared" ref="N208:N237" si="102">SUM(O208:U208)</f>
        <v>0</v>
      </c>
      <c r="O208" s="470"/>
      <c r="P208" s="470"/>
      <c r="Q208" s="470"/>
      <c r="R208" s="470"/>
      <c r="S208" s="470"/>
      <c r="T208" s="470"/>
      <c r="U208" s="470"/>
      <c r="V208" s="132">
        <f t="shared" ref="V208:V219" si="103">SUM(X208:AA208)</f>
        <v>0</v>
      </c>
      <c r="W208" s="133" t="str">
        <f t="shared" ref="W208:W219" si="104">IF(ISERROR(V208/G208),"",V208/G208)</f>
        <v/>
      </c>
      <c r="X208" s="132"/>
      <c r="Y208" s="132"/>
      <c r="Z208" s="132"/>
      <c r="AA208" s="132"/>
    </row>
    <row r="209" spans="1:27" ht="20.100000000000001" hidden="1" customHeight="1">
      <c r="A209" s="300">
        <v>30100023</v>
      </c>
      <c r="B209" s="465" t="s">
        <v>208</v>
      </c>
      <c r="C209" s="126" t="s">
        <v>204</v>
      </c>
      <c r="D209" s="108">
        <v>5.08</v>
      </c>
      <c r="E209" s="108"/>
      <c r="F209" s="127"/>
      <c r="G209" s="128"/>
      <c r="H209" s="466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470"/>
      <c r="P209" s="470"/>
      <c r="Q209" s="470"/>
      <c r="R209" s="470"/>
      <c r="S209" s="470"/>
      <c r="T209" s="470"/>
      <c r="U209" s="470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30100024</v>
      </c>
      <c r="B210" s="465" t="s">
        <v>208</v>
      </c>
      <c r="C210" s="126" t="s">
        <v>205</v>
      </c>
      <c r="D210" s="108">
        <v>5.08</v>
      </c>
      <c r="E210" s="108"/>
      <c r="F210" s="127"/>
      <c r="G210" s="128"/>
      <c r="H210" s="466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470"/>
      <c r="P210" s="470"/>
      <c r="Q210" s="470"/>
      <c r="R210" s="470"/>
      <c r="S210" s="470"/>
      <c r="T210" s="470"/>
      <c r="U210" s="470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30100022</v>
      </c>
      <c r="B211" s="465" t="s">
        <v>208</v>
      </c>
      <c r="C211" s="126" t="s">
        <v>186</v>
      </c>
      <c r="D211" s="108">
        <v>5.08</v>
      </c>
      <c r="E211" s="108"/>
      <c r="F211" s="127"/>
      <c r="G211" s="128"/>
      <c r="H211" s="466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470"/>
      <c r="P211" s="470"/>
      <c r="Q211" s="470"/>
      <c r="R211" s="470"/>
      <c r="S211" s="470"/>
      <c r="T211" s="470"/>
      <c r="U211" s="470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30100029</v>
      </c>
      <c r="B212" s="465" t="s">
        <v>208</v>
      </c>
      <c r="C212" s="126" t="s">
        <v>203</v>
      </c>
      <c r="D212" s="108">
        <v>5.08</v>
      </c>
      <c r="E212" s="108"/>
      <c r="F212" s="127"/>
      <c r="G212" s="128"/>
      <c r="H212" s="466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470"/>
      <c r="P212" s="470"/>
      <c r="Q212" s="470"/>
      <c r="R212" s="470"/>
      <c r="S212" s="470"/>
      <c r="T212" s="470"/>
      <c r="U212" s="470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customHeight="1">
      <c r="A213" s="300">
        <v>30100026</v>
      </c>
      <c r="B213" s="465" t="s">
        <v>208</v>
      </c>
      <c r="C213" s="126" t="s">
        <v>199</v>
      </c>
      <c r="D213" s="108">
        <v>5.08</v>
      </c>
      <c r="E213" s="108"/>
      <c r="F213" s="127">
        <v>42742</v>
      </c>
      <c r="G213" s="152">
        <f>108*3+107</f>
        <v>431</v>
      </c>
      <c r="H213" s="466">
        <f t="shared" si="91"/>
        <v>2189.48</v>
      </c>
      <c r="I213" s="129">
        <f>6.5*4</f>
        <v>26</v>
      </c>
      <c r="J213" s="130">
        <f t="array" ref="J213">IF(ISERROR(G213/I213),"",G213/I213)</f>
        <v>16.576923076923077</v>
      </c>
      <c r="K213" s="131">
        <f t="array" ref="K213">IF(ISERROR(G213/L213),"",G213/L213)</f>
        <v>20.523809523809526</v>
      </c>
      <c r="L213" s="129">
        <v>21</v>
      </c>
      <c r="M213" s="109">
        <f t="shared" si="101"/>
        <v>5.4761904761904745</v>
      </c>
      <c r="N213" s="130">
        <f t="shared" si="102"/>
        <v>0</v>
      </c>
      <c r="O213" s="474"/>
      <c r="P213" s="474"/>
      <c r="Q213" s="474"/>
      <c r="R213" s="474"/>
      <c r="S213" s="474"/>
      <c r="T213" s="474"/>
      <c r="U213" s="474"/>
      <c r="V213" s="132">
        <f t="shared" si="103"/>
        <v>0</v>
      </c>
      <c r="W213" s="133">
        <f t="shared" si="104"/>
        <v>0</v>
      </c>
      <c r="X213" s="132"/>
      <c r="Y213" s="132"/>
      <c r="Z213" s="132"/>
      <c r="AA213" s="132"/>
    </row>
    <row r="214" spans="1:27" ht="20.100000000000001" hidden="1" customHeight="1">
      <c r="A214" s="300">
        <v>30100025</v>
      </c>
      <c r="B214" s="465" t="s">
        <v>208</v>
      </c>
      <c r="C214" s="126" t="s">
        <v>187</v>
      </c>
      <c r="D214" s="108">
        <v>5.08</v>
      </c>
      <c r="E214" s="108"/>
      <c r="F214" s="127"/>
      <c r="G214" s="128"/>
      <c r="H214" s="466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470"/>
      <c r="P214" s="470"/>
      <c r="Q214" s="470"/>
      <c r="R214" s="470"/>
      <c r="S214" s="470"/>
      <c r="T214" s="470"/>
      <c r="U214" s="470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customHeight="1">
      <c r="A215" s="300">
        <v>30100028</v>
      </c>
      <c r="B215" s="465" t="s">
        <v>208</v>
      </c>
      <c r="C215" s="126" t="s">
        <v>207</v>
      </c>
      <c r="D215" s="108">
        <v>5.08</v>
      </c>
      <c r="E215" s="108"/>
      <c r="F215" s="127">
        <v>42742</v>
      </c>
      <c r="G215" s="152">
        <f>108*3</f>
        <v>324</v>
      </c>
      <c r="H215" s="466">
        <f t="shared" si="91"/>
        <v>1645.92</v>
      </c>
      <c r="I215" s="129">
        <f>5*4</f>
        <v>20</v>
      </c>
      <c r="J215" s="130">
        <f t="array" ref="J215">IF(ISERROR(G215/I215),"",G215/I215)</f>
        <v>16.2</v>
      </c>
      <c r="K215" s="131">
        <f t="array" ref="K215">IF(ISERROR(G215/L215),"",G215/L215)</f>
        <v>15.428571428571429</v>
      </c>
      <c r="L215" s="129">
        <v>21</v>
      </c>
      <c r="M215" s="109">
        <f t="shared" si="101"/>
        <v>4.5714285714285712</v>
      </c>
      <c r="N215" s="130">
        <f t="shared" si="102"/>
        <v>0</v>
      </c>
      <c r="O215" s="474"/>
      <c r="P215" s="474"/>
      <c r="Q215" s="474"/>
      <c r="R215" s="474"/>
      <c r="S215" s="474"/>
      <c r="T215" s="474"/>
      <c r="U215" s="474"/>
      <c r="V215" s="132">
        <f t="shared" si="103"/>
        <v>0</v>
      </c>
      <c r="W215" s="133">
        <f t="shared" si="104"/>
        <v>0</v>
      </c>
      <c r="X215" s="132"/>
      <c r="Y215" s="132"/>
      <c r="Z215" s="132"/>
      <c r="AA215" s="132"/>
    </row>
    <row r="216" spans="1:27" ht="20.100000000000001" hidden="1" customHeight="1">
      <c r="A216" s="300">
        <v>30100032</v>
      </c>
      <c r="B216" s="465" t="s">
        <v>209</v>
      </c>
      <c r="C216" s="126" t="s">
        <v>194</v>
      </c>
      <c r="D216" s="108">
        <v>5.03</v>
      </c>
      <c r="E216" s="108"/>
      <c r="F216" s="127"/>
      <c r="G216" s="128"/>
      <c r="H216" s="466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470"/>
      <c r="P216" s="470"/>
      <c r="Q216" s="470"/>
      <c r="R216" s="470"/>
      <c r="S216" s="470"/>
      <c r="T216" s="470"/>
      <c r="U216" s="470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hidden="1" customHeight="1">
      <c r="A217" s="300">
        <v>30100033</v>
      </c>
      <c r="B217" s="465" t="s">
        <v>209</v>
      </c>
      <c r="C217" s="126" t="s">
        <v>179</v>
      </c>
      <c r="D217" s="108">
        <v>5.03</v>
      </c>
      <c r="E217" s="108"/>
      <c r="F217" s="127"/>
      <c r="G217" s="128"/>
      <c r="H217" s="466">
        <f t="shared" si="91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1"/>
        <v>0</v>
      </c>
      <c r="N217" s="130">
        <f t="shared" si="102"/>
        <v>0</v>
      </c>
      <c r="O217" s="470"/>
      <c r="P217" s="470"/>
      <c r="Q217" s="470"/>
      <c r="R217" s="470"/>
      <c r="S217" s="470"/>
      <c r="T217" s="470"/>
      <c r="U217" s="470"/>
      <c r="V217" s="132">
        <f t="shared" si="103"/>
        <v>0</v>
      </c>
      <c r="W217" s="133" t="str">
        <f t="shared" si="104"/>
        <v/>
      </c>
      <c r="X217" s="132"/>
      <c r="Y217" s="132"/>
      <c r="Z217" s="132"/>
      <c r="AA217" s="132"/>
    </row>
    <row r="218" spans="1:27" ht="20.100000000000001" hidden="1" customHeight="1">
      <c r="A218" s="300">
        <v>30100062</v>
      </c>
      <c r="B218" s="465" t="s">
        <v>209</v>
      </c>
      <c r="C218" s="126" t="s">
        <v>195</v>
      </c>
      <c r="D218" s="108">
        <v>5.03</v>
      </c>
      <c r="E218" s="108"/>
      <c r="F218" s="127"/>
      <c r="G218" s="128"/>
      <c r="H218" s="466">
        <f t="shared" si="91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1"/>
        <v>0</v>
      </c>
      <c r="N218" s="130">
        <f t="shared" si="102"/>
        <v>0</v>
      </c>
      <c r="O218" s="470"/>
      <c r="P218" s="470"/>
      <c r="Q218" s="470"/>
      <c r="R218" s="470"/>
      <c r="S218" s="470"/>
      <c r="T218" s="470"/>
      <c r="U218" s="470"/>
      <c r="V218" s="132">
        <f t="shared" si="103"/>
        <v>0</v>
      </c>
      <c r="W218" s="133" t="str">
        <f t="shared" si="104"/>
        <v/>
      </c>
      <c r="X218" s="132"/>
      <c r="Y218" s="132"/>
      <c r="Z218" s="132"/>
      <c r="AA218" s="132"/>
    </row>
    <row r="219" spans="1:27" ht="20.100000000000001" hidden="1" customHeight="1">
      <c r="A219" s="300">
        <v>30100031</v>
      </c>
      <c r="B219" s="465" t="s">
        <v>209</v>
      </c>
      <c r="C219" s="126" t="s">
        <v>204</v>
      </c>
      <c r="D219" s="108">
        <v>5.03</v>
      </c>
      <c r="E219" s="108"/>
      <c r="F219" s="127"/>
      <c r="G219" s="128"/>
      <c r="H219" s="466">
        <f t="shared" si="91"/>
        <v>0</v>
      </c>
      <c r="I219" s="129"/>
      <c r="J219" s="130" t="str">
        <f t="array" ref="J219">IF(ISERROR(G219/I219),"",G219/I219)</f>
        <v/>
      </c>
      <c r="K219" s="131">
        <f t="array" ref="K219">IF(ISERROR(G219/L219),"",G219/L219)</f>
        <v>0</v>
      </c>
      <c r="L219" s="129">
        <v>56</v>
      </c>
      <c r="M219" s="109">
        <f t="shared" si="101"/>
        <v>0</v>
      </c>
      <c r="N219" s="130">
        <f t="shared" si="102"/>
        <v>0</v>
      </c>
      <c r="O219" s="470"/>
      <c r="P219" s="470"/>
      <c r="Q219" s="470"/>
      <c r="R219" s="470"/>
      <c r="S219" s="470"/>
      <c r="T219" s="470"/>
      <c r="U219" s="470"/>
      <c r="V219" s="132">
        <f t="shared" si="103"/>
        <v>0</v>
      </c>
      <c r="W219" s="133" t="str">
        <f t="shared" si="104"/>
        <v/>
      </c>
      <c r="X219" s="132"/>
      <c r="Y219" s="132"/>
      <c r="Z219" s="132"/>
      <c r="AA219" s="132"/>
    </row>
    <row r="220" spans="1:27" ht="20.100000000000001" hidden="1" customHeight="1">
      <c r="A220" s="300">
        <v>30100019</v>
      </c>
      <c r="B220" s="465" t="s">
        <v>382</v>
      </c>
      <c r="C220" s="187" t="s">
        <v>383</v>
      </c>
      <c r="D220" s="108">
        <v>5.03</v>
      </c>
      <c r="E220" s="108"/>
      <c r="F220" s="127"/>
      <c r="G220" s="128"/>
      <c r="H220" s="466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470"/>
      <c r="P220" s="470"/>
      <c r="Q220" s="470"/>
      <c r="R220" s="470"/>
      <c r="S220" s="470"/>
      <c r="T220" s="470"/>
      <c r="U220" s="470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30100020</v>
      </c>
      <c r="B221" s="465" t="s">
        <v>382</v>
      </c>
      <c r="C221" s="187" t="s">
        <v>384</v>
      </c>
      <c r="D221" s="108">
        <v>5.03</v>
      </c>
      <c r="E221" s="108"/>
      <c r="F221" s="127"/>
      <c r="G221" s="128"/>
      <c r="H221" s="466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470"/>
      <c r="P221" s="470"/>
      <c r="Q221" s="470"/>
      <c r="R221" s="470"/>
      <c r="S221" s="470"/>
      <c r="T221" s="470"/>
      <c r="U221" s="470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30100021</v>
      </c>
      <c r="B222" s="465" t="s">
        <v>382</v>
      </c>
      <c r="C222" s="187" t="s">
        <v>389</v>
      </c>
      <c r="D222" s="108">
        <v>5.03</v>
      </c>
      <c r="E222" s="108"/>
      <c r="F222" s="127"/>
      <c r="G222" s="128"/>
      <c r="H222" s="466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470"/>
      <c r="P222" s="470"/>
      <c r="Q222" s="470"/>
      <c r="R222" s="470"/>
      <c r="S222" s="470"/>
      <c r="T222" s="470"/>
      <c r="U222" s="470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0">
        <v>30100018</v>
      </c>
      <c r="B223" s="465" t="s">
        <v>382</v>
      </c>
      <c r="C223" s="187" t="s">
        <v>391</v>
      </c>
      <c r="D223" s="108">
        <v>5.03</v>
      </c>
      <c r="E223" s="108"/>
      <c r="F223" s="127"/>
      <c r="G223" s="128"/>
      <c r="H223" s="466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54</v>
      </c>
      <c r="M223" s="109">
        <f t="shared" si="101"/>
        <v>0</v>
      </c>
      <c r="N223" s="130">
        <f t="shared" si="102"/>
        <v>0</v>
      </c>
      <c r="O223" s="470"/>
      <c r="P223" s="470"/>
      <c r="Q223" s="470"/>
      <c r="R223" s="470"/>
      <c r="S223" s="470"/>
      <c r="T223" s="470"/>
      <c r="U223" s="470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30700007</v>
      </c>
      <c r="B224" s="465" t="s">
        <v>418</v>
      </c>
      <c r="C224" s="187" t="s">
        <v>364</v>
      </c>
      <c r="D224" s="108">
        <v>5.03</v>
      </c>
      <c r="E224" s="108"/>
      <c r="F224" s="127"/>
      <c r="G224" s="128"/>
      <c r="H224" s="466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470"/>
      <c r="P224" s="470"/>
      <c r="Q224" s="470"/>
      <c r="R224" s="470"/>
      <c r="S224" s="470"/>
      <c r="T224" s="470"/>
      <c r="U224" s="470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30700006</v>
      </c>
      <c r="B225" s="465" t="s">
        <v>418</v>
      </c>
      <c r="C225" s="187" t="s">
        <v>365</v>
      </c>
      <c r="D225" s="108">
        <v>5.03</v>
      </c>
      <c r="E225" s="108"/>
      <c r="F225" s="127"/>
      <c r="G225" s="128"/>
      <c r="H225" s="466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470"/>
      <c r="P225" s="470"/>
      <c r="Q225" s="470"/>
      <c r="R225" s="470"/>
      <c r="S225" s="470"/>
      <c r="T225" s="470"/>
      <c r="U225" s="470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30700008</v>
      </c>
      <c r="B226" s="465" t="s">
        <v>418</v>
      </c>
      <c r="C226" s="187" t="s">
        <v>366</v>
      </c>
      <c r="D226" s="108">
        <v>5.03</v>
      </c>
      <c r="E226" s="108"/>
      <c r="F226" s="127"/>
      <c r="G226" s="128"/>
      <c r="H226" s="466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470"/>
      <c r="P226" s="470"/>
      <c r="Q226" s="470"/>
      <c r="R226" s="470"/>
      <c r="S226" s="470"/>
      <c r="T226" s="470"/>
      <c r="U226" s="470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3">
        <v>30700009</v>
      </c>
      <c r="B227" s="465" t="s">
        <v>418</v>
      </c>
      <c r="C227" s="187" t="s">
        <v>367</v>
      </c>
      <c r="D227" s="108">
        <v>5.03</v>
      </c>
      <c r="E227" s="108"/>
      <c r="F227" s="127"/>
      <c r="G227" s="128"/>
      <c r="H227" s="466">
        <f t="shared" si="91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101"/>
        <v>0</v>
      </c>
      <c r="N227" s="130">
        <f t="shared" si="102"/>
        <v>0</v>
      </c>
      <c r="O227" s="470"/>
      <c r="P227" s="470"/>
      <c r="Q227" s="470"/>
      <c r="R227" s="470"/>
      <c r="S227" s="470"/>
      <c r="T227" s="470"/>
      <c r="U227" s="470"/>
      <c r="V227" s="132"/>
      <c r="W227" s="133"/>
      <c r="X227" s="132"/>
      <c r="Y227" s="132"/>
      <c r="Z227" s="132"/>
      <c r="AA227" s="132"/>
    </row>
    <row r="228" spans="1:27" ht="20.10000000000000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>
        <v>42740</v>
      </c>
      <c r="G228" s="152">
        <v>93</v>
      </c>
      <c r="H228" s="466">
        <f t="shared" si="91"/>
        <v>467.79</v>
      </c>
      <c r="I228" s="129">
        <v>2</v>
      </c>
      <c r="J228" s="130">
        <f t="array" ref="J228">IF(ISERROR(G228/I228),"",G228/I228)</f>
        <v>46.5</v>
      </c>
      <c r="K228" s="131">
        <f t="array" ref="K228">IF(ISERROR(G228/L228),"",G228/L228)</f>
        <v>2.3250000000000002</v>
      </c>
      <c r="L228" s="129">
        <v>40</v>
      </c>
      <c r="M228" s="109">
        <f t="shared" si="101"/>
        <v>-0.32500000000000018</v>
      </c>
      <c r="N228" s="130">
        <f t="shared" si="102"/>
        <v>0</v>
      </c>
      <c r="O228" s="474"/>
      <c r="P228" s="474"/>
      <c r="Q228" s="474"/>
      <c r="R228" s="474"/>
      <c r="S228" s="474"/>
      <c r="T228" s="474"/>
      <c r="U228" s="474"/>
      <c r="V228" s="132">
        <f t="shared" ref="V228:V237" si="105">SUM(X228:AA228)</f>
        <v>0</v>
      </c>
      <c r="W228" s="133">
        <f t="shared" ref="W228:W237" si="106">IF(ISERROR(V228/G228),"",V228/G228)</f>
        <v>0</v>
      </c>
      <c r="X228" s="132"/>
      <c r="Y228" s="132"/>
      <c r="Z228" s="132"/>
      <c r="AA228" s="132"/>
    </row>
    <row r="229" spans="1:27" ht="20.100000000000001" hidden="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/>
      <c r="G229" s="152"/>
      <c r="H229" s="466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474"/>
      <c r="P229" s="474"/>
      <c r="Q229" s="474"/>
      <c r="R229" s="474"/>
      <c r="S229" s="474"/>
      <c r="T229" s="474"/>
      <c r="U229" s="474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/>
      <c r="G230" s="152"/>
      <c r="H230" s="466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40</v>
      </c>
      <c r="M230" s="109">
        <f t="shared" si="101"/>
        <v>0</v>
      </c>
      <c r="N230" s="130">
        <f t="shared" si="102"/>
        <v>0</v>
      </c>
      <c r="O230" s="474"/>
      <c r="P230" s="474"/>
      <c r="Q230" s="474"/>
      <c r="R230" s="474"/>
      <c r="S230" s="474"/>
      <c r="T230" s="474"/>
      <c r="U230" s="474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28"/>
      <c r="H231" s="466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474"/>
      <c r="P231" s="474"/>
      <c r="Q231" s="474"/>
      <c r="R231" s="474"/>
      <c r="S231" s="474"/>
      <c r="T231" s="474"/>
      <c r="U231" s="474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28"/>
      <c r="H232" s="466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474"/>
      <c r="P232" s="474"/>
      <c r="Q232" s="474"/>
      <c r="R232" s="474"/>
      <c r="S232" s="474"/>
      <c r="T232" s="474"/>
      <c r="U232" s="474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28"/>
      <c r="H233" s="466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474"/>
      <c r="P233" s="474"/>
      <c r="Q233" s="474"/>
      <c r="R233" s="474"/>
      <c r="S233" s="474"/>
      <c r="T233" s="474"/>
      <c r="U233" s="474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28"/>
      <c r="H234" s="466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474"/>
      <c r="P234" s="474"/>
      <c r="Q234" s="474"/>
      <c r="R234" s="474"/>
      <c r="S234" s="474"/>
      <c r="T234" s="474"/>
      <c r="U234" s="474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/>
      <c r="G235" s="128"/>
      <c r="H235" s="466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474"/>
      <c r="P235" s="474"/>
      <c r="Q235" s="474"/>
      <c r="R235" s="474"/>
      <c r="S235" s="474"/>
      <c r="T235" s="474"/>
      <c r="U235" s="474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/>
      <c r="G236" s="128"/>
      <c r="H236" s="466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474"/>
      <c r="P236" s="474"/>
      <c r="Q236" s="474"/>
      <c r="R236" s="474"/>
      <c r="S236" s="474"/>
      <c r="T236" s="474"/>
      <c r="U236" s="474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/>
      <c r="G237" s="128"/>
      <c r="H237" s="466">
        <f t="shared" si="91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50</v>
      </c>
      <c r="M237" s="109">
        <f t="shared" si="101"/>
        <v>0</v>
      </c>
      <c r="N237" s="130">
        <f t="shared" si="102"/>
        <v>0</v>
      </c>
      <c r="O237" s="474"/>
      <c r="P237" s="474"/>
      <c r="Q237" s="474"/>
      <c r="R237" s="474"/>
      <c r="S237" s="474"/>
      <c r="T237" s="474"/>
      <c r="U237" s="474"/>
      <c r="V237" s="132">
        <f t="shared" si="105"/>
        <v>0</v>
      </c>
      <c r="W237" s="133" t="str">
        <f t="shared" si="106"/>
        <v/>
      </c>
      <c r="X237" s="132"/>
      <c r="Y237" s="132"/>
      <c r="Z237" s="132"/>
      <c r="AA237" s="132"/>
    </row>
    <row r="238" spans="1:27" ht="20.100000000000001" hidden="1" customHeight="1">
      <c r="A238" s="300">
        <v>30100043</v>
      </c>
      <c r="B238" s="134" t="s">
        <v>429</v>
      </c>
      <c r="C238" s="187" t="s">
        <v>427</v>
      </c>
      <c r="D238" s="108">
        <v>5.03</v>
      </c>
      <c r="E238" s="108"/>
      <c r="F238" s="127"/>
      <c r="G238" s="128"/>
      <c r="H238" s="466">
        <f t="shared" si="91"/>
        <v>0</v>
      </c>
      <c r="I238" s="129"/>
      <c r="J238" s="130"/>
      <c r="K238" s="131"/>
      <c r="L238" s="129">
        <v>50</v>
      </c>
      <c r="M238" s="109"/>
      <c r="N238" s="130"/>
      <c r="O238" s="474"/>
      <c r="P238" s="474"/>
      <c r="Q238" s="474"/>
      <c r="R238" s="474"/>
      <c r="S238" s="474"/>
      <c r="T238" s="474"/>
      <c r="U238" s="474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/>
      <c r="G239" s="128"/>
      <c r="H239" s="466">
        <f t="shared" si="91"/>
        <v>0</v>
      </c>
      <c r="I239" s="129"/>
      <c r="J239" s="130"/>
      <c r="K239" s="131">
        <f t="array" ref="K239">IF(ISERROR(G239/L239),"",G239/L239)</f>
        <v>0</v>
      </c>
      <c r="L239" s="129">
        <v>50</v>
      </c>
      <c r="M239" s="109">
        <f t="shared" ref="M239:M250" si="107">IF(ISERROR(I239-K239),"",I239-K239)</f>
        <v>0</v>
      </c>
      <c r="N239" s="130"/>
      <c r="O239" s="474"/>
      <c r="P239" s="474"/>
      <c r="Q239" s="474"/>
      <c r="R239" s="474"/>
      <c r="S239" s="474"/>
      <c r="T239" s="474"/>
      <c r="U239" s="474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/>
      <c r="G240" s="128"/>
      <c r="H240" s="466">
        <f t="shared" si="91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7"/>
        <v>0</v>
      </c>
      <c r="N240" s="130">
        <f t="shared" ref="N240:N241" si="108">SUM(O240:U240)</f>
        <v>0</v>
      </c>
      <c r="O240" s="474"/>
      <c r="P240" s="474"/>
      <c r="Q240" s="474"/>
      <c r="R240" s="474"/>
      <c r="S240" s="474"/>
      <c r="T240" s="474"/>
      <c r="U240" s="474"/>
      <c r="V240" s="132">
        <f t="shared" ref="V240:V241" si="109">SUM(X240:AA240)</f>
        <v>0</v>
      </c>
      <c r="W240" s="133" t="str">
        <f t="shared" ref="W240:W241" si="110">IF(ISERROR(V240/G240),"",V240/G240)</f>
        <v/>
      </c>
      <c r="X240" s="132"/>
      <c r="Y240" s="132"/>
      <c r="Z240" s="132"/>
      <c r="AA240" s="132"/>
    </row>
    <row r="241" spans="1:27" ht="20.10000000000000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>
        <v>42741</v>
      </c>
      <c r="G241" s="152">
        <f>100*9+49</f>
        <v>949</v>
      </c>
      <c r="H241" s="466">
        <f t="shared" si="91"/>
        <v>4773.47</v>
      </c>
      <c r="I241" s="129">
        <f>11*0.5*4</f>
        <v>22</v>
      </c>
      <c r="J241" s="130">
        <f t="array" ref="J241">IF(ISERROR(G241/I241),"",G241/I241)</f>
        <v>43.136363636363633</v>
      </c>
      <c r="K241" s="131">
        <f t="array" ref="K241">IF(ISERROR(G241/L241),"",G241/L241)</f>
        <v>44.139534883720927</v>
      </c>
      <c r="L241" s="129">
        <v>21.5</v>
      </c>
      <c r="M241" s="109">
        <f t="shared" si="107"/>
        <v>-22.139534883720927</v>
      </c>
      <c r="N241" s="130">
        <f t="shared" si="108"/>
        <v>0</v>
      </c>
      <c r="O241" s="474"/>
      <c r="P241" s="474"/>
      <c r="Q241" s="474"/>
      <c r="R241" s="474"/>
      <c r="S241" s="474"/>
      <c r="T241" s="474"/>
      <c r="U241" s="474"/>
      <c r="V241" s="132">
        <f t="shared" si="109"/>
        <v>0</v>
      </c>
      <c r="W241" s="133">
        <f t="shared" si="110"/>
        <v>0</v>
      </c>
      <c r="X241" s="132"/>
      <c r="Y241" s="132"/>
      <c r="Z241" s="132"/>
      <c r="AA241" s="132"/>
    </row>
    <row r="242" spans="1:27" ht="20.100000000000001" hidden="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28"/>
      <c r="H242" s="466">
        <f t="shared" si="91"/>
        <v>0</v>
      </c>
      <c r="I242" s="129"/>
      <c r="J242" s="130"/>
      <c r="K242" s="131"/>
      <c r="L242" s="129"/>
      <c r="M242" s="109">
        <f t="shared" si="107"/>
        <v>0</v>
      </c>
      <c r="N242" s="130"/>
      <c r="O242" s="474"/>
      <c r="P242" s="474"/>
      <c r="Q242" s="474"/>
      <c r="R242" s="474"/>
      <c r="S242" s="474"/>
      <c r="T242" s="474"/>
      <c r="U242" s="474"/>
      <c r="V242" s="132"/>
      <c r="W242" s="133"/>
      <c r="X242" s="132"/>
      <c r="Y242" s="132"/>
      <c r="Z242" s="132"/>
      <c r="AA242" s="132"/>
    </row>
    <row r="243" spans="1:27" ht="20.100000000000001" hidden="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28"/>
      <c r="H243" s="466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ref="N243:N246" si="111">SUM(O243:U243)</f>
        <v>0</v>
      </c>
      <c r="O243" s="474"/>
      <c r="P243" s="474"/>
      <c r="Q243" s="474"/>
      <c r="R243" s="474"/>
      <c r="S243" s="474"/>
      <c r="T243" s="474"/>
      <c r="U243" s="474"/>
      <c r="V243" s="132">
        <f t="shared" ref="V243:V246" si="112">SUM(X243:AA243)</f>
        <v>0</v>
      </c>
      <c r="W243" s="133" t="str">
        <f t="shared" ref="W243:W246" si="113">IF(ISERROR(V243/G243),"",V243/G243)</f>
        <v/>
      </c>
      <c r="X243" s="132"/>
      <c r="Y243" s="132"/>
      <c r="Z243" s="132"/>
      <c r="AA243" s="132"/>
    </row>
    <row r="244" spans="1:27" ht="20.100000000000001" hidden="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28"/>
      <c r="H244" s="466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474"/>
      <c r="P244" s="474"/>
      <c r="Q244" s="474"/>
      <c r="R244" s="474"/>
      <c r="S244" s="474"/>
      <c r="T244" s="474"/>
      <c r="U244" s="474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28"/>
      <c r="H245" s="466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474"/>
      <c r="P245" s="474"/>
      <c r="Q245" s="474"/>
      <c r="R245" s="474"/>
      <c r="S245" s="474"/>
      <c r="T245" s="474"/>
      <c r="U245" s="474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28"/>
      <c r="H246" s="466">
        <f t="shared" si="91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7"/>
        <v/>
      </c>
      <c r="N246" s="130">
        <f t="shared" si="111"/>
        <v>0</v>
      </c>
      <c r="O246" s="474"/>
      <c r="P246" s="474"/>
      <c r="Q246" s="474"/>
      <c r="R246" s="474"/>
      <c r="S246" s="474"/>
      <c r="T246" s="474"/>
      <c r="U246" s="474"/>
      <c r="V246" s="132">
        <f t="shared" si="112"/>
        <v>0</v>
      </c>
      <c r="W246" s="133" t="str">
        <f t="shared" si="113"/>
        <v/>
      </c>
      <c r="X246" s="132"/>
      <c r="Y246" s="132"/>
      <c r="Z246" s="132"/>
      <c r="AA246" s="132"/>
    </row>
    <row r="247" spans="1:27" ht="20.100000000000001" hidden="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28"/>
      <c r="H247" s="466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474"/>
      <c r="P247" s="474"/>
      <c r="Q247" s="474"/>
      <c r="R247" s="474"/>
      <c r="S247" s="474"/>
      <c r="T247" s="474"/>
      <c r="U247" s="474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28"/>
      <c r="H248" s="466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474"/>
      <c r="P248" s="474"/>
      <c r="Q248" s="474"/>
      <c r="R248" s="474"/>
      <c r="S248" s="474"/>
      <c r="T248" s="474"/>
      <c r="U248" s="474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28"/>
      <c r="H249" s="466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474"/>
      <c r="P249" s="474"/>
      <c r="Q249" s="474"/>
      <c r="R249" s="474"/>
      <c r="S249" s="474"/>
      <c r="T249" s="474"/>
      <c r="U249" s="474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28"/>
      <c r="H250" s="466">
        <f t="shared" si="91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7"/>
        <v>0</v>
      </c>
      <c r="N250" s="130"/>
      <c r="O250" s="474"/>
      <c r="P250" s="474"/>
      <c r="Q250" s="474"/>
      <c r="R250" s="474"/>
      <c r="S250" s="474"/>
      <c r="T250" s="474"/>
      <c r="U250" s="474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28"/>
      <c r="H251" s="466">
        <f t="shared" si="91"/>
        <v>0</v>
      </c>
      <c r="I251" s="129"/>
      <c r="J251" s="130"/>
      <c r="K251" s="131"/>
      <c r="L251" s="129">
        <v>4</v>
      </c>
      <c r="M251" s="109"/>
      <c r="N251" s="130"/>
      <c r="O251" s="474"/>
      <c r="P251" s="474"/>
      <c r="Q251" s="474"/>
      <c r="R251" s="474"/>
      <c r="S251" s="474"/>
      <c r="T251" s="474"/>
      <c r="U251" s="474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28"/>
      <c r="H252" s="466">
        <f t="shared" si="91"/>
        <v>0</v>
      </c>
      <c r="I252" s="129"/>
      <c r="J252" s="130"/>
      <c r="K252" s="131"/>
      <c r="L252" s="129">
        <v>4</v>
      </c>
      <c r="M252" s="109"/>
      <c r="N252" s="130"/>
      <c r="O252" s="474"/>
      <c r="P252" s="474"/>
      <c r="Q252" s="474"/>
      <c r="R252" s="474"/>
      <c r="S252" s="474"/>
      <c r="T252" s="474"/>
      <c r="U252" s="474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28"/>
      <c r="H253" s="466">
        <f t="shared" si="91"/>
        <v>0</v>
      </c>
      <c r="I253" s="129"/>
      <c r="J253" s="130"/>
      <c r="K253" s="131"/>
      <c r="L253" s="129">
        <v>4</v>
      </c>
      <c r="M253" s="109"/>
      <c r="N253" s="130"/>
      <c r="O253" s="474"/>
      <c r="P253" s="474"/>
      <c r="Q253" s="474"/>
      <c r="R253" s="474"/>
      <c r="S253" s="474"/>
      <c r="T253" s="474"/>
      <c r="U253" s="474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28"/>
      <c r="H254" s="466">
        <f t="shared" si="91"/>
        <v>0</v>
      </c>
      <c r="I254" s="129"/>
      <c r="J254" s="130"/>
      <c r="K254" s="131"/>
      <c r="L254" s="129">
        <v>4</v>
      </c>
      <c r="M254" s="109"/>
      <c r="N254" s="130"/>
      <c r="O254" s="474"/>
      <c r="P254" s="474"/>
      <c r="Q254" s="474"/>
      <c r="R254" s="474"/>
      <c r="S254" s="474"/>
      <c r="T254" s="474"/>
      <c r="U254" s="474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28"/>
      <c r="H255" s="466">
        <f t="shared" si="91"/>
        <v>0</v>
      </c>
      <c r="I255" s="129"/>
      <c r="J255" s="130"/>
      <c r="K255" s="131"/>
      <c r="L255" s="129">
        <v>4</v>
      </c>
      <c r="M255" s="109"/>
      <c r="N255" s="130"/>
      <c r="O255" s="474"/>
      <c r="P255" s="474"/>
      <c r="Q255" s="474"/>
      <c r="R255" s="474"/>
      <c r="S255" s="474"/>
      <c r="T255" s="474"/>
      <c r="U255" s="474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28"/>
      <c r="H256" s="466">
        <f t="shared" si="91"/>
        <v>0</v>
      </c>
      <c r="I256" s="129"/>
      <c r="J256" s="130"/>
      <c r="K256" s="131"/>
      <c r="L256" s="129">
        <v>4</v>
      </c>
      <c r="M256" s="109"/>
      <c r="N256" s="130"/>
      <c r="O256" s="474"/>
      <c r="P256" s="474"/>
      <c r="Q256" s="474"/>
      <c r="R256" s="474"/>
      <c r="S256" s="474"/>
      <c r="T256" s="474"/>
      <c r="U256" s="474"/>
      <c r="V256" s="132"/>
      <c r="W256" s="133"/>
      <c r="X256" s="132"/>
      <c r="Y256" s="132"/>
      <c r="Z256" s="132"/>
      <c r="AA256" s="132"/>
    </row>
    <row r="257" spans="1:27" ht="20.100000000000001" customHeight="1">
      <c r="A257" s="589" t="s">
        <v>216</v>
      </c>
      <c r="B257" s="589"/>
      <c r="C257" s="475" t="s">
        <v>202</v>
      </c>
      <c r="D257" s="143"/>
      <c r="E257" s="143"/>
      <c r="F257" s="144"/>
      <c r="G257" s="145">
        <f>SUM(G200:G256)</f>
        <v>3261</v>
      </c>
      <c r="H257" s="146">
        <f>SUM(H200:H256)</f>
        <v>16440.580000000002</v>
      </c>
      <c r="I257" s="146">
        <f>SUM(I200:I256)</f>
        <v>93</v>
      </c>
      <c r="J257" s="130">
        <f t="array" ref="J257">IF(ISERROR(G257/I257),"",G257/I257)</f>
        <v>35.064516129032256</v>
      </c>
      <c r="K257" s="146">
        <f>SUM(K200:K256)</f>
        <v>110.57076198994804</v>
      </c>
      <c r="L257" s="147"/>
      <c r="M257" s="150">
        <f t="shared" ref="M257:V257" si="114">SUM(M200:M256)</f>
        <v>-17.032300451486499</v>
      </c>
      <c r="N257" s="146">
        <f t="shared" si="114"/>
        <v>0</v>
      </c>
      <c r="O257" s="148">
        <f t="shared" si="114"/>
        <v>0</v>
      </c>
      <c r="P257" s="148">
        <f t="shared" si="114"/>
        <v>0</v>
      </c>
      <c r="Q257" s="148">
        <f t="shared" si="114"/>
        <v>0</v>
      </c>
      <c r="R257" s="148">
        <f t="shared" si="114"/>
        <v>0</v>
      </c>
      <c r="S257" s="148">
        <f t="shared" si="114"/>
        <v>0</v>
      </c>
      <c r="T257" s="148">
        <f t="shared" si="114"/>
        <v>0</v>
      </c>
      <c r="U257" s="148">
        <f t="shared" si="114"/>
        <v>0</v>
      </c>
      <c r="V257" s="149">
        <f t="shared" si="114"/>
        <v>0</v>
      </c>
      <c r="W257" s="133">
        <f t="shared" ref="W257:W264" si="115">IF(ISERROR(V257/G257),"",V257/G257)</f>
        <v>0</v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hidden="1" customHeight="1">
      <c r="A258" s="299">
        <v>30400012</v>
      </c>
      <c r="B258" s="465" t="s">
        <v>217</v>
      </c>
      <c r="C258" s="126" t="s">
        <v>179</v>
      </c>
      <c r="D258" s="108">
        <v>5.03</v>
      </c>
      <c r="E258" s="108"/>
      <c r="F258" s="127"/>
      <c r="G258" s="128"/>
      <c r="H258" s="466">
        <f t="shared" ref="H258:H291" si="116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7">IF(ISERROR(I258-K258),"",I258-K258)</f>
        <v>0</v>
      </c>
      <c r="N258" s="130">
        <f t="shared" ref="N258:N265" si="118">SUM(O258:U258)</f>
        <v>0</v>
      </c>
      <c r="O258" s="474"/>
      <c r="P258" s="474"/>
      <c r="Q258" s="474"/>
      <c r="R258" s="474"/>
      <c r="S258" s="474"/>
      <c r="T258" s="474"/>
      <c r="U258" s="474"/>
      <c r="V258" s="132">
        <f t="shared" ref="V258:V264" si="119">SUM(X258:AA258)</f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30400010</v>
      </c>
      <c r="B259" s="465" t="s">
        <v>217</v>
      </c>
      <c r="C259" s="126" t="s">
        <v>186</v>
      </c>
      <c r="D259" s="108">
        <v>5.03</v>
      </c>
      <c r="E259" s="108"/>
      <c r="F259" s="127"/>
      <c r="G259" s="128"/>
      <c r="H259" s="466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474"/>
      <c r="P259" s="474"/>
      <c r="Q259" s="474"/>
      <c r="R259" s="474"/>
      <c r="S259" s="474"/>
      <c r="T259" s="474"/>
      <c r="U259" s="474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30400011</v>
      </c>
      <c r="B260" s="465" t="s">
        <v>217</v>
      </c>
      <c r="C260" s="126" t="s">
        <v>204</v>
      </c>
      <c r="D260" s="108">
        <v>5.03</v>
      </c>
      <c r="E260" s="108"/>
      <c r="F260" s="127"/>
      <c r="G260" s="128"/>
      <c r="H260" s="466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8.8000000000000007</v>
      </c>
      <c r="M260" s="109">
        <f t="shared" si="117"/>
        <v>0</v>
      </c>
      <c r="N260" s="130">
        <f t="shared" si="118"/>
        <v>0</v>
      </c>
      <c r="O260" s="474"/>
      <c r="P260" s="474"/>
      <c r="Q260" s="474"/>
      <c r="R260" s="474"/>
      <c r="S260" s="474"/>
      <c r="T260" s="474"/>
      <c r="U260" s="474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28"/>
      <c r="H261" s="466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474"/>
      <c r="P261" s="474"/>
      <c r="Q261" s="474"/>
      <c r="R261" s="474"/>
      <c r="S261" s="474"/>
      <c r="T261" s="474"/>
      <c r="U261" s="474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/>
      <c r="G262" s="128"/>
      <c r="H262" s="466">
        <f t="shared" si="116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474"/>
      <c r="P262" s="474"/>
      <c r="Q262" s="474"/>
      <c r="R262" s="474"/>
      <c r="S262" s="474"/>
      <c r="T262" s="474"/>
      <c r="U262" s="474"/>
      <c r="V262" s="132">
        <f t="shared" si="119"/>
        <v>0</v>
      </c>
      <c r="W262" s="133" t="str">
        <f t="shared" si="115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/>
      <c r="G263" s="128"/>
      <c r="H263" s="466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7"/>
        <v>0</v>
      </c>
      <c r="N263" s="130">
        <f t="shared" si="118"/>
        <v>0</v>
      </c>
      <c r="O263" s="474"/>
      <c r="P263" s="474"/>
      <c r="Q263" s="474"/>
      <c r="R263" s="474"/>
      <c r="S263" s="474"/>
      <c r="T263" s="474"/>
      <c r="U263" s="474"/>
      <c r="V263" s="132">
        <f t="shared" si="119"/>
        <v>0</v>
      </c>
      <c r="W263" s="133" t="str">
        <f t="shared" si="115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/>
      <c r="G264" s="128"/>
      <c r="H264" s="466">
        <f t="shared" si="116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474"/>
      <c r="P264" s="474"/>
      <c r="Q264" s="474"/>
      <c r="R264" s="474"/>
      <c r="S264" s="474"/>
      <c r="T264" s="474"/>
      <c r="U264" s="474"/>
      <c r="V264" s="132">
        <f t="shared" si="119"/>
        <v>0</v>
      </c>
      <c r="W264" s="133" t="str">
        <f t="shared" si="115"/>
        <v/>
      </c>
      <c r="X264" s="132"/>
      <c r="Y264" s="132"/>
      <c r="Z264" s="132"/>
      <c r="AA264" s="132"/>
    </row>
    <row r="265" spans="1:27" ht="20.100000000000001" hidden="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/>
      <c r="G265" s="128"/>
      <c r="H265" s="466">
        <f t="shared" si="116"/>
        <v>0</v>
      </c>
      <c r="I265" s="129"/>
      <c r="J265" s="130"/>
      <c r="K265" s="131">
        <f t="array" ref="K265">IF(ISERROR(G265/L265),"",G265/L265)</f>
        <v>0</v>
      </c>
      <c r="L265" s="129">
        <v>9.3000000000000007</v>
      </c>
      <c r="M265" s="109">
        <f t="shared" si="117"/>
        <v>0</v>
      </c>
      <c r="N265" s="130">
        <f t="shared" si="118"/>
        <v>0</v>
      </c>
      <c r="O265" s="474"/>
      <c r="P265" s="474"/>
      <c r="Q265" s="474"/>
      <c r="R265" s="474"/>
      <c r="S265" s="474"/>
      <c r="T265" s="474"/>
      <c r="U265" s="474"/>
      <c r="V265" s="132"/>
      <c r="W265" s="133"/>
      <c r="X265" s="132"/>
      <c r="Y265" s="132"/>
      <c r="Z265" s="132"/>
      <c r="AA265" s="132"/>
    </row>
    <row r="266" spans="1:27" ht="20.100000000000001" hidden="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52"/>
      <c r="H266" s="466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74"/>
      <c r="P266" s="474"/>
      <c r="Q266" s="474"/>
      <c r="R266" s="474"/>
      <c r="S266" s="474"/>
      <c r="T266" s="474"/>
      <c r="U266" s="474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28"/>
      <c r="H267" s="466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474"/>
      <c r="P267" s="474"/>
      <c r="Q267" s="474"/>
      <c r="R267" s="474"/>
      <c r="S267" s="474"/>
      <c r="T267" s="474"/>
      <c r="U267" s="474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28"/>
      <c r="H268" s="466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474"/>
      <c r="P268" s="474"/>
      <c r="Q268" s="474"/>
      <c r="R268" s="474"/>
      <c r="S268" s="474"/>
      <c r="T268" s="474"/>
      <c r="U268" s="474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28"/>
      <c r="H269" s="466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474"/>
      <c r="P269" s="474"/>
      <c r="Q269" s="474"/>
      <c r="R269" s="474"/>
      <c r="S269" s="474"/>
      <c r="T269" s="474"/>
      <c r="U269" s="474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28"/>
      <c r="H270" s="466">
        <f t="shared" si="116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5" si="120">IF(ISERROR(I270-K270),"",I270-K270)</f>
        <v>0</v>
      </c>
      <c r="N270" s="130">
        <f t="shared" ref="N270:N285" si="121">SUM(O270:U270)</f>
        <v>0</v>
      </c>
      <c r="O270" s="474"/>
      <c r="P270" s="474"/>
      <c r="Q270" s="474"/>
      <c r="R270" s="474"/>
      <c r="S270" s="474"/>
      <c r="T270" s="474"/>
      <c r="U270" s="474"/>
      <c r="V270" s="132">
        <f t="shared" ref="V270:V273" si="122">SUM(X270:AA270)</f>
        <v>0</v>
      </c>
      <c r="W270" s="133" t="str">
        <f t="shared" ref="W270:W277" si="123">IF(ISERROR(V270/G270),"",V270/G270)</f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28"/>
      <c r="H271" s="466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474"/>
      <c r="P271" s="474"/>
      <c r="Q271" s="474"/>
      <c r="R271" s="474"/>
      <c r="S271" s="474"/>
      <c r="T271" s="474"/>
      <c r="U271" s="474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28"/>
      <c r="H272" s="466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474"/>
      <c r="P272" s="474"/>
      <c r="Q272" s="474"/>
      <c r="R272" s="474"/>
      <c r="S272" s="474"/>
      <c r="T272" s="474"/>
      <c r="U272" s="474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28"/>
      <c r="H273" s="466">
        <f t="shared" si="116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20"/>
        <v/>
      </c>
      <c r="N273" s="130">
        <f t="shared" si="121"/>
        <v>0</v>
      </c>
      <c r="O273" s="474"/>
      <c r="P273" s="474"/>
      <c r="Q273" s="474"/>
      <c r="R273" s="474"/>
      <c r="S273" s="474"/>
      <c r="T273" s="474"/>
      <c r="U273" s="474"/>
      <c r="V273" s="132">
        <f t="shared" si="122"/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30600005</v>
      </c>
      <c r="B274" s="465" t="s">
        <v>222</v>
      </c>
      <c r="C274" s="126" t="s">
        <v>181</v>
      </c>
      <c r="D274" s="108">
        <v>9.36</v>
      </c>
      <c r="E274" s="108"/>
      <c r="F274" s="127"/>
      <c r="G274" s="128"/>
      <c r="H274" s="466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474"/>
      <c r="P274" s="474"/>
      <c r="Q274" s="474"/>
      <c r="R274" s="474"/>
      <c r="S274" s="474"/>
      <c r="T274" s="474"/>
      <c r="U274" s="474"/>
      <c r="V274" s="132">
        <f t="shared" ref="V274:V277" si="124">SUM(X274:AA274)</f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30600008</v>
      </c>
      <c r="B275" s="465" t="s">
        <v>222</v>
      </c>
      <c r="C275" s="126" t="s">
        <v>179</v>
      </c>
      <c r="D275" s="108">
        <v>9.36</v>
      </c>
      <c r="E275" s="108"/>
      <c r="F275" s="127"/>
      <c r="G275" s="128"/>
      <c r="H275" s="466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474"/>
      <c r="P275" s="474"/>
      <c r="Q275" s="474"/>
      <c r="R275" s="474"/>
      <c r="S275" s="474"/>
      <c r="T275" s="474"/>
      <c r="U275" s="474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30600007</v>
      </c>
      <c r="B276" s="465" t="s">
        <v>222</v>
      </c>
      <c r="C276" s="126" t="s">
        <v>221</v>
      </c>
      <c r="D276" s="108">
        <v>9.36</v>
      </c>
      <c r="E276" s="108"/>
      <c r="F276" s="127"/>
      <c r="G276" s="128"/>
      <c r="H276" s="466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474"/>
      <c r="P276" s="474"/>
      <c r="Q276" s="474"/>
      <c r="R276" s="474"/>
      <c r="S276" s="474"/>
      <c r="T276" s="474"/>
      <c r="U276" s="474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304">
        <v>30600006</v>
      </c>
      <c r="B277" s="465" t="s">
        <v>222</v>
      </c>
      <c r="C277" s="126" t="s">
        <v>186</v>
      </c>
      <c r="D277" s="108">
        <v>9.36</v>
      </c>
      <c r="E277" s="108"/>
      <c r="F277" s="127"/>
      <c r="G277" s="128"/>
      <c r="H277" s="466">
        <f t="shared" si="116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20"/>
        <v>0</v>
      </c>
      <c r="N277" s="130">
        <f t="shared" si="121"/>
        <v>0</v>
      </c>
      <c r="O277" s="474"/>
      <c r="P277" s="474"/>
      <c r="Q277" s="474"/>
      <c r="R277" s="474"/>
      <c r="S277" s="474"/>
      <c r="T277" s="474"/>
      <c r="U277" s="474"/>
      <c r="V277" s="132">
        <f t="shared" si="124"/>
        <v>0</v>
      </c>
      <c r="W277" s="133" t="str">
        <f t="shared" si="123"/>
        <v/>
      </c>
      <c r="X277" s="132"/>
      <c r="Y277" s="132"/>
      <c r="Z277" s="132"/>
      <c r="AA277" s="132"/>
    </row>
    <row r="278" spans="1:27" ht="20.100000000000001" hidden="1" customHeight="1">
      <c r="A278" s="299">
        <v>30400026</v>
      </c>
      <c r="B278" s="465" t="s">
        <v>393</v>
      </c>
      <c r="C278" s="187" t="s">
        <v>395</v>
      </c>
      <c r="D278" s="108">
        <v>5</v>
      </c>
      <c r="E278" s="108"/>
      <c r="F278" s="127"/>
      <c r="G278" s="128"/>
      <c r="H278" s="466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474"/>
      <c r="P278" s="474"/>
      <c r="Q278" s="474"/>
      <c r="R278" s="474"/>
      <c r="S278" s="474"/>
      <c r="T278" s="474"/>
      <c r="U278" s="474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30400028</v>
      </c>
      <c r="B279" s="465" t="s">
        <v>393</v>
      </c>
      <c r="C279" s="187" t="s">
        <v>402</v>
      </c>
      <c r="D279" s="108">
        <v>5</v>
      </c>
      <c r="E279" s="108"/>
      <c r="F279" s="127"/>
      <c r="G279" s="128"/>
      <c r="H279" s="466">
        <f t="shared" si="116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474"/>
      <c r="P279" s="474"/>
      <c r="Q279" s="474"/>
      <c r="R279" s="474"/>
      <c r="S279" s="474"/>
      <c r="T279" s="474"/>
      <c r="U279" s="474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>
        <v>30400027</v>
      </c>
      <c r="B280" s="465" t="s">
        <v>404</v>
      </c>
      <c r="C280" s="187" t="s">
        <v>405</v>
      </c>
      <c r="D280" s="108">
        <v>5</v>
      </c>
      <c r="E280" s="108"/>
      <c r="F280" s="127"/>
      <c r="G280" s="128"/>
      <c r="H280" s="466">
        <f t="shared" si="116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474"/>
      <c r="P280" s="474"/>
      <c r="Q280" s="474"/>
      <c r="R280" s="474"/>
      <c r="S280" s="474"/>
      <c r="T280" s="474"/>
      <c r="U280" s="474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/>
      <c r="B281" s="465" t="s">
        <v>342</v>
      </c>
      <c r="C281" s="187" t="s">
        <v>372</v>
      </c>
      <c r="D281" s="108">
        <v>5</v>
      </c>
      <c r="E281" s="108"/>
      <c r="F281" s="127"/>
      <c r="G281" s="128"/>
      <c r="H281" s="466">
        <f t="shared" si="116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474"/>
      <c r="P281" s="474"/>
      <c r="Q281" s="474"/>
      <c r="R281" s="474"/>
      <c r="S281" s="474"/>
      <c r="T281" s="474"/>
      <c r="U281" s="474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30600009</v>
      </c>
      <c r="B282" s="465" t="s">
        <v>343</v>
      </c>
      <c r="C282" s="126" t="s">
        <v>345</v>
      </c>
      <c r="D282" s="108">
        <v>5</v>
      </c>
      <c r="E282" s="108"/>
      <c r="F282" s="127"/>
      <c r="G282" s="128"/>
      <c r="H282" s="466">
        <f t="shared" si="116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474"/>
      <c r="P282" s="474"/>
      <c r="Q282" s="474"/>
      <c r="R282" s="474"/>
      <c r="S282" s="474"/>
      <c r="T282" s="474"/>
      <c r="U282" s="474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30600010</v>
      </c>
      <c r="B283" s="465" t="s">
        <v>343</v>
      </c>
      <c r="C283" s="126" t="s">
        <v>347</v>
      </c>
      <c r="D283" s="108">
        <v>5</v>
      </c>
      <c r="E283" s="108"/>
      <c r="F283" s="127"/>
      <c r="G283" s="128"/>
      <c r="H283" s="466">
        <f t="shared" si="116"/>
        <v>0</v>
      </c>
      <c r="I283" s="129"/>
      <c r="J283" s="130"/>
      <c r="K283" s="131">
        <f t="array" ref="K283">IF(ISERROR(G283/L283),"",G283/L283)</f>
        <v>0</v>
      </c>
      <c r="L283" s="129">
        <v>5</v>
      </c>
      <c r="M283" s="109">
        <f t="shared" si="120"/>
        <v>0</v>
      </c>
      <c r="N283" s="130">
        <f t="shared" si="121"/>
        <v>0</v>
      </c>
      <c r="O283" s="474"/>
      <c r="P283" s="474"/>
      <c r="Q283" s="474"/>
      <c r="R283" s="474"/>
      <c r="S283" s="474"/>
      <c r="T283" s="474"/>
      <c r="U283" s="474"/>
      <c r="V283" s="132"/>
      <c r="W283" s="133"/>
      <c r="X283" s="132"/>
      <c r="Y283" s="132"/>
      <c r="Z283" s="132"/>
      <c r="AA283" s="132"/>
    </row>
    <row r="284" spans="1:27" ht="20.100000000000001" hidden="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/>
      <c r="G284" s="128"/>
      <c r="H284" s="466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474"/>
      <c r="P284" s="474"/>
      <c r="Q284" s="474"/>
      <c r="R284" s="474"/>
      <c r="S284" s="474"/>
      <c r="T284" s="474"/>
      <c r="U284" s="474"/>
      <c r="V284" s="132">
        <f t="shared" ref="V284:V285" si="125">SUM(X284:AA284)</f>
        <v>0</v>
      </c>
      <c r="W284" s="133" t="str">
        <f t="shared" ref="W284:W285" si="126">IF(ISERROR(V284/G284),"",V284/G284)</f>
        <v/>
      </c>
      <c r="X284" s="132"/>
      <c r="Y284" s="132"/>
      <c r="Z284" s="132"/>
      <c r="AA284" s="132"/>
    </row>
    <row r="285" spans="1:27" ht="20.100000000000001" hidden="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28"/>
      <c r="H285" s="466">
        <f t="shared" si="116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20"/>
        <v>0</v>
      </c>
      <c r="N285" s="130">
        <f t="shared" si="121"/>
        <v>0</v>
      </c>
      <c r="O285" s="474"/>
      <c r="P285" s="474"/>
      <c r="Q285" s="474"/>
      <c r="R285" s="474"/>
      <c r="S285" s="474"/>
      <c r="T285" s="474"/>
      <c r="U285" s="474"/>
      <c r="V285" s="132">
        <f t="shared" si="125"/>
        <v>0</v>
      </c>
      <c r="W285" s="133" t="str">
        <f t="shared" si="126"/>
        <v/>
      </c>
      <c r="X285" s="132"/>
      <c r="Y285" s="132"/>
      <c r="Z285" s="132"/>
      <c r="AA285" s="132"/>
    </row>
    <row r="286" spans="1:27" ht="20.100000000000001" hidden="1" customHeight="1">
      <c r="A286" s="299">
        <v>30400004</v>
      </c>
      <c r="B286" s="151" t="s">
        <v>419</v>
      </c>
      <c r="C286" s="187" t="s">
        <v>73</v>
      </c>
      <c r="D286" s="108">
        <v>5.03</v>
      </c>
      <c r="E286" s="108"/>
      <c r="F286" s="127"/>
      <c r="G286" s="128"/>
      <c r="H286" s="466">
        <f t="shared" si="116"/>
        <v>0</v>
      </c>
      <c r="I286" s="129"/>
      <c r="J286" s="130"/>
      <c r="K286" s="131"/>
      <c r="L286" s="129">
        <v>24</v>
      </c>
      <c r="M286" s="109"/>
      <c r="N286" s="130"/>
      <c r="O286" s="474"/>
      <c r="P286" s="474"/>
      <c r="Q286" s="474"/>
      <c r="R286" s="474"/>
      <c r="S286" s="474"/>
      <c r="T286" s="474"/>
      <c r="U286" s="474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/>
      <c r="G287" s="128"/>
      <c r="H287" s="466">
        <f t="shared" si="116"/>
        <v>0</v>
      </c>
      <c r="I287" s="129"/>
      <c r="J287" s="130"/>
      <c r="K287" s="131"/>
      <c r="L287" s="129">
        <v>24</v>
      </c>
      <c r="M287" s="109"/>
      <c r="N287" s="130"/>
      <c r="O287" s="474"/>
      <c r="P287" s="474"/>
      <c r="Q287" s="474"/>
      <c r="R287" s="474"/>
      <c r="S287" s="474"/>
      <c r="T287" s="474"/>
      <c r="U287" s="474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/>
      <c r="G288" s="128"/>
      <c r="H288" s="466">
        <f t="shared" si="116"/>
        <v>0</v>
      </c>
      <c r="I288" s="129"/>
      <c r="J288" s="130"/>
      <c r="K288" s="131"/>
      <c r="L288" s="129">
        <v>24</v>
      </c>
      <c r="M288" s="109"/>
      <c r="N288" s="130"/>
      <c r="O288" s="474"/>
      <c r="P288" s="474"/>
      <c r="Q288" s="474"/>
      <c r="R288" s="474"/>
      <c r="S288" s="474"/>
      <c r="T288" s="474"/>
      <c r="U288" s="474"/>
      <c r="V288" s="132"/>
      <c r="W288" s="133"/>
      <c r="X288" s="132"/>
      <c r="Y288" s="132"/>
      <c r="Z288" s="132"/>
      <c r="AA288" s="132"/>
    </row>
    <row r="289" spans="1:27" ht="20.10000000000000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>
        <v>42740</v>
      </c>
      <c r="G289" s="152">
        <v>95</v>
      </c>
      <c r="H289" s="466">
        <f t="shared" si="116"/>
        <v>481.65000000000003</v>
      </c>
      <c r="I289" s="129">
        <v>11</v>
      </c>
      <c r="J289" s="130">
        <f t="array" ref="J289">IF(ISERROR(G289/I289),"",G289/I289)</f>
        <v>8.6363636363636367</v>
      </c>
      <c r="K289" s="131">
        <f t="array" ref="K289">IF(ISERROR(G289/L289),"",G289/L289)</f>
        <v>10.555555555555555</v>
      </c>
      <c r="L289" s="129">
        <v>9</v>
      </c>
      <c r="M289" s="109">
        <f t="shared" ref="M289:M291" si="127">IF(ISERROR(I289-K289),"",I289-K289)</f>
        <v>0.44444444444444464</v>
      </c>
      <c r="N289" s="130">
        <f t="shared" ref="N289:N291" si="128">SUM(O289:U289)</f>
        <v>0</v>
      </c>
      <c r="O289" s="474"/>
      <c r="P289" s="474"/>
      <c r="Q289" s="474"/>
      <c r="R289" s="474"/>
      <c r="S289" s="474"/>
      <c r="T289" s="474"/>
      <c r="U289" s="474"/>
      <c r="V289" s="132">
        <f t="shared" ref="V289:V291" si="129">SUM(X289:AA289)</f>
        <v>0</v>
      </c>
      <c r="W289" s="133">
        <f t="shared" ref="W289:W313" si="130">IF(ISERROR(V289/G289),"",V289/G289)</f>
        <v>0</v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28"/>
      <c r="H290" s="466">
        <f t="shared" si="116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474"/>
      <c r="P290" s="474"/>
      <c r="Q290" s="474"/>
      <c r="R290" s="474"/>
      <c r="S290" s="474"/>
      <c r="T290" s="474"/>
      <c r="U290" s="474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hidden="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/>
      <c r="G291" s="128"/>
      <c r="H291" s="466">
        <f t="shared" si="116"/>
        <v>0</v>
      </c>
      <c r="I291" s="129"/>
      <c r="J291" s="130" t="str">
        <f t="array" ref="J291">IF(ISERROR(G291/I291),"",G291/I291)</f>
        <v/>
      </c>
      <c r="K291" s="466">
        <f t="array" ref="K291">IF(ISERROR(G291/L291),"",G291/L291)</f>
        <v>0</v>
      </c>
      <c r="L291" s="129">
        <v>9</v>
      </c>
      <c r="M291" s="109">
        <f t="shared" si="127"/>
        <v>0</v>
      </c>
      <c r="N291" s="130">
        <f t="shared" si="128"/>
        <v>0</v>
      </c>
      <c r="O291" s="474"/>
      <c r="P291" s="474"/>
      <c r="Q291" s="474"/>
      <c r="R291" s="474"/>
      <c r="S291" s="474"/>
      <c r="T291" s="474"/>
      <c r="U291" s="474"/>
      <c r="V291" s="132">
        <f t="shared" si="129"/>
        <v>0</v>
      </c>
      <c r="W291" s="133" t="str">
        <f t="shared" si="130"/>
        <v/>
      </c>
      <c r="X291" s="132"/>
      <c r="Y291" s="132"/>
      <c r="Z291" s="132"/>
      <c r="AA291" s="132"/>
    </row>
    <row r="292" spans="1:27" ht="20.100000000000001" customHeight="1">
      <c r="A292" s="578" t="s">
        <v>224</v>
      </c>
      <c r="B292" s="579"/>
      <c r="C292" s="475" t="s">
        <v>202</v>
      </c>
      <c r="D292" s="143"/>
      <c r="E292" s="143"/>
      <c r="F292" s="144"/>
      <c r="G292" s="145">
        <f>SUM(G258:G291)</f>
        <v>95</v>
      </c>
      <c r="H292" s="146">
        <f>SUM(H258:H291)</f>
        <v>481.65000000000003</v>
      </c>
      <c r="I292" s="146">
        <f>SUM(I258:I291)</f>
        <v>11</v>
      </c>
      <c r="J292" s="130">
        <f t="array" ref="J292">IF(ISERROR(G292/I292),"",G292/I292)</f>
        <v>8.6363636363636367</v>
      </c>
      <c r="K292" s="146">
        <f>SUM(K258:K291)</f>
        <v>10.555555555555555</v>
      </c>
      <c r="L292" s="147"/>
      <c r="M292" s="150">
        <f t="shared" ref="M292:V292" si="131">SUM(M258:M291)</f>
        <v>0.44444444444444464</v>
      </c>
      <c r="N292" s="146">
        <f t="shared" si="131"/>
        <v>0</v>
      </c>
      <c r="O292" s="148">
        <f t="shared" si="131"/>
        <v>0</v>
      </c>
      <c r="P292" s="148">
        <f t="shared" si="131"/>
        <v>0</v>
      </c>
      <c r="Q292" s="148">
        <f t="shared" si="131"/>
        <v>0</v>
      </c>
      <c r="R292" s="148">
        <f t="shared" si="131"/>
        <v>0</v>
      </c>
      <c r="S292" s="148">
        <f t="shared" si="131"/>
        <v>0</v>
      </c>
      <c r="T292" s="148">
        <f t="shared" si="131"/>
        <v>0</v>
      </c>
      <c r="U292" s="148">
        <f t="shared" si="131"/>
        <v>0</v>
      </c>
      <c r="V292" s="149">
        <f t="shared" si="131"/>
        <v>0</v>
      </c>
      <c r="W292" s="133">
        <f t="shared" si="130"/>
        <v>0</v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hidden="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/>
      <c r="G293" s="152"/>
      <c r="H293" s="466">
        <f t="shared" ref="H293:H307" si="132">D293*G293</f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ref="M293:M307" si="133">IF(ISERROR(I293-K293),"",I293-K293)</f>
        <v>0</v>
      </c>
      <c r="N293" s="130">
        <f t="shared" ref="N293:N307" si="134">SUM(O293:U293)</f>
        <v>0</v>
      </c>
      <c r="O293" s="474"/>
      <c r="P293" s="474"/>
      <c r="Q293" s="474"/>
      <c r="R293" s="474"/>
      <c r="S293" s="474"/>
      <c r="T293" s="474"/>
      <c r="U293" s="474"/>
      <c r="V293" s="132">
        <f t="shared" ref="V293:V307" si="135">SUM(X293:AA293)</f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hidden="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/>
      <c r="G294" s="128"/>
      <c r="H294" s="466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25</v>
      </c>
      <c r="M294" s="109">
        <f t="shared" si="133"/>
        <v>0</v>
      </c>
      <c r="N294" s="130">
        <f t="shared" si="134"/>
        <v>0</v>
      </c>
      <c r="O294" s="474"/>
      <c r="P294" s="474"/>
      <c r="Q294" s="474"/>
      <c r="R294" s="474"/>
      <c r="S294" s="474"/>
      <c r="T294" s="474"/>
      <c r="U294" s="474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hidden="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/>
      <c r="G295" s="128"/>
      <c r="H295" s="466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20</v>
      </c>
      <c r="M295" s="109">
        <f t="shared" si="133"/>
        <v>0</v>
      </c>
      <c r="N295" s="130">
        <f t="shared" si="134"/>
        <v>0</v>
      </c>
      <c r="O295" s="474"/>
      <c r="P295" s="474"/>
      <c r="Q295" s="474"/>
      <c r="R295" s="474"/>
      <c r="S295" s="474"/>
      <c r="T295" s="474"/>
      <c r="U295" s="474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28"/>
      <c r="H296" s="466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474"/>
      <c r="P296" s="474"/>
      <c r="Q296" s="474"/>
      <c r="R296" s="474"/>
      <c r="S296" s="474"/>
      <c r="T296" s="474"/>
      <c r="U296" s="474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30100054</v>
      </c>
      <c r="B297" s="140" t="s">
        <v>227</v>
      </c>
      <c r="C297" s="471" t="s">
        <v>203</v>
      </c>
      <c r="D297" s="108">
        <v>5.03</v>
      </c>
      <c r="E297" s="108"/>
      <c r="F297" s="127"/>
      <c r="G297" s="152"/>
      <c r="H297" s="466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474"/>
      <c r="P297" s="474"/>
      <c r="Q297" s="474"/>
      <c r="R297" s="474"/>
      <c r="S297" s="474"/>
      <c r="T297" s="474"/>
      <c r="U297" s="474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/>
      <c r="G298" s="128"/>
      <c r="H298" s="466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474"/>
      <c r="P298" s="474"/>
      <c r="Q298" s="474"/>
      <c r="R298" s="474"/>
      <c r="S298" s="474"/>
      <c r="T298" s="474"/>
      <c r="U298" s="474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28"/>
      <c r="H299" s="466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474"/>
      <c r="P299" s="474"/>
      <c r="Q299" s="474"/>
      <c r="R299" s="474"/>
      <c r="S299" s="474"/>
      <c r="T299" s="474"/>
      <c r="U299" s="474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/>
      <c r="B300" s="140" t="s">
        <v>227</v>
      </c>
      <c r="C300" s="471" t="s">
        <v>228</v>
      </c>
      <c r="D300" s="108">
        <v>5.03</v>
      </c>
      <c r="E300" s="108"/>
      <c r="F300" s="127"/>
      <c r="G300" s="128"/>
      <c r="H300" s="466">
        <f t="shared" si="132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3"/>
        <v>0</v>
      </c>
      <c r="N300" s="130">
        <f t="shared" si="134"/>
        <v>0</v>
      </c>
      <c r="O300" s="474"/>
      <c r="P300" s="474"/>
      <c r="Q300" s="474"/>
      <c r="R300" s="474"/>
      <c r="S300" s="474"/>
      <c r="T300" s="474"/>
      <c r="U300" s="474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30101067</v>
      </c>
      <c r="B301" s="140" t="s">
        <v>229</v>
      </c>
      <c r="C301" s="471" t="s">
        <v>212</v>
      </c>
      <c r="D301" s="108">
        <v>5.03</v>
      </c>
      <c r="E301" s="108"/>
      <c r="F301" s="127"/>
      <c r="G301" s="128"/>
      <c r="H301" s="466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474"/>
      <c r="P301" s="474"/>
      <c r="Q301" s="474"/>
      <c r="R301" s="474"/>
      <c r="S301" s="474"/>
      <c r="T301" s="474"/>
      <c r="U301" s="474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30101068</v>
      </c>
      <c r="B302" s="140" t="s">
        <v>229</v>
      </c>
      <c r="C302" s="471" t="s">
        <v>203</v>
      </c>
      <c r="D302" s="108">
        <v>5.03</v>
      </c>
      <c r="E302" s="108"/>
      <c r="F302" s="127"/>
      <c r="G302" s="128"/>
      <c r="H302" s="466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474"/>
      <c r="P302" s="474"/>
      <c r="Q302" s="474"/>
      <c r="R302" s="474"/>
      <c r="S302" s="474"/>
      <c r="T302" s="474"/>
      <c r="U302" s="474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30101069</v>
      </c>
      <c r="B303" s="140" t="s">
        <v>229</v>
      </c>
      <c r="C303" s="471" t="s">
        <v>186</v>
      </c>
      <c r="D303" s="108">
        <v>5.03</v>
      </c>
      <c r="E303" s="108"/>
      <c r="F303" s="127"/>
      <c r="G303" s="128"/>
      <c r="H303" s="466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474"/>
      <c r="P303" s="474"/>
      <c r="Q303" s="474"/>
      <c r="R303" s="474"/>
      <c r="S303" s="474"/>
      <c r="T303" s="474"/>
      <c r="U303" s="474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30101070</v>
      </c>
      <c r="B304" s="140" t="s">
        <v>229</v>
      </c>
      <c r="C304" s="471" t="s">
        <v>228</v>
      </c>
      <c r="D304" s="108">
        <v>5.03</v>
      </c>
      <c r="E304" s="108"/>
      <c r="F304" s="127"/>
      <c r="G304" s="128"/>
      <c r="H304" s="466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474"/>
      <c r="P304" s="474"/>
      <c r="Q304" s="474"/>
      <c r="R304" s="474"/>
      <c r="S304" s="474"/>
      <c r="T304" s="474"/>
      <c r="U304" s="474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299">
        <v>30101071</v>
      </c>
      <c r="B305" s="140" t="s">
        <v>229</v>
      </c>
      <c r="C305" s="471" t="s">
        <v>199</v>
      </c>
      <c r="D305" s="108">
        <v>5.03</v>
      </c>
      <c r="E305" s="108"/>
      <c r="F305" s="127"/>
      <c r="G305" s="128"/>
      <c r="H305" s="466">
        <f t="shared" si="132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3"/>
        <v/>
      </c>
      <c r="N305" s="130">
        <f t="shared" si="134"/>
        <v>0</v>
      </c>
      <c r="O305" s="474"/>
      <c r="P305" s="474"/>
      <c r="Q305" s="474"/>
      <c r="R305" s="474"/>
      <c r="S305" s="474"/>
      <c r="T305" s="474"/>
      <c r="U305" s="474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/>
      <c r="G306" s="128"/>
      <c r="H306" s="466">
        <f t="shared" si="132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3"/>
        <v>0</v>
      </c>
      <c r="N306" s="130">
        <f t="shared" si="134"/>
        <v>0</v>
      </c>
      <c r="O306" s="474"/>
      <c r="P306" s="474"/>
      <c r="Q306" s="474"/>
      <c r="R306" s="474"/>
      <c r="S306" s="474"/>
      <c r="T306" s="474"/>
      <c r="U306" s="474"/>
      <c r="V306" s="132">
        <f t="shared" si="135"/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>
        <v>42741</v>
      </c>
      <c r="G307" s="152">
        <v>10</v>
      </c>
      <c r="H307" s="466">
        <f t="shared" si="132"/>
        <v>50.599999999999994</v>
      </c>
      <c r="I307" s="129">
        <f>0.5*4</f>
        <v>2</v>
      </c>
      <c r="J307" s="130">
        <f t="array" ref="J307">IF(ISERROR(G307/I307),"",G307/I307)</f>
        <v>5</v>
      </c>
      <c r="K307" s="131">
        <f t="array" ref="K307">IF(ISERROR(G307/L307),"",G307/L307)</f>
        <v>0.4</v>
      </c>
      <c r="L307" s="129">
        <v>25</v>
      </c>
      <c r="M307" s="109">
        <f t="shared" si="133"/>
        <v>1.6</v>
      </c>
      <c r="N307" s="130">
        <f t="shared" si="134"/>
        <v>0</v>
      </c>
      <c r="O307" s="474"/>
      <c r="P307" s="474"/>
      <c r="Q307" s="474"/>
      <c r="R307" s="474"/>
      <c r="S307" s="474"/>
      <c r="T307" s="474"/>
      <c r="U307" s="474"/>
      <c r="V307" s="132">
        <f t="shared" si="135"/>
        <v>0</v>
      </c>
      <c r="W307" s="133">
        <f t="shared" si="130"/>
        <v>0</v>
      </c>
      <c r="X307" s="132"/>
      <c r="Y307" s="132"/>
      <c r="Z307" s="132"/>
      <c r="AA307" s="132"/>
    </row>
    <row r="308" spans="1:27" ht="20.100000000000001" customHeight="1">
      <c r="A308" s="578" t="s">
        <v>231</v>
      </c>
      <c r="B308" s="579"/>
      <c r="C308" s="475" t="s">
        <v>202</v>
      </c>
      <c r="D308" s="143"/>
      <c r="E308" s="143"/>
      <c r="F308" s="144"/>
      <c r="G308" s="145">
        <f>SUM(G293:G307)</f>
        <v>10</v>
      </c>
      <c r="H308" s="146">
        <f>SUM(H293:H307)</f>
        <v>50.599999999999994</v>
      </c>
      <c r="I308" s="146">
        <f>SUM(I293:I307)</f>
        <v>2</v>
      </c>
      <c r="J308" s="130">
        <f t="array" ref="J308">IF(ISERROR(G308/I308),"",G308/I308)</f>
        <v>5</v>
      </c>
      <c r="K308" s="146">
        <f>SUM(K293:K307)</f>
        <v>0.4</v>
      </c>
      <c r="L308" s="146"/>
      <c r="M308" s="150">
        <f>SUM(M293:M307)</f>
        <v>1.6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>
        <f t="shared" si="130"/>
        <v>0</v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hidden="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28"/>
      <c r="H309" s="466">
        <f t="shared" ref="H309:H318" si="136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3" si="137">IF(ISERROR(I309-K309),"",I309-K309)</f>
        <v>0</v>
      </c>
      <c r="N309" s="130">
        <f t="shared" ref="N309:N313" si="138">SUM(O309:U309)</f>
        <v>0</v>
      </c>
      <c r="O309" s="474"/>
      <c r="P309" s="474"/>
      <c r="Q309" s="474"/>
      <c r="R309" s="474"/>
      <c r="S309" s="474"/>
      <c r="T309" s="474"/>
      <c r="U309" s="474"/>
      <c r="V309" s="132">
        <f t="shared" ref="V309:V313" si="139">SUM(X309:AA309)</f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28"/>
      <c r="H310" s="466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474"/>
      <c r="P310" s="474"/>
      <c r="Q310" s="474"/>
      <c r="R310" s="474"/>
      <c r="S310" s="474"/>
      <c r="T310" s="474"/>
      <c r="U310" s="474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28"/>
      <c r="H311" s="466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474"/>
      <c r="P311" s="474"/>
      <c r="Q311" s="474"/>
      <c r="R311" s="474"/>
      <c r="S311" s="474"/>
      <c r="T311" s="474"/>
      <c r="U311" s="474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28"/>
      <c r="H312" s="466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474"/>
      <c r="P312" s="474"/>
      <c r="Q312" s="474"/>
      <c r="R312" s="474"/>
      <c r="S312" s="474"/>
      <c r="T312" s="474"/>
      <c r="U312" s="474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28"/>
      <c r="H313" s="466">
        <f t="shared" si="136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37"/>
        <v>0</v>
      </c>
      <c r="N313" s="130">
        <f t="shared" si="138"/>
        <v>0</v>
      </c>
      <c r="O313" s="474"/>
      <c r="P313" s="474"/>
      <c r="Q313" s="474"/>
      <c r="R313" s="474"/>
      <c r="S313" s="474"/>
      <c r="T313" s="474"/>
      <c r="U313" s="474"/>
      <c r="V313" s="132">
        <f t="shared" si="139"/>
        <v>0</v>
      </c>
      <c r="W313" s="133" t="str">
        <f t="shared" si="130"/>
        <v/>
      </c>
      <c r="X313" s="132"/>
      <c r="Y313" s="132"/>
      <c r="Z313" s="132"/>
      <c r="AA313" s="132"/>
    </row>
    <row r="314" spans="1:27" ht="20.10000000000000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>
        <v>42741</v>
      </c>
      <c r="G314" s="152">
        <f>90*7</f>
        <v>630</v>
      </c>
      <c r="H314" s="466">
        <f t="shared" si="136"/>
        <v>3168.9</v>
      </c>
      <c r="I314" s="129">
        <v>45</v>
      </c>
      <c r="J314" s="130"/>
      <c r="K314" s="131">
        <f t="array" ref="K314">IF(ISERROR(G314/L314),"",G314/L314)</f>
        <v>46.666666666666664</v>
      </c>
      <c r="L314" s="129">
        <v>13.5</v>
      </c>
      <c r="M314" s="109"/>
      <c r="N314" s="130"/>
      <c r="O314" s="474"/>
      <c r="P314" s="474"/>
      <c r="Q314" s="474"/>
      <c r="R314" s="474"/>
      <c r="S314" s="474"/>
      <c r="T314" s="474"/>
      <c r="U314" s="474"/>
      <c r="V314" s="132"/>
      <c r="W314" s="133"/>
      <c r="X314" s="132"/>
      <c r="Y314" s="132"/>
      <c r="Z314" s="132"/>
      <c r="AA314" s="132"/>
    </row>
    <row r="315" spans="1:27" ht="20.100000000000001" hidden="1" customHeight="1">
      <c r="A315" s="300">
        <v>30400020</v>
      </c>
      <c r="B315" s="134" t="s">
        <v>439</v>
      </c>
      <c r="C315" s="187" t="s">
        <v>74</v>
      </c>
      <c r="D315" s="108">
        <v>5.03</v>
      </c>
      <c r="E315" s="108"/>
      <c r="F315" s="127"/>
      <c r="G315" s="128"/>
      <c r="H315" s="466">
        <f t="shared" si="136"/>
        <v>0</v>
      </c>
      <c r="I315" s="129"/>
      <c r="J315" s="130"/>
      <c r="K315" s="131"/>
      <c r="L315" s="129">
        <v>13.5</v>
      </c>
      <c r="M315" s="109"/>
      <c r="N315" s="130"/>
      <c r="O315" s="474"/>
      <c r="P315" s="474"/>
      <c r="Q315" s="474"/>
      <c r="R315" s="474"/>
      <c r="S315" s="474"/>
      <c r="T315" s="474"/>
      <c r="U315" s="474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30400021</v>
      </c>
      <c r="B316" s="134" t="s">
        <v>439</v>
      </c>
      <c r="C316" s="187" t="s">
        <v>53</v>
      </c>
      <c r="D316" s="108">
        <v>5.03</v>
      </c>
      <c r="E316" s="108"/>
      <c r="F316" s="127"/>
      <c r="G316" s="128"/>
      <c r="H316" s="466">
        <f t="shared" si="136"/>
        <v>0</v>
      </c>
      <c r="I316" s="129"/>
      <c r="J316" s="130"/>
      <c r="K316" s="131"/>
      <c r="L316" s="129">
        <v>13.5</v>
      </c>
      <c r="M316" s="109"/>
      <c r="N316" s="130"/>
      <c r="O316" s="474"/>
      <c r="P316" s="474"/>
      <c r="Q316" s="474"/>
      <c r="R316" s="474"/>
      <c r="S316" s="474"/>
      <c r="T316" s="474"/>
      <c r="U316" s="474"/>
      <c r="V316" s="132"/>
      <c r="W316" s="133"/>
      <c r="X316" s="132"/>
      <c r="Y316" s="132"/>
      <c r="Z316" s="132"/>
      <c r="AA316" s="132"/>
    </row>
    <row r="317" spans="1:27" ht="20.100000000000001" hidden="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/>
      <c r="G317" s="128"/>
      <c r="H317" s="466">
        <f t="shared" si="136"/>
        <v>0</v>
      </c>
      <c r="I317" s="129"/>
      <c r="J317" s="130"/>
      <c r="K317" s="131"/>
      <c r="L317" s="129"/>
      <c r="M317" s="109"/>
      <c r="N317" s="130"/>
      <c r="O317" s="474"/>
      <c r="P317" s="474"/>
      <c r="Q317" s="474"/>
      <c r="R317" s="474"/>
      <c r="S317" s="474"/>
      <c r="T317" s="474"/>
      <c r="U317" s="474"/>
      <c r="V317" s="132"/>
      <c r="W317" s="133"/>
      <c r="X317" s="132"/>
      <c r="Y317" s="132"/>
      <c r="Z317" s="132"/>
      <c r="AA317" s="132"/>
    </row>
    <row r="318" spans="1:27" ht="20.100000000000001" hidden="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28"/>
      <c r="H318" s="466">
        <f t="shared" si="136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ref="M318" si="140">IF(ISERROR(I318-K318),"",I318-K318)</f>
        <v>0</v>
      </c>
      <c r="N318" s="130">
        <f t="shared" ref="N318" si="141">SUM(O318:U318)</f>
        <v>0</v>
      </c>
      <c r="O318" s="474"/>
      <c r="P318" s="474"/>
      <c r="Q318" s="474"/>
      <c r="R318" s="474"/>
      <c r="S318" s="474"/>
      <c r="T318" s="474"/>
      <c r="U318" s="474"/>
      <c r="V318" s="132">
        <f t="shared" ref="V318" si="142">SUM(X318:AA318)</f>
        <v>0</v>
      </c>
      <c r="W318" s="133" t="str">
        <f t="shared" ref="W318:W323" si="143">IF(ISERROR(V318/G318),"",V318/G318)</f>
        <v/>
      </c>
      <c r="X318" s="132"/>
      <c r="Y318" s="132"/>
      <c r="Z318" s="132"/>
      <c r="AA318" s="132"/>
    </row>
    <row r="319" spans="1:27" ht="20.100000000000001" customHeight="1">
      <c r="A319" s="578" t="s">
        <v>234</v>
      </c>
      <c r="B319" s="579"/>
      <c r="C319" s="475" t="s">
        <v>202</v>
      </c>
      <c r="D319" s="143"/>
      <c r="E319" s="143"/>
      <c r="F319" s="144"/>
      <c r="G319" s="145">
        <f>SUM(G309:G318)</f>
        <v>630</v>
      </c>
      <c r="H319" s="146">
        <f>SUM(H309:H318)</f>
        <v>3168.9</v>
      </c>
      <c r="I319" s="146">
        <f>SUM(I309:I318)</f>
        <v>45</v>
      </c>
      <c r="J319" s="130">
        <f t="array" ref="J319">IF(ISERROR(G319/I319),"",G319/I319)</f>
        <v>14</v>
      </c>
      <c r="K319" s="146">
        <f>SUM(K309:K318)</f>
        <v>46.666666666666664</v>
      </c>
      <c r="L319" s="147"/>
      <c r="M319" s="150">
        <f>SUM(M309:M318)</f>
        <v>0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>
        <f t="shared" si="143"/>
        <v>0</v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hidden="1" customHeight="1">
      <c r="A320" s="299">
        <v>30700013</v>
      </c>
      <c r="B320" s="141" t="s">
        <v>235</v>
      </c>
      <c r="C320" s="472"/>
      <c r="D320" s="108">
        <v>3.65</v>
      </c>
      <c r="E320" s="108"/>
      <c r="F320" s="153"/>
      <c r="G320" s="128"/>
      <c r="H320" s="466">
        <f t="shared" ref="H320:H333" si="144">D320*G320</f>
        <v>0</v>
      </c>
      <c r="I320" s="129"/>
      <c r="J320" s="130" t="str">
        <f t="array" ref="J320">IF(ISERROR(G320/I320),"",G320/I320)</f>
        <v/>
      </c>
      <c r="K320" s="466">
        <f t="array" ref="K320">IF(ISERROR(G320/L320),"",G320/L320)</f>
        <v>0</v>
      </c>
      <c r="L320" s="129">
        <v>5</v>
      </c>
      <c r="M320" s="109">
        <f t="shared" ref="M320:M323" si="145">IF(ISERROR(I320-K320),"",I320-K320)</f>
        <v>0</v>
      </c>
      <c r="N320" s="130">
        <f t="shared" ref="N320:N323" si="146">SUM(O320:U320)</f>
        <v>0</v>
      </c>
      <c r="O320" s="474"/>
      <c r="P320" s="474"/>
      <c r="Q320" s="474"/>
      <c r="R320" s="474"/>
      <c r="S320" s="474"/>
      <c r="T320" s="474"/>
      <c r="U320" s="474"/>
      <c r="V320" s="132">
        <f t="shared" ref="V320:V323" si="147">SUM(X320:AA320)</f>
        <v>0</v>
      </c>
      <c r="W320" s="133" t="str">
        <f t="shared" si="143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30700014</v>
      </c>
      <c r="B321" s="141" t="s">
        <v>236</v>
      </c>
      <c r="C321" s="472"/>
      <c r="D321" s="108">
        <v>6.58</v>
      </c>
      <c r="E321" s="108"/>
      <c r="F321" s="127"/>
      <c r="G321" s="128"/>
      <c r="H321" s="466">
        <f t="shared" si="144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</v>
      </c>
      <c r="M321" s="109">
        <f t="shared" si="145"/>
        <v>0</v>
      </c>
      <c r="N321" s="130">
        <f t="shared" si="146"/>
        <v>0</v>
      </c>
      <c r="O321" s="474"/>
      <c r="P321" s="474"/>
      <c r="Q321" s="474"/>
      <c r="R321" s="474"/>
      <c r="S321" s="474"/>
      <c r="T321" s="474"/>
      <c r="U321" s="474"/>
      <c r="V321" s="132">
        <f t="shared" si="147"/>
        <v>0</v>
      </c>
      <c r="W321" s="133" t="str">
        <f t="shared" si="143"/>
        <v/>
      </c>
      <c r="X321" s="132"/>
      <c r="Y321" s="132"/>
      <c r="Z321" s="132"/>
      <c r="AA321" s="132"/>
    </row>
    <row r="322" spans="1:27" ht="20.100000000000001" customHeight="1">
      <c r="A322" s="299">
        <v>30700016</v>
      </c>
      <c r="B322" s="141" t="s">
        <v>237</v>
      </c>
      <c r="C322" s="472"/>
      <c r="D322" s="108">
        <v>7.8</v>
      </c>
      <c r="E322" s="108"/>
      <c r="F322" s="127">
        <v>42738</v>
      </c>
      <c r="G322" s="152">
        <f>10+32*5</f>
        <v>170</v>
      </c>
      <c r="H322" s="466">
        <f t="shared" si="144"/>
        <v>1326</v>
      </c>
      <c r="I322" s="129">
        <v>37</v>
      </c>
      <c r="J322" s="130">
        <f t="array" ref="J322">IF(ISERROR(G322/I322),"",G322/I322)</f>
        <v>4.5945945945945947</v>
      </c>
      <c r="K322" s="131">
        <f t="array" ref="K322">IF(ISERROR(G322/L322),"",G322/L322)</f>
        <v>36.956521739130437</v>
      </c>
      <c r="L322" s="129">
        <v>4.5999999999999996</v>
      </c>
      <c r="M322" s="109">
        <f t="shared" si="145"/>
        <v>4.3478260869562746E-2</v>
      </c>
      <c r="N322" s="130">
        <f t="shared" si="146"/>
        <v>0</v>
      </c>
      <c r="O322" s="474"/>
      <c r="P322" s="474"/>
      <c r="Q322" s="474"/>
      <c r="R322" s="474"/>
      <c r="S322" s="474"/>
      <c r="T322" s="474"/>
      <c r="U322" s="474"/>
      <c r="V322" s="132">
        <f t="shared" si="147"/>
        <v>0</v>
      </c>
      <c r="W322" s="133">
        <f t="shared" si="143"/>
        <v>0</v>
      </c>
      <c r="X322" s="132"/>
      <c r="Y322" s="132"/>
      <c r="Z322" s="132"/>
      <c r="AA322" s="132"/>
    </row>
    <row r="323" spans="1:27" ht="20.100000000000001" hidden="1" customHeight="1">
      <c r="A323" s="299">
        <v>30700017</v>
      </c>
      <c r="B323" s="141" t="s">
        <v>238</v>
      </c>
      <c r="C323" s="472"/>
      <c r="D323" s="108">
        <v>4.4000000000000004</v>
      </c>
      <c r="E323" s="108"/>
      <c r="F323" s="127"/>
      <c r="G323" s="128"/>
      <c r="H323" s="466">
        <f t="shared" si="144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5.8</v>
      </c>
      <c r="M323" s="109">
        <f t="shared" si="145"/>
        <v>0</v>
      </c>
      <c r="N323" s="130">
        <f t="shared" si="146"/>
        <v>0</v>
      </c>
      <c r="O323" s="474"/>
      <c r="P323" s="474"/>
      <c r="Q323" s="474"/>
      <c r="R323" s="474"/>
      <c r="S323" s="474"/>
      <c r="T323" s="474"/>
      <c r="U323" s="474"/>
      <c r="V323" s="132">
        <f t="shared" si="147"/>
        <v>0</v>
      </c>
      <c r="W323" s="133" t="str">
        <f t="shared" si="143"/>
        <v/>
      </c>
      <c r="X323" s="132"/>
      <c r="Y323" s="132"/>
      <c r="Z323" s="132"/>
      <c r="AA323" s="132"/>
    </row>
    <row r="324" spans="1:27" ht="20.100000000000001" hidden="1" customHeight="1">
      <c r="A324" s="299">
        <v>30700001</v>
      </c>
      <c r="B324" s="127" t="s">
        <v>359</v>
      </c>
      <c r="C324" s="472"/>
      <c r="D324" s="108"/>
      <c r="E324" s="108"/>
      <c r="F324" s="127"/>
      <c r="G324" s="128"/>
      <c r="H324" s="466">
        <f t="shared" si="144"/>
        <v>0</v>
      </c>
      <c r="I324" s="129"/>
      <c r="J324" s="130"/>
      <c r="K324" s="131"/>
      <c r="L324" s="129">
        <v>6</v>
      </c>
      <c r="M324" s="109"/>
      <c r="N324" s="130"/>
      <c r="O324" s="474"/>
      <c r="P324" s="474"/>
      <c r="Q324" s="474"/>
      <c r="R324" s="474"/>
      <c r="S324" s="474"/>
      <c r="T324" s="474"/>
      <c r="U324" s="474"/>
      <c r="V324" s="132"/>
      <c r="W324" s="133"/>
      <c r="X324" s="132"/>
      <c r="Y324" s="132"/>
      <c r="Z324" s="132"/>
      <c r="AA324" s="132"/>
    </row>
    <row r="325" spans="1:27" ht="20.100000000000001" hidden="1" customHeight="1">
      <c r="A325" s="305"/>
      <c r="B325" s="472" t="s">
        <v>239</v>
      </c>
      <c r="C325" s="472" t="s">
        <v>179</v>
      </c>
      <c r="D325" s="108">
        <v>6.04</v>
      </c>
      <c r="E325" s="108"/>
      <c r="F325" s="127"/>
      <c r="G325" s="128"/>
      <c r="H325" s="466">
        <f t="shared" si="144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6" si="148">IF(ISERROR(I325-K325),"",I325-K325)</f>
        <v>0</v>
      </c>
      <c r="N325" s="130">
        <f t="shared" ref="N325:N326" si="149">SUM(O325:U325)</f>
        <v>0</v>
      </c>
      <c r="O325" s="474"/>
      <c r="P325" s="474"/>
      <c r="Q325" s="474"/>
      <c r="R325" s="474"/>
      <c r="S325" s="474"/>
      <c r="T325" s="474"/>
      <c r="U325" s="474"/>
      <c r="V325" s="132">
        <f t="shared" ref="V325:V326" si="150">SUM(X325:AA325)</f>
        <v>0</v>
      </c>
      <c r="W325" s="133" t="str">
        <f t="shared" ref="W325:W326" si="151">IF(ISERROR(V325/G325),"",V325/G325)</f>
        <v/>
      </c>
      <c r="X325" s="132"/>
      <c r="Y325" s="132"/>
      <c r="Z325" s="132"/>
      <c r="AA325" s="132"/>
    </row>
    <row r="326" spans="1:27" ht="20.100000000000001" hidden="1" customHeight="1">
      <c r="A326" s="305">
        <v>30700019</v>
      </c>
      <c r="B326" s="472" t="s">
        <v>239</v>
      </c>
      <c r="C326" s="472" t="s">
        <v>186</v>
      </c>
      <c r="D326" s="108">
        <v>6.04</v>
      </c>
      <c r="E326" s="108"/>
      <c r="F326" s="127"/>
      <c r="G326" s="128"/>
      <c r="H326" s="466">
        <f t="shared" si="144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48"/>
        <v>0</v>
      </c>
      <c r="N326" s="130">
        <f t="shared" si="149"/>
        <v>0</v>
      </c>
      <c r="O326" s="474"/>
      <c r="P326" s="474"/>
      <c r="Q326" s="474"/>
      <c r="R326" s="474"/>
      <c r="S326" s="474"/>
      <c r="T326" s="474"/>
      <c r="U326" s="474"/>
      <c r="V326" s="132">
        <f t="shared" si="150"/>
        <v>0</v>
      </c>
      <c r="W326" s="133" t="str">
        <f t="shared" si="151"/>
        <v/>
      </c>
      <c r="X326" s="132"/>
      <c r="Y326" s="132"/>
      <c r="Z326" s="132"/>
      <c r="AA326" s="132"/>
    </row>
    <row r="327" spans="1:27" ht="20.100000000000001" hidden="1" customHeight="1">
      <c r="A327" s="305">
        <v>30601015</v>
      </c>
      <c r="B327" s="472" t="s">
        <v>443</v>
      </c>
      <c r="C327" s="472" t="s">
        <v>179</v>
      </c>
      <c r="D327" s="108">
        <v>6</v>
      </c>
      <c r="E327" s="108"/>
      <c r="F327" s="127"/>
      <c r="G327" s="128"/>
      <c r="H327" s="466">
        <f t="shared" si="144"/>
        <v>0</v>
      </c>
      <c r="I327" s="129"/>
      <c r="J327" s="130"/>
      <c r="K327" s="131"/>
      <c r="L327" s="129"/>
      <c r="M327" s="109"/>
      <c r="N327" s="130"/>
      <c r="O327" s="474"/>
      <c r="P327" s="474"/>
      <c r="Q327" s="474"/>
      <c r="R327" s="474"/>
      <c r="S327" s="474"/>
      <c r="T327" s="474"/>
      <c r="U327" s="474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305">
        <v>30101016</v>
      </c>
      <c r="B328" s="472" t="s">
        <v>443</v>
      </c>
      <c r="C328" s="472" t="s">
        <v>60</v>
      </c>
      <c r="D328" s="108">
        <v>6</v>
      </c>
      <c r="E328" s="108"/>
      <c r="F328" s="127"/>
      <c r="G328" s="128"/>
      <c r="H328" s="466">
        <f t="shared" si="144"/>
        <v>0</v>
      </c>
      <c r="I328" s="129"/>
      <c r="J328" s="130"/>
      <c r="K328" s="131">
        <f t="array" ref="K328">IF(ISERROR(G328/L328),"",G328/L328)</f>
        <v>0</v>
      </c>
      <c r="L328" s="129">
        <v>6</v>
      </c>
      <c r="M328" s="109"/>
      <c r="N328" s="130"/>
      <c r="O328" s="474"/>
      <c r="P328" s="474"/>
      <c r="Q328" s="474"/>
      <c r="R328" s="474"/>
      <c r="S328" s="474"/>
      <c r="T328" s="474"/>
      <c r="U328" s="474"/>
      <c r="V328" s="132"/>
      <c r="W328" s="133"/>
      <c r="X328" s="132"/>
      <c r="Y328" s="132"/>
      <c r="Z328" s="132"/>
      <c r="AA328" s="132"/>
    </row>
    <row r="329" spans="1:27" ht="20.100000000000001" hidden="1" customHeight="1">
      <c r="A329" s="299">
        <v>30700018</v>
      </c>
      <c r="B329" s="465" t="s">
        <v>240</v>
      </c>
      <c r="C329" s="126"/>
      <c r="D329" s="108">
        <v>7.3</v>
      </c>
      <c r="E329" s="108"/>
      <c r="F329" s="127"/>
      <c r="G329" s="128"/>
      <c r="H329" s="466">
        <f t="shared" si="144"/>
        <v>0</v>
      </c>
      <c r="I329" s="129"/>
      <c r="J329" s="130"/>
      <c r="K329" s="131"/>
      <c r="L329" s="129"/>
      <c r="M329" s="109"/>
      <c r="N329" s="130"/>
      <c r="O329" s="474"/>
      <c r="P329" s="474"/>
      <c r="Q329" s="474"/>
      <c r="R329" s="474"/>
      <c r="S329" s="474"/>
      <c r="T329" s="474"/>
      <c r="U329" s="474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30700010</v>
      </c>
      <c r="B330" s="465" t="s">
        <v>241</v>
      </c>
      <c r="C330" s="126"/>
      <c r="D330" s="108">
        <f>78*120/1000</f>
        <v>9.36</v>
      </c>
      <c r="E330" s="108"/>
      <c r="F330" s="127"/>
      <c r="G330" s="128"/>
      <c r="H330" s="466">
        <f t="shared" si="144"/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2">SUM(O330:U330)</f>
        <v>0</v>
      </c>
      <c r="O330" s="474"/>
      <c r="P330" s="474"/>
      <c r="Q330" s="474"/>
      <c r="R330" s="474"/>
      <c r="S330" s="474"/>
      <c r="T330" s="474"/>
      <c r="U330" s="474"/>
      <c r="V330" s="132">
        <f t="shared" ref="V330" si="153">SUM(X330:AA330)</f>
        <v>0</v>
      </c>
      <c r="W330" s="133" t="str">
        <f t="shared" ref="W330" si="154">IF(ISERROR(V330/G330),"",V330/G330)</f>
        <v/>
      </c>
      <c r="X330" s="132"/>
      <c r="Y330" s="132"/>
      <c r="Z330" s="132"/>
      <c r="AA330" s="132"/>
    </row>
    <row r="331" spans="1:27" ht="20.100000000000001" hidden="1" customHeight="1">
      <c r="A331" s="299">
        <v>30700015</v>
      </c>
      <c r="B331" s="465" t="s">
        <v>242</v>
      </c>
      <c r="C331" s="126"/>
      <c r="D331" s="108">
        <v>4.5</v>
      </c>
      <c r="E331" s="108"/>
      <c r="F331" s="127"/>
      <c r="G331" s="128"/>
      <c r="H331" s="466">
        <f t="shared" si="144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474"/>
      <c r="P331" s="474"/>
      <c r="Q331" s="474"/>
      <c r="R331" s="474"/>
      <c r="S331" s="474"/>
      <c r="T331" s="474"/>
      <c r="U331" s="474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299">
        <v>30700012</v>
      </c>
      <c r="B332" s="465" t="s">
        <v>243</v>
      </c>
      <c r="C332" s="126"/>
      <c r="D332" s="108">
        <v>4.5</v>
      </c>
      <c r="E332" s="108"/>
      <c r="F332" s="127"/>
      <c r="G332" s="128"/>
      <c r="H332" s="466">
        <f t="shared" si="144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474"/>
      <c r="P332" s="474"/>
      <c r="Q332" s="474"/>
      <c r="R332" s="474"/>
      <c r="S332" s="474"/>
      <c r="T332" s="474"/>
      <c r="U332" s="474"/>
      <c r="V332" s="132"/>
      <c r="W332" s="133"/>
      <c r="X332" s="132"/>
      <c r="Y332" s="132"/>
      <c r="Z332" s="132"/>
      <c r="AA332" s="132"/>
    </row>
    <row r="333" spans="1:27" ht="20.100000000000001" hidden="1" customHeight="1">
      <c r="A333" s="299"/>
      <c r="B333" s="199" t="s">
        <v>438</v>
      </c>
      <c r="C333" s="126"/>
      <c r="D333" s="108">
        <v>4.5</v>
      </c>
      <c r="E333" s="108"/>
      <c r="F333" s="127"/>
      <c r="G333" s="128"/>
      <c r="H333" s="466">
        <f t="shared" si="144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474"/>
      <c r="P333" s="474"/>
      <c r="Q333" s="474"/>
      <c r="R333" s="474"/>
      <c r="S333" s="474"/>
      <c r="T333" s="474"/>
      <c r="U333" s="474"/>
      <c r="V333" s="132"/>
      <c r="W333" s="133"/>
      <c r="X333" s="132"/>
      <c r="Y333" s="132"/>
      <c r="Z333" s="132"/>
      <c r="AA333" s="132"/>
    </row>
    <row r="334" spans="1:27" ht="20.100000000000001" customHeight="1">
      <c r="A334" s="578" t="s">
        <v>244</v>
      </c>
      <c r="B334" s="579"/>
      <c r="C334" s="475" t="s">
        <v>202</v>
      </c>
      <c r="D334" s="143"/>
      <c r="E334" s="143"/>
      <c r="F334" s="144"/>
      <c r="G334" s="145">
        <f>SUM(G320:G333)</f>
        <v>170</v>
      </c>
      <c r="H334" s="146">
        <f>SUM(H320:H330)</f>
        <v>1326</v>
      </c>
      <c r="I334" s="146">
        <f>SUM(I320:I333)</f>
        <v>37</v>
      </c>
      <c r="J334" s="130"/>
      <c r="K334" s="146">
        <f>SUM(K320:K330)</f>
        <v>36.956521739130437</v>
      </c>
      <c r="L334" s="147"/>
      <c r="M334" s="150">
        <f t="shared" ref="M334:AA334" si="155">SUM(M320:M330)</f>
        <v>4.3478260869562746E-2</v>
      </c>
      <c r="N334" s="146">
        <f t="shared" si="155"/>
        <v>0</v>
      </c>
      <c r="O334" s="148">
        <f t="shared" si="155"/>
        <v>0</v>
      </c>
      <c r="P334" s="148">
        <f t="shared" si="155"/>
        <v>0</v>
      </c>
      <c r="Q334" s="148">
        <f t="shared" si="155"/>
        <v>0</v>
      </c>
      <c r="R334" s="148">
        <f t="shared" si="155"/>
        <v>0</v>
      </c>
      <c r="S334" s="148">
        <f t="shared" si="155"/>
        <v>0</v>
      </c>
      <c r="T334" s="148">
        <f t="shared" si="155"/>
        <v>0</v>
      </c>
      <c r="U334" s="148">
        <f t="shared" si="155"/>
        <v>0</v>
      </c>
      <c r="V334" s="149">
        <f t="shared" si="155"/>
        <v>0</v>
      </c>
      <c r="W334" s="133">
        <f t="shared" si="155"/>
        <v>0</v>
      </c>
      <c r="X334" s="149">
        <f t="shared" si="155"/>
        <v>0</v>
      </c>
      <c r="Y334" s="149">
        <f t="shared" si="155"/>
        <v>0</v>
      </c>
      <c r="Z334" s="149">
        <f t="shared" si="155"/>
        <v>0</v>
      </c>
      <c r="AA334" s="149">
        <f t="shared" si="155"/>
        <v>0</v>
      </c>
    </row>
    <row r="335" spans="1:27" ht="20.100000000000001" customHeight="1">
      <c r="A335" s="580" t="s">
        <v>246</v>
      </c>
      <c r="B335" s="581"/>
      <c r="C335" s="581"/>
      <c r="D335" s="581"/>
      <c r="E335" s="581"/>
      <c r="F335" s="582"/>
      <c r="G335" s="154">
        <f>SUM(G199,G257,G292,G308,G319,G334)</f>
        <v>5401</v>
      </c>
      <c r="H335" s="154">
        <f>SUM(H199,H257,H292,H308,H319,H334)</f>
        <v>27702.61</v>
      </c>
      <c r="I335" s="154">
        <f>SUM(I199,I257,I292,I308,I319,I334)</f>
        <v>297.5</v>
      </c>
      <c r="J335" s="155">
        <f t="array" ref="J335">IF(ISERROR(G335/I335),"",G335/I335)</f>
        <v>18.154621848739495</v>
      </c>
      <c r="K335" s="154">
        <f>SUM(K199,K257,K292,K308,K319,K334)</f>
        <v>271.54269480578984</v>
      </c>
      <c r="L335" s="155">
        <f>IF(ISERROR(G335/K335),"",G335/K335)</f>
        <v>19.890058187213807</v>
      </c>
      <c r="M335" s="154">
        <f t="shared" ref="M335:AA335" si="156">SUM(M199,M257,M292,M308,M319,M334)</f>
        <v>28.162433399338347</v>
      </c>
      <c r="N335" s="154">
        <f t="shared" si="156"/>
        <v>0</v>
      </c>
      <c r="O335" s="154">
        <f t="shared" si="156"/>
        <v>0</v>
      </c>
      <c r="P335" s="154">
        <f t="shared" si="156"/>
        <v>0</v>
      </c>
      <c r="Q335" s="154">
        <f t="shared" si="156"/>
        <v>0</v>
      </c>
      <c r="R335" s="154">
        <f t="shared" si="156"/>
        <v>0</v>
      </c>
      <c r="S335" s="154">
        <f t="shared" si="156"/>
        <v>0</v>
      </c>
      <c r="T335" s="154">
        <f t="shared" si="156"/>
        <v>0</v>
      </c>
      <c r="U335" s="154">
        <f t="shared" si="156"/>
        <v>0</v>
      </c>
      <c r="V335" s="154">
        <f t="shared" si="156"/>
        <v>0</v>
      </c>
      <c r="W335" s="154">
        <f t="shared" si="156"/>
        <v>0</v>
      </c>
      <c r="X335" s="154">
        <f t="shared" si="156"/>
        <v>0</v>
      </c>
      <c r="Y335" s="154">
        <f t="shared" si="156"/>
        <v>0</v>
      </c>
      <c r="Z335" s="154">
        <f t="shared" si="156"/>
        <v>0</v>
      </c>
      <c r="AA335" s="154">
        <f t="shared" si="156"/>
        <v>0</v>
      </c>
    </row>
    <row r="336" spans="1:27" ht="20.100000000000001" customHeight="1">
      <c r="A336" s="583" t="s">
        <v>476</v>
      </c>
      <c r="B336" s="468" t="s">
        <v>247</v>
      </c>
      <c r="C336" s="586" t="s">
        <v>248</v>
      </c>
      <c r="D336" s="587"/>
      <c r="E336" s="588" t="s">
        <v>249</v>
      </c>
      <c r="F336" s="588"/>
      <c r="G336" s="591" t="s">
        <v>250</v>
      </c>
      <c r="H336" s="591"/>
      <c r="I336" s="588" t="s">
        <v>251</v>
      </c>
      <c r="J336" s="588"/>
      <c r="K336" s="588" t="s">
        <v>252</v>
      </c>
      <c r="L336" s="588"/>
      <c r="M336" s="588" t="s">
        <v>253</v>
      </c>
      <c r="N336" s="588"/>
      <c r="O336" s="588" t="s">
        <v>254</v>
      </c>
      <c r="P336" s="591" t="s">
        <v>255</v>
      </c>
      <c r="Q336" s="591"/>
      <c r="R336" s="591" t="s">
        <v>252</v>
      </c>
      <c r="S336" s="591"/>
      <c r="T336" s="591" t="s">
        <v>256</v>
      </c>
      <c r="U336" s="591"/>
      <c r="V336" s="591" t="s">
        <v>257</v>
      </c>
      <c r="W336" s="591"/>
      <c r="X336" s="591" t="s">
        <v>252</v>
      </c>
      <c r="Y336" s="591"/>
      <c r="Z336" s="591" t="s">
        <v>256</v>
      </c>
      <c r="AA336" s="591"/>
    </row>
    <row r="337" spans="1:27" ht="20.100000000000001" customHeight="1">
      <c r="A337" s="584"/>
      <c r="B337" s="468" t="s">
        <v>258</v>
      </c>
      <c r="C337" s="626">
        <v>1</v>
      </c>
      <c r="D337" s="627"/>
      <c r="E337" s="590">
        <f>C337*11</f>
        <v>11</v>
      </c>
      <c r="F337" s="590"/>
      <c r="G337" s="591">
        <v>1</v>
      </c>
      <c r="H337" s="591"/>
      <c r="I337" s="590">
        <f>G337*11</f>
        <v>11</v>
      </c>
      <c r="J337" s="590"/>
      <c r="K337" s="590">
        <f>E337-I337</f>
        <v>0</v>
      </c>
      <c r="L337" s="590"/>
      <c r="M337" s="592">
        <f>IF(ISERROR(K337/E337),"",K337/E337)</f>
        <v>0</v>
      </c>
      <c r="N337" s="592"/>
      <c r="O337" s="588"/>
      <c r="P337" s="591" t="s">
        <v>201</v>
      </c>
      <c r="Q337" s="591"/>
      <c r="R337" s="593">
        <f>SUM(O199:U199)</f>
        <v>0</v>
      </c>
      <c r="S337" s="593"/>
      <c r="T337" s="594" t="str">
        <f t="array" ref="T337">IF(ISERROR(R337/R344),"",R337/R344)</f>
        <v/>
      </c>
      <c r="U337" s="594"/>
      <c r="V337" s="591" t="s">
        <v>259</v>
      </c>
      <c r="W337" s="591"/>
      <c r="X337" s="628">
        <f>SUM(P198,P256,P291,P307,P318,P333)</f>
        <v>0</v>
      </c>
      <c r="Y337" s="629"/>
      <c r="Z337" s="594" t="str">
        <f t="array" ref="Z337">IF(ISERROR(X337/X344),"",X337/X344)</f>
        <v/>
      </c>
      <c r="AA337" s="594"/>
    </row>
    <row r="338" spans="1:27" ht="20.100000000000001" customHeight="1">
      <c r="A338" s="584"/>
      <c r="B338" s="468" t="s">
        <v>260</v>
      </c>
      <c r="C338" s="586">
        <v>0</v>
      </c>
      <c r="D338" s="587"/>
      <c r="E338" s="590">
        <f>C338*11</f>
        <v>0</v>
      </c>
      <c r="F338" s="590"/>
      <c r="G338" s="591">
        <v>0</v>
      </c>
      <c r="H338" s="591"/>
      <c r="I338" s="590">
        <f>G338*11</f>
        <v>0</v>
      </c>
      <c r="J338" s="590"/>
      <c r="K338" s="590">
        <f>E338-I338</f>
        <v>0</v>
      </c>
      <c r="L338" s="590"/>
      <c r="M338" s="592" t="str">
        <f>IF(ISERROR(K338/E338),"",K338/E338)</f>
        <v/>
      </c>
      <c r="N338" s="592"/>
      <c r="O338" s="588"/>
      <c r="P338" s="591" t="s">
        <v>216</v>
      </c>
      <c r="Q338" s="591"/>
      <c r="R338" s="593">
        <f>SUM(O257:U257)</f>
        <v>0</v>
      </c>
      <c r="S338" s="593"/>
      <c r="T338" s="594" t="str">
        <f>IF(ISERROR(R338/R344),"",R338/R344)</f>
        <v/>
      </c>
      <c r="U338" s="594"/>
      <c r="V338" s="591" t="s">
        <v>261</v>
      </c>
      <c r="W338" s="591"/>
      <c r="X338" s="628">
        <f>SUM(P199,P257,P292,P308,P319,P334)</f>
        <v>0</v>
      </c>
      <c r="Y338" s="629"/>
      <c r="Z338" s="594" t="str">
        <f>IF(ISERROR(X338/X344),"",X338/X344)</f>
        <v/>
      </c>
      <c r="AA338" s="594"/>
    </row>
    <row r="339" spans="1:27" ht="20.100000000000001" customHeight="1">
      <c r="A339" s="584"/>
      <c r="B339" s="468" t="s">
        <v>262</v>
      </c>
      <c r="C339" s="586">
        <v>0</v>
      </c>
      <c r="D339" s="587"/>
      <c r="E339" s="590">
        <f>C339*8</f>
        <v>0</v>
      </c>
      <c r="F339" s="590"/>
      <c r="G339" s="591">
        <v>1</v>
      </c>
      <c r="H339" s="591"/>
      <c r="I339" s="590">
        <f>G339*8</f>
        <v>8</v>
      </c>
      <c r="J339" s="590"/>
      <c r="K339" s="590">
        <f>E339-I339</f>
        <v>-8</v>
      </c>
      <c r="L339" s="590"/>
      <c r="M339" s="592" t="str">
        <f>IF(ISERROR(K339/E339),"",K339/E339)</f>
        <v/>
      </c>
      <c r="N339" s="592"/>
      <c r="O339" s="588"/>
      <c r="P339" s="591" t="s">
        <v>224</v>
      </c>
      <c r="Q339" s="591"/>
      <c r="R339" s="593">
        <f>SUM(O292:U292)</f>
        <v>0</v>
      </c>
      <c r="S339" s="593"/>
      <c r="T339" s="594" t="str">
        <f>IF(ISERROR(R339/R344),"",R339/R344)</f>
        <v/>
      </c>
      <c r="U339" s="594"/>
      <c r="V339" s="591" t="s">
        <v>263</v>
      </c>
      <c r="W339" s="591"/>
      <c r="X339" s="628">
        <f>SUM(P200,P258,P293,P309,P320,P335)</f>
        <v>0</v>
      </c>
      <c r="Y339" s="629"/>
      <c r="Z339" s="594" t="str">
        <f>IF(ISERROR(X339/X344),"",X339/X344)</f>
        <v/>
      </c>
      <c r="AA339" s="594"/>
    </row>
    <row r="340" spans="1:27" ht="20.100000000000001" customHeight="1">
      <c r="A340" s="584"/>
      <c r="B340" s="468" t="s">
        <v>264</v>
      </c>
      <c r="C340" s="586">
        <v>1</v>
      </c>
      <c r="D340" s="587"/>
      <c r="E340" s="590">
        <f>C340*11</f>
        <v>11</v>
      </c>
      <c r="F340" s="590"/>
      <c r="G340" s="591">
        <v>1</v>
      </c>
      <c r="H340" s="591"/>
      <c r="I340" s="590">
        <f>G340*11</f>
        <v>11</v>
      </c>
      <c r="J340" s="590"/>
      <c r="K340" s="590">
        <f>E340-I340</f>
        <v>0</v>
      </c>
      <c r="L340" s="590"/>
      <c r="M340" s="592">
        <f>IF(ISERROR(K340/E340),"",K340/E340)</f>
        <v>0</v>
      </c>
      <c r="N340" s="592"/>
      <c r="O340" s="588"/>
      <c r="P340" s="591" t="s">
        <v>231</v>
      </c>
      <c r="Q340" s="591"/>
      <c r="R340" s="593">
        <f>SUM(O308:U308)</f>
        <v>0</v>
      </c>
      <c r="S340" s="593"/>
      <c r="T340" s="594" t="str">
        <f>IF(ISERROR(R340/R344),"",R340/R344)</f>
        <v/>
      </c>
      <c r="U340" s="594"/>
      <c r="V340" s="591" t="s">
        <v>265</v>
      </c>
      <c r="W340" s="591"/>
      <c r="X340" s="628">
        <f>SUM(P202,P259,P294,P310,P321,P336)</f>
        <v>0</v>
      </c>
      <c r="Y340" s="629"/>
      <c r="Z340" s="594" t="str">
        <f>IF(ISERROR(X340/X344),"",X340/X344)</f>
        <v/>
      </c>
      <c r="AA340" s="594"/>
    </row>
    <row r="341" spans="1:27" ht="20.100000000000001" customHeight="1">
      <c r="A341" s="585"/>
      <c r="B341" s="468" t="s">
        <v>266</v>
      </c>
      <c r="C341" s="596">
        <f>SUM(C337:D340)</f>
        <v>2</v>
      </c>
      <c r="D341" s="597"/>
      <c r="E341" s="590">
        <f>SUM(E337:F340)</f>
        <v>22</v>
      </c>
      <c r="F341" s="590"/>
      <c r="G341" s="591">
        <f>SUM(G337:H340)</f>
        <v>3</v>
      </c>
      <c r="H341" s="591"/>
      <c r="I341" s="590">
        <f>SUM(I337:J340)</f>
        <v>30</v>
      </c>
      <c r="J341" s="590"/>
      <c r="K341" s="590">
        <f>SUM(K337:L340)</f>
        <v>-8</v>
      </c>
      <c r="L341" s="590"/>
      <c r="M341" s="592">
        <f>IF(ISERROR(K341/E341),"",K341/E341)</f>
        <v>-0.36363636363636365</v>
      </c>
      <c r="N341" s="592"/>
      <c r="O341" s="588"/>
      <c r="P341" s="591" t="s">
        <v>234</v>
      </c>
      <c r="Q341" s="591"/>
      <c r="R341" s="593">
        <f>SUM(O319:U319)</f>
        <v>0</v>
      </c>
      <c r="S341" s="593"/>
      <c r="T341" s="594" t="str">
        <f>IF(ISERROR(R341/R344),"",R341/R344)</f>
        <v/>
      </c>
      <c r="U341" s="594"/>
      <c r="V341" s="591" t="s">
        <v>267</v>
      </c>
      <c r="W341" s="591"/>
      <c r="X341" s="628">
        <f>SUM(P203,P260,P295,P311,P322,P337)</f>
        <v>0</v>
      </c>
      <c r="Y341" s="629"/>
      <c r="Z341" s="594" t="str">
        <f>IF(ISERROR(X341/X344),"",X341/X344)</f>
        <v/>
      </c>
      <c r="AA341" s="594"/>
    </row>
    <row r="342" spans="1:27" ht="20.100000000000001" customHeight="1">
      <c r="A342" s="309" t="s">
        <v>477</v>
      </c>
      <c r="B342" s="468">
        <f>G335</f>
        <v>5401</v>
      </c>
      <c r="C342" s="598" t="s">
        <v>269</v>
      </c>
      <c r="D342" s="599"/>
      <c r="E342" s="591">
        <f>H335</f>
        <v>27702.61</v>
      </c>
      <c r="F342" s="591"/>
      <c r="G342" s="591" t="s">
        <v>270</v>
      </c>
      <c r="H342" s="591"/>
      <c r="I342" s="600">
        <f>L335</f>
        <v>19.890058187213807</v>
      </c>
      <c r="J342" s="600"/>
      <c r="K342" s="588" t="s">
        <v>271</v>
      </c>
      <c r="L342" s="588"/>
      <c r="M342" s="600">
        <f>J335</f>
        <v>18.154621848739495</v>
      </c>
      <c r="N342" s="600"/>
      <c r="O342" s="588"/>
      <c r="P342" s="591" t="s">
        <v>244</v>
      </c>
      <c r="Q342" s="591"/>
      <c r="R342" s="593">
        <f>SUM(O334:U334)</f>
        <v>0</v>
      </c>
      <c r="S342" s="593"/>
      <c r="T342" s="594" t="str">
        <f>IF(ISERROR(R342/R344),"",R342/R344)</f>
        <v/>
      </c>
      <c r="U342" s="594"/>
      <c r="V342" s="591" t="s">
        <v>272</v>
      </c>
      <c r="W342" s="591"/>
      <c r="X342" s="628">
        <f>SUM(P204,P261,P296,P312,P323,P338)</f>
        <v>0</v>
      </c>
      <c r="Y342" s="629"/>
      <c r="Z342" s="594" t="str">
        <f>IF(ISERROR(X342/X344),"",X342/X344)</f>
        <v/>
      </c>
      <c r="AA342" s="594"/>
    </row>
    <row r="343" spans="1:27" ht="20.100000000000001" customHeight="1">
      <c r="A343" s="310" t="s">
        <v>478</v>
      </c>
      <c r="B343" s="468">
        <f>I335+C341</f>
        <v>299.5</v>
      </c>
      <c r="C343" s="601" t="s">
        <v>251</v>
      </c>
      <c r="D343" s="602"/>
      <c r="E343" s="603">
        <f>K335+I341</f>
        <v>301.54269480578984</v>
      </c>
      <c r="F343" s="603"/>
      <c r="G343" s="591" t="s">
        <v>274</v>
      </c>
      <c r="H343" s="591"/>
      <c r="I343" s="600">
        <f>B343-E343</f>
        <v>-2.0426948057898358</v>
      </c>
      <c r="J343" s="600"/>
      <c r="K343" s="588" t="s">
        <v>275</v>
      </c>
      <c r="L343" s="588"/>
      <c r="M343" s="592">
        <f>IF(ISERROR(I343/E343),"",I343/E343)</f>
        <v>-6.7741478768220337E-3</v>
      </c>
      <c r="N343" s="592"/>
      <c r="O343" s="588"/>
      <c r="P343" s="591" t="s">
        <v>245</v>
      </c>
      <c r="Q343" s="591"/>
      <c r="R343" s="593"/>
      <c r="S343" s="593"/>
      <c r="T343" s="594" t="str">
        <f>IF(ISERROR(R343/R344),"",R343/R344)</f>
        <v/>
      </c>
      <c r="U343" s="594"/>
      <c r="V343" s="591" t="s">
        <v>264</v>
      </c>
      <c r="W343" s="591"/>
      <c r="X343" s="628">
        <f>SUM(P205,P262,P297,P313,P324,P339)</f>
        <v>0</v>
      </c>
      <c r="Y343" s="629"/>
      <c r="Z343" s="594" t="str">
        <f>IF(ISERROR(X343/X344),"",X343/X344)</f>
        <v/>
      </c>
      <c r="AA343" s="594"/>
    </row>
    <row r="344" spans="1:27" ht="20.100000000000001" customHeight="1">
      <c r="A344" s="310" t="s">
        <v>479</v>
      </c>
      <c r="B344" s="468">
        <f>N335</f>
        <v>0</v>
      </c>
      <c r="C344" s="601" t="s">
        <v>277</v>
      </c>
      <c r="D344" s="602"/>
      <c r="E344" s="594">
        <f>IF(ISERROR(B344/B343),"",B344/B343)</f>
        <v>0</v>
      </c>
      <c r="F344" s="594"/>
      <c r="G344" s="591" t="s">
        <v>278</v>
      </c>
      <c r="H344" s="591"/>
      <c r="I344" s="588">
        <f>V335</f>
        <v>0</v>
      </c>
      <c r="J344" s="588"/>
      <c r="K344" s="588" t="s">
        <v>279</v>
      </c>
      <c r="L344" s="588"/>
      <c r="M344" s="592">
        <f t="array" ref="M344">IF(ISERROR(I344/B342),"",I344/B342)</f>
        <v>0</v>
      </c>
      <c r="N344" s="592"/>
      <c r="O344" s="588"/>
      <c r="P344" s="591" t="s">
        <v>266</v>
      </c>
      <c r="Q344" s="591"/>
      <c r="R344" s="593">
        <f>SUM(R337:S343)</f>
        <v>0</v>
      </c>
      <c r="S344" s="593"/>
      <c r="T344" s="594"/>
      <c r="U344" s="594"/>
      <c r="V344" s="591" t="s">
        <v>266</v>
      </c>
      <c r="W344" s="591"/>
      <c r="X344" s="595">
        <f>SUM(X337:Y343)</f>
        <v>0</v>
      </c>
      <c r="Y344" s="595"/>
      <c r="Z344" s="594"/>
      <c r="AA344" s="594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4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604" t="s">
        <v>480</v>
      </c>
      <c r="B346" s="607" t="s">
        <v>280</v>
      </c>
      <c r="C346" s="607" t="s">
        <v>281</v>
      </c>
      <c r="D346" s="607" t="s">
        <v>282</v>
      </c>
      <c r="E346" s="610" t="s">
        <v>283</v>
      </c>
      <c r="F346" s="623" t="s">
        <v>284</v>
      </c>
      <c r="G346" s="588" t="s">
        <v>285</v>
      </c>
      <c r="H346" s="588"/>
      <c r="I346" s="607" t="s">
        <v>286</v>
      </c>
      <c r="J346" s="613" t="s">
        <v>271</v>
      </c>
      <c r="K346" s="616" t="s">
        <v>287</v>
      </c>
      <c r="L346" s="607" t="s">
        <v>270</v>
      </c>
      <c r="M346" s="619" t="s">
        <v>288</v>
      </c>
      <c r="N346" s="621" t="s">
        <v>252</v>
      </c>
      <c r="O346" s="588" t="s">
        <v>289</v>
      </c>
      <c r="P346" s="588"/>
      <c r="Q346" s="588"/>
      <c r="R346" s="588"/>
      <c r="S346" s="588"/>
      <c r="T346" s="588"/>
      <c r="U346" s="588"/>
      <c r="V346" s="588" t="s">
        <v>290</v>
      </c>
      <c r="W346" s="621" t="s">
        <v>291</v>
      </c>
      <c r="X346" s="588" t="s">
        <v>292</v>
      </c>
      <c r="Y346" s="588"/>
      <c r="Z346" s="588"/>
      <c r="AA346" s="588"/>
    </row>
    <row r="347" spans="1:27" ht="21.95" customHeight="1">
      <c r="A347" s="605"/>
      <c r="B347" s="608"/>
      <c r="C347" s="608"/>
      <c r="D347" s="608"/>
      <c r="E347" s="611"/>
      <c r="F347" s="624"/>
      <c r="G347" s="588"/>
      <c r="H347" s="588"/>
      <c r="I347" s="608"/>
      <c r="J347" s="614"/>
      <c r="K347" s="617"/>
      <c r="L347" s="608"/>
      <c r="M347" s="620"/>
      <c r="N347" s="621"/>
      <c r="O347" s="588" t="s">
        <v>259</v>
      </c>
      <c r="P347" s="588" t="s">
        <v>261</v>
      </c>
      <c r="Q347" s="588" t="s">
        <v>263</v>
      </c>
      <c r="R347" s="622" t="s">
        <v>265</v>
      </c>
      <c r="S347" s="591" t="s">
        <v>267</v>
      </c>
      <c r="T347" s="588" t="s">
        <v>272</v>
      </c>
      <c r="U347" s="588" t="s">
        <v>264</v>
      </c>
      <c r="V347" s="588"/>
      <c r="W347" s="621"/>
      <c r="X347" s="588" t="s">
        <v>293</v>
      </c>
      <c r="Y347" s="588" t="s">
        <v>294</v>
      </c>
      <c r="Z347" s="588" t="s">
        <v>295</v>
      </c>
      <c r="AA347" s="588" t="s">
        <v>264</v>
      </c>
    </row>
    <row r="348" spans="1:27" ht="21.95" customHeight="1">
      <c r="A348" s="606"/>
      <c r="B348" s="609"/>
      <c r="C348" s="609"/>
      <c r="D348" s="609"/>
      <c r="E348" s="612"/>
      <c r="F348" s="625"/>
      <c r="G348" s="348" t="s">
        <v>296</v>
      </c>
      <c r="H348" s="472" t="s">
        <v>297</v>
      </c>
      <c r="I348" s="609"/>
      <c r="J348" s="615"/>
      <c r="K348" s="618"/>
      <c r="L348" s="609"/>
      <c r="M348" s="620"/>
      <c r="N348" s="621"/>
      <c r="O348" s="588"/>
      <c r="P348" s="588"/>
      <c r="Q348" s="588"/>
      <c r="R348" s="622"/>
      <c r="S348" s="591"/>
      <c r="T348" s="588"/>
      <c r="U348" s="588"/>
      <c r="V348" s="588"/>
      <c r="W348" s="621"/>
      <c r="X348" s="588"/>
      <c r="Y348" s="588"/>
      <c r="Z348" s="588"/>
      <c r="AA348" s="588"/>
    </row>
    <row r="349" spans="1:27" ht="20.100000000000001" hidden="1" customHeight="1">
      <c r="A349" s="299">
        <v>30100030</v>
      </c>
      <c r="B349" s="465" t="s">
        <v>178</v>
      </c>
      <c r="C349" s="126" t="s">
        <v>179</v>
      </c>
      <c r="D349" s="108">
        <v>5.03</v>
      </c>
      <c r="E349" s="108"/>
      <c r="F349" s="127"/>
      <c r="G349" s="128"/>
      <c r="H349" s="466">
        <f t="shared" ref="H349:H369" si="157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58" si="158">IF(ISERROR(I349-K349),"",I349-K349)</f>
        <v>0</v>
      </c>
      <c r="N349" s="130">
        <f t="shared" ref="N349:N354" si="159">SUM(O349:U349)</f>
        <v>0</v>
      </c>
      <c r="O349" s="474"/>
      <c r="P349" s="474"/>
      <c r="Q349" s="474"/>
      <c r="R349" s="474"/>
      <c r="S349" s="474"/>
      <c r="T349" s="474"/>
      <c r="U349" s="474"/>
      <c r="V349" s="132">
        <f t="shared" ref="V349:V354" si="160">SUM(X349:AA349)</f>
        <v>0</v>
      </c>
      <c r="W349" s="133" t="str">
        <f t="shared" ref="W349:W354" si="161">IF(ISERROR(V349/G349),"",V349/G349)</f>
        <v/>
      </c>
      <c r="X349" s="132"/>
      <c r="Y349" s="132"/>
      <c r="Z349" s="132"/>
      <c r="AA349" s="132"/>
    </row>
    <row r="350" spans="1:27" ht="20.100000000000001" hidden="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28"/>
      <c r="H350" s="466">
        <f t="shared" si="157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8"/>
        <v>0</v>
      </c>
      <c r="N350" s="130">
        <f t="shared" si="159"/>
        <v>0</v>
      </c>
      <c r="O350" s="474"/>
      <c r="P350" s="474"/>
      <c r="Q350" s="474"/>
      <c r="R350" s="474"/>
      <c r="S350" s="474"/>
      <c r="T350" s="474"/>
      <c r="U350" s="474"/>
      <c r="V350" s="132">
        <f t="shared" si="160"/>
        <v>0</v>
      </c>
      <c r="W350" s="133" t="str">
        <f t="shared" si="161"/>
        <v/>
      </c>
      <c r="X350" s="132"/>
      <c r="Y350" s="132"/>
      <c r="Z350" s="132"/>
      <c r="AA350" s="132"/>
    </row>
    <row r="351" spans="1:27" ht="20.100000000000001" hidden="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28"/>
      <c r="H351" s="466">
        <f t="shared" si="157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58"/>
        <v>0</v>
      </c>
      <c r="N351" s="130">
        <f t="shared" si="159"/>
        <v>0</v>
      </c>
      <c r="O351" s="474"/>
      <c r="P351" s="474"/>
      <c r="Q351" s="474"/>
      <c r="R351" s="474"/>
      <c r="S351" s="474"/>
      <c r="T351" s="474"/>
      <c r="U351" s="474"/>
      <c r="V351" s="132">
        <f t="shared" si="160"/>
        <v>0</v>
      </c>
      <c r="W351" s="133" t="str">
        <f t="shared" si="161"/>
        <v/>
      </c>
      <c r="X351" s="132"/>
      <c r="Y351" s="132"/>
      <c r="Z351" s="132"/>
      <c r="AA351" s="132"/>
    </row>
    <row r="352" spans="1:27" ht="20.100000000000001" hidden="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28"/>
      <c r="H352" s="466">
        <f t="shared" si="157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8"/>
        <v>0</v>
      </c>
      <c r="N352" s="130">
        <f t="shared" si="159"/>
        <v>0</v>
      </c>
      <c r="O352" s="474"/>
      <c r="P352" s="474"/>
      <c r="Q352" s="474"/>
      <c r="R352" s="474"/>
      <c r="S352" s="474"/>
      <c r="T352" s="474"/>
      <c r="U352" s="474"/>
      <c r="V352" s="132">
        <f t="shared" si="160"/>
        <v>0</v>
      </c>
      <c r="W352" s="133" t="str">
        <f t="shared" si="161"/>
        <v/>
      </c>
      <c r="X352" s="132"/>
      <c r="Y352" s="132"/>
      <c r="Z352" s="132"/>
      <c r="AA352" s="132"/>
    </row>
    <row r="353" spans="1:27" ht="20.100000000000001" hidden="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28"/>
      <c r="H353" s="466">
        <f t="shared" si="157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58"/>
        <v>0</v>
      </c>
      <c r="N353" s="130">
        <f t="shared" si="159"/>
        <v>0</v>
      </c>
      <c r="O353" s="474"/>
      <c r="P353" s="474"/>
      <c r="Q353" s="474"/>
      <c r="R353" s="474"/>
      <c r="S353" s="474"/>
      <c r="T353" s="474"/>
      <c r="U353" s="474"/>
      <c r="V353" s="132">
        <f t="shared" si="160"/>
        <v>0</v>
      </c>
      <c r="W353" s="133" t="str">
        <f t="shared" si="161"/>
        <v/>
      </c>
      <c r="X353" s="132"/>
      <c r="Y353" s="132"/>
      <c r="Z353" s="132"/>
      <c r="AA353" s="132"/>
    </row>
    <row r="354" spans="1:27" ht="20.100000000000001" hidden="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137"/>
      <c r="H354" s="466">
        <f t="shared" si="157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58"/>
        <v>0</v>
      </c>
      <c r="N354" s="130">
        <f t="shared" si="159"/>
        <v>0</v>
      </c>
      <c r="O354" s="474"/>
      <c r="P354" s="474"/>
      <c r="Q354" s="474"/>
      <c r="R354" s="474"/>
      <c r="S354" s="474"/>
      <c r="T354" s="474"/>
      <c r="U354" s="474"/>
      <c r="V354" s="132">
        <f t="shared" si="160"/>
        <v>0</v>
      </c>
      <c r="W354" s="133" t="str">
        <f t="shared" si="161"/>
        <v/>
      </c>
      <c r="X354" s="132"/>
      <c r="Y354" s="132"/>
      <c r="Z354" s="132"/>
      <c r="AA354" s="132"/>
    </row>
    <row r="355" spans="1:27" ht="20.100000000000001" hidden="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28"/>
      <c r="H355" s="466">
        <f t="shared" si="157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58"/>
        <v>0</v>
      </c>
      <c r="N355" s="130"/>
      <c r="O355" s="474"/>
      <c r="P355" s="474"/>
      <c r="Q355" s="474"/>
      <c r="R355" s="474"/>
      <c r="S355" s="474"/>
      <c r="T355" s="474"/>
      <c r="U355" s="474"/>
      <c r="V355" s="132"/>
      <c r="W355" s="133"/>
      <c r="X355" s="132"/>
      <c r="Y355" s="132"/>
      <c r="Z355" s="132"/>
      <c r="AA355" s="132"/>
    </row>
    <row r="356" spans="1:27" ht="20.100000000000001" hidden="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28"/>
      <c r="H356" s="466">
        <f t="shared" si="157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58"/>
        <v>0</v>
      </c>
      <c r="N356" s="130"/>
      <c r="O356" s="474"/>
      <c r="P356" s="474"/>
      <c r="Q356" s="474"/>
      <c r="R356" s="474"/>
      <c r="S356" s="474"/>
      <c r="T356" s="474"/>
      <c r="U356" s="474"/>
      <c r="V356" s="132"/>
      <c r="W356" s="133"/>
      <c r="X356" s="132"/>
      <c r="Y356" s="132"/>
      <c r="Z356" s="132"/>
      <c r="AA356" s="132"/>
    </row>
    <row r="357" spans="1:27" ht="20.100000000000001" hidden="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28"/>
      <c r="H357" s="466">
        <f t="shared" si="157"/>
        <v>0</v>
      </c>
      <c r="I357" s="466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58"/>
        <v>0</v>
      </c>
      <c r="N357" s="130">
        <f>SUM(O357:U357)</f>
        <v>0</v>
      </c>
      <c r="O357" s="474"/>
      <c r="P357" s="474"/>
      <c r="Q357" s="474"/>
      <c r="R357" s="474"/>
      <c r="S357" s="474"/>
      <c r="T357" s="474"/>
      <c r="U357" s="474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hidden="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28"/>
      <c r="H358" s="466">
        <f t="shared" si="157"/>
        <v>0</v>
      </c>
      <c r="I358" s="466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58"/>
        <v>0</v>
      </c>
      <c r="N358" s="130">
        <f>SUM(O358:U358)</f>
        <v>0</v>
      </c>
      <c r="O358" s="474"/>
      <c r="P358" s="474"/>
      <c r="Q358" s="474"/>
      <c r="R358" s="474"/>
      <c r="S358" s="474"/>
      <c r="T358" s="474"/>
      <c r="U358" s="474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hidden="1" customHeight="1">
      <c r="A359" s="302">
        <v>30100063</v>
      </c>
      <c r="B359" s="134" t="s">
        <v>191</v>
      </c>
      <c r="C359" s="126" t="s">
        <v>192</v>
      </c>
      <c r="D359" s="108">
        <v>5.03</v>
      </c>
      <c r="E359" s="108"/>
      <c r="F359" s="126"/>
      <c r="G359" s="128"/>
      <c r="H359" s="466">
        <f t="shared" si="157"/>
        <v>0</v>
      </c>
      <c r="I359" s="466"/>
      <c r="J359" s="130"/>
      <c r="K359" s="131"/>
      <c r="L359" s="129"/>
      <c r="M359" s="109"/>
      <c r="N359" s="130"/>
      <c r="O359" s="474"/>
      <c r="P359" s="474"/>
      <c r="Q359" s="474"/>
      <c r="R359" s="474"/>
      <c r="S359" s="474"/>
      <c r="T359" s="474"/>
      <c r="U359" s="474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30100061</v>
      </c>
      <c r="B360" s="134" t="s">
        <v>191</v>
      </c>
      <c r="C360" s="126" t="s">
        <v>193</v>
      </c>
      <c r="D360" s="108">
        <v>5.03</v>
      </c>
      <c r="E360" s="108"/>
      <c r="F360" s="126"/>
      <c r="G360" s="128"/>
      <c r="H360" s="466">
        <f t="shared" si="157"/>
        <v>0</v>
      </c>
      <c r="I360" s="466"/>
      <c r="J360" s="130"/>
      <c r="K360" s="131"/>
      <c r="L360" s="129"/>
      <c r="M360" s="109"/>
      <c r="N360" s="130"/>
      <c r="O360" s="474"/>
      <c r="P360" s="474"/>
      <c r="Q360" s="474"/>
      <c r="R360" s="474"/>
      <c r="S360" s="474"/>
      <c r="T360" s="474"/>
      <c r="U360" s="474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28"/>
      <c r="H361" s="466">
        <f t="shared" si="157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ref="M361:M369" si="162">IF(ISERROR(I361-K361),"",I361-K361)</f>
        <v>0</v>
      </c>
      <c r="N361" s="130">
        <f t="shared" ref="N361:N363" si="163">SUM(O361:U361)</f>
        <v>0</v>
      </c>
      <c r="O361" s="474"/>
      <c r="P361" s="474"/>
      <c r="Q361" s="474"/>
      <c r="R361" s="474"/>
      <c r="S361" s="474"/>
      <c r="T361" s="474"/>
      <c r="U361" s="474"/>
      <c r="V361" s="132">
        <f t="shared" ref="V361:V363" si="164">SUM(X361:AA361)</f>
        <v>0</v>
      </c>
      <c r="W361" s="133" t="str">
        <f t="shared" ref="W361:W363" si="165">IF(ISERROR(V361/G361),"",V361/G361)</f>
        <v/>
      </c>
      <c r="X361" s="132"/>
      <c r="Y361" s="132"/>
      <c r="Z361" s="132"/>
      <c r="AA361" s="132"/>
    </row>
    <row r="362" spans="1:27" ht="20.100000000000001" hidden="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28"/>
      <c r="H362" s="466">
        <f t="shared" si="157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2"/>
        <v>0</v>
      </c>
      <c r="N362" s="130">
        <f t="shared" si="163"/>
        <v>0</v>
      </c>
      <c r="O362" s="474"/>
      <c r="P362" s="474"/>
      <c r="Q362" s="474"/>
      <c r="R362" s="474"/>
      <c r="S362" s="474"/>
      <c r="T362" s="474"/>
      <c r="U362" s="474"/>
      <c r="V362" s="132">
        <f t="shared" si="164"/>
        <v>0</v>
      </c>
      <c r="W362" s="133" t="str">
        <f t="shared" si="165"/>
        <v/>
      </c>
      <c r="X362" s="132"/>
      <c r="Y362" s="132"/>
      <c r="Z362" s="132"/>
      <c r="AA362" s="132"/>
    </row>
    <row r="363" spans="1:27" ht="20.100000000000001" hidden="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28"/>
      <c r="H363" s="466">
        <f t="shared" si="157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2"/>
        <v>0</v>
      </c>
      <c r="N363" s="130">
        <f t="shared" si="163"/>
        <v>0</v>
      </c>
      <c r="O363" s="474"/>
      <c r="P363" s="474"/>
      <c r="Q363" s="474"/>
      <c r="R363" s="474"/>
      <c r="S363" s="474"/>
      <c r="T363" s="474"/>
      <c r="U363" s="474"/>
      <c r="V363" s="132">
        <f t="shared" si="164"/>
        <v>0</v>
      </c>
      <c r="W363" s="133" t="str">
        <f t="shared" si="165"/>
        <v/>
      </c>
      <c r="X363" s="132"/>
      <c r="Y363" s="132"/>
      <c r="Z363" s="132"/>
      <c r="AA363" s="132"/>
    </row>
    <row r="364" spans="1:27" ht="20.100000000000001" hidden="1" customHeight="1">
      <c r="A364" s="300">
        <v>30100003</v>
      </c>
      <c r="B364" s="141" t="s">
        <v>198</v>
      </c>
      <c r="C364" s="472" t="s">
        <v>190</v>
      </c>
      <c r="D364" s="108">
        <v>4.8</v>
      </c>
      <c r="E364" s="108"/>
      <c r="F364" s="127"/>
      <c r="G364" s="128"/>
      <c r="H364" s="466">
        <f t="shared" si="157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2"/>
        <v>0</v>
      </c>
      <c r="N364" s="130"/>
      <c r="O364" s="474"/>
      <c r="P364" s="474"/>
      <c r="Q364" s="474"/>
      <c r="R364" s="474"/>
      <c r="S364" s="474"/>
      <c r="T364" s="474"/>
      <c r="U364" s="474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30100004</v>
      </c>
      <c r="B365" s="141" t="s">
        <v>198</v>
      </c>
      <c r="C365" s="472" t="s">
        <v>187</v>
      </c>
      <c r="D365" s="108">
        <v>4.8</v>
      </c>
      <c r="E365" s="108"/>
      <c r="F365" s="127"/>
      <c r="G365" s="128"/>
      <c r="H365" s="466">
        <f t="shared" si="157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2"/>
        <v>0</v>
      </c>
      <c r="N365" s="130"/>
      <c r="O365" s="474"/>
      <c r="P365" s="474"/>
      <c r="Q365" s="474"/>
      <c r="R365" s="474"/>
      <c r="S365" s="474"/>
      <c r="T365" s="474"/>
      <c r="U365" s="474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30100006</v>
      </c>
      <c r="B366" s="141" t="s">
        <v>198</v>
      </c>
      <c r="C366" s="472" t="s">
        <v>179</v>
      </c>
      <c r="D366" s="108">
        <v>4.8</v>
      </c>
      <c r="E366" s="108"/>
      <c r="F366" s="127"/>
      <c r="G366" s="128"/>
      <c r="H366" s="466">
        <f t="shared" si="157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2"/>
        <v>0</v>
      </c>
      <c r="N366" s="130"/>
      <c r="O366" s="474"/>
      <c r="P366" s="474"/>
      <c r="Q366" s="474"/>
      <c r="R366" s="474"/>
      <c r="S366" s="474"/>
      <c r="T366" s="474"/>
      <c r="U366" s="474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0">
        <v>30100005</v>
      </c>
      <c r="B367" s="141" t="s">
        <v>198</v>
      </c>
      <c r="C367" s="472" t="s">
        <v>199</v>
      </c>
      <c r="D367" s="108">
        <v>4.8</v>
      </c>
      <c r="E367" s="108"/>
      <c r="F367" s="127"/>
      <c r="G367" s="128"/>
      <c r="H367" s="466">
        <f t="shared" si="157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2"/>
        <v>0</v>
      </c>
      <c r="N367" s="130"/>
      <c r="O367" s="474"/>
      <c r="P367" s="474"/>
      <c r="Q367" s="474"/>
      <c r="R367" s="474"/>
      <c r="S367" s="474"/>
      <c r="T367" s="474"/>
      <c r="U367" s="474"/>
      <c r="V367" s="132"/>
      <c r="W367" s="133"/>
      <c r="X367" s="132"/>
      <c r="Y367" s="132"/>
      <c r="Z367" s="132"/>
      <c r="AA367" s="132"/>
    </row>
    <row r="368" spans="1:27" ht="20.100000000000001" hidden="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28"/>
      <c r="H368" s="466">
        <f t="shared" si="157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2"/>
        <v>0</v>
      </c>
      <c r="N368" s="130">
        <f t="shared" ref="N368:N369" si="166">SUM(O368:U368)</f>
        <v>0</v>
      </c>
      <c r="O368" s="474"/>
      <c r="P368" s="474"/>
      <c r="Q368" s="474"/>
      <c r="R368" s="474"/>
      <c r="S368" s="474"/>
      <c r="T368" s="474"/>
      <c r="U368" s="474"/>
      <c r="V368" s="132">
        <f t="shared" ref="V368:V369" si="167">SUM(X368:AA368)</f>
        <v>0</v>
      </c>
      <c r="W368" s="133" t="str">
        <f t="shared" ref="W368:W369" si="168">IF(ISERROR(V368/G368),"",V368/G368)</f>
        <v/>
      </c>
      <c r="X368" s="132"/>
      <c r="Y368" s="132"/>
      <c r="Z368" s="132"/>
      <c r="AA368" s="132"/>
    </row>
    <row r="369" spans="1:27" ht="20.100000000000001" hidden="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28"/>
      <c r="H369" s="466">
        <f t="shared" si="157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2"/>
        <v>0</v>
      </c>
      <c r="N369" s="130">
        <f t="shared" si="166"/>
        <v>0</v>
      </c>
      <c r="O369" s="474"/>
      <c r="P369" s="474"/>
      <c r="Q369" s="474"/>
      <c r="R369" s="474"/>
      <c r="S369" s="474"/>
      <c r="T369" s="474"/>
      <c r="U369" s="474"/>
      <c r="V369" s="132">
        <f t="shared" si="167"/>
        <v>0</v>
      </c>
      <c r="W369" s="133" t="str">
        <f t="shared" si="168"/>
        <v/>
      </c>
      <c r="X369" s="132"/>
      <c r="Y369" s="132"/>
      <c r="Z369" s="132"/>
      <c r="AA369" s="132"/>
    </row>
    <row r="370" spans="1:27" ht="20.100000000000001" hidden="1" customHeight="1">
      <c r="A370" s="578" t="s">
        <v>201</v>
      </c>
      <c r="B370" s="579"/>
      <c r="C370" s="475" t="s">
        <v>202</v>
      </c>
      <c r="D370" s="143"/>
      <c r="E370" s="143"/>
      <c r="F370" s="144"/>
      <c r="G370" s="145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69">SUM(M349:M369)</f>
        <v>0</v>
      </c>
      <c r="N370" s="146">
        <f t="shared" si="169"/>
        <v>0</v>
      </c>
      <c r="O370" s="148">
        <f t="shared" si="169"/>
        <v>0</v>
      </c>
      <c r="P370" s="148">
        <f t="shared" si="169"/>
        <v>0</v>
      </c>
      <c r="Q370" s="148">
        <f t="shared" si="169"/>
        <v>0</v>
      </c>
      <c r="R370" s="148">
        <f t="shared" si="169"/>
        <v>0</v>
      </c>
      <c r="S370" s="148">
        <f t="shared" si="169"/>
        <v>0</v>
      </c>
      <c r="T370" s="148">
        <f t="shared" si="169"/>
        <v>0</v>
      </c>
      <c r="U370" s="148">
        <f t="shared" si="169"/>
        <v>0</v>
      </c>
      <c r="V370" s="149">
        <f t="shared" si="169"/>
        <v>0</v>
      </c>
      <c r="W370" s="133">
        <f t="shared" si="169"/>
        <v>0</v>
      </c>
      <c r="X370" s="149">
        <f t="shared" si="169"/>
        <v>0</v>
      </c>
      <c r="Y370" s="149">
        <f t="shared" si="169"/>
        <v>0</v>
      </c>
      <c r="Z370" s="149">
        <f t="shared" si="169"/>
        <v>0</v>
      </c>
      <c r="AA370" s="149">
        <f t="shared" si="169"/>
        <v>0</v>
      </c>
    </row>
    <row r="371" spans="1:27" ht="20.100000000000001" hidden="1" customHeight="1">
      <c r="A371" s="300">
        <v>30100012</v>
      </c>
      <c r="B371" s="465" t="s">
        <v>206</v>
      </c>
      <c r="C371" s="126" t="s">
        <v>199</v>
      </c>
      <c r="D371" s="108">
        <v>5.03</v>
      </c>
      <c r="E371" s="108"/>
      <c r="F371" s="127"/>
      <c r="G371" s="128"/>
      <c r="H371" s="466">
        <f t="shared" ref="H371:H427" si="170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" si="171">IF(ISERROR(I371-K371),"",I371-K371)</f>
        <v>0</v>
      </c>
      <c r="N371" s="130">
        <f t="shared" ref="N371" si="172">SUM(O371:U371)</f>
        <v>0</v>
      </c>
      <c r="O371" s="470"/>
      <c r="P371" s="470"/>
      <c r="Q371" s="470"/>
      <c r="R371" s="470"/>
      <c r="S371" s="470"/>
      <c r="T371" s="470"/>
      <c r="U371" s="470"/>
      <c r="V371" s="132">
        <f t="shared" ref="V371" si="173">SUM(X371:AA371)</f>
        <v>0</v>
      </c>
      <c r="W371" s="133" t="str">
        <f t="shared" ref="W371" si="174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30100011</v>
      </c>
      <c r="B372" s="465" t="s">
        <v>425</v>
      </c>
      <c r="C372" s="187" t="s">
        <v>427</v>
      </c>
      <c r="D372" s="108">
        <v>5.03</v>
      </c>
      <c r="E372" s="108"/>
      <c r="F372" s="127"/>
      <c r="G372" s="128"/>
      <c r="H372" s="466">
        <f t="shared" si="170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470"/>
      <c r="P372" s="470"/>
      <c r="Q372" s="470"/>
      <c r="R372" s="470"/>
      <c r="S372" s="470"/>
      <c r="T372" s="470"/>
      <c r="U372" s="470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0">
        <v>30100010</v>
      </c>
      <c r="B373" s="465" t="s">
        <v>206</v>
      </c>
      <c r="C373" s="126" t="s">
        <v>186</v>
      </c>
      <c r="D373" s="108">
        <v>5.03</v>
      </c>
      <c r="E373" s="108"/>
      <c r="F373" s="127"/>
      <c r="G373" s="128"/>
      <c r="H373" s="466">
        <f t="shared" si="170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ref="M373:M408" si="175">IF(ISERROR(I373-K373),"",I373-K373)</f>
        <v>0</v>
      </c>
      <c r="N373" s="130">
        <f t="shared" ref="N373:N375" si="176">SUM(O373:U373)</f>
        <v>0</v>
      </c>
      <c r="O373" s="470"/>
      <c r="P373" s="470"/>
      <c r="Q373" s="470"/>
      <c r="R373" s="470"/>
      <c r="S373" s="470"/>
      <c r="T373" s="470"/>
      <c r="U373" s="470"/>
      <c r="V373" s="132">
        <f t="shared" ref="V373:V375" si="177">SUM(X373:AA373)</f>
        <v>0</v>
      </c>
      <c r="W373" s="133" t="str">
        <f t="shared" ref="W373:W375" si="178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0">
        <v>30100014</v>
      </c>
      <c r="B374" s="465" t="s">
        <v>206</v>
      </c>
      <c r="C374" s="126" t="s">
        <v>203</v>
      </c>
      <c r="D374" s="108">
        <v>5.03</v>
      </c>
      <c r="E374" s="108"/>
      <c r="F374" s="127"/>
      <c r="G374" s="128"/>
      <c r="H374" s="466">
        <f t="shared" si="170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5"/>
        <v>0</v>
      </c>
      <c r="N374" s="130">
        <f t="shared" si="176"/>
        <v>0</v>
      </c>
      <c r="O374" s="470"/>
      <c r="P374" s="470"/>
      <c r="Q374" s="470"/>
      <c r="R374" s="470"/>
      <c r="S374" s="470"/>
      <c r="T374" s="470"/>
      <c r="U374" s="470"/>
      <c r="V374" s="132">
        <f t="shared" si="177"/>
        <v>0</v>
      </c>
      <c r="W374" s="133" t="str">
        <f t="shared" si="178"/>
        <v/>
      </c>
      <c r="X374" s="132"/>
      <c r="Y374" s="132"/>
      <c r="Z374" s="132"/>
      <c r="AA374" s="132"/>
    </row>
    <row r="375" spans="1:27" ht="20.100000000000001" hidden="1" customHeight="1">
      <c r="A375" s="300">
        <v>30100013</v>
      </c>
      <c r="B375" s="465" t="s">
        <v>206</v>
      </c>
      <c r="C375" s="126" t="s">
        <v>207</v>
      </c>
      <c r="D375" s="108">
        <v>5.03</v>
      </c>
      <c r="E375" s="108"/>
      <c r="F375" s="127"/>
      <c r="G375" s="128"/>
      <c r="H375" s="466">
        <f t="shared" si="170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5"/>
        <v>0</v>
      </c>
      <c r="N375" s="130">
        <f t="shared" si="176"/>
        <v>0</v>
      </c>
      <c r="O375" s="470"/>
      <c r="P375" s="470"/>
      <c r="Q375" s="470"/>
      <c r="R375" s="470"/>
      <c r="S375" s="470"/>
      <c r="T375" s="470"/>
      <c r="U375" s="470"/>
      <c r="V375" s="132">
        <f t="shared" si="177"/>
        <v>0</v>
      </c>
      <c r="W375" s="133" t="str">
        <f t="shared" si="178"/>
        <v/>
      </c>
      <c r="X375" s="132"/>
      <c r="Y375" s="132"/>
      <c r="Z375" s="132"/>
      <c r="AA375" s="132"/>
    </row>
    <row r="376" spans="1:27" ht="20.100000000000001" hidden="1" customHeight="1">
      <c r="A376" s="300">
        <v>30100016</v>
      </c>
      <c r="B376" s="465" t="s">
        <v>414</v>
      </c>
      <c r="C376" s="187" t="s">
        <v>415</v>
      </c>
      <c r="D376" s="108"/>
      <c r="E376" s="108"/>
      <c r="F376" s="127"/>
      <c r="G376" s="128"/>
      <c r="H376" s="466">
        <f t="shared" si="170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5"/>
        <v>0</v>
      </c>
      <c r="N376" s="130"/>
      <c r="O376" s="470"/>
      <c r="P376" s="470"/>
      <c r="Q376" s="470"/>
      <c r="R376" s="470"/>
      <c r="S376" s="470"/>
      <c r="T376" s="470"/>
      <c r="U376" s="470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30100017</v>
      </c>
      <c r="B377" s="465" t="s">
        <v>414</v>
      </c>
      <c r="C377" s="187" t="s">
        <v>416</v>
      </c>
      <c r="D377" s="108"/>
      <c r="E377" s="108"/>
      <c r="F377" s="127"/>
      <c r="G377" s="128"/>
      <c r="H377" s="466">
        <f t="shared" si="170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5"/>
        <v>0</v>
      </c>
      <c r="N377" s="130"/>
      <c r="O377" s="470"/>
      <c r="P377" s="470"/>
      <c r="Q377" s="470"/>
      <c r="R377" s="470"/>
      <c r="S377" s="470"/>
      <c r="T377" s="470"/>
      <c r="U377" s="470"/>
      <c r="V377" s="132"/>
      <c r="W377" s="133"/>
      <c r="X377" s="132"/>
      <c r="Y377" s="132"/>
      <c r="Z377" s="132"/>
      <c r="AA377" s="132"/>
    </row>
    <row r="378" spans="1:27" ht="20.100000000000001" hidden="1" customHeight="1">
      <c r="A378" s="300">
        <v>30100015</v>
      </c>
      <c r="B378" s="465" t="s">
        <v>414</v>
      </c>
      <c r="C378" s="187" t="s">
        <v>61</v>
      </c>
      <c r="D378" s="108"/>
      <c r="E378" s="108"/>
      <c r="F378" s="127"/>
      <c r="G378" s="128"/>
      <c r="H378" s="466">
        <f t="shared" si="170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5"/>
        <v>0</v>
      </c>
      <c r="N378" s="130"/>
      <c r="O378" s="470"/>
      <c r="P378" s="470"/>
      <c r="Q378" s="470"/>
      <c r="R378" s="470"/>
      <c r="S378" s="470"/>
      <c r="T378" s="470"/>
      <c r="U378" s="470"/>
      <c r="V378" s="132"/>
      <c r="W378" s="133"/>
      <c r="X378" s="132"/>
      <c r="Y378" s="132"/>
      <c r="Z378" s="132"/>
      <c r="AA378" s="132"/>
    </row>
    <row r="379" spans="1:27" ht="20.100000000000001" hidden="1" customHeight="1">
      <c r="A379" s="300">
        <v>30100027</v>
      </c>
      <c r="B379" s="465" t="s">
        <v>208</v>
      </c>
      <c r="C379" s="126" t="s">
        <v>179</v>
      </c>
      <c r="D379" s="108">
        <v>5.08</v>
      </c>
      <c r="E379" s="108"/>
      <c r="F379" s="127"/>
      <c r="G379" s="128"/>
      <c r="H379" s="466">
        <f t="shared" si="170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5"/>
        <v>0</v>
      </c>
      <c r="N379" s="130">
        <f t="shared" ref="N379:N394" si="179">SUM(O379:U379)</f>
        <v>0</v>
      </c>
      <c r="O379" s="470"/>
      <c r="P379" s="470"/>
      <c r="Q379" s="470"/>
      <c r="R379" s="470"/>
      <c r="S379" s="470"/>
      <c r="T379" s="470"/>
      <c r="U379" s="470"/>
      <c r="V379" s="132">
        <f t="shared" ref="V379:V390" si="180">SUM(X379:AA379)</f>
        <v>0</v>
      </c>
      <c r="W379" s="133" t="str">
        <f t="shared" ref="W379:W390" si="181">IF(ISERROR(V379/G379),"",V379/G379)</f>
        <v/>
      </c>
      <c r="X379" s="132"/>
      <c r="Y379" s="132"/>
      <c r="Z379" s="132"/>
      <c r="AA379" s="132"/>
    </row>
    <row r="380" spans="1:27" ht="20.100000000000001" hidden="1" customHeight="1">
      <c r="A380" s="300">
        <v>30100023</v>
      </c>
      <c r="B380" s="465" t="s">
        <v>208</v>
      </c>
      <c r="C380" s="126" t="s">
        <v>204</v>
      </c>
      <c r="D380" s="108">
        <v>5.08</v>
      </c>
      <c r="E380" s="108"/>
      <c r="F380" s="127"/>
      <c r="G380" s="128"/>
      <c r="H380" s="466">
        <f t="shared" si="170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5"/>
        <v>0</v>
      </c>
      <c r="N380" s="130">
        <f t="shared" si="179"/>
        <v>0</v>
      </c>
      <c r="O380" s="470"/>
      <c r="P380" s="470"/>
      <c r="Q380" s="470"/>
      <c r="R380" s="470"/>
      <c r="S380" s="470"/>
      <c r="T380" s="470"/>
      <c r="U380" s="470"/>
      <c r="V380" s="132">
        <f t="shared" si="180"/>
        <v>0</v>
      </c>
      <c r="W380" s="133" t="str">
        <f t="shared" si="181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30100024</v>
      </c>
      <c r="B381" s="465" t="s">
        <v>208</v>
      </c>
      <c r="C381" s="126" t="s">
        <v>205</v>
      </c>
      <c r="D381" s="108">
        <v>5.08</v>
      </c>
      <c r="E381" s="108"/>
      <c r="F381" s="127"/>
      <c r="G381" s="128"/>
      <c r="H381" s="466">
        <f t="shared" si="170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5"/>
        <v>0</v>
      </c>
      <c r="N381" s="130">
        <f t="shared" si="179"/>
        <v>0</v>
      </c>
      <c r="O381" s="470"/>
      <c r="P381" s="470"/>
      <c r="Q381" s="470"/>
      <c r="R381" s="470"/>
      <c r="S381" s="470"/>
      <c r="T381" s="470"/>
      <c r="U381" s="470"/>
      <c r="V381" s="132">
        <f t="shared" si="180"/>
        <v>0</v>
      </c>
      <c r="W381" s="133" t="str">
        <f t="shared" si="181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30100022</v>
      </c>
      <c r="B382" s="465" t="s">
        <v>208</v>
      </c>
      <c r="C382" s="126" t="s">
        <v>186</v>
      </c>
      <c r="D382" s="108">
        <v>5.08</v>
      </c>
      <c r="E382" s="108"/>
      <c r="F382" s="127"/>
      <c r="G382" s="128"/>
      <c r="H382" s="466">
        <f t="shared" si="170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5"/>
        <v>0</v>
      </c>
      <c r="N382" s="130">
        <f t="shared" si="179"/>
        <v>0</v>
      </c>
      <c r="O382" s="470"/>
      <c r="P382" s="470"/>
      <c r="Q382" s="470"/>
      <c r="R382" s="470"/>
      <c r="S382" s="470"/>
      <c r="T382" s="470"/>
      <c r="U382" s="470"/>
      <c r="V382" s="132">
        <f t="shared" si="180"/>
        <v>0</v>
      </c>
      <c r="W382" s="133" t="str">
        <f t="shared" si="181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30100029</v>
      </c>
      <c r="B383" s="465" t="s">
        <v>208</v>
      </c>
      <c r="C383" s="126" t="s">
        <v>203</v>
      </c>
      <c r="D383" s="108">
        <v>5.08</v>
      </c>
      <c r="E383" s="108"/>
      <c r="F383" s="127"/>
      <c r="G383" s="128"/>
      <c r="H383" s="466">
        <f t="shared" si="170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5"/>
        <v>0</v>
      </c>
      <c r="N383" s="130">
        <f t="shared" si="179"/>
        <v>0</v>
      </c>
      <c r="O383" s="470"/>
      <c r="P383" s="470"/>
      <c r="Q383" s="470"/>
      <c r="R383" s="470"/>
      <c r="S383" s="470"/>
      <c r="T383" s="470"/>
      <c r="U383" s="470"/>
      <c r="V383" s="132">
        <f t="shared" si="180"/>
        <v>0</v>
      </c>
      <c r="W383" s="133" t="str">
        <f t="shared" si="181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30100026</v>
      </c>
      <c r="B384" s="465" t="s">
        <v>208</v>
      </c>
      <c r="C384" s="126" t="s">
        <v>199</v>
      </c>
      <c r="D384" s="108">
        <v>5.08</v>
      </c>
      <c r="E384" s="108"/>
      <c r="F384" s="127"/>
      <c r="G384" s="128"/>
      <c r="H384" s="466">
        <f t="shared" si="170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5"/>
        <v>0</v>
      </c>
      <c r="N384" s="130">
        <f t="shared" si="179"/>
        <v>0</v>
      </c>
      <c r="O384" s="474"/>
      <c r="P384" s="474"/>
      <c r="Q384" s="474"/>
      <c r="R384" s="474"/>
      <c r="S384" s="474"/>
      <c r="T384" s="474"/>
      <c r="U384" s="474"/>
      <c r="V384" s="132">
        <f t="shared" si="180"/>
        <v>0</v>
      </c>
      <c r="W384" s="133" t="str">
        <f t="shared" si="181"/>
        <v/>
      </c>
      <c r="X384" s="132"/>
      <c r="Y384" s="132"/>
      <c r="Z384" s="132"/>
      <c r="AA384" s="132"/>
    </row>
    <row r="385" spans="1:27" ht="20.100000000000001" hidden="1" customHeight="1">
      <c r="A385" s="300">
        <v>30100025</v>
      </c>
      <c r="B385" s="465" t="s">
        <v>208</v>
      </c>
      <c r="C385" s="126" t="s">
        <v>187</v>
      </c>
      <c r="D385" s="108">
        <v>5.08</v>
      </c>
      <c r="E385" s="108"/>
      <c r="F385" s="127"/>
      <c r="G385" s="128"/>
      <c r="H385" s="466">
        <f t="shared" si="170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5"/>
        <v>0</v>
      </c>
      <c r="N385" s="130">
        <f t="shared" si="179"/>
        <v>0</v>
      </c>
      <c r="O385" s="470"/>
      <c r="P385" s="470"/>
      <c r="Q385" s="470"/>
      <c r="R385" s="470"/>
      <c r="S385" s="470"/>
      <c r="T385" s="470"/>
      <c r="U385" s="470"/>
      <c r="V385" s="132">
        <f t="shared" si="180"/>
        <v>0</v>
      </c>
      <c r="W385" s="133" t="str">
        <f t="shared" si="181"/>
        <v/>
      </c>
      <c r="X385" s="132"/>
      <c r="Y385" s="132"/>
      <c r="Z385" s="132"/>
      <c r="AA385" s="132"/>
    </row>
    <row r="386" spans="1:27" ht="20.100000000000001" hidden="1" customHeight="1">
      <c r="A386" s="300">
        <v>30100028</v>
      </c>
      <c r="B386" s="465" t="s">
        <v>208</v>
      </c>
      <c r="C386" s="126" t="s">
        <v>207</v>
      </c>
      <c r="D386" s="108">
        <v>5.08</v>
      </c>
      <c r="E386" s="108"/>
      <c r="F386" s="127"/>
      <c r="G386" s="128"/>
      <c r="H386" s="466">
        <f t="shared" si="170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5"/>
        <v>0</v>
      </c>
      <c r="N386" s="130">
        <f t="shared" si="179"/>
        <v>0</v>
      </c>
      <c r="O386" s="474"/>
      <c r="P386" s="474"/>
      <c r="Q386" s="474"/>
      <c r="R386" s="474"/>
      <c r="S386" s="474"/>
      <c r="T386" s="474"/>
      <c r="U386" s="474"/>
      <c r="V386" s="132">
        <f t="shared" si="180"/>
        <v>0</v>
      </c>
      <c r="W386" s="133" t="str">
        <f t="shared" si="181"/>
        <v/>
      </c>
      <c r="X386" s="132"/>
      <c r="Y386" s="132"/>
      <c r="Z386" s="132"/>
      <c r="AA386" s="132"/>
    </row>
    <row r="387" spans="1:27" ht="20.100000000000001" hidden="1" customHeight="1">
      <c r="A387" s="300">
        <v>30100032</v>
      </c>
      <c r="B387" s="465" t="s">
        <v>209</v>
      </c>
      <c r="C387" s="126" t="s">
        <v>194</v>
      </c>
      <c r="D387" s="108">
        <v>5.03</v>
      </c>
      <c r="E387" s="108"/>
      <c r="F387" s="127"/>
      <c r="G387" s="128"/>
      <c r="H387" s="466">
        <f t="shared" si="170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5"/>
        <v>0</v>
      </c>
      <c r="N387" s="130">
        <f t="shared" si="179"/>
        <v>0</v>
      </c>
      <c r="O387" s="470"/>
      <c r="P387" s="470"/>
      <c r="Q387" s="470"/>
      <c r="R387" s="470"/>
      <c r="S387" s="470"/>
      <c r="T387" s="470"/>
      <c r="U387" s="470"/>
      <c r="V387" s="132">
        <f t="shared" si="180"/>
        <v>0</v>
      </c>
      <c r="W387" s="133" t="str">
        <f t="shared" si="181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30100033</v>
      </c>
      <c r="B388" s="465" t="s">
        <v>209</v>
      </c>
      <c r="C388" s="126" t="s">
        <v>179</v>
      </c>
      <c r="D388" s="108">
        <v>5.03</v>
      </c>
      <c r="E388" s="108"/>
      <c r="F388" s="127"/>
      <c r="G388" s="128"/>
      <c r="H388" s="466">
        <f t="shared" si="170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5"/>
        <v>0</v>
      </c>
      <c r="N388" s="130">
        <f t="shared" si="179"/>
        <v>0</v>
      </c>
      <c r="O388" s="470"/>
      <c r="P388" s="470"/>
      <c r="Q388" s="470"/>
      <c r="R388" s="470"/>
      <c r="S388" s="470"/>
      <c r="T388" s="470"/>
      <c r="U388" s="470"/>
      <c r="V388" s="132">
        <f t="shared" si="180"/>
        <v>0</v>
      </c>
      <c r="W388" s="133" t="str">
        <f t="shared" si="181"/>
        <v/>
      </c>
      <c r="X388" s="132"/>
      <c r="Y388" s="132"/>
      <c r="Z388" s="132"/>
      <c r="AA388" s="132"/>
    </row>
    <row r="389" spans="1:27" ht="20.100000000000001" hidden="1" customHeight="1">
      <c r="A389" s="300">
        <v>30100062</v>
      </c>
      <c r="B389" s="465" t="s">
        <v>209</v>
      </c>
      <c r="C389" s="126" t="s">
        <v>195</v>
      </c>
      <c r="D389" s="108">
        <v>5.03</v>
      </c>
      <c r="E389" s="108"/>
      <c r="F389" s="127"/>
      <c r="G389" s="128"/>
      <c r="H389" s="466">
        <f t="shared" si="170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5"/>
        <v>0</v>
      </c>
      <c r="N389" s="130">
        <f t="shared" si="179"/>
        <v>0</v>
      </c>
      <c r="O389" s="470"/>
      <c r="P389" s="470"/>
      <c r="Q389" s="470"/>
      <c r="R389" s="470"/>
      <c r="S389" s="470"/>
      <c r="T389" s="470"/>
      <c r="U389" s="470"/>
      <c r="V389" s="132">
        <f t="shared" si="180"/>
        <v>0</v>
      </c>
      <c r="W389" s="133" t="str">
        <f t="shared" si="181"/>
        <v/>
      </c>
      <c r="X389" s="132"/>
      <c r="Y389" s="132"/>
      <c r="Z389" s="132"/>
      <c r="AA389" s="132"/>
    </row>
    <row r="390" spans="1:27" ht="20.100000000000001" hidden="1" customHeight="1">
      <c r="A390" s="300">
        <v>30100031</v>
      </c>
      <c r="B390" s="465" t="s">
        <v>209</v>
      </c>
      <c r="C390" s="126" t="s">
        <v>204</v>
      </c>
      <c r="D390" s="108">
        <v>5.03</v>
      </c>
      <c r="E390" s="108"/>
      <c r="F390" s="127"/>
      <c r="G390" s="128"/>
      <c r="H390" s="466">
        <f t="shared" si="170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5"/>
        <v>0</v>
      </c>
      <c r="N390" s="130">
        <f t="shared" si="179"/>
        <v>0</v>
      </c>
      <c r="O390" s="470"/>
      <c r="P390" s="470"/>
      <c r="Q390" s="470"/>
      <c r="R390" s="470"/>
      <c r="S390" s="470"/>
      <c r="T390" s="470"/>
      <c r="U390" s="470"/>
      <c r="V390" s="132">
        <f t="shared" si="180"/>
        <v>0</v>
      </c>
      <c r="W390" s="133" t="str">
        <f t="shared" si="181"/>
        <v/>
      </c>
      <c r="X390" s="132"/>
      <c r="Y390" s="132"/>
      <c r="Z390" s="132"/>
      <c r="AA390" s="132"/>
    </row>
    <row r="391" spans="1:27" ht="20.100000000000001" hidden="1" customHeight="1">
      <c r="A391" s="300">
        <v>30100019</v>
      </c>
      <c r="B391" s="465" t="s">
        <v>382</v>
      </c>
      <c r="C391" s="187" t="s">
        <v>383</v>
      </c>
      <c r="D391" s="108">
        <v>5.03</v>
      </c>
      <c r="E391" s="108"/>
      <c r="F391" s="127"/>
      <c r="G391" s="128"/>
      <c r="H391" s="466">
        <f t="shared" si="170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5"/>
        <v>0</v>
      </c>
      <c r="N391" s="130">
        <f t="shared" si="179"/>
        <v>0</v>
      </c>
      <c r="O391" s="470"/>
      <c r="P391" s="470"/>
      <c r="Q391" s="470"/>
      <c r="R391" s="470"/>
      <c r="S391" s="470"/>
      <c r="T391" s="470"/>
      <c r="U391" s="470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30100020</v>
      </c>
      <c r="B392" s="465" t="s">
        <v>382</v>
      </c>
      <c r="C392" s="187" t="s">
        <v>384</v>
      </c>
      <c r="D392" s="108">
        <v>5.03</v>
      </c>
      <c r="E392" s="108"/>
      <c r="F392" s="127"/>
      <c r="G392" s="128"/>
      <c r="H392" s="466">
        <f t="shared" si="170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5"/>
        <v>0</v>
      </c>
      <c r="N392" s="130">
        <f t="shared" si="179"/>
        <v>0</v>
      </c>
      <c r="O392" s="470"/>
      <c r="P392" s="470"/>
      <c r="Q392" s="470"/>
      <c r="R392" s="470"/>
      <c r="S392" s="470"/>
      <c r="T392" s="470"/>
      <c r="U392" s="470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0">
        <v>30100021</v>
      </c>
      <c r="B393" s="465" t="s">
        <v>382</v>
      </c>
      <c r="C393" s="187" t="s">
        <v>389</v>
      </c>
      <c r="D393" s="108">
        <v>5.03</v>
      </c>
      <c r="E393" s="108"/>
      <c r="F393" s="127"/>
      <c r="G393" s="128"/>
      <c r="H393" s="466">
        <f t="shared" si="170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5"/>
        <v>0</v>
      </c>
      <c r="N393" s="130">
        <f t="shared" si="179"/>
        <v>0</v>
      </c>
      <c r="O393" s="470"/>
      <c r="P393" s="470"/>
      <c r="Q393" s="470"/>
      <c r="R393" s="470"/>
      <c r="S393" s="470"/>
      <c r="T393" s="470"/>
      <c r="U393" s="470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0">
        <v>30100018</v>
      </c>
      <c r="B394" s="465" t="s">
        <v>382</v>
      </c>
      <c r="C394" s="187" t="s">
        <v>391</v>
      </c>
      <c r="D394" s="108">
        <v>5.03</v>
      </c>
      <c r="E394" s="108"/>
      <c r="F394" s="127"/>
      <c r="G394" s="128"/>
      <c r="H394" s="466">
        <f t="shared" si="170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5"/>
        <v>0</v>
      </c>
      <c r="N394" s="130">
        <f t="shared" si="179"/>
        <v>0</v>
      </c>
      <c r="O394" s="470"/>
      <c r="P394" s="470"/>
      <c r="Q394" s="470"/>
      <c r="R394" s="470"/>
      <c r="S394" s="470"/>
      <c r="T394" s="470"/>
      <c r="U394" s="470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30700007</v>
      </c>
      <c r="B395" s="465" t="s">
        <v>418</v>
      </c>
      <c r="C395" s="187" t="s">
        <v>364</v>
      </c>
      <c r="D395" s="108">
        <v>5.03</v>
      </c>
      <c r="E395" s="108"/>
      <c r="F395" s="127"/>
      <c r="G395" s="128"/>
      <c r="H395" s="466">
        <f t="shared" si="170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5"/>
        <v>0</v>
      </c>
      <c r="N395" s="130"/>
      <c r="O395" s="470"/>
      <c r="P395" s="470"/>
      <c r="Q395" s="470"/>
      <c r="R395" s="470"/>
      <c r="S395" s="470"/>
      <c r="T395" s="470"/>
      <c r="U395" s="470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30700006</v>
      </c>
      <c r="B396" s="465" t="s">
        <v>418</v>
      </c>
      <c r="C396" s="187" t="s">
        <v>365</v>
      </c>
      <c r="D396" s="108">
        <v>5.03</v>
      </c>
      <c r="E396" s="108"/>
      <c r="F396" s="127"/>
      <c r="G396" s="128"/>
      <c r="H396" s="466">
        <f t="shared" si="170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5"/>
        <v>0</v>
      </c>
      <c r="N396" s="130"/>
      <c r="O396" s="470"/>
      <c r="P396" s="470"/>
      <c r="Q396" s="470"/>
      <c r="R396" s="470"/>
      <c r="S396" s="470"/>
      <c r="T396" s="470"/>
      <c r="U396" s="470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3">
        <v>30700008</v>
      </c>
      <c r="B397" s="465" t="s">
        <v>418</v>
      </c>
      <c r="C397" s="187" t="s">
        <v>366</v>
      </c>
      <c r="D397" s="108">
        <v>5.03</v>
      </c>
      <c r="E397" s="108"/>
      <c r="F397" s="127"/>
      <c r="G397" s="128"/>
      <c r="H397" s="466">
        <f t="shared" si="170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5"/>
        <v>0</v>
      </c>
      <c r="N397" s="130"/>
      <c r="O397" s="470"/>
      <c r="P397" s="470"/>
      <c r="Q397" s="470"/>
      <c r="R397" s="470"/>
      <c r="S397" s="470"/>
      <c r="T397" s="470"/>
      <c r="U397" s="470"/>
      <c r="V397" s="132"/>
      <c r="W397" s="133"/>
      <c r="X397" s="132"/>
      <c r="Y397" s="132"/>
      <c r="Z397" s="132"/>
      <c r="AA397" s="132"/>
    </row>
    <row r="398" spans="1:27" ht="20.100000000000001" hidden="1" customHeight="1">
      <c r="A398" s="303">
        <v>30700009</v>
      </c>
      <c r="B398" s="465" t="s">
        <v>418</v>
      </c>
      <c r="C398" s="187" t="s">
        <v>367</v>
      </c>
      <c r="D398" s="108">
        <v>5.03</v>
      </c>
      <c r="E398" s="108"/>
      <c r="F398" s="127"/>
      <c r="G398" s="128"/>
      <c r="H398" s="466">
        <f t="shared" si="170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5"/>
        <v>0</v>
      </c>
      <c r="N398" s="130"/>
      <c r="O398" s="470"/>
      <c r="P398" s="470"/>
      <c r="Q398" s="470"/>
      <c r="R398" s="470"/>
      <c r="S398" s="470"/>
      <c r="T398" s="470"/>
      <c r="U398" s="470"/>
      <c r="V398" s="132"/>
      <c r="W398" s="133"/>
      <c r="X398" s="132"/>
      <c r="Y398" s="132"/>
      <c r="Z398" s="132"/>
      <c r="AA398" s="132"/>
    </row>
    <row r="399" spans="1:27" ht="20.100000000000001" hidden="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28"/>
      <c r="H399" s="466">
        <f t="shared" si="170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5"/>
        <v>0</v>
      </c>
      <c r="N399" s="130">
        <f t="shared" ref="N399:N408" si="182">SUM(O399:U399)</f>
        <v>0</v>
      </c>
      <c r="O399" s="474"/>
      <c r="P399" s="474"/>
      <c r="Q399" s="474"/>
      <c r="R399" s="474"/>
      <c r="S399" s="474"/>
      <c r="T399" s="474"/>
      <c r="U399" s="474"/>
      <c r="V399" s="132">
        <f t="shared" ref="V399:V408" si="183">SUM(X399:AA399)</f>
        <v>0</v>
      </c>
      <c r="W399" s="133" t="str">
        <f t="shared" ref="W399:W408" si="184">IF(ISERROR(V399/G399),"",V399/G399)</f>
        <v/>
      </c>
      <c r="X399" s="132"/>
      <c r="Y399" s="132"/>
      <c r="Z399" s="132"/>
      <c r="AA399" s="132"/>
    </row>
    <row r="400" spans="1:27" ht="20.100000000000001" hidden="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28"/>
      <c r="H400" s="466">
        <f t="shared" si="170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75"/>
        <v>0</v>
      </c>
      <c r="N400" s="130">
        <f t="shared" si="182"/>
        <v>0</v>
      </c>
      <c r="O400" s="474"/>
      <c r="P400" s="474"/>
      <c r="Q400" s="474"/>
      <c r="R400" s="474"/>
      <c r="S400" s="474"/>
      <c r="T400" s="474"/>
      <c r="U400" s="474"/>
      <c r="V400" s="132">
        <f t="shared" si="183"/>
        <v>0</v>
      </c>
      <c r="W400" s="133" t="str">
        <f t="shared" si="184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28"/>
      <c r="H401" s="466">
        <f t="shared" si="170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75"/>
        <v>0</v>
      </c>
      <c r="N401" s="130">
        <f t="shared" si="182"/>
        <v>0</v>
      </c>
      <c r="O401" s="474"/>
      <c r="P401" s="474"/>
      <c r="Q401" s="474"/>
      <c r="R401" s="474"/>
      <c r="S401" s="474"/>
      <c r="T401" s="474"/>
      <c r="U401" s="474"/>
      <c r="V401" s="132">
        <f t="shared" si="183"/>
        <v>0</v>
      </c>
      <c r="W401" s="133" t="str">
        <f t="shared" si="184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28"/>
      <c r="H402" s="466">
        <f t="shared" si="170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5"/>
        <v>0</v>
      </c>
      <c r="N402" s="130">
        <f t="shared" si="182"/>
        <v>0</v>
      </c>
      <c r="O402" s="474"/>
      <c r="P402" s="474"/>
      <c r="Q402" s="474"/>
      <c r="R402" s="474"/>
      <c r="S402" s="474"/>
      <c r="T402" s="474"/>
      <c r="U402" s="474"/>
      <c r="V402" s="132">
        <f t="shared" si="183"/>
        <v>0</v>
      </c>
      <c r="W402" s="133" t="str">
        <f t="shared" si="184"/>
        <v/>
      </c>
      <c r="X402" s="132"/>
      <c r="Y402" s="132"/>
      <c r="Z402" s="132"/>
      <c r="AA402" s="132"/>
    </row>
    <row r="403" spans="1:27" ht="20.100000000000001" hidden="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28"/>
      <c r="H403" s="466">
        <f t="shared" si="170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5"/>
        <v>0</v>
      </c>
      <c r="N403" s="130">
        <f t="shared" si="182"/>
        <v>0</v>
      </c>
      <c r="O403" s="474"/>
      <c r="P403" s="474"/>
      <c r="Q403" s="474"/>
      <c r="R403" s="474"/>
      <c r="S403" s="474"/>
      <c r="T403" s="474"/>
      <c r="U403" s="474"/>
      <c r="V403" s="132">
        <f t="shared" si="183"/>
        <v>0</v>
      </c>
      <c r="W403" s="133" t="str">
        <f t="shared" si="184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28"/>
      <c r="H404" s="466">
        <f t="shared" si="170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5"/>
        <v>0</v>
      </c>
      <c r="N404" s="130">
        <f t="shared" si="182"/>
        <v>0</v>
      </c>
      <c r="O404" s="474"/>
      <c r="P404" s="474"/>
      <c r="Q404" s="474"/>
      <c r="R404" s="474"/>
      <c r="S404" s="474"/>
      <c r="T404" s="474"/>
      <c r="U404" s="474"/>
      <c r="V404" s="132">
        <f t="shared" si="183"/>
        <v>0</v>
      </c>
      <c r="W404" s="133" t="str">
        <f t="shared" si="184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28"/>
      <c r="H405" s="466">
        <f t="shared" si="170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5"/>
        <v>0</v>
      </c>
      <c r="N405" s="130">
        <f t="shared" si="182"/>
        <v>0</v>
      </c>
      <c r="O405" s="474"/>
      <c r="P405" s="474"/>
      <c r="Q405" s="474"/>
      <c r="R405" s="474"/>
      <c r="S405" s="474"/>
      <c r="T405" s="474"/>
      <c r="U405" s="474"/>
      <c r="V405" s="132">
        <f t="shared" si="183"/>
        <v>0</v>
      </c>
      <c r="W405" s="133" t="str">
        <f t="shared" si="184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28"/>
      <c r="H406" s="466">
        <f t="shared" si="170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5"/>
        <v>0</v>
      </c>
      <c r="N406" s="130">
        <f t="shared" si="182"/>
        <v>0</v>
      </c>
      <c r="O406" s="474"/>
      <c r="P406" s="474"/>
      <c r="Q406" s="474"/>
      <c r="R406" s="474"/>
      <c r="S406" s="474"/>
      <c r="T406" s="474"/>
      <c r="U406" s="474"/>
      <c r="V406" s="132">
        <f t="shared" si="183"/>
        <v>0</v>
      </c>
      <c r="W406" s="133" t="str">
        <f t="shared" si="184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28"/>
      <c r="H407" s="466">
        <f t="shared" si="170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75"/>
        <v>0</v>
      </c>
      <c r="N407" s="130">
        <f t="shared" si="182"/>
        <v>0</v>
      </c>
      <c r="O407" s="474"/>
      <c r="P407" s="474"/>
      <c r="Q407" s="474"/>
      <c r="R407" s="474"/>
      <c r="S407" s="474"/>
      <c r="T407" s="474"/>
      <c r="U407" s="474"/>
      <c r="V407" s="132">
        <f t="shared" si="183"/>
        <v>0</v>
      </c>
      <c r="W407" s="133" t="str">
        <f t="shared" si="184"/>
        <v/>
      </c>
      <c r="X407" s="132"/>
      <c r="Y407" s="132"/>
      <c r="Z407" s="132"/>
      <c r="AA407" s="132"/>
    </row>
    <row r="408" spans="1:27" ht="20.100000000000001" hidden="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28"/>
      <c r="H408" s="466">
        <f t="shared" si="170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75"/>
        <v>0</v>
      </c>
      <c r="N408" s="130">
        <f t="shared" si="182"/>
        <v>0</v>
      </c>
      <c r="O408" s="474"/>
      <c r="P408" s="474"/>
      <c r="Q408" s="474"/>
      <c r="R408" s="474"/>
      <c r="S408" s="474"/>
      <c r="T408" s="474"/>
      <c r="U408" s="474"/>
      <c r="V408" s="132">
        <f t="shared" si="183"/>
        <v>0</v>
      </c>
      <c r="W408" s="133" t="str">
        <f t="shared" si="184"/>
        <v/>
      </c>
      <c r="X408" s="132"/>
      <c r="Y408" s="132"/>
      <c r="Z408" s="132"/>
      <c r="AA408" s="132"/>
    </row>
    <row r="409" spans="1:27" ht="20.100000000000001" hidden="1" customHeight="1">
      <c r="A409" s="300">
        <v>30100043</v>
      </c>
      <c r="B409" s="134" t="s">
        <v>429</v>
      </c>
      <c r="C409" s="187" t="s">
        <v>427</v>
      </c>
      <c r="D409" s="108">
        <v>50.3</v>
      </c>
      <c r="E409" s="108"/>
      <c r="F409" s="127"/>
      <c r="G409" s="128"/>
      <c r="H409" s="466">
        <f t="shared" si="170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474"/>
      <c r="P409" s="474"/>
      <c r="Q409" s="474"/>
      <c r="R409" s="474"/>
      <c r="S409" s="474"/>
      <c r="T409" s="474"/>
      <c r="U409" s="474"/>
      <c r="V409" s="132"/>
      <c r="W409" s="133"/>
      <c r="X409" s="132"/>
      <c r="Y409" s="132"/>
      <c r="Z409" s="132"/>
      <c r="AA409" s="132"/>
    </row>
    <row r="410" spans="1:27" ht="20.100000000000001" hidden="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28"/>
      <c r="H410" s="466">
        <f t="shared" si="170"/>
        <v>0</v>
      </c>
      <c r="I410" s="129"/>
      <c r="J410" s="130"/>
      <c r="K410" s="131"/>
      <c r="L410" s="129">
        <v>50</v>
      </c>
      <c r="M410" s="109"/>
      <c r="N410" s="130"/>
      <c r="O410" s="474"/>
      <c r="P410" s="474"/>
      <c r="Q410" s="474"/>
      <c r="R410" s="474"/>
      <c r="S410" s="474"/>
      <c r="T410" s="474"/>
      <c r="U410" s="474"/>
      <c r="V410" s="132"/>
      <c r="W410" s="133"/>
      <c r="X410" s="132"/>
      <c r="Y410" s="132"/>
      <c r="Z410" s="132"/>
      <c r="AA410" s="132"/>
    </row>
    <row r="411" spans="1:27" ht="20.100000000000001" hidden="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28"/>
      <c r="H411" s="466">
        <f t="shared" si="170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5">IF(ISERROR(I411-K411),"",I411-K411)</f>
        <v>0</v>
      </c>
      <c r="N411" s="130">
        <f t="shared" ref="N411:N412" si="186">SUM(O411:U411)</f>
        <v>0</v>
      </c>
      <c r="O411" s="474"/>
      <c r="P411" s="474"/>
      <c r="Q411" s="474"/>
      <c r="R411" s="474"/>
      <c r="S411" s="474"/>
      <c r="T411" s="474"/>
      <c r="U411" s="474"/>
      <c r="V411" s="132">
        <f t="shared" ref="V411:V412" si="187">SUM(X411:AA411)</f>
        <v>0</v>
      </c>
      <c r="W411" s="133" t="str">
        <f t="shared" ref="W411:W412" si="188">IF(ISERROR(V411/G411),"",V411/G411)</f>
        <v/>
      </c>
      <c r="X411" s="132"/>
      <c r="Y411" s="132"/>
      <c r="Z411" s="132"/>
      <c r="AA411" s="132"/>
    </row>
    <row r="412" spans="1:27" ht="20.100000000000001" hidden="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28"/>
      <c r="H412" s="466">
        <f t="shared" si="170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5"/>
        <v>0</v>
      </c>
      <c r="N412" s="130">
        <f t="shared" si="186"/>
        <v>0</v>
      </c>
      <c r="O412" s="474"/>
      <c r="P412" s="474"/>
      <c r="Q412" s="474"/>
      <c r="R412" s="474"/>
      <c r="S412" s="474"/>
      <c r="T412" s="474"/>
      <c r="U412" s="474"/>
      <c r="V412" s="132">
        <f t="shared" si="187"/>
        <v>0</v>
      </c>
      <c r="W412" s="133" t="str">
        <f t="shared" si="188"/>
        <v/>
      </c>
      <c r="X412" s="132"/>
      <c r="Y412" s="132"/>
      <c r="Z412" s="132"/>
      <c r="AA412" s="132"/>
    </row>
    <row r="413" spans="1:27" ht="20.100000000000001" hidden="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28"/>
      <c r="H413" s="466">
        <f t="shared" si="170"/>
        <v>0</v>
      </c>
      <c r="I413" s="129"/>
      <c r="J413" s="130"/>
      <c r="K413" s="131"/>
      <c r="L413" s="129"/>
      <c r="M413" s="109"/>
      <c r="N413" s="130"/>
      <c r="O413" s="474"/>
      <c r="P413" s="474"/>
      <c r="Q413" s="474"/>
      <c r="R413" s="474"/>
      <c r="S413" s="474"/>
      <c r="T413" s="474"/>
      <c r="U413" s="474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28"/>
      <c r="H414" s="466">
        <f t="shared" si="170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89">IF(ISERROR(I414-K414),"",I414-K414)</f>
        <v/>
      </c>
      <c r="N414" s="130">
        <f t="shared" ref="N414:N417" si="190">SUM(O414:U414)</f>
        <v>0</v>
      </c>
      <c r="O414" s="474"/>
      <c r="P414" s="474"/>
      <c r="Q414" s="474"/>
      <c r="R414" s="474"/>
      <c r="S414" s="474"/>
      <c r="T414" s="474"/>
      <c r="U414" s="474"/>
      <c r="V414" s="132">
        <f t="shared" ref="V414:V417" si="191">SUM(X414:AA414)</f>
        <v>0</v>
      </c>
      <c r="W414" s="133" t="str">
        <f t="shared" ref="W414:W417" si="192">IF(ISERROR(V414/G414),"",V414/G414)</f>
        <v/>
      </c>
      <c r="X414" s="132"/>
      <c r="Y414" s="132"/>
      <c r="Z414" s="132"/>
      <c r="AA414" s="132"/>
    </row>
    <row r="415" spans="1:27" ht="20.100000000000001" hidden="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28"/>
      <c r="H415" s="466">
        <f t="shared" si="170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89"/>
        <v/>
      </c>
      <c r="N415" s="130">
        <f t="shared" si="190"/>
        <v>0</v>
      </c>
      <c r="O415" s="474"/>
      <c r="P415" s="474"/>
      <c r="Q415" s="474"/>
      <c r="R415" s="474"/>
      <c r="S415" s="474"/>
      <c r="T415" s="474"/>
      <c r="U415" s="474"/>
      <c r="V415" s="132">
        <f t="shared" si="191"/>
        <v>0</v>
      </c>
      <c r="W415" s="133" t="str">
        <f t="shared" si="192"/>
        <v/>
      </c>
      <c r="X415" s="132"/>
      <c r="Y415" s="132"/>
      <c r="Z415" s="132"/>
      <c r="AA415" s="132"/>
    </row>
    <row r="416" spans="1:27" ht="20.100000000000001" hidden="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28"/>
      <c r="H416" s="466">
        <f t="shared" si="170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89"/>
        <v/>
      </c>
      <c r="N416" s="130">
        <f t="shared" si="190"/>
        <v>0</v>
      </c>
      <c r="O416" s="474"/>
      <c r="P416" s="474"/>
      <c r="Q416" s="474"/>
      <c r="R416" s="474"/>
      <c r="S416" s="474"/>
      <c r="T416" s="474"/>
      <c r="U416" s="474"/>
      <c r="V416" s="132">
        <f t="shared" si="191"/>
        <v>0</v>
      </c>
      <c r="W416" s="133" t="str">
        <f t="shared" si="192"/>
        <v/>
      </c>
      <c r="X416" s="132"/>
      <c r="Y416" s="132"/>
      <c r="Z416" s="132"/>
      <c r="AA416" s="132"/>
    </row>
    <row r="417" spans="1:27" ht="20.100000000000001" hidden="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28"/>
      <c r="H417" s="466">
        <f t="shared" si="170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89"/>
        <v/>
      </c>
      <c r="N417" s="130">
        <f t="shared" si="190"/>
        <v>0</v>
      </c>
      <c r="O417" s="474"/>
      <c r="P417" s="474"/>
      <c r="Q417" s="474"/>
      <c r="R417" s="474"/>
      <c r="S417" s="474"/>
      <c r="T417" s="474"/>
      <c r="U417" s="474"/>
      <c r="V417" s="132">
        <f t="shared" si="191"/>
        <v>0</v>
      </c>
      <c r="W417" s="133" t="str">
        <f t="shared" si="192"/>
        <v/>
      </c>
      <c r="X417" s="132"/>
      <c r="Y417" s="132"/>
      <c r="Z417" s="132"/>
      <c r="AA417" s="132"/>
    </row>
    <row r="418" spans="1:27" ht="20.100000000000001" hidden="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28"/>
      <c r="H418" s="466">
        <f t="shared" si="170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89"/>
        <v>0</v>
      </c>
      <c r="N418" s="130"/>
      <c r="O418" s="474"/>
      <c r="P418" s="474"/>
      <c r="Q418" s="474"/>
      <c r="R418" s="474"/>
      <c r="S418" s="474"/>
      <c r="T418" s="474"/>
      <c r="U418" s="474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28"/>
      <c r="H419" s="466">
        <f t="shared" si="170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89"/>
        <v>0</v>
      </c>
      <c r="N419" s="130"/>
      <c r="O419" s="474"/>
      <c r="P419" s="474"/>
      <c r="Q419" s="474"/>
      <c r="R419" s="474"/>
      <c r="S419" s="474"/>
      <c r="T419" s="474"/>
      <c r="U419" s="474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28"/>
      <c r="H420" s="466">
        <f t="shared" si="170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89"/>
        <v>0</v>
      </c>
      <c r="N420" s="130"/>
      <c r="O420" s="474"/>
      <c r="P420" s="474"/>
      <c r="Q420" s="474"/>
      <c r="R420" s="474"/>
      <c r="S420" s="474"/>
      <c r="T420" s="474"/>
      <c r="U420" s="474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28"/>
      <c r="H421" s="466">
        <f t="shared" si="170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89"/>
        <v>0</v>
      </c>
      <c r="N421" s="130"/>
      <c r="O421" s="474"/>
      <c r="P421" s="474"/>
      <c r="Q421" s="474"/>
      <c r="R421" s="474"/>
      <c r="S421" s="474"/>
      <c r="T421" s="474"/>
      <c r="U421" s="474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28"/>
      <c r="H422" s="466">
        <f t="shared" si="170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89"/>
        <v>0</v>
      </c>
      <c r="N422" s="130"/>
      <c r="O422" s="474"/>
      <c r="P422" s="474"/>
      <c r="Q422" s="474"/>
      <c r="R422" s="474"/>
      <c r="S422" s="474"/>
      <c r="T422" s="474"/>
      <c r="U422" s="474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28"/>
      <c r="H423" s="466">
        <f t="shared" si="170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89"/>
        <v>0</v>
      </c>
      <c r="N423" s="130"/>
      <c r="O423" s="474"/>
      <c r="P423" s="474"/>
      <c r="Q423" s="474"/>
      <c r="R423" s="474"/>
      <c r="S423" s="474"/>
      <c r="T423" s="474"/>
      <c r="U423" s="474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28"/>
      <c r="H424" s="466">
        <f t="shared" si="170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89"/>
        <v>0</v>
      </c>
      <c r="N424" s="130"/>
      <c r="O424" s="474"/>
      <c r="P424" s="474"/>
      <c r="Q424" s="474"/>
      <c r="R424" s="474"/>
      <c r="S424" s="474"/>
      <c r="T424" s="474"/>
      <c r="U424" s="474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28"/>
      <c r="H425" s="466">
        <f t="shared" si="170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89"/>
        <v>0</v>
      </c>
      <c r="N425" s="130"/>
      <c r="O425" s="474"/>
      <c r="P425" s="474"/>
      <c r="Q425" s="474"/>
      <c r="R425" s="474"/>
      <c r="S425" s="474"/>
      <c r="T425" s="474"/>
      <c r="U425" s="474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28"/>
      <c r="H426" s="466">
        <f t="shared" si="170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89"/>
        <v>0</v>
      </c>
      <c r="N426" s="130"/>
      <c r="O426" s="474"/>
      <c r="P426" s="474"/>
      <c r="Q426" s="474"/>
      <c r="R426" s="474"/>
      <c r="S426" s="474"/>
      <c r="T426" s="474"/>
      <c r="U426" s="474"/>
      <c r="V426" s="132"/>
      <c r="W426" s="133"/>
      <c r="X426" s="132"/>
      <c r="Y426" s="132"/>
      <c r="Z426" s="132"/>
      <c r="AA426" s="132"/>
    </row>
    <row r="427" spans="1:27" ht="20.100000000000001" hidden="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28"/>
      <c r="H427" s="466">
        <f t="shared" si="170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89"/>
        <v>0</v>
      </c>
      <c r="N427" s="130"/>
      <c r="O427" s="474"/>
      <c r="P427" s="474"/>
      <c r="Q427" s="474"/>
      <c r="R427" s="474"/>
      <c r="S427" s="474"/>
      <c r="T427" s="474"/>
      <c r="U427" s="474"/>
      <c r="V427" s="132"/>
      <c r="W427" s="133"/>
      <c r="X427" s="132"/>
      <c r="Y427" s="132"/>
      <c r="Z427" s="132"/>
      <c r="AA427" s="132"/>
    </row>
    <row r="428" spans="1:27" ht="20.100000000000001" hidden="1" customHeight="1">
      <c r="A428" s="589" t="s">
        <v>216</v>
      </c>
      <c r="B428" s="589"/>
      <c r="C428" s="475" t="s">
        <v>202</v>
      </c>
      <c r="D428" s="143"/>
      <c r="E428" s="143"/>
      <c r="F428" s="144"/>
      <c r="G428" s="145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3">SUM(M371:M427)</f>
        <v>0</v>
      </c>
      <c r="N428" s="146">
        <f t="shared" si="193"/>
        <v>0</v>
      </c>
      <c r="O428" s="148">
        <f t="shared" si="193"/>
        <v>0</v>
      </c>
      <c r="P428" s="148">
        <f t="shared" si="193"/>
        <v>0</v>
      </c>
      <c r="Q428" s="148">
        <f t="shared" si="193"/>
        <v>0</v>
      </c>
      <c r="R428" s="148">
        <f t="shared" si="193"/>
        <v>0</v>
      </c>
      <c r="S428" s="148">
        <f t="shared" si="193"/>
        <v>0</v>
      </c>
      <c r="T428" s="148">
        <f t="shared" si="193"/>
        <v>0</v>
      </c>
      <c r="U428" s="148">
        <f t="shared" si="193"/>
        <v>0</v>
      </c>
      <c r="V428" s="149">
        <f t="shared" si="193"/>
        <v>0</v>
      </c>
      <c r="W428" s="133" t="str">
        <f t="shared" ref="W428:W435" si="194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hidden="1" customHeight="1">
      <c r="A429" s="299">
        <v>30400012</v>
      </c>
      <c r="B429" s="465" t="s">
        <v>217</v>
      </c>
      <c r="C429" s="126" t="s">
        <v>179</v>
      </c>
      <c r="D429" s="108">
        <v>5.03</v>
      </c>
      <c r="E429" s="108"/>
      <c r="F429" s="127"/>
      <c r="G429" s="128"/>
      <c r="H429" s="466">
        <f t="shared" ref="H429:H462" si="195">D429*G429</f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ref="M429:M436" si="196">IF(ISERROR(I429-K429),"",I429-K429)</f>
        <v>0</v>
      </c>
      <c r="N429" s="130">
        <f t="shared" ref="N429:N436" si="197">SUM(O429:U429)</f>
        <v>0</v>
      </c>
      <c r="O429" s="474"/>
      <c r="P429" s="474"/>
      <c r="Q429" s="474"/>
      <c r="R429" s="474"/>
      <c r="S429" s="474"/>
      <c r="T429" s="474"/>
      <c r="U429" s="474"/>
      <c r="V429" s="132">
        <f t="shared" ref="V429:V435" si="198">SUM(X429:AA429)</f>
        <v>0</v>
      </c>
      <c r="W429" s="133" t="str">
        <f t="shared" si="194"/>
        <v/>
      </c>
      <c r="X429" s="132"/>
      <c r="Y429" s="132"/>
      <c r="Z429" s="132"/>
      <c r="AA429" s="132"/>
    </row>
    <row r="430" spans="1:27" ht="20.100000000000001" customHeight="1">
      <c r="A430" s="299">
        <v>30400010</v>
      </c>
      <c r="B430" s="465" t="s">
        <v>217</v>
      </c>
      <c r="C430" s="126" t="s">
        <v>186</v>
      </c>
      <c r="D430" s="108">
        <v>5.03</v>
      </c>
      <c r="E430" s="108"/>
      <c r="F430" s="127">
        <v>42741</v>
      </c>
      <c r="G430" s="152">
        <f>73+22+75+37</f>
        <v>207</v>
      </c>
      <c r="H430" s="466">
        <f t="shared" si="195"/>
        <v>1041.21</v>
      </c>
      <c r="I430" s="129">
        <f>3.5*2+1.5+2+2+2.5+3.5</f>
        <v>18.5</v>
      </c>
      <c r="J430" s="130">
        <f t="array" ref="J430">IF(ISERROR(G430/I430),"",G430/I430)</f>
        <v>11.189189189189189</v>
      </c>
      <c r="K430" s="131">
        <f t="array" ref="K430">IF(ISERROR(G430/L430),"",G430/L430)</f>
        <v>23.52272727272727</v>
      </c>
      <c r="L430" s="129">
        <v>8.8000000000000007</v>
      </c>
      <c r="M430" s="109">
        <f t="shared" si="196"/>
        <v>-5.0227272727272698</v>
      </c>
      <c r="N430" s="130">
        <f t="shared" si="197"/>
        <v>0</v>
      </c>
      <c r="O430" s="474"/>
      <c r="P430" s="474"/>
      <c r="Q430" s="474"/>
      <c r="R430" s="474"/>
      <c r="S430" s="474"/>
      <c r="T430" s="474"/>
      <c r="U430" s="474"/>
      <c r="V430" s="132">
        <f t="shared" si="198"/>
        <v>0</v>
      </c>
      <c r="W430" s="133">
        <f t="shared" si="194"/>
        <v>0</v>
      </c>
      <c r="X430" s="132"/>
      <c r="Y430" s="132"/>
      <c r="Z430" s="132"/>
      <c r="AA430" s="132"/>
    </row>
    <row r="431" spans="1:27" ht="20.100000000000001" hidden="1" customHeight="1">
      <c r="A431" s="299">
        <v>30400011</v>
      </c>
      <c r="B431" s="465" t="s">
        <v>217</v>
      </c>
      <c r="C431" s="126" t="s">
        <v>204</v>
      </c>
      <c r="D431" s="108">
        <v>5.03</v>
      </c>
      <c r="E431" s="108"/>
      <c r="F431" s="127"/>
      <c r="G431" s="128"/>
      <c r="H431" s="466">
        <f t="shared" si="195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8.8000000000000007</v>
      </c>
      <c r="M431" s="109">
        <f t="shared" si="196"/>
        <v>0</v>
      </c>
      <c r="N431" s="130">
        <f t="shared" si="197"/>
        <v>0</v>
      </c>
      <c r="O431" s="474"/>
      <c r="P431" s="474"/>
      <c r="Q431" s="474"/>
      <c r="R431" s="474"/>
      <c r="S431" s="474"/>
      <c r="T431" s="474"/>
      <c r="U431" s="474"/>
      <c r="V431" s="132">
        <f t="shared" si="198"/>
        <v>0</v>
      </c>
      <c r="W431" s="133" t="str">
        <f t="shared" si="194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28"/>
      <c r="H432" s="466">
        <f t="shared" si="195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6"/>
        <v>0</v>
      </c>
      <c r="N432" s="130">
        <f t="shared" si="197"/>
        <v>0</v>
      </c>
      <c r="O432" s="474"/>
      <c r="P432" s="474"/>
      <c r="Q432" s="474"/>
      <c r="R432" s="474"/>
      <c r="S432" s="474"/>
      <c r="T432" s="474"/>
      <c r="U432" s="474"/>
      <c r="V432" s="132">
        <f t="shared" si="198"/>
        <v>0</v>
      </c>
      <c r="W432" s="133" t="str">
        <f t="shared" si="194"/>
        <v/>
      </c>
      <c r="X432" s="132"/>
      <c r="Y432" s="132"/>
      <c r="Z432" s="132"/>
      <c r="AA432" s="132"/>
    </row>
    <row r="433" spans="1:27" ht="20.10000000000000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>
        <v>42741</v>
      </c>
      <c r="G433" s="152">
        <f>53+90+108+94+52+48+108+76+108-108-100</f>
        <v>529</v>
      </c>
      <c r="H433" s="466">
        <f t="shared" si="195"/>
        <v>2660.8700000000003</v>
      </c>
      <c r="I433" s="129">
        <f>7*2+6.5*2+8.5+8.5+8+6.5*2</f>
        <v>65</v>
      </c>
      <c r="J433" s="130">
        <f t="array" ref="J433">IF(ISERROR(G433/I433),"",G433/I433)</f>
        <v>8.138461538461538</v>
      </c>
      <c r="K433" s="131">
        <f t="array" ref="K433">IF(ISERROR(G433/L433),"",G433/L433)</f>
        <v>56.881720430107521</v>
      </c>
      <c r="L433" s="129">
        <v>9.3000000000000007</v>
      </c>
      <c r="M433" s="109">
        <f t="shared" si="196"/>
        <v>8.1182795698924792</v>
      </c>
      <c r="N433" s="130">
        <f t="shared" si="197"/>
        <v>0</v>
      </c>
      <c r="O433" s="474"/>
      <c r="P433" s="474"/>
      <c r="Q433" s="474"/>
      <c r="R433" s="474"/>
      <c r="S433" s="474"/>
      <c r="T433" s="474"/>
      <c r="U433" s="474"/>
      <c r="V433" s="132">
        <f t="shared" si="198"/>
        <v>0</v>
      </c>
      <c r="W433" s="133">
        <f t="shared" si="194"/>
        <v>0</v>
      </c>
      <c r="X433" s="132"/>
      <c r="Y433" s="132"/>
      <c r="Z433" s="132"/>
      <c r="AA433" s="132"/>
    </row>
    <row r="434" spans="1:27" ht="20.100000000000001" hidden="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/>
      <c r="G434" s="128"/>
      <c r="H434" s="466">
        <f t="shared" si="195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9.3000000000000007</v>
      </c>
      <c r="M434" s="109">
        <f t="shared" si="196"/>
        <v>0</v>
      </c>
      <c r="N434" s="130">
        <f t="shared" si="197"/>
        <v>0</v>
      </c>
      <c r="O434" s="474"/>
      <c r="P434" s="474"/>
      <c r="Q434" s="474"/>
      <c r="R434" s="474"/>
      <c r="S434" s="474"/>
      <c r="T434" s="474"/>
      <c r="U434" s="474"/>
      <c r="V434" s="132">
        <f t="shared" si="198"/>
        <v>0</v>
      </c>
      <c r="W434" s="133" t="str">
        <f t="shared" si="194"/>
        <v/>
      </c>
      <c r="X434" s="132"/>
      <c r="Y434" s="132"/>
      <c r="Z434" s="132"/>
      <c r="AA434" s="132"/>
    </row>
    <row r="435" spans="1:27" ht="20.100000000000001" hidden="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/>
      <c r="G435" s="128"/>
      <c r="H435" s="466">
        <f t="shared" si="195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9.3000000000000007</v>
      </c>
      <c r="M435" s="109">
        <f t="shared" si="196"/>
        <v>0</v>
      </c>
      <c r="N435" s="130">
        <f t="shared" si="197"/>
        <v>0</v>
      </c>
      <c r="O435" s="474"/>
      <c r="P435" s="474"/>
      <c r="Q435" s="474"/>
      <c r="R435" s="474"/>
      <c r="S435" s="474"/>
      <c r="T435" s="474"/>
      <c r="U435" s="474"/>
      <c r="V435" s="132">
        <f t="shared" si="198"/>
        <v>0</v>
      </c>
      <c r="W435" s="133" t="str">
        <f t="shared" si="194"/>
        <v/>
      </c>
      <c r="X435" s="132"/>
      <c r="Y435" s="132"/>
      <c r="Z435" s="132"/>
      <c r="AA435" s="132"/>
    </row>
    <row r="436" spans="1:27" ht="20.100000000000001" hidden="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/>
      <c r="G436" s="128"/>
      <c r="H436" s="466">
        <f t="shared" si="195"/>
        <v>0</v>
      </c>
      <c r="I436" s="129"/>
      <c r="J436" s="130"/>
      <c r="K436" s="131">
        <f t="array" ref="K436">IF(ISERROR(G436/L436),"",G436/L436)</f>
        <v>0</v>
      </c>
      <c r="L436" s="129">
        <v>9.3000000000000007</v>
      </c>
      <c r="M436" s="109">
        <f t="shared" si="196"/>
        <v>0</v>
      </c>
      <c r="N436" s="130">
        <f t="shared" si="197"/>
        <v>0</v>
      </c>
      <c r="O436" s="474"/>
      <c r="P436" s="474"/>
      <c r="Q436" s="474"/>
      <c r="R436" s="474"/>
      <c r="S436" s="474"/>
      <c r="T436" s="474"/>
      <c r="U436" s="474"/>
      <c r="V436" s="132"/>
      <c r="W436" s="133"/>
      <c r="X436" s="132"/>
      <c r="Y436" s="132"/>
      <c r="Z436" s="132"/>
      <c r="AA436" s="132"/>
    </row>
    <row r="437" spans="1:27" ht="20.100000000000001" hidden="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52"/>
      <c r="H437" s="466">
        <f t="shared" si="195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474"/>
      <c r="P437" s="474"/>
      <c r="Q437" s="474"/>
      <c r="R437" s="474"/>
      <c r="S437" s="474"/>
      <c r="T437" s="474"/>
      <c r="U437" s="474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28"/>
      <c r="H438" s="466">
        <f t="shared" si="195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474"/>
      <c r="P438" s="474"/>
      <c r="Q438" s="474"/>
      <c r="R438" s="474"/>
      <c r="S438" s="474"/>
      <c r="T438" s="474"/>
      <c r="U438" s="474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28"/>
      <c r="H439" s="466">
        <f t="shared" si="195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474"/>
      <c r="P439" s="474"/>
      <c r="Q439" s="474"/>
      <c r="R439" s="474"/>
      <c r="S439" s="474"/>
      <c r="T439" s="474"/>
      <c r="U439" s="474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28"/>
      <c r="H440" s="466">
        <f t="shared" si="195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474"/>
      <c r="P440" s="474"/>
      <c r="Q440" s="474"/>
      <c r="R440" s="474"/>
      <c r="S440" s="474"/>
      <c r="T440" s="474"/>
      <c r="U440" s="474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hidden="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28"/>
      <c r="H441" s="466">
        <f t="shared" si="195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2" si="199">IF(ISERROR(I441-K441),"",I441-K441)</f>
        <v>0</v>
      </c>
      <c r="N441" s="130">
        <f t="shared" ref="N441:N456" si="200">SUM(O441:U441)</f>
        <v>0</v>
      </c>
      <c r="O441" s="474"/>
      <c r="P441" s="474"/>
      <c r="Q441" s="474"/>
      <c r="R441" s="474"/>
      <c r="S441" s="474"/>
      <c r="T441" s="474"/>
      <c r="U441" s="474"/>
      <c r="V441" s="132">
        <f t="shared" ref="V441:V444" si="201">SUM(X441:AA441)</f>
        <v>0</v>
      </c>
      <c r="W441" s="133" t="str">
        <f t="shared" ref="W441:W448" si="202">IF(ISERROR(V441/G441),"",V441/G441)</f>
        <v/>
      </c>
      <c r="X441" s="132"/>
      <c r="Y441" s="132"/>
      <c r="Z441" s="132"/>
      <c r="AA441" s="132"/>
    </row>
    <row r="442" spans="1:27" ht="20.100000000000001" hidden="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28"/>
      <c r="H442" s="466">
        <f t="shared" si="195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199"/>
        <v/>
      </c>
      <c r="N442" s="130">
        <f t="shared" si="200"/>
        <v>0</v>
      </c>
      <c r="O442" s="474"/>
      <c r="P442" s="474"/>
      <c r="Q442" s="474"/>
      <c r="R442" s="474"/>
      <c r="S442" s="474"/>
      <c r="T442" s="474"/>
      <c r="U442" s="474"/>
      <c r="V442" s="132">
        <f t="shared" si="201"/>
        <v>0</v>
      </c>
      <c r="W442" s="133" t="str">
        <f t="shared" si="202"/>
        <v/>
      </c>
      <c r="X442" s="132"/>
      <c r="Y442" s="132"/>
      <c r="Z442" s="132"/>
      <c r="AA442" s="132"/>
    </row>
    <row r="443" spans="1:27" ht="20.100000000000001" hidden="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28"/>
      <c r="H443" s="466">
        <f t="shared" si="195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199"/>
        <v/>
      </c>
      <c r="N443" s="130">
        <f t="shared" si="200"/>
        <v>0</v>
      </c>
      <c r="O443" s="474"/>
      <c r="P443" s="474"/>
      <c r="Q443" s="474"/>
      <c r="R443" s="474"/>
      <c r="S443" s="474"/>
      <c r="T443" s="474"/>
      <c r="U443" s="474"/>
      <c r="V443" s="132">
        <f t="shared" si="201"/>
        <v>0</v>
      </c>
      <c r="W443" s="133" t="str">
        <f t="shared" si="202"/>
        <v/>
      </c>
      <c r="X443" s="132"/>
      <c r="Y443" s="132"/>
      <c r="Z443" s="132"/>
      <c r="AA443" s="132"/>
    </row>
    <row r="444" spans="1:27" ht="20.100000000000001" hidden="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28"/>
      <c r="H444" s="466">
        <f t="shared" si="195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199"/>
        <v/>
      </c>
      <c r="N444" s="130">
        <f t="shared" si="200"/>
        <v>0</v>
      </c>
      <c r="O444" s="474"/>
      <c r="P444" s="474"/>
      <c r="Q444" s="474"/>
      <c r="R444" s="474"/>
      <c r="S444" s="474"/>
      <c r="T444" s="474"/>
      <c r="U444" s="474"/>
      <c r="V444" s="132">
        <f t="shared" si="201"/>
        <v>0</v>
      </c>
      <c r="W444" s="133" t="str">
        <f t="shared" si="202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30600005</v>
      </c>
      <c r="B445" s="465" t="s">
        <v>222</v>
      </c>
      <c r="C445" s="126" t="s">
        <v>181</v>
      </c>
      <c r="D445" s="108">
        <v>9.36</v>
      </c>
      <c r="E445" s="108"/>
      <c r="F445" s="127"/>
      <c r="G445" s="128"/>
      <c r="H445" s="466">
        <f t="shared" si="195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199"/>
        <v>0</v>
      </c>
      <c r="N445" s="130">
        <f t="shared" si="200"/>
        <v>0</v>
      </c>
      <c r="O445" s="474"/>
      <c r="P445" s="474"/>
      <c r="Q445" s="474"/>
      <c r="R445" s="474"/>
      <c r="S445" s="474"/>
      <c r="T445" s="474"/>
      <c r="U445" s="474"/>
      <c r="V445" s="132">
        <f t="shared" ref="V445:V448" si="203">SUM(X445:AA445)</f>
        <v>0</v>
      </c>
      <c r="W445" s="133" t="str">
        <f t="shared" si="202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30600008</v>
      </c>
      <c r="B446" s="465" t="s">
        <v>222</v>
      </c>
      <c r="C446" s="126" t="s">
        <v>179</v>
      </c>
      <c r="D446" s="108">
        <v>9.36</v>
      </c>
      <c r="E446" s="108"/>
      <c r="F446" s="127"/>
      <c r="G446" s="128"/>
      <c r="H446" s="466">
        <f t="shared" si="195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199"/>
        <v>0</v>
      </c>
      <c r="N446" s="130">
        <f t="shared" si="200"/>
        <v>0</v>
      </c>
      <c r="O446" s="474"/>
      <c r="P446" s="474"/>
      <c r="Q446" s="474"/>
      <c r="R446" s="474"/>
      <c r="S446" s="474"/>
      <c r="T446" s="474"/>
      <c r="U446" s="474"/>
      <c r="V446" s="132">
        <f t="shared" si="203"/>
        <v>0</v>
      </c>
      <c r="W446" s="133" t="str">
        <f t="shared" si="202"/>
        <v/>
      </c>
      <c r="X446" s="132"/>
      <c r="Y446" s="132"/>
      <c r="Z446" s="132"/>
      <c r="AA446" s="132"/>
    </row>
    <row r="447" spans="1:27" ht="20.100000000000001" hidden="1" customHeight="1">
      <c r="A447" s="304">
        <v>30600007</v>
      </c>
      <c r="B447" s="465" t="s">
        <v>222</v>
      </c>
      <c r="C447" s="126" t="s">
        <v>221</v>
      </c>
      <c r="D447" s="108">
        <v>9.36</v>
      </c>
      <c r="E447" s="108"/>
      <c r="F447" s="127"/>
      <c r="G447" s="128"/>
      <c r="H447" s="466">
        <f t="shared" si="195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199"/>
        <v>0</v>
      </c>
      <c r="N447" s="130">
        <f t="shared" si="200"/>
        <v>0</v>
      </c>
      <c r="O447" s="474"/>
      <c r="P447" s="474"/>
      <c r="Q447" s="474"/>
      <c r="R447" s="474"/>
      <c r="S447" s="474"/>
      <c r="T447" s="474"/>
      <c r="U447" s="474"/>
      <c r="V447" s="132">
        <f t="shared" si="203"/>
        <v>0</v>
      </c>
      <c r="W447" s="133" t="str">
        <f t="shared" si="202"/>
        <v/>
      </c>
      <c r="X447" s="132"/>
      <c r="Y447" s="132"/>
      <c r="Z447" s="132"/>
      <c r="AA447" s="132"/>
    </row>
    <row r="448" spans="1:27" ht="20.100000000000001" hidden="1" customHeight="1">
      <c r="A448" s="304">
        <v>30600006</v>
      </c>
      <c r="B448" s="465" t="s">
        <v>222</v>
      </c>
      <c r="C448" s="126" t="s">
        <v>186</v>
      </c>
      <c r="D448" s="108">
        <v>9.36</v>
      </c>
      <c r="E448" s="108"/>
      <c r="F448" s="127"/>
      <c r="G448" s="128"/>
      <c r="H448" s="466">
        <f t="shared" si="195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199"/>
        <v>0</v>
      </c>
      <c r="N448" s="130">
        <f t="shared" si="200"/>
        <v>0</v>
      </c>
      <c r="O448" s="474"/>
      <c r="P448" s="474"/>
      <c r="Q448" s="474"/>
      <c r="R448" s="474"/>
      <c r="S448" s="474"/>
      <c r="T448" s="474"/>
      <c r="U448" s="474"/>
      <c r="V448" s="132">
        <f t="shared" si="203"/>
        <v>0</v>
      </c>
      <c r="W448" s="133" t="str">
        <f t="shared" si="202"/>
        <v/>
      </c>
      <c r="X448" s="132"/>
      <c r="Y448" s="132"/>
      <c r="Z448" s="132"/>
      <c r="AA448" s="132"/>
    </row>
    <row r="449" spans="1:27" ht="20.100000000000001" hidden="1" customHeight="1">
      <c r="A449" s="299">
        <v>30400026</v>
      </c>
      <c r="B449" s="465" t="s">
        <v>393</v>
      </c>
      <c r="C449" s="187" t="s">
        <v>395</v>
      </c>
      <c r="D449" s="108">
        <v>5</v>
      </c>
      <c r="E449" s="108"/>
      <c r="F449" s="127"/>
      <c r="G449" s="128"/>
      <c r="H449" s="466">
        <f t="shared" si="195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199"/>
        <v>0</v>
      </c>
      <c r="N449" s="130">
        <f t="shared" si="200"/>
        <v>0</v>
      </c>
      <c r="O449" s="474"/>
      <c r="P449" s="474"/>
      <c r="Q449" s="474"/>
      <c r="R449" s="474"/>
      <c r="S449" s="474"/>
      <c r="T449" s="474"/>
      <c r="U449" s="474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>
        <v>30400028</v>
      </c>
      <c r="B450" s="465" t="s">
        <v>393</v>
      </c>
      <c r="C450" s="187" t="s">
        <v>402</v>
      </c>
      <c r="D450" s="108">
        <v>5</v>
      </c>
      <c r="E450" s="108"/>
      <c r="F450" s="127"/>
      <c r="G450" s="128"/>
      <c r="H450" s="466">
        <f t="shared" si="195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199"/>
        <v>0</v>
      </c>
      <c r="N450" s="130">
        <f t="shared" si="200"/>
        <v>0</v>
      </c>
      <c r="O450" s="474"/>
      <c r="P450" s="474"/>
      <c r="Q450" s="474"/>
      <c r="R450" s="474"/>
      <c r="S450" s="474"/>
      <c r="T450" s="474"/>
      <c r="U450" s="474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30400027</v>
      </c>
      <c r="B451" s="465" t="s">
        <v>404</v>
      </c>
      <c r="C451" s="187" t="s">
        <v>405</v>
      </c>
      <c r="D451" s="108">
        <v>5</v>
      </c>
      <c r="E451" s="108"/>
      <c r="F451" s="127"/>
      <c r="G451" s="128"/>
      <c r="H451" s="466">
        <f t="shared" si="195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199"/>
        <v>0</v>
      </c>
      <c r="N451" s="130">
        <f t="shared" si="200"/>
        <v>0</v>
      </c>
      <c r="O451" s="474"/>
      <c r="P451" s="474"/>
      <c r="Q451" s="474"/>
      <c r="R451" s="474"/>
      <c r="S451" s="474"/>
      <c r="T451" s="474"/>
      <c r="U451" s="474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/>
      <c r="B452" s="465" t="s">
        <v>342</v>
      </c>
      <c r="C452" s="187" t="s">
        <v>372</v>
      </c>
      <c r="D452" s="108">
        <v>5</v>
      </c>
      <c r="E452" s="108"/>
      <c r="F452" s="127"/>
      <c r="G452" s="128"/>
      <c r="H452" s="466">
        <f t="shared" si="195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199"/>
        <v>0</v>
      </c>
      <c r="N452" s="130">
        <f t="shared" si="200"/>
        <v>0</v>
      </c>
      <c r="O452" s="474"/>
      <c r="P452" s="474"/>
      <c r="Q452" s="474"/>
      <c r="R452" s="474"/>
      <c r="S452" s="474"/>
      <c r="T452" s="474"/>
      <c r="U452" s="474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30600009</v>
      </c>
      <c r="B453" s="465" t="s">
        <v>343</v>
      </c>
      <c r="C453" s="126" t="s">
        <v>345</v>
      </c>
      <c r="D453" s="108">
        <v>5</v>
      </c>
      <c r="E453" s="108"/>
      <c r="F453" s="127"/>
      <c r="G453" s="128"/>
      <c r="H453" s="466">
        <f t="shared" si="195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199"/>
        <v>0</v>
      </c>
      <c r="N453" s="130">
        <f t="shared" si="200"/>
        <v>0</v>
      </c>
      <c r="O453" s="474"/>
      <c r="P453" s="474"/>
      <c r="Q453" s="474"/>
      <c r="R453" s="474"/>
      <c r="S453" s="474"/>
      <c r="T453" s="474"/>
      <c r="U453" s="474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299">
        <v>30600010</v>
      </c>
      <c r="B454" s="465" t="s">
        <v>343</v>
      </c>
      <c r="C454" s="126" t="s">
        <v>347</v>
      </c>
      <c r="D454" s="108">
        <v>5</v>
      </c>
      <c r="E454" s="108"/>
      <c r="F454" s="127"/>
      <c r="G454" s="128"/>
      <c r="H454" s="466">
        <f t="shared" si="195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199"/>
        <v>0</v>
      </c>
      <c r="N454" s="130">
        <f t="shared" si="200"/>
        <v>0</v>
      </c>
      <c r="O454" s="474"/>
      <c r="P454" s="474"/>
      <c r="Q454" s="474"/>
      <c r="R454" s="474"/>
      <c r="S454" s="474"/>
      <c r="T454" s="474"/>
      <c r="U454" s="474"/>
      <c r="V454" s="132"/>
      <c r="W454" s="133"/>
      <c r="X454" s="132"/>
      <c r="Y454" s="132"/>
      <c r="Z454" s="132"/>
      <c r="AA454" s="132"/>
    </row>
    <row r="455" spans="1:27" ht="20.100000000000001" hidden="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/>
      <c r="G455" s="128"/>
      <c r="H455" s="466">
        <f t="shared" si="195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15.5</v>
      </c>
      <c r="M455" s="109">
        <f t="shared" si="199"/>
        <v>0</v>
      </c>
      <c r="N455" s="130">
        <f t="shared" si="200"/>
        <v>0</v>
      </c>
      <c r="O455" s="474"/>
      <c r="P455" s="474"/>
      <c r="Q455" s="474"/>
      <c r="R455" s="474"/>
      <c r="S455" s="474"/>
      <c r="T455" s="474"/>
      <c r="U455" s="474"/>
      <c r="V455" s="132">
        <f t="shared" ref="V455:V456" si="204">SUM(X455:AA455)</f>
        <v>0</v>
      </c>
      <c r="W455" s="133" t="str">
        <f t="shared" ref="W455:W456" si="205">IF(ISERROR(V455/G455),"",V455/G455)</f>
        <v/>
      </c>
      <c r="X455" s="132"/>
      <c r="Y455" s="132"/>
      <c r="Z455" s="132"/>
      <c r="AA455" s="132"/>
    </row>
    <row r="456" spans="1:27" ht="20.100000000000001" hidden="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/>
      <c r="G456" s="128"/>
      <c r="H456" s="466">
        <f t="shared" si="195"/>
        <v>0</v>
      </c>
      <c r="I456" s="129"/>
      <c r="J456" s="130" t="str">
        <f t="array" ref="J456">IF(ISERROR(G456/I456),"",G456/I456)</f>
        <v/>
      </c>
      <c r="K456" s="131">
        <f t="array" ref="K456">IF(ISERROR(G456/L456),"",G456/L456)</f>
        <v>0</v>
      </c>
      <c r="L456" s="129">
        <v>15.5</v>
      </c>
      <c r="M456" s="109">
        <f t="shared" si="199"/>
        <v>0</v>
      </c>
      <c r="N456" s="130">
        <f t="shared" si="200"/>
        <v>0</v>
      </c>
      <c r="O456" s="474"/>
      <c r="P456" s="474"/>
      <c r="Q456" s="474"/>
      <c r="R456" s="474"/>
      <c r="S456" s="474"/>
      <c r="T456" s="474"/>
      <c r="U456" s="474"/>
      <c r="V456" s="132">
        <f t="shared" si="204"/>
        <v>0</v>
      </c>
      <c r="W456" s="133" t="str">
        <f t="shared" si="205"/>
        <v/>
      </c>
      <c r="X456" s="132"/>
      <c r="Y456" s="132"/>
      <c r="Z456" s="132"/>
      <c r="AA456" s="132"/>
    </row>
    <row r="457" spans="1:27" ht="20.100000000000001" hidden="1" customHeight="1">
      <c r="A457" s="299">
        <v>30400004</v>
      </c>
      <c r="B457" s="151" t="s">
        <v>419</v>
      </c>
      <c r="C457" s="187" t="s">
        <v>73</v>
      </c>
      <c r="D457" s="108"/>
      <c r="E457" s="108"/>
      <c r="F457" s="127"/>
      <c r="G457" s="128"/>
      <c r="H457" s="466">
        <f t="shared" si="195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199"/>
        <v>0</v>
      </c>
      <c r="N457" s="130"/>
      <c r="O457" s="474"/>
      <c r="P457" s="474"/>
      <c r="Q457" s="474"/>
      <c r="R457" s="474"/>
      <c r="S457" s="474"/>
      <c r="T457" s="474"/>
      <c r="U457" s="474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28"/>
      <c r="H458" s="466">
        <f t="shared" si="195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199"/>
        <v>0</v>
      </c>
      <c r="N458" s="130"/>
      <c r="O458" s="474"/>
      <c r="P458" s="474"/>
      <c r="Q458" s="474"/>
      <c r="R458" s="474"/>
      <c r="S458" s="474"/>
      <c r="T458" s="474"/>
      <c r="U458" s="474"/>
      <c r="V458" s="132"/>
      <c r="W458" s="133"/>
      <c r="X458" s="132"/>
      <c r="Y458" s="132"/>
      <c r="Z458" s="132"/>
      <c r="AA458" s="132"/>
    </row>
    <row r="459" spans="1:27" ht="20.100000000000001" hidden="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28"/>
      <c r="H459" s="466">
        <f t="shared" si="195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199"/>
        <v>0</v>
      </c>
      <c r="N459" s="130"/>
      <c r="O459" s="474"/>
      <c r="P459" s="474"/>
      <c r="Q459" s="474"/>
      <c r="R459" s="474"/>
      <c r="S459" s="474"/>
      <c r="T459" s="474"/>
      <c r="U459" s="474"/>
      <c r="V459" s="132"/>
      <c r="W459" s="133"/>
      <c r="X459" s="132"/>
      <c r="Y459" s="132"/>
      <c r="Z459" s="132"/>
      <c r="AA459" s="132"/>
    </row>
    <row r="460" spans="1:27" ht="20.100000000000001" hidden="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28"/>
      <c r="H460" s="466">
        <f t="shared" si="195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199"/>
        <v>0</v>
      </c>
      <c r="N460" s="130">
        <f t="shared" ref="N460:N462" si="206">SUM(O460:U460)</f>
        <v>0</v>
      </c>
      <c r="O460" s="474"/>
      <c r="P460" s="474"/>
      <c r="Q460" s="474"/>
      <c r="R460" s="474"/>
      <c r="S460" s="474"/>
      <c r="T460" s="474"/>
      <c r="U460" s="474"/>
      <c r="V460" s="132">
        <f t="shared" ref="V460:V462" si="207">SUM(X460:AA460)</f>
        <v>0</v>
      </c>
      <c r="W460" s="133" t="str">
        <f t="shared" ref="W460:W484" si="208">IF(ISERROR(V460/G460),"",V460/G460)</f>
        <v/>
      </c>
      <c r="X460" s="132"/>
      <c r="Y460" s="132"/>
      <c r="Z460" s="132"/>
      <c r="AA460" s="132"/>
    </row>
    <row r="461" spans="1:27" ht="20.100000000000001" hidden="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28"/>
      <c r="H461" s="466">
        <f t="shared" si="195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si="199"/>
        <v>0</v>
      </c>
      <c r="N461" s="130">
        <f t="shared" si="206"/>
        <v>0</v>
      </c>
      <c r="O461" s="474"/>
      <c r="P461" s="474"/>
      <c r="Q461" s="474"/>
      <c r="R461" s="474"/>
      <c r="S461" s="474"/>
      <c r="T461" s="474"/>
      <c r="U461" s="474"/>
      <c r="V461" s="132">
        <f t="shared" si="207"/>
        <v>0</v>
      </c>
      <c r="W461" s="133" t="str">
        <f t="shared" si="208"/>
        <v/>
      </c>
      <c r="X461" s="132"/>
      <c r="Y461" s="132"/>
      <c r="Z461" s="132"/>
      <c r="AA461" s="132"/>
    </row>
    <row r="462" spans="1:27" ht="20.100000000000001" hidden="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28"/>
      <c r="H462" s="466">
        <f t="shared" si="195"/>
        <v>0</v>
      </c>
      <c r="I462" s="129"/>
      <c r="J462" s="130" t="str">
        <f t="array" ref="J462">IF(ISERROR(G462/I462),"",G462/I462)</f>
        <v/>
      </c>
      <c r="K462" s="466">
        <f t="array" ref="K462">IF(ISERROR(G462/L462),"",G462/L462)</f>
        <v>0</v>
      </c>
      <c r="L462" s="129">
        <v>9</v>
      </c>
      <c r="M462" s="109">
        <f t="shared" si="199"/>
        <v>0</v>
      </c>
      <c r="N462" s="130">
        <f t="shared" si="206"/>
        <v>0</v>
      </c>
      <c r="O462" s="474"/>
      <c r="P462" s="474"/>
      <c r="Q462" s="474"/>
      <c r="R462" s="474"/>
      <c r="S462" s="474"/>
      <c r="T462" s="474"/>
      <c r="U462" s="474"/>
      <c r="V462" s="132">
        <f t="shared" si="207"/>
        <v>0</v>
      </c>
      <c r="W462" s="133" t="str">
        <f t="shared" si="208"/>
        <v/>
      </c>
      <c r="X462" s="132"/>
      <c r="Y462" s="132"/>
      <c r="Z462" s="132"/>
      <c r="AA462" s="132"/>
    </row>
    <row r="463" spans="1:27" ht="20.100000000000001" customHeight="1">
      <c r="A463" s="578" t="s">
        <v>224</v>
      </c>
      <c r="B463" s="579"/>
      <c r="C463" s="475" t="s">
        <v>202</v>
      </c>
      <c r="D463" s="143"/>
      <c r="E463" s="143"/>
      <c r="F463" s="144"/>
      <c r="G463" s="145">
        <f>SUM(G429:G462)</f>
        <v>736</v>
      </c>
      <c r="H463" s="146">
        <f>SUM(H429:H462)</f>
        <v>3702.0800000000004</v>
      </c>
      <c r="I463" s="146">
        <f>SUM(I429:I462)</f>
        <v>83.5</v>
      </c>
      <c r="J463" s="130">
        <f t="array" ref="J463">IF(ISERROR(G463/I463),"",G463/I463)</f>
        <v>8.8143712574850301</v>
      </c>
      <c r="K463" s="146">
        <f>SUM(K429:K462)</f>
        <v>80.404447702834787</v>
      </c>
      <c r="L463" s="147"/>
      <c r="M463" s="150">
        <f t="shared" ref="M463:V463" si="209">SUM(M429:M462)</f>
        <v>3.0955522971652094</v>
      </c>
      <c r="N463" s="146">
        <f t="shared" si="209"/>
        <v>0</v>
      </c>
      <c r="O463" s="148">
        <f t="shared" si="209"/>
        <v>0</v>
      </c>
      <c r="P463" s="148">
        <f t="shared" si="209"/>
        <v>0</v>
      </c>
      <c r="Q463" s="148">
        <f t="shared" si="209"/>
        <v>0</v>
      </c>
      <c r="R463" s="148">
        <f t="shared" si="209"/>
        <v>0</v>
      </c>
      <c r="S463" s="148">
        <f t="shared" si="209"/>
        <v>0</v>
      </c>
      <c r="T463" s="148">
        <f t="shared" si="209"/>
        <v>0</v>
      </c>
      <c r="U463" s="148">
        <f t="shared" si="209"/>
        <v>0</v>
      </c>
      <c r="V463" s="149">
        <f t="shared" si="209"/>
        <v>0</v>
      </c>
      <c r="W463" s="133">
        <f t="shared" si="208"/>
        <v>0</v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hidden="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28"/>
      <c r="H464" s="466">
        <f t="shared" ref="H464:H478" si="210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8" si="211">IF(ISERROR(I464-K464),"",I464-K464)</f>
        <v>0</v>
      </c>
      <c r="N464" s="130">
        <f t="shared" ref="N464:N478" si="212">SUM(O464:U464)</f>
        <v>0</v>
      </c>
      <c r="O464" s="474"/>
      <c r="P464" s="474"/>
      <c r="Q464" s="474"/>
      <c r="R464" s="474"/>
      <c r="S464" s="474"/>
      <c r="T464" s="474"/>
      <c r="U464" s="474"/>
      <c r="V464" s="132">
        <f t="shared" ref="V464:V478" si="213">SUM(X464:AA464)</f>
        <v>0</v>
      </c>
      <c r="W464" s="133" t="str">
        <f t="shared" si="208"/>
        <v/>
      </c>
      <c r="X464" s="132"/>
      <c r="Y464" s="132"/>
      <c r="Z464" s="132"/>
      <c r="AA464" s="132"/>
    </row>
    <row r="465" spans="1:27" ht="20.100000000000001" hidden="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28"/>
      <c r="H465" s="466">
        <f t="shared" si="210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1"/>
        <v>0</v>
      </c>
      <c r="N465" s="130">
        <f t="shared" si="212"/>
        <v>0</v>
      </c>
      <c r="O465" s="474"/>
      <c r="P465" s="474"/>
      <c r="Q465" s="474"/>
      <c r="R465" s="474"/>
      <c r="S465" s="474"/>
      <c r="T465" s="474"/>
      <c r="U465" s="474"/>
      <c r="V465" s="132">
        <f t="shared" si="213"/>
        <v>0</v>
      </c>
      <c r="W465" s="133" t="str">
        <f t="shared" si="208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28"/>
      <c r="H466" s="466">
        <f t="shared" si="210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1"/>
        <v>0</v>
      </c>
      <c r="N466" s="130">
        <f t="shared" si="212"/>
        <v>0</v>
      </c>
      <c r="O466" s="474"/>
      <c r="P466" s="474"/>
      <c r="Q466" s="474"/>
      <c r="R466" s="474"/>
      <c r="S466" s="474"/>
      <c r="T466" s="474"/>
      <c r="U466" s="474"/>
      <c r="V466" s="132">
        <f t="shared" si="213"/>
        <v>0</v>
      </c>
      <c r="W466" s="133" t="str">
        <f t="shared" si="208"/>
        <v/>
      </c>
      <c r="X466" s="132"/>
      <c r="Y466" s="132"/>
      <c r="Z466" s="132"/>
      <c r="AA466" s="132"/>
    </row>
    <row r="467" spans="1:27" ht="20.100000000000001" hidden="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28"/>
      <c r="H467" s="466">
        <f t="shared" si="210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1"/>
        <v>0</v>
      </c>
      <c r="N467" s="130">
        <f t="shared" si="212"/>
        <v>0</v>
      </c>
      <c r="O467" s="474"/>
      <c r="P467" s="474"/>
      <c r="Q467" s="474"/>
      <c r="R467" s="474"/>
      <c r="S467" s="474"/>
      <c r="T467" s="474"/>
      <c r="U467" s="474"/>
      <c r="V467" s="132">
        <f t="shared" si="213"/>
        <v>0</v>
      </c>
      <c r="W467" s="133" t="str">
        <f t="shared" si="208"/>
        <v/>
      </c>
      <c r="X467" s="132"/>
      <c r="Y467" s="132"/>
      <c r="Z467" s="132"/>
      <c r="AA467" s="132"/>
    </row>
    <row r="468" spans="1:27" ht="20.100000000000001" hidden="1" customHeight="1">
      <c r="A468" s="299">
        <v>30100054</v>
      </c>
      <c r="B468" s="140" t="s">
        <v>227</v>
      </c>
      <c r="C468" s="471" t="s">
        <v>203</v>
      </c>
      <c r="D468" s="108">
        <v>5.03</v>
      </c>
      <c r="E468" s="108"/>
      <c r="F468" s="127"/>
      <c r="G468" s="128"/>
      <c r="H468" s="466">
        <f t="shared" si="210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1"/>
        <v>0</v>
      </c>
      <c r="N468" s="130">
        <f t="shared" si="212"/>
        <v>0</v>
      </c>
      <c r="O468" s="474"/>
      <c r="P468" s="474"/>
      <c r="Q468" s="474"/>
      <c r="R468" s="474"/>
      <c r="S468" s="474"/>
      <c r="T468" s="474"/>
      <c r="U468" s="474"/>
      <c r="V468" s="132">
        <f t="shared" si="213"/>
        <v>0</v>
      </c>
      <c r="W468" s="133" t="str">
        <f t="shared" si="208"/>
        <v/>
      </c>
      <c r="X468" s="132"/>
      <c r="Y468" s="132"/>
      <c r="Z468" s="132"/>
      <c r="AA468" s="132"/>
    </row>
    <row r="469" spans="1:27" ht="20.100000000000001" hidden="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28"/>
      <c r="H469" s="466">
        <f t="shared" si="210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1"/>
        <v>0</v>
      </c>
      <c r="N469" s="130">
        <f t="shared" si="212"/>
        <v>0</v>
      </c>
      <c r="O469" s="474"/>
      <c r="P469" s="474"/>
      <c r="Q469" s="474"/>
      <c r="R469" s="474"/>
      <c r="S469" s="474"/>
      <c r="T469" s="474"/>
      <c r="U469" s="474"/>
      <c r="V469" s="132">
        <f t="shared" si="213"/>
        <v>0</v>
      </c>
      <c r="W469" s="133" t="str">
        <f t="shared" si="208"/>
        <v/>
      </c>
      <c r="X469" s="132"/>
      <c r="Y469" s="132"/>
      <c r="Z469" s="132"/>
      <c r="AA469" s="132"/>
    </row>
    <row r="470" spans="1:27" ht="20.100000000000001" hidden="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28"/>
      <c r="H470" s="466">
        <f t="shared" si="210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1"/>
        <v>0</v>
      </c>
      <c r="N470" s="130">
        <f t="shared" si="212"/>
        <v>0</v>
      </c>
      <c r="O470" s="474"/>
      <c r="P470" s="474"/>
      <c r="Q470" s="474"/>
      <c r="R470" s="474"/>
      <c r="S470" s="474"/>
      <c r="T470" s="474"/>
      <c r="U470" s="474"/>
      <c r="V470" s="132">
        <f t="shared" si="213"/>
        <v>0</v>
      </c>
      <c r="W470" s="133" t="str">
        <f t="shared" si="208"/>
        <v/>
      </c>
      <c r="X470" s="132"/>
      <c r="Y470" s="132"/>
      <c r="Z470" s="132"/>
      <c r="AA470" s="132"/>
    </row>
    <row r="471" spans="1:27" ht="20.100000000000001" hidden="1" customHeight="1">
      <c r="A471" s="299"/>
      <c r="B471" s="140" t="s">
        <v>227</v>
      </c>
      <c r="C471" s="471" t="s">
        <v>228</v>
      </c>
      <c r="D471" s="108">
        <v>5.03</v>
      </c>
      <c r="E471" s="108"/>
      <c r="F471" s="127"/>
      <c r="G471" s="128"/>
      <c r="H471" s="466">
        <f t="shared" si="210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1"/>
        <v>0</v>
      </c>
      <c r="N471" s="130">
        <f t="shared" si="212"/>
        <v>0</v>
      </c>
      <c r="O471" s="474"/>
      <c r="P471" s="474"/>
      <c r="Q471" s="474"/>
      <c r="R471" s="474"/>
      <c r="S471" s="474"/>
      <c r="T471" s="474"/>
      <c r="U471" s="474"/>
      <c r="V471" s="132">
        <f t="shared" si="213"/>
        <v>0</v>
      </c>
      <c r="W471" s="133" t="str">
        <f t="shared" si="208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30101067</v>
      </c>
      <c r="B472" s="140" t="s">
        <v>229</v>
      </c>
      <c r="C472" s="471" t="s">
        <v>212</v>
      </c>
      <c r="D472" s="108">
        <v>5.03</v>
      </c>
      <c r="E472" s="108"/>
      <c r="F472" s="127"/>
      <c r="G472" s="128"/>
      <c r="H472" s="466">
        <f t="shared" si="210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1"/>
        <v/>
      </c>
      <c r="N472" s="130">
        <f t="shared" si="212"/>
        <v>0</v>
      </c>
      <c r="O472" s="474"/>
      <c r="P472" s="474"/>
      <c r="Q472" s="474"/>
      <c r="R472" s="474"/>
      <c r="S472" s="474"/>
      <c r="T472" s="474"/>
      <c r="U472" s="474"/>
      <c r="V472" s="132">
        <f t="shared" si="213"/>
        <v>0</v>
      </c>
      <c r="W472" s="133" t="str">
        <f t="shared" si="208"/>
        <v/>
      </c>
      <c r="X472" s="132"/>
      <c r="Y472" s="132"/>
      <c r="Z472" s="132"/>
      <c r="AA472" s="132"/>
    </row>
    <row r="473" spans="1:27" ht="20.100000000000001" hidden="1" customHeight="1">
      <c r="A473" s="299">
        <v>30101068</v>
      </c>
      <c r="B473" s="140" t="s">
        <v>229</v>
      </c>
      <c r="C473" s="471" t="s">
        <v>203</v>
      </c>
      <c r="D473" s="108">
        <v>5.03</v>
      </c>
      <c r="E473" s="108"/>
      <c r="F473" s="127"/>
      <c r="G473" s="128"/>
      <c r="H473" s="466">
        <f t="shared" si="210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1"/>
        <v/>
      </c>
      <c r="N473" s="130">
        <f t="shared" si="212"/>
        <v>0</v>
      </c>
      <c r="O473" s="474"/>
      <c r="P473" s="474"/>
      <c r="Q473" s="474"/>
      <c r="R473" s="474"/>
      <c r="S473" s="474"/>
      <c r="T473" s="474"/>
      <c r="U473" s="474"/>
      <c r="V473" s="132">
        <f t="shared" si="213"/>
        <v>0</v>
      </c>
      <c r="W473" s="133" t="str">
        <f t="shared" si="208"/>
        <v/>
      </c>
      <c r="X473" s="132"/>
      <c r="Y473" s="132"/>
      <c r="Z473" s="132"/>
      <c r="AA473" s="132"/>
    </row>
    <row r="474" spans="1:27" ht="20.100000000000001" hidden="1" customHeight="1">
      <c r="A474" s="299">
        <v>30101069</v>
      </c>
      <c r="B474" s="140" t="s">
        <v>229</v>
      </c>
      <c r="C474" s="471" t="s">
        <v>186</v>
      </c>
      <c r="D474" s="108">
        <v>5.03</v>
      </c>
      <c r="E474" s="108"/>
      <c r="F474" s="127"/>
      <c r="G474" s="128"/>
      <c r="H474" s="466">
        <f t="shared" si="210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1"/>
        <v/>
      </c>
      <c r="N474" s="130">
        <f t="shared" si="212"/>
        <v>0</v>
      </c>
      <c r="O474" s="474"/>
      <c r="P474" s="474"/>
      <c r="Q474" s="474"/>
      <c r="R474" s="474"/>
      <c r="S474" s="474"/>
      <c r="T474" s="474"/>
      <c r="U474" s="474"/>
      <c r="V474" s="132">
        <f t="shared" si="213"/>
        <v>0</v>
      </c>
      <c r="W474" s="133" t="str">
        <f t="shared" si="208"/>
        <v/>
      </c>
      <c r="X474" s="132"/>
      <c r="Y474" s="132"/>
      <c r="Z474" s="132"/>
      <c r="AA474" s="132"/>
    </row>
    <row r="475" spans="1:27" ht="20.100000000000001" hidden="1" customHeight="1">
      <c r="A475" s="299">
        <v>30101070</v>
      </c>
      <c r="B475" s="140" t="s">
        <v>229</v>
      </c>
      <c r="C475" s="471" t="s">
        <v>228</v>
      </c>
      <c r="D475" s="108">
        <v>5.03</v>
      </c>
      <c r="E475" s="108"/>
      <c r="F475" s="127"/>
      <c r="G475" s="128"/>
      <c r="H475" s="466">
        <f t="shared" si="210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1"/>
        <v/>
      </c>
      <c r="N475" s="130">
        <f t="shared" si="212"/>
        <v>0</v>
      </c>
      <c r="O475" s="474"/>
      <c r="P475" s="474"/>
      <c r="Q475" s="474"/>
      <c r="R475" s="474"/>
      <c r="S475" s="474"/>
      <c r="T475" s="474"/>
      <c r="U475" s="474"/>
      <c r="V475" s="132">
        <f t="shared" si="213"/>
        <v>0</v>
      </c>
      <c r="W475" s="133" t="str">
        <f t="shared" si="208"/>
        <v/>
      </c>
      <c r="X475" s="132"/>
      <c r="Y475" s="132"/>
      <c r="Z475" s="132"/>
      <c r="AA475" s="132"/>
    </row>
    <row r="476" spans="1:27" ht="20.100000000000001" hidden="1" customHeight="1">
      <c r="A476" s="299">
        <v>30101071</v>
      </c>
      <c r="B476" s="140" t="s">
        <v>229</v>
      </c>
      <c r="C476" s="471" t="s">
        <v>199</v>
      </c>
      <c r="D476" s="108">
        <v>5.03</v>
      </c>
      <c r="E476" s="108"/>
      <c r="F476" s="127"/>
      <c r="G476" s="128"/>
      <c r="H476" s="466">
        <f t="shared" si="210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1"/>
        <v/>
      </c>
      <c r="N476" s="130">
        <f t="shared" si="212"/>
        <v>0</v>
      </c>
      <c r="O476" s="474"/>
      <c r="P476" s="474"/>
      <c r="Q476" s="474"/>
      <c r="R476" s="474"/>
      <c r="S476" s="474"/>
      <c r="T476" s="474"/>
      <c r="U476" s="474"/>
      <c r="V476" s="132">
        <f t="shared" si="213"/>
        <v>0</v>
      </c>
      <c r="W476" s="133" t="str">
        <f t="shared" si="208"/>
        <v/>
      </c>
      <c r="X476" s="132"/>
      <c r="Y476" s="132"/>
      <c r="Z476" s="132"/>
      <c r="AA476" s="132"/>
    </row>
    <row r="477" spans="1:27" ht="20.100000000000001" hidden="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28"/>
      <c r="H477" s="466">
        <f t="shared" si="210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si="211"/>
        <v>0</v>
      </c>
      <c r="N477" s="130">
        <f t="shared" si="212"/>
        <v>0</v>
      </c>
      <c r="O477" s="474"/>
      <c r="P477" s="474"/>
      <c r="Q477" s="474"/>
      <c r="R477" s="474"/>
      <c r="S477" s="474"/>
      <c r="T477" s="474"/>
      <c r="U477" s="474"/>
      <c r="V477" s="132">
        <f t="shared" si="213"/>
        <v>0</v>
      </c>
      <c r="W477" s="133" t="str">
        <f t="shared" si="208"/>
        <v/>
      </c>
      <c r="X477" s="132"/>
      <c r="Y477" s="132"/>
      <c r="Z477" s="132"/>
      <c r="AA477" s="132"/>
    </row>
    <row r="478" spans="1:27" ht="20.100000000000001" hidden="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28"/>
      <c r="H478" s="466">
        <f t="shared" si="210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1"/>
        <v>0</v>
      </c>
      <c r="N478" s="130">
        <f t="shared" si="212"/>
        <v>0</v>
      </c>
      <c r="O478" s="474"/>
      <c r="P478" s="474"/>
      <c r="Q478" s="474"/>
      <c r="R478" s="474"/>
      <c r="S478" s="474"/>
      <c r="T478" s="474"/>
      <c r="U478" s="474"/>
      <c r="V478" s="132">
        <f t="shared" si="213"/>
        <v>0</v>
      </c>
      <c r="W478" s="133" t="str">
        <f t="shared" si="208"/>
        <v/>
      </c>
      <c r="X478" s="132"/>
      <c r="Y478" s="132"/>
      <c r="Z478" s="132"/>
      <c r="AA478" s="132"/>
    </row>
    <row r="479" spans="1:27" ht="20.100000000000001" hidden="1" customHeight="1">
      <c r="A479" s="578" t="s">
        <v>231</v>
      </c>
      <c r="B479" s="579"/>
      <c r="C479" s="475" t="s">
        <v>202</v>
      </c>
      <c r="D479" s="143"/>
      <c r="E479" s="143"/>
      <c r="F479" s="144"/>
      <c r="G479" s="145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08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hidden="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28"/>
      <c r="H480" s="466">
        <f t="shared" ref="H480:H489" si="214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4" si="215">IF(ISERROR(I480-K480),"",I480-K480)</f>
        <v>0</v>
      </c>
      <c r="N480" s="130">
        <f t="shared" ref="N480:N484" si="216">SUM(O480:U480)</f>
        <v>0</v>
      </c>
      <c r="O480" s="474"/>
      <c r="P480" s="474"/>
      <c r="Q480" s="474"/>
      <c r="R480" s="474"/>
      <c r="S480" s="474"/>
      <c r="T480" s="474"/>
      <c r="U480" s="474"/>
      <c r="V480" s="132">
        <f t="shared" ref="V480:V484" si="217">SUM(X480:AA480)</f>
        <v>0</v>
      </c>
      <c r="W480" s="133" t="str">
        <f t="shared" si="208"/>
        <v/>
      </c>
      <c r="X480" s="132"/>
      <c r="Y480" s="132"/>
      <c r="Z480" s="132"/>
      <c r="AA480" s="132"/>
    </row>
    <row r="481" spans="1:27" ht="20.100000000000001" hidden="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28"/>
      <c r="H481" s="466">
        <f t="shared" si="214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5"/>
        <v>0</v>
      </c>
      <c r="N481" s="130">
        <f t="shared" si="216"/>
        <v>0</v>
      </c>
      <c r="O481" s="474"/>
      <c r="P481" s="474"/>
      <c r="Q481" s="474"/>
      <c r="R481" s="474"/>
      <c r="S481" s="474"/>
      <c r="T481" s="474"/>
      <c r="U481" s="474"/>
      <c r="V481" s="132">
        <f t="shared" si="217"/>
        <v>0</v>
      </c>
      <c r="W481" s="133" t="str">
        <f t="shared" si="208"/>
        <v/>
      </c>
      <c r="X481" s="132"/>
      <c r="Y481" s="132"/>
      <c r="Z481" s="132"/>
      <c r="AA481" s="132"/>
    </row>
    <row r="482" spans="1:27" ht="20.100000000000001" hidden="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28"/>
      <c r="H482" s="466">
        <f t="shared" si="214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5"/>
        <v>0</v>
      </c>
      <c r="N482" s="130">
        <f t="shared" si="216"/>
        <v>0</v>
      </c>
      <c r="O482" s="474"/>
      <c r="P482" s="474"/>
      <c r="Q482" s="474"/>
      <c r="R482" s="474"/>
      <c r="S482" s="474"/>
      <c r="T482" s="474"/>
      <c r="U482" s="474"/>
      <c r="V482" s="132">
        <f t="shared" si="217"/>
        <v>0</v>
      </c>
      <c r="W482" s="133" t="str">
        <f t="shared" si="208"/>
        <v/>
      </c>
      <c r="X482" s="132"/>
      <c r="Y482" s="132"/>
      <c r="Z482" s="132"/>
      <c r="AA482" s="132"/>
    </row>
    <row r="483" spans="1:27" ht="20.100000000000001" hidden="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28"/>
      <c r="H483" s="466">
        <f t="shared" si="214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15"/>
        <v>0</v>
      </c>
      <c r="N483" s="130">
        <f t="shared" si="216"/>
        <v>0</v>
      </c>
      <c r="O483" s="474"/>
      <c r="P483" s="474"/>
      <c r="Q483" s="474"/>
      <c r="R483" s="474"/>
      <c r="S483" s="474"/>
      <c r="T483" s="474"/>
      <c r="U483" s="474"/>
      <c r="V483" s="132">
        <f t="shared" si="217"/>
        <v>0</v>
      </c>
      <c r="W483" s="133" t="str">
        <f t="shared" si="208"/>
        <v/>
      </c>
      <c r="X483" s="132"/>
      <c r="Y483" s="132"/>
      <c r="Z483" s="132"/>
      <c r="AA483" s="132"/>
    </row>
    <row r="484" spans="1:27" ht="20.100000000000001" hidden="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28"/>
      <c r="H484" s="466">
        <f t="shared" si="214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15"/>
        <v>0</v>
      </c>
      <c r="N484" s="130">
        <f t="shared" si="216"/>
        <v>0</v>
      </c>
      <c r="O484" s="474"/>
      <c r="P484" s="474"/>
      <c r="Q484" s="474"/>
      <c r="R484" s="474"/>
      <c r="S484" s="474"/>
      <c r="T484" s="474"/>
      <c r="U484" s="474"/>
      <c r="V484" s="132">
        <f t="shared" si="217"/>
        <v>0</v>
      </c>
      <c r="W484" s="133" t="str">
        <f t="shared" si="208"/>
        <v/>
      </c>
      <c r="X484" s="132"/>
      <c r="Y484" s="132"/>
      <c r="Z484" s="132"/>
      <c r="AA484" s="132"/>
    </row>
    <row r="485" spans="1:27" ht="20.100000000000001" hidden="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28"/>
      <c r="H485" s="466">
        <f t="shared" si="214"/>
        <v>0</v>
      </c>
      <c r="I485" s="129"/>
      <c r="J485" s="130"/>
      <c r="K485" s="131"/>
      <c r="L485" s="129">
        <v>13.5</v>
      </c>
      <c r="M485" s="109"/>
      <c r="N485" s="130"/>
      <c r="O485" s="474"/>
      <c r="P485" s="474"/>
      <c r="Q485" s="474"/>
      <c r="R485" s="474"/>
      <c r="S485" s="474"/>
      <c r="T485" s="474"/>
      <c r="U485" s="474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30400020</v>
      </c>
      <c r="B486" s="134" t="s">
        <v>439</v>
      </c>
      <c r="C486" s="187" t="s">
        <v>74</v>
      </c>
      <c r="D486" s="108">
        <v>5.04</v>
      </c>
      <c r="E486" s="108"/>
      <c r="F486" s="127"/>
      <c r="G486" s="128"/>
      <c r="H486" s="466">
        <f t="shared" si="214"/>
        <v>0</v>
      </c>
      <c r="I486" s="129"/>
      <c r="J486" s="130"/>
      <c r="K486" s="131"/>
      <c r="L486" s="129">
        <v>13.5</v>
      </c>
      <c r="M486" s="109"/>
      <c r="N486" s="130"/>
      <c r="O486" s="474"/>
      <c r="P486" s="474"/>
      <c r="Q486" s="474"/>
      <c r="R486" s="474"/>
      <c r="S486" s="474"/>
      <c r="T486" s="474"/>
      <c r="U486" s="474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0">
        <v>30400021</v>
      </c>
      <c r="B487" s="134" t="s">
        <v>439</v>
      </c>
      <c r="C487" s="187" t="s">
        <v>53</v>
      </c>
      <c r="D487" s="108">
        <v>5.04</v>
      </c>
      <c r="E487" s="108"/>
      <c r="F487" s="127"/>
      <c r="G487" s="128"/>
      <c r="H487" s="466">
        <f t="shared" si="214"/>
        <v>0</v>
      </c>
      <c r="I487" s="129"/>
      <c r="J487" s="130"/>
      <c r="K487" s="131"/>
      <c r="L487" s="129">
        <v>13.5</v>
      </c>
      <c r="M487" s="109"/>
      <c r="N487" s="130"/>
      <c r="O487" s="474"/>
      <c r="P487" s="474"/>
      <c r="Q487" s="474"/>
      <c r="R487" s="474"/>
      <c r="S487" s="474"/>
      <c r="T487" s="474"/>
      <c r="U487" s="474"/>
      <c r="V487" s="132"/>
      <c r="W487" s="133"/>
      <c r="X487" s="132"/>
      <c r="Y487" s="132"/>
      <c r="Z487" s="132"/>
      <c r="AA487" s="132"/>
    </row>
    <row r="488" spans="1:27" ht="20.100000000000001" hidden="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28"/>
      <c r="H488" s="466">
        <f t="shared" si="214"/>
        <v>0</v>
      </c>
      <c r="I488" s="129"/>
      <c r="J488" s="130"/>
      <c r="K488" s="131"/>
      <c r="L488" s="129">
        <v>13.5</v>
      </c>
      <c r="M488" s="109"/>
      <c r="N488" s="130"/>
      <c r="O488" s="474"/>
      <c r="P488" s="474"/>
      <c r="Q488" s="474"/>
      <c r="R488" s="474"/>
      <c r="S488" s="474"/>
      <c r="T488" s="474"/>
      <c r="U488" s="474"/>
      <c r="V488" s="132"/>
      <c r="W488" s="133"/>
      <c r="X488" s="132"/>
      <c r="Y488" s="132"/>
      <c r="Z488" s="132"/>
      <c r="AA488" s="132"/>
    </row>
    <row r="489" spans="1:27" ht="20.100000000000001" hidden="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28"/>
      <c r="H489" s="466">
        <f t="shared" si="214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ref="M489" si="218">IF(ISERROR(I489-K489),"",I489-K489)</f>
        <v>0</v>
      </c>
      <c r="N489" s="130">
        <f t="shared" ref="N489" si="219">SUM(O489:U489)</f>
        <v>0</v>
      </c>
      <c r="O489" s="474"/>
      <c r="P489" s="474"/>
      <c r="Q489" s="474"/>
      <c r="R489" s="474"/>
      <c r="S489" s="474"/>
      <c r="T489" s="474"/>
      <c r="U489" s="474"/>
      <c r="V489" s="132">
        <f t="shared" ref="V489" si="220">SUM(X489:AA489)</f>
        <v>0</v>
      </c>
      <c r="W489" s="133" t="str">
        <f t="shared" ref="W489:W494" si="221">IF(ISERROR(V489/G489),"",V489/G489)</f>
        <v/>
      </c>
      <c r="X489" s="132"/>
      <c r="Y489" s="132"/>
      <c r="Z489" s="132"/>
      <c r="AA489" s="132"/>
    </row>
    <row r="490" spans="1:27" ht="20.100000000000001" hidden="1" customHeight="1">
      <c r="A490" s="578" t="s">
        <v>234</v>
      </c>
      <c r="B490" s="579"/>
      <c r="C490" s="475" t="s">
        <v>202</v>
      </c>
      <c r="D490" s="143"/>
      <c r="E490" s="143"/>
      <c r="F490" s="144"/>
      <c r="G490" s="145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1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hidden="1" customHeight="1">
      <c r="A491" s="299">
        <v>30700013</v>
      </c>
      <c r="B491" s="141" t="s">
        <v>235</v>
      </c>
      <c r="C491" s="472"/>
      <c r="D491" s="108">
        <v>3.65</v>
      </c>
      <c r="E491" s="108"/>
      <c r="F491" s="153"/>
      <c r="G491" s="128"/>
      <c r="H491" s="466">
        <f t="shared" ref="H491:H505" si="222">D491*G491</f>
        <v>0</v>
      </c>
      <c r="I491" s="129"/>
      <c r="J491" s="130" t="str">
        <f t="array" ref="J491">IF(ISERROR(G491/I491),"",G491/I491)</f>
        <v/>
      </c>
      <c r="K491" s="466">
        <f t="array" ref="K491">IF(ISERROR(G491/L491),"",G491/L491)</f>
        <v>0</v>
      </c>
      <c r="L491" s="129">
        <v>5</v>
      </c>
      <c r="M491" s="109">
        <f t="shared" ref="M491:M494" si="223">IF(ISERROR(I491-K491),"",I491-K491)</f>
        <v>0</v>
      </c>
      <c r="N491" s="130">
        <f t="shared" ref="N491:N494" si="224">SUM(O491:U491)</f>
        <v>0</v>
      </c>
      <c r="O491" s="474"/>
      <c r="P491" s="474"/>
      <c r="Q491" s="474"/>
      <c r="R491" s="474"/>
      <c r="S491" s="474"/>
      <c r="T491" s="474"/>
      <c r="U491" s="474"/>
      <c r="V491" s="132">
        <f t="shared" ref="V491:V494" si="225">SUM(X491:AA491)</f>
        <v>0</v>
      </c>
      <c r="W491" s="133" t="str">
        <f t="shared" si="221"/>
        <v/>
      </c>
      <c r="X491" s="132"/>
      <c r="Y491" s="132"/>
      <c r="Z491" s="132"/>
      <c r="AA491" s="132"/>
    </row>
    <row r="492" spans="1:27" ht="20.100000000000001" hidden="1" customHeight="1">
      <c r="A492" s="299">
        <v>30700014</v>
      </c>
      <c r="B492" s="141" t="s">
        <v>236</v>
      </c>
      <c r="C492" s="472"/>
      <c r="D492" s="108">
        <v>6.58</v>
      </c>
      <c r="E492" s="108"/>
      <c r="F492" s="127"/>
      <c r="G492" s="128"/>
      <c r="H492" s="466">
        <f t="shared" si="222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3"/>
        <v>0</v>
      </c>
      <c r="N492" s="130">
        <f t="shared" si="224"/>
        <v>0</v>
      </c>
      <c r="O492" s="474"/>
      <c r="P492" s="474"/>
      <c r="Q492" s="474"/>
      <c r="R492" s="474"/>
      <c r="S492" s="474"/>
      <c r="T492" s="474"/>
      <c r="U492" s="474"/>
      <c r="V492" s="132">
        <f t="shared" si="225"/>
        <v>0</v>
      </c>
      <c r="W492" s="133" t="str">
        <f t="shared" si="221"/>
        <v/>
      </c>
      <c r="X492" s="132"/>
      <c r="Y492" s="132"/>
      <c r="Z492" s="132"/>
      <c r="AA492" s="132"/>
    </row>
    <row r="493" spans="1:27" ht="20.100000000000001" hidden="1" customHeight="1">
      <c r="A493" s="299">
        <v>30700016</v>
      </c>
      <c r="B493" s="141" t="s">
        <v>237</v>
      </c>
      <c r="C493" s="472"/>
      <c r="D493" s="108">
        <v>7.8</v>
      </c>
      <c r="E493" s="108"/>
      <c r="F493" s="127"/>
      <c r="G493" s="128"/>
      <c r="H493" s="466">
        <f t="shared" si="222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3"/>
        <v>0</v>
      </c>
      <c r="N493" s="130">
        <f t="shared" si="224"/>
        <v>0</v>
      </c>
      <c r="O493" s="474"/>
      <c r="P493" s="474"/>
      <c r="Q493" s="474"/>
      <c r="R493" s="474"/>
      <c r="S493" s="474"/>
      <c r="T493" s="474"/>
      <c r="U493" s="474"/>
      <c r="V493" s="132">
        <f t="shared" si="225"/>
        <v>0</v>
      </c>
      <c r="W493" s="133" t="str">
        <f t="shared" si="221"/>
        <v/>
      </c>
      <c r="X493" s="132"/>
      <c r="Y493" s="132"/>
      <c r="Z493" s="132"/>
      <c r="AA493" s="132"/>
    </row>
    <row r="494" spans="1:27" ht="20.100000000000001" hidden="1" customHeight="1">
      <c r="A494" s="299">
        <v>30700017</v>
      </c>
      <c r="B494" s="141" t="s">
        <v>238</v>
      </c>
      <c r="C494" s="472"/>
      <c r="D494" s="108">
        <v>4.4000000000000004</v>
      </c>
      <c r="E494" s="108"/>
      <c r="F494" s="127"/>
      <c r="G494" s="128"/>
      <c r="H494" s="466">
        <f t="shared" si="222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3"/>
        <v>0</v>
      </c>
      <c r="N494" s="130">
        <f t="shared" si="224"/>
        <v>0</v>
      </c>
      <c r="O494" s="474"/>
      <c r="P494" s="474"/>
      <c r="Q494" s="474"/>
      <c r="R494" s="474"/>
      <c r="S494" s="474"/>
      <c r="T494" s="474"/>
      <c r="U494" s="474"/>
      <c r="V494" s="132">
        <f t="shared" si="225"/>
        <v>0</v>
      </c>
      <c r="W494" s="133" t="str">
        <f t="shared" si="221"/>
        <v/>
      </c>
      <c r="X494" s="132"/>
      <c r="Y494" s="132"/>
      <c r="Z494" s="132"/>
      <c r="AA494" s="132"/>
    </row>
    <row r="495" spans="1:27" ht="20.100000000000001" hidden="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28"/>
      <c r="H495" s="466">
        <f t="shared" si="222"/>
        <v>0</v>
      </c>
      <c r="I495" s="129"/>
      <c r="J495" s="130"/>
      <c r="K495" s="131"/>
      <c r="L495" s="129"/>
      <c r="M495" s="109"/>
      <c r="N495" s="130"/>
      <c r="O495" s="474"/>
      <c r="P495" s="474"/>
      <c r="Q495" s="474"/>
      <c r="R495" s="474"/>
      <c r="S495" s="474"/>
      <c r="T495" s="474"/>
      <c r="U495" s="474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299">
        <v>30700001</v>
      </c>
      <c r="B496" s="127" t="s">
        <v>359</v>
      </c>
      <c r="C496" s="472"/>
      <c r="D496" s="108"/>
      <c r="E496" s="108"/>
      <c r="F496" s="127"/>
      <c r="G496" s="128"/>
      <c r="H496" s="466">
        <f t="shared" si="222"/>
        <v>0</v>
      </c>
      <c r="I496" s="129"/>
      <c r="J496" s="130"/>
      <c r="K496" s="131"/>
      <c r="L496" s="129">
        <v>6</v>
      </c>
      <c r="M496" s="109"/>
      <c r="N496" s="130"/>
      <c r="O496" s="474"/>
      <c r="P496" s="474"/>
      <c r="Q496" s="474"/>
      <c r="R496" s="474"/>
      <c r="S496" s="474"/>
      <c r="T496" s="474"/>
      <c r="U496" s="474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/>
      <c r="B497" s="472" t="s">
        <v>239</v>
      </c>
      <c r="C497" s="472" t="s">
        <v>179</v>
      </c>
      <c r="D497" s="108">
        <v>6.04</v>
      </c>
      <c r="E497" s="108"/>
      <c r="F497" s="127"/>
      <c r="G497" s="128"/>
      <c r="H497" s="466">
        <f t="shared" si="222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498" si="226">IF(ISERROR(I497-K497),"",I497-K497)</f>
        <v>0</v>
      </c>
      <c r="N497" s="130">
        <f t="shared" ref="N497:N498" si="227">SUM(O497:U497)</f>
        <v>0</v>
      </c>
      <c r="O497" s="474"/>
      <c r="P497" s="474"/>
      <c r="Q497" s="474"/>
      <c r="R497" s="474"/>
      <c r="S497" s="474"/>
      <c r="T497" s="474"/>
      <c r="U497" s="474"/>
      <c r="V497" s="132">
        <f t="shared" ref="V497:V498" si="228">SUM(X497:AA497)</f>
        <v>0</v>
      </c>
      <c r="W497" s="133" t="str">
        <f t="shared" ref="W497:W498" si="229">IF(ISERROR(V497/G497),"",V497/G497)</f>
        <v/>
      </c>
      <c r="X497" s="132"/>
      <c r="Y497" s="132"/>
      <c r="Z497" s="132"/>
      <c r="AA497" s="132"/>
    </row>
    <row r="498" spans="1:27" ht="20.100000000000001" hidden="1" customHeight="1">
      <c r="A498" s="305">
        <v>30700019</v>
      </c>
      <c r="B498" s="472" t="s">
        <v>239</v>
      </c>
      <c r="C498" s="472" t="s">
        <v>186</v>
      </c>
      <c r="D498" s="108">
        <v>6.04</v>
      </c>
      <c r="E498" s="108"/>
      <c r="F498" s="127"/>
      <c r="G498" s="128"/>
      <c r="H498" s="466">
        <f t="shared" si="222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6"/>
        <v>0</v>
      </c>
      <c r="N498" s="130">
        <f t="shared" si="227"/>
        <v>0</v>
      </c>
      <c r="O498" s="474"/>
      <c r="P498" s="474"/>
      <c r="Q498" s="474"/>
      <c r="R498" s="474"/>
      <c r="S498" s="474"/>
      <c r="T498" s="474"/>
      <c r="U498" s="474"/>
      <c r="V498" s="132">
        <f t="shared" si="228"/>
        <v>0</v>
      </c>
      <c r="W498" s="133" t="str">
        <f t="shared" si="229"/>
        <v/>
      </c>
      <c r="X498" s="132"/>
      <c r="Y498" s="132"/>
      <c r="Z498" s="132"/>
      <c r="AA498" s="132"/>
    </row>
    <row r="499" spans="1:27" ht="20.100000000000001" hidden="1" customHeight="1">
      <c r="A499" s="305">
        <v>30601015</v>
      </c>
      <c r="B499" s="472" t="s">
        <v>443</v>
      </c>
      <c r="C499" s="472" t="s">
        <v>179</v>
      </c>
      <c r="D499" s="108"/>
      <c r="E499" s="108"/>
      <c r="F499" s="127"/>
      <c r="G499" s="128"/>
      <c r="H499" s="466">
        <f t="shared" si="222"/>
        <v>0</v>
      </c>
      <c r="I499" s="129"/>
      <c r="J499" s="130"/>
      <c r="K499" s="131"/>
      <c r="L499" s="129"/>
      <c r="M499" s="109"/>
      <c r="N499" s="130"/>
      <c r="O499" s="474"/>
      <c r="P499" s="474"/>
      <c r="Q499" s="474"/>
      <c r="R499" s="474"/>
      <c r="S499" s="474"/>
      <c r="T499" s="474"/>
      <c r="U499" s="474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305">
        <v>30101016</v>
      </c>
      <c r="B500" s="472" t="s">
        <v>443</v>
      </c>
      <c r="C500" s="472" t="s">
        <v>186</v>
      </c>
      <c r="D500" s="108"/>
      <c r="E500" s="108"/>
      <c r="F500" s="127"/>
      <c r="G500" s="128"/>
      <c r="H500" s="466">
        <f t="shared" si="222"/>
        <v>0</v>
      </c>
      <c r="I500" s="129"/>
      <c r="J500" s="130"/>
      <c r="K500" s="131"/>
      <c r="L500" s="129"/>
      <c r="M500" s="109"/>
      <c r="N500" s="130"/>
      <c r="O500" s="474"/>
      <c r="P500" s="474"/>
      <c r="Q500" s="474"/>
      <c r="R500" s="474"/>
      <c r="S500" s="474"/>
      <c r="T500" s="474"/>
      <c r="U500" s="474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30700018</v>
      </c>
      <c r="B501" s="465" t="s">
        <v>240</v>
      </c>
      <c r="C501" s="126"/>
      <c r="D501" s="108">
        <v>7.3</v>
      </c>
      <c r="E501" s="108"/>
      <c r="F501" s="127"/>
      <c r="G501" s="128"/>
      <c r="H501" s="466">
        <f t="shared" si="222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ref="M501" si="230">IF(ISERROR(I501-K501),"",I501-K501)</f>
        <v>0</v>
      </c>
      <c r="N501" s="130">
        <f t="shared" ref="N501" si="231">SUM(O501:U501)</f>
        <v>0</v>
      </c>
      <c r="O501" s="474"/>
      <c r="P501" s="474"/>
      <c r="Q501" s="474"/>
      <c r="R501" s="474"/>
      <c r="S501" s="474"/>
      <c r="T501" s="474"/>
      <c r="U501" s="474"/>
      <c r="V501" s="132">
        <f t="shared" ref="V501" si="232">SUM(X501:AA501)</f>
        <v>0</v>
      </c>
      <c r="W501" s="133" t="str">
        <f t="shared" ref="W501" si="233">IF(ISERROR(V501/G501),"",V501/G501)</f>
        <v/>
      </c>
      <c r="X501" s="132"/>
      <c r="Y501" s="132"/>
      <c r="Z501" s="132"/>
      <c r="AA501" s="132"/>
    </row>
    <row r="502" spans="1:27" ht="20.100000000000001" hidden="1" customHeight="1">
      <c r="A502" s="299">
        <v>30700010</v>
      </c>
      <c r="B502" s="465" t="s">
        <v>241</v>
      </c>
      <c r="C502" s="126"/>
      <c r="D502" s="108">
        <f>78*120/1000</f>
        <v>9.36</v>
      </c>
      <c r="E502" s="108"/>
      <c r="F502" s="127"/>
      <c r="G502" s="128"/>
      <c r="H502" s="466">
        <f t="shared" si="222"/>
        <v>0</v>
      </c>
      <c r="I502" s="129"/>
      <c r="J502" s="130"/>
      <c r="K502" s="131"/>
      <c r="L502" s="129"/>
      <c r="M502" s="109"/>
      <c r="N502" s="130"/>
      <c r="O502" s="474"/>
      <c r="P502" s="474"/>
      <c r="Q502" s="474"/>
      <c r="R502" s="474"/>
      <c r="S502" s="474"/>
      <c r="T502" s="474"/>
      <c r="U502" s="474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299">
        <v>30700015</v>
      </c>
      <c r="B503" s="465" t="s">
        <v>242</v>
      </c>
      <c r="C503" s="126"/>
      <c r="D503" s="108">
        <v>4.5</v>
      </c>
      <c r="E503" s="108"/>
      <c r="F503" s="127"/>
      <c r="G503" s="128"/>
      <c r="H503" s="466">
        <f t="shared" si="222"/>
        <v>0</v>
      </c>
      <c r="I503" s="129"/>
      <c r="J503" s="130"/>
      <c r="K503" s="131"/>
      <c r="L503" s="129"/>
      <c r="M503" s="109"/>
      <c r="N503" s="130"/>
      <c r="O503" s="474"/>
      <c r="P503" s="474"/>
      <c r="Q503" s="474"/>
      <c r="R503" s="474"/>
      <c r="S503" s="474"/>
      <c r="T503" s="474"/>
      <c r="U503" s="474"/>
      <c r="V503" s="132"/>
      <c r="W503" s="133"/>
      <c r="X503" s="132"/>
      <c r="Y503" s="132"/>
      <c r="Z503" s="132"/>
      <c r="AA503" s="132"/>
    </row>
    <row r="504" spans="1:27" ht="20.100000000000001" hidden="1" customHeight="1">
      <c r="A504" s="299">
        <v>30700012</v>
      </c>
      <c r="B504" s="465" t="s">
        <v>243</v>
      </c>
      <c r="C504" s="126"/>
      <c r="D504" s="108">
        <v>4.5</v>
      </c>
      <c r="E504" s="108"/>
      <c r="F504" s="127"/>
      <c r="G504" s="128"/>
      <c r="H504" s="466">
        <f t="shared" si="222"/>
        <v>0</v>
      </c>
      <c r="I504" s="129"/>
      <c r="J504" s="130"/>
      <c r="K504" s="131"/>
      <c r="L504" s="129"/>
      <c r="M504" s="109"/>
      <c r="N504" s="130"/>
      <c r="O504" s="474"/>
      <c r="P504" s="474"/>
      <c r="Q504" s="474"/>
      <c r="R504" s="474"/>
      <c r="S504" s="474"/>
      <c r="T504" s="474"/>
      <c r="U504" s="474"/>
      <c r="V504" s="132"/>
      <c r="W504" s="133"/>
      <c r="X504" s="132"/>
      <c r="Y504" s="132"/>
      <c r="Z504" s="132"/>
      <c r="AA504" s="132"/>
    </row>
    <row r="505" spans="1:27" ht="20.100000000000001" hidden="1" customHeight="1">
      <c r="A505" s="299"/>
      <c r="B505" s="465"/>
      <c r="C505" s="126"/>
      <c r="D505" s="108"/>
      <c r="E505" s="108"/>
      <c r="F505" s="127"/>
      <c r="G505" s="128"/>
      <c r="H505" s="466">
        <f t="shared" si="222"/>
        <v>0</v>
      </c>
      <c r="I505" s="129"/>
      <c r="J505" s="130"/>
      <c r="K505" s="131"/>
      <c r="L505" s="129"/>
      <c r="M505" s="109"/>
      <c r="N505" s="130"/>
      <c r="O505" s="474"/>
      <c r="P505" s="474"/>
      <c r="Q505" s="474"/>
      <c r="R505" s="474"/>
      <c r="S505" s="474"/>
      <c r="T505" s="474"/>
      <c r="U505" s="474"/>
      <c r="V505" s="132"/>
      <c r="W505" s="133"/>
      <c r="X505" s="132"/>
      <c r="Y505" s="132"/>
      <c r="Z505" s="132"/>
      <c r="AA505" s="132"/>
    </row>
    <row r="506" spans="1:27" ht="20.100000000000001" hidden="1" customHeight="1">
      <c r="A506" s="578" t="s">
        <v>244</v>
      </c>
      <c r="B506" s="579"/>
      <c r="C506" s="475" t="s">
        <v>202</v>
      </c>
      <c r="D506" s="143"/>
      <c r="E506" s="143"/>
      <c r="F506" s="144"/>
      <c r="G506" s="145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4">SUM(M491:M501)</f>
        <v>0</v>
      </c>
      <c r="N506" s="146">
        <f t="shared" si="234"/>
        <v>0</v>
      </c>
      <c r="O506" s="148">
        <f t="shared" si="234"/>
        <v>0</v>
      </c>
      <c r="P506" s="148">
        <f t="shared" si="234"/>
        <v>0</v>
      </c>
      <c r="Q506" s="148">
        <f t="shared" si="234"/>
        <v>0</v>
      </c>
      <c r="R506" s="148">
        <f t="shared" si="234"/>
        <v>0</v>
      </c>
      <c r="S506" s="148">
        <f t="shared" si="234"/>
        <v>0</v>
      </c>
      <c r="T506" s="148">
        <f t="shared" si="234"/>
        <v>0</v>
      </c>
      <c r="U506" s="148">
        <f t="shared" si="234"/>
        <v>0</v>
      </c>
      <c r="V506" s="149">
        <f t="shared" si="234"/>
        <v>0</v>
      </c>
      <c r="W506" s="133">
        <f t="shared" si="234"/>
        <v>0</v>
      </c>
      <c r="X506" s="149">
        <f t="shared" si="234"/>
        <v>0</v>
      </c>
      <c r="Y506" s="149">
        <f t="shared" si="234"/>
        <v>0</v>
      </c>
      <c r="Z506" s="149">
        <f t="shared" si="234"/>
        <v>0</v>
      </c>
      <c r="AA506" s="149">
        <f t="shared" si="234"/>
        <v>0</v>
      </c>
    </row>
    <row r="507" spans="1:27" ht="20.100000000000001" customHeight="1">
      <c r="A507" s="580" t="s">
        <v>246</v>
      </c>
      <c r="B507" s="581"/>
      <c r="C507" s="581"/>
      <c r="D507" s="581"/>
      <c r="E507" s="581"/>
      <c r="F507" s="582"/>
      <c r="G507" s="154">
        <f>SUM(G370,G428,G463,G479,G490,G506)</f>
        <v>736</v>
      </c>
      <c r="H507" s="154">
        <f>SUM(H370,H428,H463,H479,H490,H506)</f>
        <v>3702.0800000000004</v>
      </c>
      <c r="I507" s="154">
        <f>SUM(I370,I428,I463,I479,I490,I506)</f>
        <v>83.5</v>
      </c>
      <c r="J507" s="155">
        <f t="array" ref="J507">IF(ISERROR(G507/I507),"",G507/I507)</f>
        <v>8.8143712574850301</v>
      </c>
      <c r="K507" s="154">
        <f>SUM(K370,K428,K463,K479,K490,K506)</f>
        <v>80.404447702834787</v>
      </c>
      <c r="L507" s="155">
        <f>IF(ISERROR(G507/K507),"",G507/K507)</f>
        <v>9.1537224746592116</v>
      </c>
      <c r="M507" s="154">
        <f t="shared" ref="M507:V507" si="235">SUM(M370,M428,M463,M479,M490,M506)</f>
        <v>3.0955522971652094</v>
      </c>
      <c r="N507" s="154">
        <f t="shared" si="235"/>
        <v>0</v>
      </c>
      <c r="O507" s="154">
        <f t="shared" si="235"/>
        <v>0</v>
      </c>
      <c r="P507" s="154">
        <f t="shared" si="235"/>
        <v>0</v>
      </c>
      <c r="Q507" s="154">
        <f t="shared" si="235"/>
        <v>0</v>
      </c>
      <c r="R507" s="154">
        <f t="shared" si="235"/>
        <v>0</v>
      </c>
      <c r="S507" s="154">
        <f t="shared" si="235"/>
        <v>0</v>
      </c>
      <c r="T507" s="154">
        <f t="shared" si="235"/>
        <v>0</v>
      </c>
      <c r="U507" s="154">
        <f t="shared" si="235"/>
        <v>0</v>
      </c>
      <c r="V507" s="154">
        <f t="shared" si="235"/>
        <v>0</v>
      </c>
      <c r="W507" s="156">
        <f t="shared" ref="W507" si="236">IF(ISERROR(V507/G507),"",V507/G507)</f>
        <v>0</v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583" t="s">
        <v>476</v>
      </c>
      <c r="B508" s="468" t="s">
        <v>247</v>
      </c>
      <c r="C508" s="586" t="s">
        <v>248</v>
      </c>
      <c r="D508" s="587"/>
      <c r="E508" s="588" t="s">
        <v>249</v>
      </c>
      <c r="F508" s="588"/>
      <c r="G508" s="591" t="s">
        <v>250</v>
      </c>
      <c r="H508" s="591"/>
      <c r="I508" s="588" t="s">
        <v>251</v>
      </c>
      <c r="J508" s="588"/>
      <c r="K508" s="588" t="s">
        <v>252</v>
      </c>
      <c r="L508" s="588"/>
      <c r="M508" s="588" t="s">
        <v>253</v>
      </c>
      <c r="N508" s="588"/>
      <c r="O508" s="588" t="s">
        <v>254</v>
      </c>
      <c r="P508" s="591" t="s">
        <v>255</v>
      </c>
      <c r="Q508" s="591"/>
      <c r="R508" s="591" t="s">
        <v>252</v>
      </c>
      <c r="S508" s="591"/>
      <c r="T508" s="591" t="s">
        <v>256</v>
      </c>
      <c r="U508" s="591"/>
      <c r="V508" s="591" t="s">
        <v>257</v>
      </c>
      <c r="W508" s="591"/>
      <c r="X508" s="591" t="s">
        <v>252</v>
      </c>
      <c r="Y508" s="591"/>
      <c r="Z508" s="591" t="s">
        <v>256</v>
      </c>
      <c r="AA508" s="591"/>
    </row>
    <row r="509" spans="1:27" ht="20.100000000000001" customHeight="1">
      <c r="A509" s="584"/>
      <c r="B509" s="468" t="s">
        <v>258</v>
      </c>
      <c r="C509" s="586">
        <v>0</v>
      </c>
      <c r="D509" s="587"/>
      <c r="E509" s="590">
        <f>C509*11</f>
        <v>0</v>
      </c>
      <c r="F509" s="590"/>
      <c r="G509" s="591">
        <v>0</v>
      </c>
      <c r="H509" s="591"/>
      <c r="I509" s="590">
        <f>G509*11</f>
        <v>0</v>
      </c>
      <c r="J509" s="590"/>
      <c r="K509" s="590">
        <f>E509-I509</f>
        <v>0</v>
      </c>
      <c r="L509" s="590"/>
      <c r="M509" s="592" t="str">
        <f>IF(ISERROR(K509/E509),"",K509/E509)</f>
        <v/>
      </c>
      <c r="N509" s="592"/>
      <c r="O509" s="588"/>
      <c r="P509" s="591" t="s">
        <v>201</v>
      </c>
      <c r="Q509" s="591"/>
      <c r="R509" s="593">
        <f>SUM(O370:U370)</f>
        <v>0</v>
      </c>
      <c r="S509" s="593"/>
      <c r="T509" s="594" t="str">
        <f t="array" ref="T509">IF(ISERROR(R509/R516),"",R509/R516)</f>
        <v/>
      </c>
      <c r="U509" s="594"/>
      <c r="V509" s="591" t="s">
        <v>259</v>
      </c>
      <c r="W509" s="591"/>
      <c r="X509" s="595">
        <f>SUM(O370,O428,O463,O479,O490,O506)</f>
        <v>0</v>
      </c>
      <c r="Y509" s="595"/>
      <c r="Z509" s="594" t="str">
        <f t="array" ref="Z509">IF(ISERROR(X509/X516),"",X509/X516)</f>
        <v/>
      </c>
      <c r="AA509" s="594"/>
    </row>
    <row r="510" spans="1:27" ht="20.100000000000001" customHeight="1">
      <c r="A510" s="584"/>
      <c r="B510" s="468" t="s">
        <v>260</v>
      </c>
      <c r="C510" s="586">
        <v>0</v>
      </c>
      <c r="D510" s="587"/>
      <c r="E510" s="590">
        <f>C510*11</f>
        <v>0</v>
      </c>
      <c r="F510" s="590"/>
      <c r="G510" s="591">
        <v>0</v>
      </c>
      <c r="H510" s="591"/>
      <c r="I510" s="590">
        <f>G510*11</f>
        <v>0</v>
      </c>
      <c r="J510" s="590"/>
      <c r="K510" s="590">
        <f>E510-I510</f>
        <v>0</v>
      </c>
      <c r="L510" s="590"/>
      <c r="M510" s="592" t="str">
        <f>IF(ISERROR(K510/E510),"",K510/E510)</f>
        <v/>
      </c>
      <c r="N510" s="592"/>
      <c r="O510" s="588"/>
      <c r="P510" s="591" t="s">
        <v>216</v>
      </c>
      <c r="Q510" s="591"/>
      <c r="R510" s="593">
        <f>SUM(O428:U428)</f>
        <v>0</v>
      </c>
      <c r="S510" s="593"/>
      <c r="T510" s="594" t="str">
        <f>IF(ISERROR(R510/R516),"",R510/R516)</f>
        <v/>
      </c>
      <c r="U510" s="594"/>
      <c r="V510" s="591" t="s">
        <v>261</v>
      </c>
      <c r="W510" s="591"/>
      <c r="X510" s="595">
        <f>SUM(O371,O429,O464,O480,O491,O507)</f>
        <v>0</v>
      </c>
      <c r="Y510" s="595"/>
      <c r="Z510" s="594" t="str">
        <f>IF(ISERROR(X510/X516),"",X510/X516)</f>
        <v/>
      </c>
      <c r="AA510" s="594"/>
    </row>
    <row r="511" spans="1:27" ht="20.100000000000001" customHeight="1">
      <c r="A511" s="584"/>
      <c r="B511" s="468" t="s">
        <v>262</v>
      </c>
      <c r="C511" s="586">
        <v>0</v>
      </c>
      <c r="D511" s="587"/>
      <c r="E511" s="590">
        <f>C511*11</f>
        <v>0</v>
      </c>
      <c r="F511" s="590"/>
      <c r="G511" s="591">
        <v>0</v>
      </c>
      <c r="H511" s="591"/>
      <c r="I511" s="590">
        <f>G511*11</f>
        <v>0</v>
      </c>
      <c r="J511" s="590"/>
      <c r="K511" s="590">
        <f>E511-I511</f>
        <v>0</v>
      </c>
      <c r="L511" s="590"/>
      <c r="M511" s="592" t="str">
        <f>IF(ISERROR(K511/E511),"",K511/E511)</f>
        <v/>
      </c>
      <c r="N511" s="592"/>
      <c r="O511" s="588"/>
      <c r="P511" s="591" t="s">
        <v>224</v>
      </c>
      <c r="Q511" s="591"/>
      <c r="R511" s="593">
        <f>SUM(O463:U463)</f>
        <v>0</v>
      </c>
      <c r="S511" s="593"/>
      <c r="T511" s="594" t="str">
        <f>IF(ISERROR(R511/R516),"",R511/R516)</f>
        <v/>
      </c>
      <c r="U511" s="594"/>
      <c r="V511" s="591" t="s">
        <v>263</v>
      </c>
      <c r="W511" s="591"/>
      <c r="X511" s="595">
        <f>SUM(O373,O430,O465,O481,O492,O508)</f>
        <v>0</v>
      </c>
      <c r="Y511" s="595"/>
      <c r="Z511" s="594" t="str">
        <f>IF(ISERROR(X511/X516),"",X511/X516)</f>
        <v/>
      </c>
      <c r="AA511" s="594"/>
    </row>
    <row r="512" spans="1:27" ht="20.100000000000001" customHeight="1">
      <c r="A512" s="584"/>
      <c r="B512" s="468" t="s">
        <v>264</v>
      </c>
      <c r="C512" s="586">
        <v>1</v>
      </c>
      <c r="D512" s="587"/>
      <c r="E512" s="590">
        <f>C512*11</f>
        <v>11</v>
      </c>
      <c r="F512" s="590"/>
      <c r="G512" s="591">
        <v>1</v>
      </c>
      <c r="H512" s="591"/>
      <c r="I512" s="590">
        <f>G512*11</f>
        <v>11</v>
      </c>
      <c r="J512" s="590"/>
      <c r="K512" s="590">
        <f>E512-I512</f>
        <v>0</v>
      </c>
      <c r="L512" s="590"/>
      <c r="M512" s="592">
        <f>IF(ISERROR(K512/E512),"",K512/E512)</f>
        <v>0</v>
      </c>
      <c r="N512" s="592"/>
      <c r="O512" s="588"/>
      <c r="P512" s="591" t="s">
        <v>231</v>
      </c>
      <c r="Q512" s="591"/>
      <c r="R512" s="593">
        <f>SUM(O479:U479)</f>
        <v>0</v>
      </c>
      <c r="S512" s="593"/>
      <c r="T512" s="594" t="str">
        <f>IF(ISERROR(R512/R516),"",R512/R516)</f>
        <v/>
      </c>
      <c r="U512" s="594"/>
      <c r="V512" s="591" t="s">
        <v>265</v>
      </c>
      <c r="W512" s="591"/>
      <c r="X512" s="595">
        <f>SUM(O374,O431,O466,O482,O493,O509)</f>
        <v>0</v>
      </c>
      <c r="Y512" s="595"/>
      <c r="Z512" s="594" t="str">
        <f>IF(ISERROR(X512/X516),"",X512/X516)</f>
        <v/>
      </c>
      <c r="AA512" s="594"/>
    </row>
    <row r="513" spans="1:27" ht="20.100000000000001" customHeight="1">
      <c r="A513" s="585"/>
      <c r="B513" s="468" t="s">
        <v>266</v>
      </c>
      <c r="C513" s="596">
        <f>SUM(C509:D512)</f>
        <v>1</v>
      </c>
      <c r="D513" s="597"/>
      <c r="E513" s="590">
        <f>SUM(E509:F512)</f>
        <v>11</v>
      </c>
      <c r="F513" s="590"/>
      <c r="G513" s="591">
        <f>SUM(G509:H512)</f>
        <v>1</v>
      </c>
      <c r="H513" s="591"/>
      <c r="I513" s="590">
        <f>SUM(I509:J512)</f>
        <v>11</v>
      </c>
      <c r="J513" s="590"/>
      <c r="K513" s="590">
        <f>SUM(K509:L512)</f>
        <v>0</v>
      </c>
      <c r="L513" s="590"/>
      <c r="M513" s="592">
        <f>IF(ISERROR(K513/E513),"",K513/E513)</f>
        <v>0</v>
      </c>
      <c r="N513" s="592"/>
      <c r="O513" s="588"/>
      <c r="P513" s="591" t="s">
        <v>234</v>
      </c>
      <c r="Q513" s="591"/>
      <c r="R513" s="593">
        <f>SUM(O490:U490)</f>
        <v>0</v>
      </c>
      <c r="S513" s="593"/>
      <c r="T513" s="594" t="str">
        <f>IF(ISERROR(R513/R516),"",R513/R516)</f>
        <v/>
      </c>
      <c r="U513" s="594"/>
      <c r="V513" s="591" t="s">
        <v>267</v>
      </c>
      <c r="W513" s="591"/>
      <c r="X513" s="595">
        <f>SUM(O375,O432,O467,O483,O494,O510)</f>
        <v>0</v>
      </c>
      <c r="Y513" s="595"/>
      <c r="Z513" s="594" t="str">
        <f>IF(ISERROR(X513/X516),"",X513/X516)</f>
        <v/>
      </c>
      <c r="AA513" s="594"/>
    </row>
    <row r="514" spans="1:27" ht="20.100000000000001" customHeight="1">
      <c r="A514" s="307" t="s">
        <v>477</v>
      </c>
      <c r="B514" s="468">
        <f>G507</f>
        <v>736</v>
      </c>
      <c r="C514" s="598" t="s">
        <v>269</v>
      </c>
      <c r="D514" s="599"/>
      <c r="E514" s="591">
        <f>H507</f>
        <v>3702.0800000000004</v>
      </c>
      <c r="F514" s="591"/>
      <c r="G514" s="591" t="s">
        <v>270</v>
      </c>
      <c r="H514" s="591"/>
      <c r="I514" s="600">
        <f>L507</f>
        <v>9.1537224746592116</v>
      </c>
      <c r="J514" s="600"/>
      <c r="K514" s="588" t="s">
        <v>271</v>
      </c>
      <c r="L514" s="588"/>
      <c r="M514" s="600">
        <f>J507</f>
        <v>8.8143712574850301</v>
      </c>
      <c r="N514" s="600"/>
      <c r="O514" s="588"/>
      <c r="P514" s="591" t="s">
        <v>244</v>
      </c>
      <c r="Q514" s="591"/>
      <c r="R514" s="593">
        <f>SUM(O506:U506)</f>
        <v>0</v>
      </c>
      <c r="S514" s="593"/>
      <c r="T514" s="594" t="str">
        <f>IF(ISERROR(R514/R516),"",R514/R516)</f>
        <v/>
      </c>
      <c r="U514" s="594"/>
      <c r="V514" s="591" t="s">
        <v>272</v>
      </c>
      <c r="W514" s="591"/>
      <c r="X514" s="595">
        <f>SUM(O376,O433,O468,O484,O495,O511)</f>
        <v>0</v>
      </c>
      <c r="Y514" s="595"/>
      <c r="Z514" s="594" t="str">
        <f>IF(ISERROR(X514/X516),"",X514/X516)</f>
        <v/>
      </c>
      <c r="AA514" s="594"/>
    </row>
    <row r="515" spans="1:27" ht="20.100000000000001" customHeight="1">
      <c r="A515" s="308" t="s">
        <v>478</v>
      </c>
      <c r="B515" s="468">
        <f>I507+C513</f>
        <v>84.5</v>
      </c>
      <c r="C515" s="601" t="s">
        <v>251</v>
      </c>
      <c r="D515" s="602"/>
      <c r="E515" s="603">
        <f>K507+I513</f>
        <v>91.404447702834787</v>
      </c>
      <c r="F515" s="603"/>
      <c r="G515" s="591" t="s">
        <v>274</v>
      </c>
      <c r="H515" s="591"/>
      <c r="I515" s="600">
        <f>B515-E515</f>
        <v>-6.904447702834787</v>
      </c>
      <c r="J515" s="600"/>
      <c r="K515" s="588" t="s">
        <v>275</v>
      </c>
      <c r="L515" s="588"/>
      <c r="M515" s="592">
        <f>IF(ISERROR(I515/E515),"",I515/E515)</f>
        <v>-7.5537327519136194E-2</v>
      </c>
      <c r="N515" s="592"/>
      <c r="O515" s="588"/>
      <c r="P515" s="591" t="s">
        <v>245</v>
      </c>
      <c r="Q515" s="591"/>
      <c r="R515" s="593"/>
      <c r="S515" s="593"/>
      <c r="T515" s="594" t="str">
        <f>IF(ISERROR(R515/R516),"",R515/R516)</f>
        <v/>
      </c>
      <c r="U515" s="594"/>
      <c r="V515" s="591" t="s">
        <v>264</v>
      </c>
      <c r="W515" s="591"/>
      <c r="X515" s="595">
        <f>SUM(O377,O434,O469,O489,O496,O512)</f>
        <v>0</v>
      </c>
      <c r="Y515" s="595"/>
      <c r="Z515" s="594" t="str">
        <f>IF(ISERROR(X515/X516),"",X515/X516)</f>
        <v/>
      </c>
      <c r="AA515" s="594"/>
    </row>
    <row r="516" spans="1:27" ht="20.100000000000001" customHeight="1">
      <c r="A516" s="308" t="s">
        <v>479</v>
      </c>
      <c r="B516" s="468">
        <f>N507</f>
        <v>0</v>
      </c>
      <c r="C516" s="601" t="s">
        <v>277</v>
      </c>
      <c r="D516" s="602"/>
      <c r="E516" s="594">
        <f>IF(ISERROR(B516/B515),"",B516/B515)</f>
        <v>0</v>
      </c>
      <c r="F516" s="594"/>
      <c r="G516" s="591" t="s">
        <v>278</v>
      </c>
      <c r="H516" s="591"/>
      <c r="I516" s="588">
        <f>V507</f>
        <v>0</v>
      </c>
      <c r="J516" s="588"/>
      <c r="K516" s="588" t="s">
        <v>279</v>
      </c>
      <c r="L516" s="588"/>
      <c r="M516" s="592">
        <f t="array" ref="M516">IF(ISERROR(I516/B514),"",I516/B514)</f>
        <v>0</v>
      </c>
      <c r="N516" s="592"/>
      <c r="O516" s="588"/>
      <c r="P516" s="591" t="s">
        <v>266</v>
      </c>
      <c r="Q516" s="591"/>
      <c r="R516" s="593">
        <f>SUM(R509:S515)</f>
        <v>0</v>
      </c>
      <c r="S516" s="593"/>
      <c r="T516" s="594"/>
      <c r="U516" s="594"/>
      <c r="V516" s="591" t="s">
        <v>266</v>
      </c>
      <c r="W516" s="591"/>
      <c r="X516" s="595">
        <f>SUM(X509:Y515)</f>
        <v>0</v>
      </c>
      <c r="Y516" s="595"/>
      <c r="Z516" s="594"/>
      <c r="AA516" s="594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630" t="str">
        <f>IF(ISERROR(#REF!/#REF!),"",#REF!/#REF!)</f>
        <v/>
      </c>
      <c r="H517" s="630"/>
      <c r="I517" s="630"/>
      <c r="J517" s="125"/>
      <c r="K517" s="160"/>
      <c r="L517" s="122"/>
      <c r="M517" s="122"/>
      <c r="N517" s="630" t="str">
        <f>IF(ISERROR(G517/#REF!),"",G517/#REF!)</f>
        <v/>
      </c>
      <c r="O517" s="630"/>
      <c r="P517" s="630"/>
      <c r="Q517" s="630"/>
      <c r="R517" s="630"/>
      <c r="S517" s="469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6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633" t="s">
        <v>268</v>
      </c>
      <c r="B519" s="633"/>
      <c r="C519" s="586">
        <f>SUM(B171,B342,B514)</f>
        <v>12677</v>
      </c>
      <c r="D519" s="587"/>
      <c r="E519" s="633" t="s">
        <v>269</v>
      </c>
      <c r="F519" s="633"/>
      <c r="G519" s="603">
        <f>SUM(E171,E342,E514)</f>
        <v>64712.060000000005</v>
      </c>
      <c r="H519" s="603"/>
      <c r="I519" s="591" t="s">
        <v>270</v>
      </c>
      <c r="J519" s="633"/>
      <c r="K519" s="586">
        <f>IF(ISERROR(C519/G520),"",C519/G520)</f>
        <v>16.899292134500772</v>
      </c>
      <c r="L519" s="587"/>
      <c r="M519" s="591" t="s">
        <v>271</v>
      </c>
      <c r="N519" s="591"/>
      <c r="O519" s="628">
        <f t="array" ref="O519">IF(ISERROR(C519/C520),"",C519/C520)</f>
        <v>18.03271692745377</v>
      </c>
      <c r="P519" s="629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591" t="s">
        <v>273</v>
      </c>
      <c r="B520" s="591"/>
      <c r="C520" s="586">
        <f>SUM(B172,B343,B515)</f>
        <v>703</v>
      </c>
      <c r="D520" s="587"/>
      <c r="E520" s="591" t="s">
        <v>251</v>
      </c>
      <c r="F520" s="591"/>
      <c r="G520" s="603">
        <f>SUM(E172,E343,E515)</f>
        <v>750.14976361756919</v>
      </c>
      <c r="H520" s="603"/>
      <c r="I520" s="601" t="s">
        <v>274</v>
      </c>
      <c r="J520" s="602"/>
      <c r="K520" s="598">
        <f>C520-G520</f>
        <v>-47.149763617569192</v>
      </c>
      <c r="L520" s="599"/>
      <c r="M520" s="598" t="s">
        <v>275</v>
      </c>
      <c r="N520" s="599"/>
      <c r="O520" s="631">
        <f>IF(ISERROR(K520/C520),"",K520/C520)</f>
        <v>-6.7069365032104117E-2</v>
      </c>
      <c r="P520" s="632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601" t="s">
        <v>276</v>
      </c>
      <c r="B521" s="602"/>
      <c r="C521" s="586">
        <f>SUM(B173,B344,B516)</f>
        <v>0</v>
      </c>
      <c r="D521" s="587"/>
      <c r="E521" s="601" t="s">
        <v>277</v>
      </c>
      <c r="F521" s="602"/>
      <c r="G521" s="594">
        <f>IF(ISERROR(C521/C520),"",C521/C520)</f>
        <v>0</v>
      </c>
      <c r="H521" s="594"/>
      <c r="I521" s="591" t="s">
        <v>278</v>
      </c>
      <c r="J521" s="633"/>
      <c r="K521" s="603">
        <f>SUM(I173,I344,I516)</f>
        <v>0</v>
      </c>
      <c r="L521" s="603"/>
      <c r="M521" s="633" t="s">
        <v>279</v>
      </c>
      <c r="N521" s="633"/>
      <c r="O521" s="631">
        <f t="array" ref="O521">IF(ISERROR(K521/C519),"",K521/C519)</f>
        <v>0</v>
      </c>
      <c r="P521" s="632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347"/>
      <c r="H522" s="168"/>
      <c r="I522" s="469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601" t="s">
        <v>298</v>
      </c>
      <c r="B523" s="602"/>
      <c r="C523" s="601" t="s">
        <v>299</v>
      </c>
      <c r="D523" s="602"/>
      <c r="E523" s="601" t="s">
        <v>256</v>
      </c>
      <c r="F523" s="602"/>
      <c r="G523" s="634" t="s">
        <v>254</v>
      </c>
      <c r="H523" s="635"/>
      <c r="I523" s="601" t="s">
        <v>255</v>
      </c>
      <c r="J523" s="599"/>
      <c r="K523" s="601" t="s">
        <v>300</v>
      </c>
      <c r="L523" s="602"/>
      <c r="M523" s="601" t="s">
        <v>256</v>
      </c>
      <c r="N523" s="602"/>
      <c r="O523" s="591" t="s">
        <v>257</v>
      </c>
      <c r="P523" s="591"/>
      <c r="Q523" s="601" t="s">
        <v>300</v>
      </c>
      <c r="R523" s="602"/>
      <c r="S523" s="601" t="s">
        <v>256</v>
      </c>
      <c r="T523" s="602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640" t="s">
        <v>201</v>
      </c>
      <c r="B524" s="602"/>
      <c r="C524" s="601">
        <f>SUM(G28,G199,G370)</f>
        <v>2034</v>
      </c>
      <c r="D524" s="602"/>
      <c r="E524" s="641">
        <f>IF(ISERROR(C524/C530),"",C524/C530)</f>
        <v>0.16044805553364361</v>
      </c>
      <c r="F524" s="642"/>
      <c r="G524" s="636"/>
      <c r="H524" s="637"/>
      <c r="I524" s="643" t="s">
        <v>301</v>
      </c>
      <c r="J524" s="644"/>
      <c r="K524" s="598">
        <f t="shared" ref="K524:K529" si="237">SUM(R166,U337,U509)</f>
        <v>0</v>
      </c>
      <c r="L524" s="599"/>
      <c r="M524" s="641" t="str">
        <f t="array" ref="M524">IF(ISERROR(K524/K530),"",K524/K530)</f>
        <v/>
      </c>
      <c r="N524" s="642"/>
      <c r="O524" s="591" t="s">
        <v>259</v>
      </c>
      <c r="P524" s="591"/>
      <c r="Q524" s="628">
        <f t="shared" ref="Q524:Q529" si="238">SUM(X166,AA337,AA509)</f>
        <v>0</v>
      </c>
      <c r="R524" s="629"/>
      <c r="S524" s="641" t="str">
        <f t="array" ref="S524">IF(ISERROR(Q524/Q530),"",Q524/Q530)</f>
        <v/>
      </c>
      <c r="T524" s="642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640" t="s">
        <v>216</v>
      </c>
      <c r="B525" s="602"/>
      <c r="C525" s="601">
        <f>SUM(G86,G257,G428)</f>
        <v>6783</v>
      </c>
      <c r="D525" s="602"/>
      <c r="E525" s="641">
        <f>IF(ISERROR(C525/C530),"",C525/C530)</f>
        <v>0.5350635008282717</v>
      </c>
      <c r="F525" s="642"/>
      <c r="G525" s="636"/>
      <c r="H525" s="637"/>
      <c r="I525" s="643" t="s">
        <v>302</v>
      </c>
      <c r="J525" s="644"/>
      <c r="K525" s="598">
        <f t="shared" si="237"/>
        <v>0</v>
      </c>
      <c r="L525" s="599"/>
      <c r="M525" s="641" t="str">
        <f>IF(ISERROR(K525/K530),"",K525/K530)</f>
        <v/>
      </c>
      <c r="N525" s="642"/>
      <c r="O525" s="591" t="s">
        <v>261</v>
      </c>
      <c r="P525" s="591"/>
      <c r="Q525" s="628">
        <f t="shared" si="238"/>
        <v>0</v>
      </c>
      <c r="R525" s="629"/>
      <c r="S525" s="641" t="str">
        <f>IF(ISERROR(Q525/Q530),"",Q525/Q530)</f>
        <v/>
      </c>
      <c r="T525" s="642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640" t="s">
        <v>224</v>
      </c>
      <c r="B526" s="602"/>
      <c r="C526" s="601">
        <f>SUM(G121,G292,G463)</f>
        <v>831</v>
      </c>
      <c r="D526" s="602"/>
      <c r="E526" s="641">
        <f>IF(ISERROR(C526/C530),"",C526/C530)</f>
        <v>6.5551786700323425E-2</v>
      </c>
      <c r="F526" s="642"/>
      <c r="G526" s="636"/>
      <c r="H526" s="637"/>
      <c r="I526" s="643" t="s">
        <v>303</v>
      </c>
      <c r="J526" s="644"/>
      <c r="K526" s="598">
        <f t="shared" si="237"/>
        <v>0</v>
      </c>
      <c r="L526" s="599"/>
      <c r="M526" s="641" t="str">
        <f>IF(ISERROR(K526/K530),"",K526/K530)</f>
        <v/>
      </c>
      <c r="N526" s="642"/>
      <c r="O526" s="591" t="s">
        <v>263</v>
      </c>
      <c r="P526" s="591"/>
      <c r="Q526" s="628">
        <f t="shared" si="238"/>
        <v>0</v>
      </c>
      <c r="R526" s="629"/>
      <c r="S526" s="641" t="str">
        <f>IF(ISERROR(Q526/Q530),"",Q526/Q530)</f>
        <v/>
      </c>
      <c r="T526" s="642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640" t="s">
        <v>231</v>
      </c>
      <c r="B527" s="602"/>
      <c r="C527" s="601">
        <f>SUM(G137,G308,G479)</f>
        <v>1374</v>
      </c>
      <c r="D527" s="602"/>
      <c r="E527" s="641">
        <f>IF(ISERROR(C527/C530),"",C527/C530)</f>
        <v>0.10838526465252031</v>
      </c>
      <c r="F527" s="642"/>
      <c r="G527" s="636"/>
      <c r="H527" s="637"/>
      <c r="I527" s="643" t="s">
        <v>304</v>
      </c>
      <c r="J527" s="644"/>
      <c r="K527" s="598">
        <f t="shared" si="237"/>
        <v>0</v>
      </c>
      <c r="L527" s="599"/>
      <c r="M527" s="641" t="str">
        <f>IF(ISERROR(K527/K530),"",K527/K530)</f>
        <v/>
      </c>
      <c r="N527" s="642"/>
      <c r="O527" s="591" t="s">
        <v>305</v>
      </c>
      <c r="P527" s="591"/>
      <c r="Q527" s="628">
        <f t="shared" si="238"/>
        <v>0</v>
      </c>
      <c r="R527" s="629"/>
      <c r="S527" s="641" t="str">
        <f>IF(ISERROR(Q527/Q530),"",Q527/Q530)</f>
        <v/>
      </c>
      <c r="T527" s="642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640" t="s">
        <v>234</v>
      </c>
      <c r="B528" s="602"/>
      <c r="C528" s="601">
        <f>SUM(G148,G319,G490)</f>
        <v>1260</v>
      </c>
      <c r="D528" s="602"/>
      <c r="E528" s="641">
        <f>IF(ISERROR(C528/C530),"",C528/C530)</f>
        <v>9.9392600773053563E-2</v>
      </c>
      <c r="F528" s="642"/>
      <c r="G528" s="636"/>
      <c r="H528" s="637"/>
      <c r="I528" s="643" t="s">
        <v>306</v>
      </c>
      <c r="J528" s="644"/>
      <c r="K528" s="598">
        <f t="shared" si="237"/>
        <v>0</v>
      </c>
      <c r="L528" s="599"/>
      <c r="M528" s="641" t="str">
        <f>IF(ISERROR(K528/K530),"",K528/K530)</f>
        <v/>
      </c>
      <c r="N528" s="642"/>
      <c r="O528" s="591" t="s">
        <v>267</v>
      </c>
      <c r="P528" s="591"/>
      <c r="Q528" s="628">
        <f t="shared" si="238"/>
        <v>0</v>
      </c>
      <c r="R528" s="629"/>
      <c r="S528" s="641" t="str">
        <f>IF(ISERROR(Q528/Q530),"",Q528/Q530)</f>
        <v/>
      </c>
      <c r="T528" s="642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640" t="s">
        <v>244</v>
      </c>
      <c r="B529" s="602"/>
      <c r="C529" s="601">
        <f>SUM(G163,G334,G506)</f>
        <v>395</v>
      </c>
      <c r="D529" s="602"/>
      <c r="E529" s="641">
        <f>IF(ISERROR(C529/C530),"",C529/C530)</f>
        <v>3.1158791512187426E-2</v>
      </c>
      <c r="F529" s="642"/>
      <c r="G529" s="636"/>
      <c r="H529" s="637"/>
      <c r="I529" s="643" t="s">
        <v>307</v>
      </c>
      <c r="J529" s="644"/>
      <c r="K529" s="598">
        <f t="shared" si="237"/>
        <v>0</v>
      </c>
      <c r="L529" s="599"/>
      <c r="M529" s="641" t="str">
        <f>IF(ISERROR(K529/K530),"",K529/K530)</f>
        <v/>
      </c>
      <c r="N529" s="642"/>
      <c r="O529" s="591" t="s">
        <v>272</v>
      </c>
      <c r="P529" s="591"/>
      <c r="Q529" s="628">
        <f t="shared" si="238"/>
        <v>0</v>
      </c>
      <c r="R529" s="629"/>
      <c r="S529" s="641" t="str">
        <f>IF(ISERROR(Q529/Q530),"",Q529/Q530)</f>
        <v/>
      </c>
      <c r="T529" s="642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601" t="s">
        <v>266</v>
      </c>
      <c r="B530" s="602"/>
      <c r="C530" s="601">
        <f>SUM(C524:C529)</f>
        <v>12677</v>
      </c>
      <c r="D530" s="602"/>
      <c r="E530" s="641">
        <f>SUM(E524:F529)</f>
        <v>1</v>
      </c>
      <c r="F530" s="642"/>
      <c r="G530" s="638"/>
      <c r="H530" s="639"/>
      <c r="I530" s="601" t="s">
        <v>266</v>
      </c>
      <c r="J530" s="599"/>
      <c r="K530" s="598">
        <f>SUM(R173,U344,U516)</f>
        <v>0</v>
      </c>
      <c r="L530" s="599"/>
      <c r="M530" s="641"/>
      <c r="N530" s="642"/>
      <c r="O530" s="591" t="s">
        <v>266</v>
      </c>
      <c r="P530" s="591"/>
      <c r="Q530" s="628">
        <f>SUM(Q524:R529)</f>
        <v>0</v>
      </c>
      <c r="R530" s="629"/>
      <c r="S530" s="641">
        <f>SUM(S524:T529)</f>
        <v>0</v>
      </c>
      <c r="T530" s="642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172"/>
      <c r="D531" s="172"/>
      <c r="E531" s="172"/>
      <c r="F531" s="172"/>
      <c r="G531" s="173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643" t="s">
        <v>308</v>
      </c>
      <c r="B532" s="597"/>
      <c r="C532" s="472" t="s">
        <v>309</v>
      </c>
      <c r="D532" s="472" t="s">
        <v>310</v>
      </c>
      <c r="E532" s="472" t="s">
        <v>311</v>
      </c>
      <c r="F532" s="472" t="s">
        <v>312</v>
      </c>
      <c r="G532" s="348" t="s">
        <v>313</v>
      </c>
      <c r="H532" s="129" t="s">
        <v>314</v>
      </c>
      <c r="I532" s="129" t="s">
        <v>315</v>
      </c>
      <c r="J532" s="129" t="s">
        <v>316</v>
      </c>
      <c r="K532" s="474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466" t="s">
        <v>322</v>
      </c>
      <c r="Q532" s="129" t="s">
        <v>323</v>
      </c>
      <c r="R532" s="109" t="s">
        <v>324</v>
      </c>
      <c r="S532" s="472" t="s">
        <v>325</v>
      </c>
      <c r="T532" s="472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645" t="s">
        <v>327</v>
      </c>
      <c r="B533" s="646"/>
      <c r="C533" s="106">
        <f>D533+E533+F533-G533-O533-P533</f>
        <v>46</v>
      </c>
      <c r="D533" s="106">
        <f>+'6'!C533</f>
        <v>46</v>
      </c>
      <c r="E533" s="106"/>
      <c r="F533" s="106"/>
      <c r="G533" s="107"/>
      <c r="H533" s="106"/>
      <c r="I533" s="106"/>
      <c r="J533" s="106">
        <f>C533-H533-I533</f>
        <v>46</v>
      </c>
      <c r="K533" s="106"/>
      <c r="L533" s="106"/>
      <c r="M533" s="106"/>
      <c r="N533" s="106"/>
      <c r="O533" s="106"/>
      <c r="P533" s="108"/>
      <c r="Q533" s="106">
        <f>J533-K533-L533</f>
        <v>46</v>
      </c>
      <c r="R533" s="109">
        <f>Q533*11-M533-N533</f>
        <v>506</v>
      </c>
      <c r="S533" s="473">
        <f t="array" ref="S533">IF(ISERROR(Q533/J533),"",Q533/J533)</f>
        <v>1</v>
      </c>
      <c r="T533" s="473">
        <f t="array" ref="T533">IF(ISERROR((O533:P533)/C533),"",SUM(O533:P533)/C533)</f>
        <v>0</v>
      </c>
      <c r="X533" s="116"/>
      <c r="Y533" s="116"/>
      <c r="Z533" s="159"/>
      <c r="AA533" s="159"/>
    </row>
    <row r="534" spans="1:27" ht="20.100000000000001" customHeight="1">
      <c r="A534" s="645" t="s">
        <v>328</v>
      </c>
      <c r="B534" s="646"/>
      <c r="C534" s="106">
        <f>D534+E534+F534-G534-O534-P534</f>
        <v>44</v>
      </c>
      <c r="D534" s="106">
        <f>+'6'!C534</f>
        <v>44</v>
      </c>
      <c r="E534" s="110"/>
      <c r="F534" s="110"/>
      <c r="G534" s="107"/>
      <c r="H534" s="106"/>
      <c r="I534" s="106"/>
      <c r="J534" s="106">
        <f>C534-H534-I534</f>
        <v>44</v>
      </c>
      <c r="K534" s="106">
        <v>2</v>
      </c>
      <c r="L534" s="106"/>
      <c r="M534" s="106"/>
      <c r="N534" s="106"/>
      <c r="O534" s="110"/>
      <c r="P534" s="111"/>
      <c r="Q534" s="106">
        <f>J534-K534-L534</f>
        <v>42</v>
      </c>
      <c r="R534" s="109">
        <f>Q534*11-M534-N534</f>
        <v>462</v>
      </c>
      <c r="S534" s="473">
        <f t="array" ref="S534">IF(ISERROR(Q534/J534),"",Q534/J534)</f>
        <v>0.95454545454545459</v>
      </c>
      <c r="T534" s="473">
        <f t="array" ref="T534">IF(ISERROR((O534:P534)/C534),"",SUM(O534:P534)/C534)</f>
        <v>0</v>
      </c>
      <c r="X534" s="116"/>
      <c r="Y534" s="116"/>
      <c r="Z534" s="159"/>
      <c r="AA534" s="159"/>
    </row>
    <row r="535" spans="1:27" ht="20.100000000000001" customHeight="1">
      <c r="A535" s="645" t="s">
        <v>329</v>
      </c>
      <c r="B535" s="646"/>
      <c r="C535" s="106">
        <f>D535+E535+F535-G535-O535-P535</f>
        <v>10</v>
      </c>
      <c r="D535" s="106">
        <f>+'6'!C535</f>
        <v>10</v>
      </c>
      <c r="E535" s="110"/>
      <c r="F535" s="110"/>
      <c r="G535" s="107"/>
      <c r="H535" s="106"/>
      <c r="I535" s="106"/>
      <c r="J535" s="106">
        <f>C535-H535-I535</f>
        <v>10</v>
      </c>
      <c r="K535" s="106"/>
      <c r="L535" s="106"/>
      <c r="M535" s="106"/>
      <c r="N535" s="106"/>
      <c r="O535" s="110"/>
      <c r="P535" s="111"/>
      <c r="Q535" s="106">
        <f>J535-K535-L535</f>
        <v>10</v>
      </c>
      <c r="R535" s="109">
        <f>Q535*11-M535-N535</f>
        <v>110</v>
      </c>
      <c r="S535" s="473">
        <f t="array" ref="S535">IF(ISERROR(Q535/J535),"",Q535/J535)</f>
        <v>1</v>
      </c>
      <c r="T535" s="473">
        <f t="array" ref="T535">IF(ISERROR((O535:P535)/C535),"",SUM(O535:P535)/C535)</f>
        <v>0</v>
      </c>
      <c r="V535" s="179"/>
      <c r="X535" s="116"/>
      <c r="Y535" s="116"/>
      <c r="Z535" s="159"/>
      <c r="AA535" s="159"/>
    </row>
    <row r="536" spans="1:27" ht="20.100000000000001" customHeight="1">
      <c r="A536" s="647" t="s">
        <v>330</v>
      </c>
      <c r="B536" s="648"/>
      <c r="C536" s="112">
        <f>SUM(C533:C535)</f>
        <v>100</v>
      </c>
      <c r="D536" s="112">
        <f t="shared" ref="D536:N536" si="239">SUM(D533:D535)</f>
        <v>100</v>
      </c>
      <c r="E536" s="112">
        <f t="shared" si="239"/>
        <v>0</v>
      </c>
      <c r="F536" s="112">
        <f t="shared" si="239"/>
        <v>0</v>
      </c>
      <c r="G536" s="113">
        <f t="shared" si="239"/>
        <v>0</v>
      </c>
      <c r="H536" s="112">
        <f t="shared" si="239"/>
        <v>0</v>
      </c>
      <c r="I536" s="112">
        <f t="shared" si="239"/>
        <v>0</v>
      </c>
      <c r="J536" s="112">
        <f t="shared" si="239"/>
        <v>100</v>
      </c>
      <c r="K536" s="112">
        <f t="shared" si="239"/>
        <v>2</v>
      </c>
      <c r="L536" s="112">
        <f t="shared" si="239"/>
        <v>0</v>
      </c>
      <c r="M536" s="112">
        <f t="shared" si="239"/>
        <v>0</v>
      </c>
      <c r="N536" s="112">
        <f t="shared" si="239"/>
        <v>0</v>
      </c>
      <c r="O536" s="112">
        <f>SUM(O533:O535)</f>
        <v>0</v>
      </c>
      <c r="P536" s="112">
        <f>SUM(P533:P535)</f>
        <v>0</v>
      </c>
      <c r="Q536" s="112">
        <f>SUM(Q533:Q535)</f>
        <v>98</v>
      </c>
      <c r="R536" s="114">
        <f>SUM(R533:R535)</f>
        <v>1078</v>
      </c>
      <c r="S536" s="115">
        <f t="array" ref="S536">IF(ISERROR(Q536/J536),"",Q536/J536)</f>
        <v>0.98</v>
      </c>
      <c r="T536" s="115">
        <f t="array" ref="T536">IF(ISERROR((O536:P536)/C536),"",SUM(O536:P536)/C536)</f>
        <v>0</v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7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7"/>
      <c r="H538" s="116"/>
      <c r="I538" s="118" t="s">
        <v>332</v>
      </c>
      <c r="J538" s="198" t="s">
        <v>447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54" spans="2:7">
      <c r="B554" s="121"/>
      <c r="G554" s="121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319" activePane="bottomRight" state="frozen"/>
      <selection activeCell="E487" sqref="E487"/>
      <selection pane="topRight" activeCell="E487" sqref="E487"/>
      <selection pane="bottomLeft" activeCell="E487" sqref="E487"/>
      <selection pane="bottomRight" activeCell="E181" sqref="E181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55" t="s">
        <v>413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55"/>
      <c r="M1" s="555"/>
      <c r="N1" s="555"/>
      <c r="O1" s="555"/>
      <c r="P1" s="555"/>
      <c r="Q1" s="555"/>
      <c r="R1" s="555"/>
      <c r="S1" s="555"/>
      <c r="T1" s="555"/>
      <c r="U1" s="555"/>
      <c r="V1" s="555"/>
      <c r="W1" s="555"/>
      <c r="X1" s="555"/>
      <c r="Y1" s="555"/>
      <c r="Z1" s="555"/>
      <c r="AA1" s="555"/>
    </row>
    <row r="2" spans="1:27" ht="18.75">
      <c r="A2" s="556"/>
      <c r="B2" s="556"/>
      <c r="C2" s="556"/>
      <c r="D2" s="556"/>
      <c r="E2" s="556"/>
      <c r="F2" s="556"/>
      <c r="G2" s="556"/>
      <c r="H2" s="556"/>
      <c r="I2" s="556"/>
      <c r="J2" s="556"/>
      <c r="K2" s="556"/>
      <c r="L2" s="556"/>
      <c r="M2" s="556"/>
      <c r="N2" s="556"/>
      <c r="O2" s="556"/>
      <c r="P2" s="556"/>
      <c r="Q2" s="556"/>
      <c r="R2" s="556"/>
      <c r="S2" s="556"/>
      <c r="T2" s="556"/>
      <c r="U2" s="556"/>
      <c r="V2" s="556"/>
      <c r="W2" s="556"/>
      <c r="X2" s="556"/>
      <c r="Y2" s="556"/>
      <c r="Z2" s="556"/>
      <c r="AA2" s="556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57" t="s">
        <v>12</v>
      </c>
      <c r="B4" s="557" t="s">
        <v>25</v>
      </c>
      <c r="C4" s="557" t="s">
        <v>26</v>
      </c>
      <c r="D4" s="557" t="s">
        <v>27</v>
      </c>
      <c r="E4" s="560" t="s">
        <v>28</v>
      </c>
      <c r="F4" s="563" t="s">
        <v>29</v>
      </c>
      <c r="G4" s="566" t="s">
        <v>30</v>
      </c>
      <c r="H4" s="566"/>
      <c r="I4" s="557" t="s">
        <v>31</v>
      </c>
      <c r="J4" s="569" t="s">
        <v>32</v>
      </c>
      <c r="K4" s="572" t="s">
        <v>33</v>
      </c>
      <c r="L4" s="557" t="s">
        <v>34</v>
      </c>
      <c r="M4" s="575" t="s">
        <v>35</v>
      </c>
      <c r="N4" s="577" t="s">
        <v>36</v>
      </c>
      <c r="O4" s="566" t="s">
        <v>37</v>
      </c>
      <c r="P4" s="566"/>
      <c r="Q4" s="566"/>
      <c r="R4" s="566"/>
      <c r="S4" s="566"/>
      <c r="T4" s="566"/>
      <c r="U4" s="566"/>
      <c r="V4" s="566" t="s">
        <v>38</v>
      </c>
      <c r="W4" s="577" t="s">
        <v>39</v>
      </c>
      <c r="X4" s="566" t="s">
        <v>40</v>
      </c>
      <c r="Y4" s="566"/>
      <c r="Z4" s="566"/>
      <c r="AA4" s="566"/>
    </row>
    <row r="5" spans="1:27" s="104" customFormat="1" ht="15" customHeight="1">
      <c r="A5" s="558"/>
      <c r="B5" s="558"/>
      <c r="C5" s="558"/>
      <c r="D5" s="558"/>
      <c r="E5" s="561"/>
      <c r="F5" s="564"/>
      <c r="G5" s="566"/>
      <c r="H5" s="566"/>
      <c r="I5" s="558"/>
      <c r="J5" s="570"/>
      <c r="K5" s="573"/>
      <c r="L5" s="558"/>
      <c r="M5" s="576"/>
      <c r="N5" s="577"/>
      <c r="O5" s="566" t="s">
        <v>41</v>
      </c>
      <c r="P5" s="566" t="s">
        <v>42</v>
      </c>
      <c r="Q5" s="566" t="s">
        <v>43</v>
      </c>
      <c r="R5" s="567" t="s">
        <v>44</v>
      </c>
      <c r="S5" s="568" t="s">
        <v>45</v>
      </c>
      <c r="T5" s="566" t="s">
        <v>46</v>
      </c>
      <c r="U5" s="566" t="s">
        <v>47</v>
      </c>
      <c r="V5" s="566"/>
      <c r="W5" s="577"/>
      <c r="X5" s="566" t="s">
        <v>13</v>
      </c>
      <c r="Y5" s="566" t="s">
        <v>48</v>
      </c>
      <c r="Z5" s="566" t="s">
        <v>49</v>
      </c>
      <c r="AA5" s="566" t="s">
        <v>47</v>
      </c>
    </row>
    <row r="6" spans="1:27" s="104" customFormat="1" ht="27.75" customHeight="1">
      <c r="A6" s="559"/>
      <c r="B6" s="559"/>
      <c r="C6" s="559"/>
      <c r="D6" s="559"/>
      <c r="E6" s="562"/>
      <c r="F6" s="565"/>
      <c r="G6" s="350" t="s">
        <v>50</v>
      </c>
      <c r="H6" s="477" t="s">
        <v>51</v>
      </c>
      <c r="I6" s="559"/>
      <c r="J6" s="571"/>
      <c r="K6" s="574"/>
      <c r="L6" s="559"/>
      <c r="M6" s="576"/>
      <c r="N6" s="577"/>
      <c r="O6" s="566"/>
      <c r="P6" s="566"/>
      <c r="Q6" s="566"/>
      <c r="R6" s="567"/>
      <c r="S6" s="568"/>
      <c r="T6" s="566"/>
      <c r="U6" s="566"/>
      <c r="V6" s="566"/>
      <c r="W6" s="577"/>
      <c r="X6" s="566"/>
      <c r="Y6" s="566"/>
      <c r="Z6" s="566"/>
      <c r="AA6" s="566"/>
    </row>
    <row r="7" spans="1:27" ht="20.100000000000001" hidden="1" customHeight="1">
      <c r="A7" s="299">
        <v>30100030</v>
      </c>
      <c r="B7" s="480" t="s">
        <v>178</v>
      </c>
      <c r="C7" s="126" t="s">
        <v>179</v>
      </c>
      <c r="D7" s="108">
        <v>5.03</v>
      </c>
      <c r="E7" s="108"/>
      <c r="F7" s="127"/>
      <c r="G7" s="128"/>
      <c r="H7" s="488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479"/>
      <c r="P7" s="479"/>
      <c r="Q7" s="479"/>
      <c r="R7" s="479"/>
      <c r="S7" s="479"/>
      <c r="T7" s="479"/>
      <c r="U7" s="479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88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479"/>
      <c r="Q8" s="479"/>
      <c r="R8" s="479"/>
      <c r="S8" s="479"/>
      <c r="T8" s="479"/>
      <c r="U8" s="479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88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79"/>
      <c r="P9" s="479"/>
      <c r="Q9" s="479"/>
      <c r="R9" s="479"/>
      <c r="S9" s="479"/>
      <c r="T9" s="479"/>
      <c r="U9" s="479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488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479"/>
      <c r="P10" s="479"/>
      <c r="Q10" s="479"/>
      <c r="R10" s="479"/>
      <c r="S10" s="479"/>
      <c r="T10" s="479"/>
      <c r="U10" s="479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488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479"/>
      <c r="P11" s="479"/>
      <c r="Q11" s="479"/>
      <c r="R11" s="479"/>
      <c r="S11" s="479"/>
      <c r="T11" s="479"/>
      <c r="U11" s="479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9">
        <v>42742</v>
      </c>
      <c r="G12" s="128">
        <f>100*4+75+100</f>
        <v>575</v>
      </c>
      <c r="H12" s="488">
        <f t="shared" si="0"/>
        <v>2898</v>
      </c>
      <c r="I12" s="129">
        <f>4*3+4*3</f>
        <v>24</v>
      </c>
      <c r="J12" s="130">
        <f t="array" ref="J12">IF(ISERROR(G12/I12),"",G12/I12)</f>
        <v>23.958333333333332</v>
      </c>
      <c r="K12" s="131">
        <f t="array" ref="K12">IF(ISERROR(G12/L12),"",G12/L12)</f>
        <v>30.263157894736842</v>
      </c>
      <c r="L12" s="129">
        <v>19</v>
      </c>
      <c r="M12" s="109">
        <f t="shared" si="1"/>
        <v>-6.2631578947368425</v>
      </c>
      <c r="N12" s="130">
        <f t="shared" si="4"/>
        <v>0</v>
      </c>
      <c r="O12" s="479"/>
      <c r="P12" s="479"/>
      <c r="Q12" s="479"/>
      <c r="R12" s="479"/>
      <c r="S12" s="479"/>
      <c r="T12" s="479"/>
      <c r="U12" s="479"/>
      <c r="V12" s="132">
        <f t="shared" si="2"/>
        <v>0</v>
      </c>
      <c r="W12" s="133">
        <f t="shared" si="3"/>
        <v>0</v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88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79"/>
      <c r="P13" s="479"/>
      <c r="Q13" s="479"/>
      <c r="R13" s="479"/>
      <c r="S13" s="479"/>
      <c r="T13" s="479"/>
      <c r="U13" s="479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88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79"/>
      <c r="P14" s="479"/>
      <c r="Q14" s="479"/>
      <c r="R14" s="479"/>
      <c r="S14" s="479"/>
      <c r="T14" s="479"/>
      <c r="U14" s="479"/>
      <c r="V14" s="132"/>
      <c r="W14" s="133"/>
      <c r="X14" s="132"/>
      <c r="Y14" s="132"/>
      <c r="Z14" s="132"/>
      <c r="AA14" s="132"/>
    </row>
    <row r="15" spans="1:27" ht="20.10000000000000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>
        <v>42742</v>
      </c>
      <c r="G15" s="128">
        <f>100*3+58</f>
        <v>358</v>
      </c>
      <c r="H15" s="488">
        <f t="shared" si="0"/>
        <v>1804.32</v>
      </c>
      <c r="I15" s="488">
        <f>5*5</f>
        <v>25</v>
      </c>
      <c r="J15" s="130">
        <f t="array" ref="J15">IF(ISERROR(G15/I15),"",G15/I15)</f>
        <v>14.32</v>
      </c>
      <c r="K15" s="131">
        <f t="array" ref="K15">IF(ISERROR(G15/L15),"",G15/L15)</f>
        <v>21.058823529411764</v>
      </c>
      <c r="L15" s="129">
        <v>17</v>
      </c>
      <c r="M15" s="109">
        <f t="shared" si="1"/>
        <v>3.9411764705882355</v>
      </c>
      <c r="N15" s="130">
        <f t="shared" si="4"/>
        <v>0</v>
      </c>
      <c r="O15" s="479"/>
      <c r="P15" s="479"/>
      <c r="Q15" s="479"/>
      <c r="R15" s="479"/>
      <c r="S15" s="479"/>
      <c r="T15" s="479"/>
      <c r="U15" s="479"/>
      <c r="V15" s="132">
        <f>SUM(X15:AA15)</f>
        <v>0</v>
      </c>
      <c r="W15" s="133">
        <f>IF(ISERROR(V15/G15),"",V15/G15)</f>
        <v>0</v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488">
        <f t="shared" si="0"/>
        <v>0</v>
      </c>
      <c r="I16" s="488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79"/>
      <c r="P16" s="479"/>
      <c r="Q16" s="479"/>
      <c r="R16" s="479"/>
      <c r="S16" s="479"/>
      <c r="T16" s="479"/>
      <c r="U16" s="479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488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79"/>
      <c r="P17" s="479"/>
      <c r="Q17" s="479"/>
      <c r="R17" s="479"/>
      <c r="S17" s="479"/>
      <c r="T17" s="479"/>
      <c r="U17" s="479"/>
      <c r="V17" s="132"/>
      <c r="W17" s="133"/>
      <c r="X17" s="132"/>
      <c r="Y17" s="132"/>
      <c r="Z17" s="132"/>
      <c r="AA17" s="132"/>
    </row>
    <row r="18" spans="1:27" ht="20.10000000000000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>
        <v>42742</v>
      </c>
      <c r="G18" s="128">
        <f>100+19</f>
        <v>119</v>
      </c>
      <c r="H18" s="488">
        <f t="shared" si="0"/>
        <v>598.57000000000005</v>
      </c>
      <c r="I18" s="129">
        <f>1.5*5</f>
        <v>7.5</v>
      </c>
      <c r="J18" s="130">
        <f t="array" ref="J18">IF(ISERROR(G18/I18),"",G18/I18)</f>
        <v>15.866666666666667</v>
      </c>
      <c r="K18" s="131">
        <f t="array" ref="K18">IF(ISERROR(G18/L18),"",G18/L18)</f>
        <v>7</v>
      </c>
      <c r="L18" s="129">
        <v>17</v>
      </c>
      <c r="M18" s="109">
        <f t="shared" si="1"/>
        <v>0.5</v>
      </c>
      <c r="N18" s="130">
        <f t="shared" si="4"/>
        <v>0</v>
      </c>
      <c r="O18" s="479"/>
      <c r="P18" s="479"/>
      <c r="Q18" s="479"/>
      <c r="R18" s="479"/>
      <c r="S18" s="479"/>
      <c r="T18" s="479"/>
      <c r="U18" s="479"/>
      <c r="V18" s="132"/>
      <c r="W18" s="133"/>
      <c r="X18" s="132"/>
      <c r="Y18" s="132"/>
      <c r="Z18" s="132"/>
      <c r="AA18" s="132"/>
    </row>
    <row r="19" spans="1:27" s="351" customFormat="1" ht="20.10000000000000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>
        <v>42742</v>
      </c>
      <c r="G19" s="128">
        <f>90+27</f>
        <v>117</v>
      </c>
      <c r="H19" s="488">
        <f t="shared" si="0"/>
        <v>592.02</v>
      </c>
      <c r="I19" s="129">
        <f>1.5*5</f>
        <v>7.5</v>
      </c>
      <c r="J19" s="129">
        <f t="array" ref="J19">IF(ISERROR(G19/I19),"",G19/I19)</f>
        <v>15.6</v>
      </c>
      <c r="K19" s="131">
        <f t="array" ref="K19">IF(ISERROR(G19/L19),"",G19/L19)</f>
        <v>6.1578947368421053</v>
      </c>
      <c r="L19" s="129">
        <v>19</v>
      </c>
      <c r="M19" s="109">
        <f t="shared" si="1"/>
        <v>1.3421052631578947</v>
      </c>
      <c r="N19" s="129">
        <f t="shared" si="4"/>
        <v>0</v>
      </c>
      <c r="O19" s="479"/>
      <c r="P19" s="479"/>
      <c r="Q19" s="479"/>
      <c r="R19" s="479"/>
      <c r="S19" s="479"/>
      <c r="T19" s="479"/>
      <c r="U19" s="479"/>
      <c r="V19" s="132">
        <f t="shared" ref="V19:V21" si="5">SUM(X19:AA19)</f>
        <v>0</v>
      </c>
      <c r="W19" s="482">
        <f t="shared" ref="W19:W21" si="6">IF(ISERROR(V19/G19),"",V19/G19)</f>
        <v>0</v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488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479"/>
      <c r="P20" s="479"/>
      <c r="Q20" s="479"/>
      <c r="R20" s="479"/>
      <c r="S20" s="479"/>
      <c r="T20" s="479"/>
      <c r="U20" s="479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88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79"/>
      <c r="P21" s="479"/>
      <c r="Q21" s="479"/>
      <c r="R21" s="479"/>
      <c r="S21" s="479"/>
      <c r="T21" s="479"/>
      <c r="U21" s="479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478" t="s">
        <v>190</v>
      </c>
      <c r="D22" s="108">
        <v>4.8</v>
      </c>
      <c r="E22" s="108"/>
      <c r="F22" s="127"/>
      <c r="G22" s="128"/>
      <c r="H22" s="488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79"/>
      <c r="P22" s="479"/>
      <c r="Q22" s="479"/>
      <c r="R22" s="479"/>
      <c r="S22" s="479"/>
      <c r="T22" s="479"/>
      <c r="U22" s="479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478" t="s">
        <v>187</v>
      </c>
      <c r="D23" s="108">
        <v>4.8</v>
      </c>
      <c r="E23" s="108"/>
      <c r="F23" s="127"/>
      <c r="G23" s="128"/>
      <c r="H23" s="488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79"/>
      <c r="P23" s="479"/>
      <c r="Q23" s="479"/>
      <c r="R23" s="479"/>
      <c r="S23" s="479"/>
      <c r="T23" s="479"/>
      <c r="U23" s="479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478" t="s">
        <v>179</v>
      </c>
      <c r="D24" s="108">
        <v>4.8</v>
      </c>
      <c r="E24" s="108"/>
      <c r="F24" s="127"/>
      <c r="G24" s="128"/>
      <c r="H24" s="488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79"/>
      <c r="P24" s="479"/>
      <c r="Q24" s="479"/>
      <c r="R24" s="479"/>
      <c r="S24" s="479"/>
      <c r="T24" s="479"/>
      <c r="U24" s="479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478" t="s">
        <v>199</v>
      </c>
      <c r="D25" s="108">
        <v>4.8</v>
      </c>
      <c r="E25" s="108"/>
      <c r="F25" s="127"/>
      <c r="G25" s="128"/>
      <c r="H25" s="488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79"/>
      <c r="P25" s="479"/>
      <c r="Q25" s="479"/>
      <c r="R25" s="479"/>
      <c r="S25" s="479"/>
      <c r="T25" s="479"/>
      <c r="U25" s="479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88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79"/>
      <c r="P26" s="479"/>
      <c r="Q26" s="479"/>
      <c r="R26" s="479"/>
      <c r="S26" s="479"/>
      <c r="T26" s="479"/>
      <c r="U26" s="479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88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79"/>
      <c r="P27" s="479"/>
      <c r="Q27" s="479"/>
      <c r="R27" s="479"/>
      <c r="S27" s="479"/>
      <c r="T27" s="479"/>
      <c r="U27" s="479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578" t="s">
        <v>201</v>
      </c>
      <c r="B28" s="579"/>
      <c r="C28" s="486" t="s">
        <v>202</v>
      </c>
      <c r="D28" s="143"/>
      <c r="E28" s="143"/>
      <c r="F28" s="144"/>
      <c r="G28" s="145">
        <f>SUM(G7:G27)</f>
        <v>1169</v>
      </c>
      <c r="H28" s="146">
        <f>SUM(H7:H27)</f>
        <v>5892.91</v>
      </c>
      <c r="I28" s="146">
        <f>SUM(I7:I27)</f>
        <v>64</v>
      </c>
      <c r="J28" s="130">
        <f t="array" ref="J28">IF(ISERROR(G28/I28),"",G28/I28)</f>
        <v>18.265625</v>
      </c>
      <c r="K28" s="146">
        <f>SUM(K7:K27)</f>
        <v>64.479876160990713</v>
      </c>
      <c r="L28" s="147"/>
      <c r="M28" s="146">
        <f t="shared" ref="M28:V28" si="10">SUM(M7:M27)</f>
        <v>-0.47987616099071229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480" t="s">
        <v>206</v>
      </c>
      <c r="C29" s="126" t="s">
        <v>199</v>
      </c>
      <c r="D29" s="108">
        <v>5.03</v>
      </c>
      <c r="E29" s="108"/>
      <c r="F29" s="127"/>
      <c r="G29" s="128"/>
      <c r="H29" s="488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483"/>
      <c r="P29" s="483"/>
      <c r="Q29" s="483"/>
      <c r="R29" s="483"/>
      <c r="S29" s="483"/>
      <c r="T29" s="483"/>
      <c r="U29" s="483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480" t="s">
        <v>425</v>
      </c>
      <c r="C30" s="187" t="s">
        <v>427</v>
      </c>
      <c r="D30" s="108">
        <v>5.03</v>
      </c>
      <c r="E30" s="108"/>
      <c r="F30" s="127"/>
      <c r="G30" s="128"/>
      <c r="H30" s="488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483"/>
      <c r="P30" s="483"/>
      <c r="Q30" s="483"/>
      <c r="R30" s="483"/>
      <c r="S30" s="483"/>
      <c r="T30" s="483"/>
      <c r="U30" s="483"/>
      <c r="V30" s="132"/>
      <c r="W30" s="133"/>
      <c r="X30" s="132"/>
      <c r="Y30" s="132"/>
      <c r="Z30" s="132"/>
      <c r="AA30" s="132"/>
    </row>
    <row r="31" spans="1:27" ht="20.100000000000001" customHeight="1">
      <c r="A31" s="300">
        <v>30100010</v>
      </c>
      <c r="B31" s="480" t="s">
        <v>206</v>
      </c>
      <c r="C31" s="126" t="s">
        <v>186</v>
      </c>
      <c r="D31" s="108">
        <v>5.03</v>
      </c>
      <c r="E31" s="108"/>
      <c r="F31" s="127">
        <v>42741</v>
      </c>
      <c r="G31" s="128">
        <f>108*15+108</f>
        <v>1728</v>
      </c>
      <c r="H31" s="488">
        <f t="shared" si="11"/>
        <v>8691.84</v>
      </c>
      <c r="I31" s="129">
        <f>11*2</f>
        <v>22</v>
      </c>
      <c r="J31" s="130">
        <f t="array" ref="J31">IF(ISERROR(G31/I31),"",G31/I31)</f>
        <v>78.545454545454547</v>
      </c>
      <c r="K31" s="131">
        <f t="array" ref="K31">IF(ISERROR(G31/L31),"",G31/L31)</f>
        <v>33.230769230769234</v>
      </c>
      <c r="L31" s="129">
        <v>52</v>
      </c>
      <c r="M31" s="109">
        <f t="shared" ref="M31:M33" si="15">IF(ISERROR(I31-K31),"",I31-K31)</f>
        <v>-11.230769230769234</v>
      </c>
      <c r="N31" s="130">
        <f t="shared" ref="N31:N33" si="16">SUM(O31:U31)</f>
        <v>0</v>
      </c>
      <c r="O31" s="483"/>
      <c r="P31" s="483"/>
      <c r="Q31" s="483"/>
      <c r="R31" s="483"/>
      <c r="S31" s="483"/>
      <c r="T31" s="483"/>
      <c r="U31" s="483"/>
      <c r="V31" s="132">
        <f t="shared" ref="V31:V33" si="17">SUM(X31:AA31)</f>
        <v>0</v>
      </c>
      <c r="W31" s="133">
        <f t="shared" ref="W31:W33" si="18">IF(ISERROR(V31/G31),"",V31/G31)</f>
        <v>0</v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480" t="s">
        <v>206</v>
      </c>
      <c r="C32" s="126" t="s">
        <v>203</v>
      </c>
      <c r="D32" s="108">
        <v>5.03</v>
      </c>
      <c r="E32" s="108"/>
      <c r="F32" s="127"/>
      <c r="G32" s="128"/>
      <c r="H32" s="488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83"/>
      <c r="P32" s="483"/>
      <c r="Q32" s="483"/>
      <c r="R32" s="483"/>
      <c r="S32" s="483"/>
      <c r="T32" s="483"/>
      <c r="U32" s="483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480" t="s">
        <v>206</v>
      </c>
      <c r="C33" s="126" t="s">
        <v>207</v>
      </c>
      <c r="D33" s="108">
        <v>5.03</v>
      </c>
      <c r="E33" s="108"/>
      <c r="F33" s="127"/>
      <c r="G33" s="128"/>
      <c r="H33" s="488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483"/>
      <c r="P33" s="483"/>
      <c r="Q33" s="483"/>
      <c r="R33" s="483"/>
      <c r="S33" s="483"/>
      <c r="T33" s="483"/>
      <c r="U33" s="483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480" t="s">
        <v>414</v>
      </c>
      <c r="C34" s="187" t="s">
        <v>415</v>
      </c>
      <c r="D34" s="108">
        <v>5.03</v>
      </c>
      <c r="E34" s="108"/>
      <c r="F34" s="127"/>
      <c r="G34" s="128"/>
      <c r="H34" s="488">
        <f t="shared" si="11"/>
        <v>0</v>
      </c>
      <c r="I34" s="129"/>
      <c r="J34" s="130"/>
      <c r="K34" s="131"/>
      <c r="L34" s="129">
        <v>52</v>
      </c>
      <c r="M34" s="109"/>
      <c r="N34" s="130"/>
      <c r="O34" s="483"/>
      <c r="P34" s="483"/>
      <c r="Q34" s="483"/>
      <c r="R34" s="483"/>
      <c r="S34" s="483"/>
      <c r="T34" s="483"/>
      <c r="U34" s="483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480" t="s">
        <v>414</v>
      </c>
      <c r="C35" s="187" t="s">
        <v>416</v>
      </c>
      <c r="D35" s="108">
        <v>5.03</v>
      </c>
      <c r="E35" s="108"/>
      <c r="F35" s="127"/>
      <c r="G35" s="128"/>
      <c r="H35" s="488">
        <f t="shared" si="11"/>
        <v>0</v>
      </c>
      <c r="I35" s="129"/>
      <c r="J35" s="130"/>
      <c r="K35" s="131"/>
      <c r="L35" s="129">
        <v>52</v>
      </c>
      <c r="M35" s="109"/>
      <c r="N35" s="130"/>
      <c r="O35" s="483"/>
      <c r="P35" s="483"/>
      <c r="Q35" s="483"/>
      <c r="R35" s="483"/>
      <c r="S35" s="483"/>
      <c r="T35" s="483"/>
      <c r="U35" s="483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480" t="s">
        <v>414</v>
      </c>
      <c r="C36" s="187" t="s">
        <v>61</v>
      </c>
      <c r="D36" s="108">
        <v>5.03</v>
      </c>
      <c r="E36" s="108"/>
      <c r="F36" s="127"/>
      <c r="G36" s="128"/>
      <c r="H36" s="488">
        <f t="shared" si="11"/>
        <v>0</v>
      </c>
      <c r="I36" s="129"/>
      <c r="J36" s="130"/>
      <c r="K36" s="131"/>
      <c r="L36" s="129">
        <v>52</v>
      </c>
      <c r="M36" s="109"/>
      <c r="N36" s="130"/>
      <c r="O36" s="483"/>
      <c r="P36" s="483"/>
      <c r="Q36" s="483"/>
      <c r="R36" s="483"/>
      <c r="S36" s="483"/>
      <c r="T36" s="483"/>
      <c r="U36" s="483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480" t="s">
        <v>208</v>
      </c>
      <c r="C37" s="126" t="s">
        <v>179</v>
      </c>
      <c r="D37" s="108">
        <v>5.08</v>
      </c>
      <c r="E37" s="108"/>
      <c r="F37" s="127"/>
      <c r="G37" s="128"/>
      <c r="H37" s="488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483"/>
      <c r="P37" s="483"/>
      <c r="Q37" s="483"/>
      <c r="R37" s="483"/>
      <c r="S37" s="483"/>
      <c r="T37" s="483"/>
      <c r="U37" s="483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480" t="s">
        <v>208</v>
      </c>
      <c r="C38" s="126" t="s">
        <v>204</v>
      </c>
      <c r="D38" s="108">
        <v>5.08</v>
      </c>
      <c r="E38" s="108"/>
      <c r="F38" s="127"/>
      <c r="G38" s="128"/>
      <c r="H38" s="488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483"/>
      <c r="P38" s="483"/>
      <c r="Q38" s="483"/>
      <c r="R38" s="483"/>
      <c r="S38" s="483"/>
      <c r="T38" s="483"/>
      <c r="U38" s="483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480" t="s">
        <v>208</v>
      </c>
      <c r="C39" s="126" t="s">
        <v>205</v>
      </c>
      <c r="D39" s="108">
        <v>5.08</v>
      </c>
      <c r="E39" s="108"/>
      <c r="F39" s="127"/>
      <c r="G39" s="128"/>
      <c r="H39" s="488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483"/>
      <c r="P39" s="483"/>
      <c r="Q39" s="483"/>
      <c r="R39" s="483"/>
      <c r="S39" s="483"/>
      <c r="T39" s="483"/>
      <c r="U39" s="483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480" t="s">
        <v>208</v>
      </c>
      <c r="C40" s="126" t="s">
        <v>186</v>
      </c>
      <c r="D40" s="108">
        <v>5.08</v>
      </c>
      <c r="E40" s="108"/>
      <c r="F40" s="127"/>
      <c r="G40" s="128"/>
      <c r="H40" s="488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483"/>
      <c r="P40" s="483"/>
      <c r="Q40" s="483"/>
      <c r="R40" s="483"/>
      <c r="S40" s="483"/>
      <c r="T40" s="483"/>
      <c r="U40" s="483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480" t="s">
        <v>208</v>
      </c>
      <c r="C41" s="126" t="s">
        <v>203</v>
      </c>
      <c r="D41" s="108">
        <v>5.08</v>
      </c>
      <c r="E41" s="108"/>
      <c r="F41" s="127"/>
      <c r="G41" s="128"/>
      <c r="H41" s="488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483"/>
      <c r="P41" s="483"/>
      <c r="Q41" s="483"/>
      <c r="R41" s="483"/>
      <c r="S41" s="483"/>
      <c r="T41" s="483"/>
      <c r="U41" s="483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480" t="s">
        <v>208</v>
      </c>
      <c r="C42" s="126" t="s">
        <v>199</v>
      </c>
      <c r="D42" s="108">
        <v>5.08</v>
      </c>
      <c r="E42" s="108"/>
      <c r="F42" s="127"/>
      <c r="G42" s="128"/>
      <c r="H42" s="488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479"/>
      <c r="P42" s="479"/>
      <c r="Q42" s="479"/>
      <c r="R42" s="479"/>
      <c r="S42" s="479"/>
      <c r="T42" s="479"/>
      <c r="U42" s="479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480" t="s">
        <v>208</v>
      </c>
      <c r="C43" s="126" t="s">
        <v>187</v>
      </c>
      <c r="D43" s="108">
        <v>5.08</v>
      </c>
      <c r="E43" s="108"/>
      <c r="F43" s="127"/>
      <c r="G43" s="128"/>
      <c r="H43" s="488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483"/>
      <c r="P43" s="483"/>
      <c r="Q43" s="483"/>
      <c r="R43" s="483"/>
      <c r="S43" s="483"/>
      <c r="T43" s="483"/>
      <c r="U43" s="483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customHeight="1">
      <c r="A44" s="300">
        <v>30100028</v>
      </c>
      <c r="B44" s="480" t="s">
        <v>208</v>
      </c>
      <c r="C44" s="126" t="s">
        <v>207</v>
      </c>
      <c r="D44" s="108">
        <v>5.08</v>
      </c>
      <c r="E44" s="108"/>
      <c r="F44" s="127">
        <v>42742</v>
      </c>
      <c r="G44" s="128">
        <f>53+108*3+72</f>
        <v>449</v>
      </c>
      <c r="H44" s="488">
        <f t="shared" si="11"/>
        <v>2280.92</v>
      </c>
      <c r="I44" s="129">
        <f>2.5*3+6*3</f>
        <v>25.5</v>
      </c>
      <c r="J44" s="130">
        <f t="array" ref="J44">IF(ISERROR(G44/I44),"",G44/I44)</f>
        <v>17.607843137254903</v>
      </c>
      <c r="K44" s="131">
        <f t="array" ref="K44">IF(ISERROR(G44/L44),"",G44/L44)</f>
        <v>21.38095238095238</v>
      </c>
      <c r="L44" s="129">
        <v>21</v>
      </c>
      <c r="M44" s="109">
        <f t="shared" si="19"/>
        <v>4.1190476190476204</v>
      </c>
      <c r="N44" s="130">
        <f t="shared" si="20"/>
        <v>0</v>
      </c>
      <c r="O44" s="479"/>
      <c r="P44" s="479"/>
      <c r="Q44" s="479"/>
      <c r="R44" s="479"/>
      <c r="S44" s="479"/>
      <c r="T44" s="479"/>
      <c r="U44" s="479"/>
      <c r="V44" s="132">
        <f t="shared" si="21"/>
        <v>0</v>
      </c>
      <c r="W44" s="133">
        <f t="shared" si="22"/>
        <v>0</v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480" t="s">
        <v>209</v>
      </c>
      <c r="C45" s="126" t="s">
        <v>194</v>
      </c>
      <c r="D45" s="108">
        <v>5.03</v>
      </c>
      <c r="E45" s="108"/>
      <c r="F45" s="127"/>
      <c r="G45" s="128"/>
      <c r="H45" s="488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483"/>
      <c r="P45" s="483"/>
      <c r="Q45" s="483"/>
      <c r="R45" s="483"/>
      <c r="S45" s="483"/>
      <c r="T45" s="483"/>
      <c r="U45" s="483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480" t="s">
        <v>209</v>
      </c>
      <c r="C46" s="126" t="s">
        <v>179</v>
      </c>
      <c r="D46" s="108">
        <v>5.03</v>
      </c>
      <c r="E46" s="108"/>
      <c r="F46" s="127"/>
      <c r="G46" s="128"/>
      <c r="H46" s="488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483"/>
      <c r="P46" s="483"/>
      <c r="Q46" s="483"/>
      <c r="R46" s="483"/>
      <c r="S46" s="483"/>
      <c r="T46" s="483"/>
      <c r="U46" s="483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480" t="s">
        <v>209</v>
      </c>
      <c r="C47" s="126" t="s">
        <v>195</v>
      </c>
      <c r="D47" s="108">
        <v>5.03</v>
      </c>
      <c r="E47" s="108"/>
      <c r="F47" s="127"/>
      <c r="G47" s="128"/>
      <c r="H47" s="488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483"/>
      <c r="P47" s="483"/>
      <c r="Q47" s="483"/>
      <c r="R47" s="483"/>
      <c r="S47" s="483"/>
      <c r="T47" s="483"/>
      <c r="U47" s="483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480" t="s">
        <v>209</v>
      </c>
      <c r="C48" s="126" t="s">
        <v>204</v>
      </c>
      <c r="D48" s="108">
        <v>5.03</v>
      </c>
      <c r="E48" s="108"/>
      <c r="F48" s="127"/>
      <c r="G48" s="128"/>
      <c r="H48" s="488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483"/>
      <c r="P48" s="483"/>
      <c r="Q48" s="483"/>
      <c r="R48" s="483"/>
      <c r="S48" s="483"/>
      <c r="T48" s="483"/>
      <c r="U48" s="483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480" t="s">
        <v>382</v>
      </c>
      <c r="C49" s="187" t="s">
        <v>383</v>
      </c>
      <c r="D49" s="108">
        <v>5.03</v>
      </c>
      <c r="E49" s="108"/>
      <c r="F49" s="127"/>
      <c r="G49" s="128"/>
      <c r="H49" s="488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483"/>
      <c r="P49" s="483"/>
      <c r="Q49" s="483"/>
      <c r="R49" s="483"/>
      <c r="S49" s="483"/>
      <c r="T49" s="483"/>
      <c r="U49" s="483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480" t="s">
        <v>382</v>
      </c>
      <c r="C50" s="187" t="s">
        <v>384</v>
      </c>
      <c r="D50" s="108">
        <v>5.03</v>
      </c>
      <c r="E50" s="108"/>
      <c r="F50" s="127"/>
      <c r="G50" s="128"/>
      <c r="H50" s="488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483"/>
      <c r="P50" s="483"/>
      <c r="Q50" s="483"/>
      <c r="R50" s="483"/>
      <c r="S50" s="483"/>
      <c r="T50" s="483"/>
      <c r="U50" s="483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480" t="s">
        <v>382</v>
      </c>
      <c r="C51" s="187" t="s">
        <v>389</v>
      </c>
      <c r="D51" s="108">
        <v>5.03</v>
      </c>
      <c r="E51" s="108"/>
      <c r="F51" s="127"/>
      <c r="G51" s="128"/>
      <c r="H51" s="488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483"/>
      <c r="P51" s="483"/>
      <c r="Q51" s="483"/>
      <c r="R51" s="483"/>
      <c r="S51" s="483"/>
      <c r="T51" s="483"/>
      <c r="U51" s="483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480" t="s">
        <v>382</v>
      </c>
      <c r="C52" s="187" t="s">
        <v>391</v>
      </c>
      <c r="D52" s="108">
        <v>5.03</v>
      </c>
      <c r="E52" s="108"/>
      <c r="F52" s="127"/>
      <c r="G52" s="128"/>
      <c r="H52" s="488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483"/>
      <c r="P52" s="483"/>
      <c r="Q52" s="483"/>
      <c r="R52" s="483"/>
      <c r="S52" s="483"/>
      <c r="T52" s="483"/>
      <c r="U52" s="483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480" t="s">
        <v>418</v>
      </c>
      <c r="C53" s="187" t="s">
        <v>364</v>
      </c>
      <c r="D53" s="108">
        <v>5.03</v>
      </c>
      <c r="E53" s="108"/>
      <c r="F53" s="127"/>
      <c r="G53" s="128"/>
      <c r="H53" s="488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483"/>
      <c r="P53" s="483"/>
      <c r="Q53" s="483"/>
      <c r="R53" s="483"/>
      <c r="S53" s="483"/>
      <c r="T53" s="483"/>
      <c r="U53" s="483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480" t="s">
        <v>418</v>
      </c>
      <c r="C54" s="187" t="s">
        <v>365</v>
      </c>
      <c r="D54" s="108">
        <v>5.03</v>
      </c>
      <c r="E54" s="108"/>
      <c r="F54" s="127"/>
      <c r="G54" s="128"/>
      <c r="H54" s="488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483"/>
      <c r="P54" s="483"/>
      <c r="Q54" s="483"/>
      <c r="R54" s="483"/>
      <c r="S54" s="483"/>
      <c r="T54" s="483"/>
      <c r="U54" s="483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480" t="s">
        <v>418</v>
      </c>
      <c r="C55" s="187" t="s">
        <v>366</v>
      </c>
      <c r="D55" s="108">
        <v>5.03</v>
      </c>
      <c r="E55" s="108"/>
      <c r="F55" s="127"/>
      <c r="G55" s="128"/>
      <c r="H55" s="488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483"/>
      <c r="P55" s="483"/>
      <c r="Q55" s="483"/>
      <c r="R55" s="483"/>
      <c r="S55" s="483"/>
      <c r="T55" s="483"/>
      <c r="U55" s="483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480" t="s">
        <v>418</v>
      </c>
      <c r="C56" s="187" t="s">
        <v>367</v>
      </c>
      <c r="D56" s="108">
        <v>5.03</v>
      </c>
      <c r="E56" s="108"/>
      <c r="F56" s="127"/>
      <c r="G56" s="128"/>
      <c r="H56" s="488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483"/>
      <c r="P56" s="483"/>
      <c r="Q56" s="483"/>
      <c r="R56" s="483"/>
      <c r="S56" s="483"/>
      <c r="T56" s="483"/>
      <c r="U56" s="483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88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479"/>
      <c r="P57" s="479"/>
      <c r="Q57" s="479"/>
      <c r="R57" s="479"/>
      <c r="S57" s="479"/>
      <c r="T57" s="479"/>
      <c r="U57" s="479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88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479"/>
      <c r="P58" s="479"/>
      <c r="Q58" s="479"/>
      <c r="R58" s="479"/>
      <c r="S58" s="479"/>
      <c r="T58" s="479"/>
      <c r="U58" s="479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488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479"/>
      <c r="P59" s="479"/>
      <c r="Q59" s="479"/>
      <c r="R59" s="479"/>
      <c r="S59" s="479"/>
      <c r="T59" s="479"/>
      <c r="U59" s="479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88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479"/>
      <c r="P60" s="479"/>
      <c r="Q60" s="479"/>
      <c r="R60" s="479"/>
      <c r="S60" s="479"/>
      <c r="T60" s="479"/>
      <c r="U60" s="479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88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479"/>
      <c r="P61" s="479"/>
      <c r="Q61" s="479"/>
      <c r="R61" s="479"/>
      <c r="S61" s="479"/>
      <c r="T61" s="479"/>
      <c r="U61" s="479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88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479"/>
      <c r="P62" s="479"/>
      <c r="Q62" s="479"/>
      <c r="R62" s="479"/>
      <c r="S62" s="479"/>
      <c r="T62" s="479"/>
      <c r="U62" s="479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88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479"/>
      <c r="P63" s="479"/>
      <c r="Q63" s="479"/>
      <c r="R63" s="479"/>
      <c r="S63" s="479"/>
      <c r="T63" s="479"/>
      <c r="U63" s="479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88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479"/>
      <c r="P64" s="479"/>
      <c r="Q64" s="479"/>
      <c r="R64" s="479"/>
      <c r="S64" s="479"/>
      <c r="T64" s="479"/>
      <c r="U64" s="479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88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479"/>
      <c r="P65" s="479"/>
      <c r="Q65" s="479"/>
      <c r="R65" s="479"/>
      <c r="S65" s="479"/>
      <c r="T65" s="479"/>
      <c r="U65" s="479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88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479"/>
      <c r="P66" s="479"/>
      <c r="Q66" s="479"/>
      <c r="R66" s="479"/>
      <c r="S66" s="479"/>
      <c r="T66" s="479"/>
      <c r="U66" s="479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488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79"/>
      <c r="P67" s="479"/>
      <c r="Q67" s="479"/>
      <c r="R67" s="479"/>
      <c r="S67" s="479"/>
      <c r="T67" s="479"/>
      <c r="U67" s="479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88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79"/>
      <c r="P68" s="479"/>
      <c r="Q68" s="479"/>
      <c r="R68" s="479"/>
      <c r="S68" s="479"/>
      <c r="T68" s="479"/>
      <c r="U68" s="479"/>
      <c r="V68" s="132"/>
      <c r="W68" s="133"/>
      <c r="X68" s="132"/>
      <c r="Y68" s="132"/>
      <c r="Z68" s="132"/>
      <c r="AA68" s="132"/>
    </row>
    <row r="69" spans="1:27" ht="20.10000000000000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>
        <v>42741</v>
      </c>
      <c r="G69" s="128">
        <f>100*11+102</f>
        <v>1202</v>
      </c>
      <c r="H69" s="488">
        <f t="shared" si="11"/>
        <v>6046.06</v>
      </c>
      <c r="I69" s="129">
        <f>11*4</f>
        <v>44</v>
      </c>
      <c r="J69" s="130">
        <f t="array" ref="J69">IF(ISERROR(G69/I69),"",G69/I69)</f>
        <v>27.318181818181817</v>
      </c>
      <c r="K69" s="131">
        <f t="array" ref="K69">IF(ISERROR(G69/L69),"",G69/L69)</f>
        <v>55.906976744186046</v>
      </c>
      <c r="L69" s="129">
        <v>21.5</v>
      </c>
      <c r="M69" s="109">
        <f t="shared" ref="M69:M70" si="26">IF(ISERROR(I69-K69),"",I69-K69)</f>
        <v>-11.906976744186046</v>
      </c>
      <c r="N69" s="130">
        <f t="shared" ref="N69:N70" si="27">SUM(O69:U69)</f>
        <v>0</v>
      </c>
      <c r="O69" s="479"/>
      <c r="P69" s="479"/>
      <c r="Q69" s="479"/>
      <c r="R69" s="479"/>
      <c r="S69" s="479"/>
      <c r="T69" s="479"/>
      <c r="U69" s="479"/>
      <c r="V69" s="132">
        <f t="shared" ref="V69:V70" si="28">SUM(X69:AA69)</f>
        <v>0</v>
      </c>
      <c r="W69" s="133">
        <f t="shared" ref="W69:W70" si="29">IF(ISERROR(V69/G69),"",V69/G69)</f>
        <v>0</v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488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479"/>
      <c r="P70" s="479"/>
      <c r="Q70" s="479"/>
      <c r="R70" s="479"/>
      <c r="S70" s="479"/>
      <c r="T70" s="479"/>
      <c r="U70" s="479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88">
        <f t="shared" si="11"/>
        <v>0</v>
      </c>
      <c r="I71" s="129"/>
      <c r="J71" s="130"/>
      <c r="K71" s="131"/>
      <c r="L71" s="129"/>
      <c r="M71" s="109"/>
      <c r="N71" s="130"/>
      <c r="O71" s="479"/>
      <c r="P71" s="479"/>
      <c r="Q71" s="479"/>
      <c r="R71" s="479"/>
      <c r="S71" s="479"/>
      <c r="T71" s="479"/>
      <c r="U71" s="479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88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479"/>
      <c r="P72" s="479"/>
      <c r="Q72" s="479"/>
      <c r="R72" s="479"/>
      <c r="S72" s="479"/>
      <c r="T72" s="479"/>
      <c r="U72" s="479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88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479"/>
      <c r="P73" s="479"/>
      <c r="Q73" s="479"/>
      <c r="R73" s="479"/>
      <c r="S73" s="479"/>
      <c r="T73" s="479"/>
      <c r="U73" s="479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88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479"/>
      <c r="P74" s="479"/>
      <c r="Q74" s="479"/>
      <c r="R74" s="479"/>
      <c r="S74" s="479"/>
      <c r="T74" s="479"/>
      <c r="U74" s="479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88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479"/>
      <c r="P75" s="479"/>
      <c r="Q75" s="479"/>
      <c r="R75" s="479"/>
      <c r="S75" s="479"/>
      <c r="T75" s="479"/>
      <c r="U75" s="479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88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479"/>
      <c r="P76" s="479"/>
      <c r="Q76" s="479"/>
      <c r="R76" s="479"/>
      <c r="S76" s="479"/>
      <c r="T76" s="479"/>
      <c r="U76" s="479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88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479"/>
      <c r="P77" s="479"/>
      <c r="Q77" s="479"/>
      <c r="R77" s="479"/>
      <c r="S77" s="479"/>
      <c r="T77" s="479"/>
      <c r="U77" s="479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88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479"/>
      <c r="P78" s="479"/>
      <c r="Q78" s="479"/>
      <c r="R78" s="479"/>
      <c r="S78" s="479"/>
      <c r="T78" s="479"/>
      <c r="U78" s="479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88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479"/>
      <c r="P79" s="479"/>
      <c r="Q79" s="479"/>
      <c r="R79" s="479"/>
      <c r="S79" s="479"/>
      <c r="T79" s="479"/>
      <c r="U79" s="479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88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79"/>
      <c r="P80" s="479"/>
      <c r="Q80" s="479"/>
      <c r="R80" s="479"/>
      <c r="S80" s="479"/>
      <c r="T80" s="479"/>
      <c r="U80" s="479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88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79"/>
      <c r="P81" s="479"/>
      <c r="Q81" s="479"/>
      <c r="R81" s="479"/>
      <c r="S81" s="479"/>
      <c r="T81" s="479"/>
      <c r="U81" s="479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88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79"/>
      <c r="P82" s="479"/>
      <c r="Q82" s="479"/>
      <c r="R82" s="479"/>
      <c r="S82" s="479"/>
      <c r="T82" s="479"/>
      <c r="U82" s="479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88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79"/>
      <c r="P83" s="479"/>
      <c r="Q83" s="479"/>
      <c r="R83" s="479"/>
      <c r="S83" s="479"/>
      <c r="T83" s="479"/>
      <c r="U83" s="479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88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79"/>
      <c r="P84" s="479"/>
      <c r="Q84" s="479"/>
      <c r="R84" s="479"/>
      <c r="S84" s="479"/>
      <c r="T84" s="479"/>
      <c r="U84" s="479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88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79"/>
      <c r="P85" s="479"/>
      <c r="Q85" s="479"/>
      <c r="R85" s="479"/>
      <c r="S85" s="479"/>
      <c r="T85" s="479"/>
      <c r="U85" s="479"/>
      <c r="V85" s="132"/>
      <c r="W85" s="133"/>
      <c r="X85" s="132"/>
      <c r="Y85" s="132"/>
      <c r="Z85" s="132"/>
      <c r="AA85" s="132"/>
    </row>
    <row r="86" spans="1:27" ht="20.100000000000001" customHeight="1">
      <c r="A86" s="589" t="s">
        <v>216</v>
      </c>
      <c r="B86" s="589"/>
      <c r="C86" s="486" t="s">
        <v>202</v>
      </c>
      <c r="D86" s="143"/>
      <c r="E86" s="143"/>
      <c r="F86" s="144"/>
      <c r="G86" s="145">
        <f>SUM(G29:G85)</f>
        <v>3379</v>
      </c>
      <c r="H86" s="146">
        <f>SUM(H29:H85)</f>
        <v>17018.82</v>
      </c>
      <c r="I86" s="146">
        <f>SUM(I29:I85)</f>
        <v>91.5</v>
      </c>
      <c r="J86" s="130">
        <f t="array" ref="J86">IF(ISERROR(G86/I86),"",G86/I86)</f>
        <v>36.928961748633881</v>
      </c>
      <c r="K86" s="146">
        <f>SUM(K29:K85)</f>
        <v>110.51869835590766</v>
      </c>
      <c r="L86" s="147"/>
      <c r="M86" s="150">
        <f t="shared" ref="M86:V86" si="34">SUM(M29:M85)</f>
        <v>-19.018698355907659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480" t="s">
        <v>217</v>
      </c>
      <c r="C87" s="126" t="s">
        <v>179</v>
      </c>
      <c r="D87" s="108">
        <v>5.03</v>
      </c>
      <c r="E87" s="108"/>
      <c r="F87" s="127"/>
      <c r="G87" s="128"/>
      <c r="H87" s="488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479"/>
      <c r="P87" s="479"/>
      <c r="Q87" s="479"/>
      <c r="R87" s="479"/>
      <c r="S87" s="479"/>
      <c r="T87" s="479"/>
      <c r="U87" s="479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480" t="s">
        <v>217</v>
      </c>
      <c r="C88" s="126" t="s">
        <v>186</v>
      </c>
      <c r="D88" s="108">
        <v>5.03</v>
      </c>
      <c r="E88" s="108"/>
      <c r="F88" s="127"/>
      <c r="G88" s="128"/>
      <c r="H88" s="488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479"/>
      <c r="P88" s="479"/>
      <c r="Q88" s="479"/>
      <c r="R88" s="479"/>
      <c r="S88" s="479"/>
      <c r="T88" s="479"/>
      <c r="U88" s="479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480" t="s">
        <v>217</v>
      </c>
      <c r="C89" s="126" t="s">
        <v>204</v>
      </c>
      <c r="D89" s="108">
        <v>5.03</v>
      </c>
      <c r="E89" s="108"/>
      <c r="F89" s="127"/>
      <c r="G89" s="128"/>
      <c r="H89" s="488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479"/>
      <c r="P89" s="479"/>
      <c r="Q89" s="479"/>
      <c r="R89" s="479"/>
      <c r="S89" s="479"/>
      <c r="T89" s="479"/>
      <c r="U89" s="479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88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479"/>
      <c r="P90" s="479"/>
      <c r="Q90" s="479"/>
      <c r="R90" s="479"/>
      <c r="S90" s="479"/>
      <c r="T90" s="479"/>
      <c r="U90" s="479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488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479"/>
      <c r="P91" s="479"/>
      <c r="Q91" s="479"/>
      <c r="R91" s="479"/>
      <c r="S91" s="479"/>
      <c r="T91" s="479"/>
      <c r="U91" s="479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488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479"/>
      <c r="P92" s="479"/>
      <c r="Q92" s="479"/>
      <c r="R92" s="479"/>
      <c r="S92" s="479"/>
      <c r="T92" s="479"/>
      <c r="U92" s="479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488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479"/>
      <c r="P93" s="479"/>
      <c r="Q93" s="479"/>
      <c r="R93" s="479"/>
      <c r="S93" s="479"/>
      <c r="T93" s="479"/>
      <c r="U93" s="479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488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479"/>
      <c r="P94" s="479"/>
      <c r="Q94" s="479"/>
      <c r="R94" s="479"/>
      <c r="S94" s="479"/>
      <c r="T94" s="479"/>
      <c r="U94" s="479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88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479"/>
      <c r="P95" s="479"/>
      <c r="Q95" s="479"/>
      <c r="R95" s="479"/>
      <c r="S95" s="479"/>
      <c r="T95" s="479"/>
      <c r="U95" s="479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88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479"/>
      <c r="P96" s="479"/>
      <c r="Q96" s="479"/>
      <c r="R96" s="479"/>
      <c r="S96" s="479"/>
      <c r="T96" s="479"/>
      <c r="U96" s="479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88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479"/>
      <c r="P97" s="479"/>
      <c r="Q97" s="479"/>
      <c r="R97" s="479"/>
      <c r="S97" s="479"/>
      <c r="T97" s="479"/>
      <c r="U97" s="479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88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479"/>
      <c r="P98" s="479"/>
      <c r="Q98" s="479"/>
      <c r="R98" s="479"/>
      <c r="S98" s="479"/>
      <c r="T98" s="479"/>
      <c r="U98" s="479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488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479"/>
      <c r="P99" s="479"/>
      <c r="Q99" s="479"/>
      <c r="R99" s="479"/>
      <c r="S99" s="479"/>
      <c r="T99" s="479"/>
      <c r="U99" s="479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88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479"/>
      <c r="P100" s="479"/>
      <c r="Q100" s="479"/>
      <c r="R100" s="479"/>
      <c r="S100" s="479"/>
      <c r="T100" s="479"/>
      <c r="U100" s="479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88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479"/>
      <c r="P101" s="479"/>
      <c r="Q101" s="479"/>
      <c r="R101" s="479"/>
      <c r="S101" s="479"/>
      <c r="T101" s="479"/>
      <c r="U101" s="479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88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479"/>
      <c r="P102" s="479"/>
      <c r="Q102" s="479"/>
      <c r="R102" s="479"/>
      <c r="S102" s="479"/>
      <c r="T102" s="479"/>
      <c r="U102" s="479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480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88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479"/>
      <c r="P103" s="479"/>
      <c r="Q103" s="479"/>
      <c r="R103" s="479"/>
      <c r="S103" s="479"/>
      <c r="T103" s="479"/>
      <c r="U103" s="479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480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88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479"/>
      <c r="P104" s="479"/>
      <c r="Q104" s="479"/>
      <c r="R104" s="479"/>
      <c r="S104" s="479"/>
      <c r="T104" s="479"/>
      <c r="U104" s="479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480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88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479"/>
      <c r="P105" s="479"/>
      <c r="Q105" s="479"/>
      <c r="R105" s="479"/>
      <c r="S105" s="479"/>
      <c r="T105" s="479"/>
      <c r="U105" s="479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480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88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479"/>
      <c r="P106" s="479"/>
      <c r="Q106" s="479"/>
      <c r="R106" s="479"/>
      <c r="S106" s="479"/>
      <c r="T106" s="479"/>
      <c r="U106" s="479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480" t="s">
        <v>393</v>
      </c>
      <c r="C107" s="187" t="s">
        <v>395</v>
      </c>
      <c r="D107" s="108">
        <v>5</v>
      </c>
      <c r="E107" s="108"/>
      <c r="F107" s="127"/>
      <c r="G107" s="128"/>
      <c r="H107" s="488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479"/>
      <c r="P107" s="479"/>
      <c r="Q107" s="479"/>
      <c r="R107" s="479"/>
      <c r="S107" s="479"/>
      <c r="T107" s="479"/>
      <c r="U107" s="479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480" t="s">
        <v>393</v>
      </c>
      <c r="C108" s="187" t="s">
        <v>402</v>
      </c>
      <c r="D108" s="108">
        <v>5</v>
      </c>
      <c r="E108" s="108"/>
      <c r="F108" s="127"/>
      <c r="G108" s="128"/>
      <c r="H108" s="488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479"/>
      <c r="P108" s="479"/>
      <c r="Q108" s="479"/>
      <c r="R108" s="479"/>
      <c r="S108" s="479"/>
      <c r="T108" s="479"/>
      <c r="U108" s="479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480" t="s">
        <v>404</v>
      </c>
      <c r="C109" s="187" t="s">
        <v>405</v>
      </c>
      <c r="D109" s="108">
        <v>5</v>
      </c>
      <c r="E109" s="108"/>
      <c r="F109" s="127"/>
      <c r="G109" s="128"/>
      <c r="H109" s="488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479"/>
      <c r="P109" s="479"/>
      <c r="Q109" s="479"/>
      <c r="R109" s="479"/>
      <c r="S109" s="479"/>
      <c r="T109" s="479"/>
      <c r="U109" s="479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480" t="s">
        <v>492</v>
      </c>
      <c r="C110" s="187" t="s">
        <v>372</v>
      </c>
      <c r="D110" s="108">
        <v>5</v>
      </c>
      <c r="E110" s="108"/>
      <c r="F110" s="127"/>
      <c r="G110" s="128"/>
      <c r="H110" s="488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479"/>
      <c r="P110" s="479"/>
      <c r="Q110" s="479"/>
      <c r="R110" s="479"/>
      <c r="S110" s="479"/>
      <c r="T110" s="479"/>
      <c r="U110" s="479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480" t="s">
        <v>343</v>
      </c>
      <c r="C111" s="126" t="s">
        <v>345</v>
      </c>
      <c r="D111" s="108">
        <v>5</v>
      </c>
      <c r="E111" s="108"/>
      <c r="F111" s="127"/>
      <c r="G111" s="128"/>
      <c r="H111" s="488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479"/>
      <c r="P111" s="479"/>
      <c r="Q111" s="479"/>
      <c r="R111" s="479"/>
      <c r="S111" s="479"/>
      <c r="T111" s="479"/>
      <c r="U111" s="479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480" t="s">
        <v>343</v>
      </c>
      <c r="C112" s="126" t="s">
        <v>347</v>
      </c>
      <c r="D112" s="108">
        <v>5</v>
      </c>
      <c r="E112" s="108"/>
      <c r="F112" s="127"/>
      <c r="G112" s="128"/>
      <c r="H112" s="488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479"/>
      <c r="P112" s="479"/>
      <c r="Q112" s="479"/>
      <c r="R112" s="479"/>
      <c r="S112" s="479"/>
      <c r="T112" s="479"/>
      <c r="U112" s="479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88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479"/>
      <c r="P113" s="479"/>
      <c r="Q113" s="479"/>
      <c r="R113" s="479"/>
      <c r="S113" s="479"/>
      <c r="T113" s="479"/>
      <c r="U113" s="479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88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479"/>
      <c r="P114" s="479"/>
      <c r="Q114" s="479"/>
      <c r="R114" s="479"/>
      <c r="S114" s="479"/>
      <c r="T114" s="479"/>
      <c r="U114" s="479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488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479"/>
      <c r="P115" s="479"/>
      <c r="Q115" s="479"/>
      <c r="R115" s="479"/>
      <c r="S115" s="479"/>
      <c r="T115" s="479"/>
      <c r="U115" s="479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88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479"/>
      <c r="P116" s="479"/>
      <c r="Q116" s="479"/>
      <c r="R116" s="479"/>
      <c r="S116" s="479"/>
      <c r="T116" s="479"/>
      <c r="U116" s="479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488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479"/>
      <c r="P117" s="479"/>
      <c r="Q117" s="479"/>
      <c r="R117" s="479"/>
      <c r="S117" s="479"/>
      <c r="T117" s="479"/>
      <c r="U117" s="479"/>
      <c r="V117" s="132"/>
      <c r="W117" s="133"/>
      <c r="X117" s="132"/>
      <c r="Y117" s="132"/>
      <c r="Z117" s="132"/>
      <c r="AA117" s="132"/>
    </row>
    <row r="118" spans="1:27" ht="20.10000000000000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>
        <v>42740</v>
      </c>
      <c r="G118" s="128">
        <f>90+100-90</f>
        <v>100</v>
      </c>
      <c r="H118" s="488">
        <f t="shared" si="36"/>
        <v>507</v>
      </c>
      <c r="I118" s="129">
        <f>1.5*4</f>
        <v>6</v>
      </c>
      <c r="J118" s="130">
        <f t="array" ref="J118">IF(ISERROR(G118/I118),"",G118/I118)</f>
        <v>16.666666666666668</v>
      </c>
      <c r="K118" s="131">
        <f t="array" ref="K118">IF(ISERROR(G118/L118),"",G118/L118)</f>
        <v>11.111111111111111</v>
      </c>
      <c r="L118" s="129">
        <v>9</v>
      </c>
      <c r="M118" s="109">
        <f t="shared" ref="M118:M120" si="46">IF(ISERROR(I118-K118),"",I118-K118)</f>
        <v>-5.1111111111111107</v>
      </c>
      <c r="N118" s="130">
        <f t="shared" ref="N118:N120" si="47">SUM(O118:U118)</f>
        <v>0</v>
      </c>
      <c r="O118" s="479"/>
      <c r="P118" s="479"/>
      <c r="Q118" s="479"/>
      <c r="R118" s="479"/>
      <c r="S118" s="479"/>
      <c r="T118" s="479"/>
      <c r="U118" s="479"/>
      <c r="V118" s="132">
        <f t="shared" ref="V118:V120" si="48">SUM(X118:AA118)</f>
        <v>0</v>
      </c>
      <c r="W118" s="133">
        <f t="shared" ref="W118:W142" si="49">IF(ISERROR(V118/G118),"",V118/G118)</f>
        <v>0</v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88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479"/>
      <c r="P119" s="479"/>
      <c r="Q119" s="479"/>
      <c r="R119" s="479"/>
      <c r="S119" s="479"/>
      <c r="T119" s="479"/>
      <c r="U119" s="479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488">
        <f t="shared" si="36"/>
        <v>0</v>
      </c>
      <c r="I120" s="129"/>
      <c r="J120" s="130" t="str">
        <f t="array" ref="J120">IF(ISERROR(G120/I120),"",G120/I120)</f>
        <v/>
      </c>
      <c r="K120" s="488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479"/>
      <c r="P120" s="479"/>
      <c r="Q120" s="479"/>
      <c r="R120" s="479"/>
      <c r="S120" s="479"/>
      <c r="T120" s="479"/>
      <c r="U120" s="479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578" t="s">
        <v>224</v>
      </c>
      <c r="B121" s="579"/>
      <c r="C121" s="486" t="s">
        <v>202</v>
      </c>
      <c r="D121" s="143"/>
      <c r="E121" s="143"/>
      <c r="F121" s="144"/>
      <c r="G121" s="145">
        <f>SUM(G87:G120)</f>
        <v>100</v>
      </c>
      <c r="H121" s="146">
        <f>SUM(H87:H120)</f>
        <v>507</v>
      </c>
      <c r="I121" s="146">
        <f>SUM(I87:I120)</f>
        <v>6</v>
      </c>
      <c r="J121" s="130">
        <f t="array" ref="J121">IF(ISERROR(G121/I121),"",G121/I121)</f>
        <v>16.666666666666668</v>
      </c>
      <c r="K121" s="146">
        <f>SUM(K87:K120)</f>
        <v>11.111111111111111</v>
      </c>
      <c r="L121" s="147"/>
      <c r="M121" s="150">
        <f t="shared" ref="M121:V121" si="50">SUM(M87:M120)</f>
        <v>-5.1111111111111107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>
        <v>42742</v>
      </c>
      <c r="G122" s="128">
        <f>90*6+90</f>
        <v>630</v>
      </c>
      <c r="H122" s="488">
        <f t="shared" ref="H122:H136" si="51">D122*G122</f>
        <v>3168.9</v>
      </c>
      <c r="I122" s="129">
        <f>5.5*2+5.5*3</f>
        <v>27.5</v>
      </c>
      <c r="J122" s="130">
        <f t="array" ref="J122">IF(ISERROR(G122/I122),"",G122/I122)</f>
        <v>22.90909090909091</v>
      </c>
      <c r="K122" s="131">
        <f t="array" ref="K122">IF(ISERROR(G122/L122),"",G122/L122)</f>
        <v>25.2</v>
      </c>
      <c r="L122" s="129">
        <v>25</v>
      </c>
      <c r="M122" s="109">
        <f t="shared" ref="M122:M136" si="52">IF(ISERROR(I122-K122),"",I122-K122)</f>
        <v>2.3000000000000007</v>
      </c>
      <c r="N122" s="130">
        <f t="shared" ref="N122:N136" si="53">SUM(O122:U122)</f>
        <v>0</v>
      </c>
      <c r="O122" s="479"/>
      <c r="P122" s="479"/>
      <c r="Q122" s="479"/>
      <c r="R122" s="479"/>
      <c r="S122" s="479"/>
      <c r="T122" s="479"/>
      <c r="U122" s="479"/>
      <c r="V122" s="132">
        <f t="shared" ref="V122:V136" si="54">SUM(X122:AA122)</f>
        <v>0</v>
      </c>
      <c r="W122" s="133">
        <f t="shared" si="49"/>
        <v>0</v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88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479"/>
      <c r="P123" s="479"/>
      <c r="Q123" s="479"/>
      <c r="R123" s="479"/>
      <c r="S123" s="479"/>
      <c r="T123" s="479"/>
      <c r="U123" s="479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488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479"/>
      <c r="P124" s="479"/>
      <c r="Q124" s="479"/>
      <c r="R124" s="479"/>
      <c r="S124" s="479"/>
      <c r="T124" s="479"/>
      <c r="U124" s="479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488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479"/>
      <c r="P125" s="479"/>
      <c r="Q125" s="479"/>
      <c r="R125" s="479"/>
      <c r="S125" s="479"/>
      <c r="T125" s="479"/>
      <c r="U125" s="479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484" t="s">
        <v>203</v>
      </c>
      <c r="D126" s="108">
        <v>5.03</v>
      </c>
      <c r="E126" s="108"/>
      <c r="F126" s="127"/>
      <c r="G126" s="128"/>
      <c r="H126" s="488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479"/>
      <c r="P126" s="479"/>
      <c r="Q126" s="479"/>
      <c r="R126" s="479"/>
      <c r="S126" s="479"/>
      <c r="T126" s="479"/>
      <c r="U126" s="479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88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479"/>
      <c r="P127" s="479"/>
      <c r="Q127" s="479"/>
      <c r="R127" s="479"/>
      <c r="S127" s="479"/>
      <c r="T127" s="479"/>
      <c r="U127" s="479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88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479"/>
      <c r="P128" s="479"/>
      <c r="Q128" s="479"/>
      <c r="R128" s="479"/>
      <c r="S128" s="479"/>
      <c r="T128" s="479"/>
      <c r="U128" s="479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484" t="s">
        <v>228</v>
      </c>
      <c r="D129" s="108">
        <v>5.03</v>
      </c>
      <c r="E129" s="108"/>
      <c r="F129" s="127"/>
      <c r="G129" s="128"/>
      <c r="H129" s="488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479"/>
      <c r="P129" s="479"/>
      <c r="Q129" s="479"/>
      <c r="R129" s="479"/>
      <c r="S129" s="479"/>
      <c r="T129" s="479"/>
      <c r="U129" s="479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484" t="s">
        <v>212</v>
      </c>
      <c r="D130" s="108">
        <v>5.03</v>
      </c>
      <c r="E130" s="108"/>
      <c r="F130" s="127"/>
      <c r="G130" s="128"/>
      <c r="H130" s="488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479"/>
      <c r="P130" s="479"/>
      <c r="Q130" s="479"/>
      <c r="R130" s="479"/>
      <c r="S130" s="479"/>
      <c r="T130" s="479"/>
      <c r="U130" s="479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484" t="s">
        <v>203</v>
      </c>
      <c r="D131" s="108">
        <v>5.03</v>
      </c>
      <c r="E131" s="108"/>
      <c r="F131" s="127"/>
      <c r="G131" s="128"/>
      <c r="H131" s="488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479"/>
      <c r="P131" s="479"/>
      <c r="Q131" s="479"/>
      <c r="R131" s="479"/>
      <c r="S131" s="479"/>
      <c r="T131" s="479"/>
      <c r="U131" s="479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484" t="s">
        <v>186</v>
      </c>
      <c r="D132" s="108">
        <v>5.03</v>
      </c>
      <c r="E132" s="108"/>
      <c r="F132" s="127"/>
      <c r="G132" s="128"/>
      <c r="H132" s="488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479"/>
      <c r="P132" s="479"/>
      <c r="Q132" s="479"/>
      <c r="R132" s="479"/>
      <c r="S132" s="479"/>
      <c r="T132" s="479"/>
      <c r="U132" s="479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484" t="s">
        <v>228</v>
      </c>
      <c r="D133" s="108">
        <v>5.03</v>
      </c>
      <c r="E133" s="108"/>
      <c r="F133" s="127"/>
      <c r="G133" s="128"/>
      <c r="H133" s="488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479"/>
      <c r="P133" s="479"/>
      <c r="Q133" s="479"/>
      <c r="R133" s="479"/>
      <c r="S133" s="479"/>
      <c r="T133" s="479"/>
      <c r="U133" s="479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484" t="s">
        <v>199</v>
      </c>
      <c r="D134" s="108">
        <v>5.03</v>
      </c>
      <c r="E134" s="108"/>
      <c r="F134" s="127"/>
      <c r="G134" s="128"/>
      <c r="H134" s="488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479"/>
      <c r="P134" s="479"/>
      <c r="Q134" s="479"/>
      <c r="R134" s="479"/>
      <c r="S134" s="479"/>
      <c r="T134" s="479"/>
      <c r="U134" s="479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88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479"/>
      <c r="P135" s="479"/>
      <c r="Q135" s="479"/>
      <c r="R135" s="479"/>
      <c r="S135" s="479"/>
      <c r="T135" s="479"/>
      <c r="U135" s="479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488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479"/>
      <c r="P136" s="479"/>
      <c r="Q136" s="479"/>
      <c r="R136" s="479"/>
      <c r="S136" s="479"/>
      <c r="T136" s="479"/>
      <c r="U136" s="479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customHeight="1">
      <c r="A137" s="578" t="s">
        <v>231</v>
      </c>
      <c r="B137" s="579"/>
      <c r="C137" s="486" t="s">
        <v>202</v>
      </c>
      <c r="D137" s="143"/>
      <c r="E137" s="143"/>
      <c r="F137" s="144"/>
      <c r="G137" s="145">
        <f>SUM(G122:G136)</f>
        <v>630</v>
      </c>
      <c r="H137" s="146">
        <f>SUM(H122:H136)</f>
        <v>3168.9</v>
      </c>
      <c r="I137" s="146">
        <f>SUM(I122:I136)</f>
        <v>27.5</v>
      </c>
      <c r="J137" s="130">
        <f t="array" ref="J137">IF(ISERROR(G137/I137),"",G137/I137)</f>
        <v>22.90909090909091</v>
      </c>
      <c r="K137" s="146">
        <f>SUM(K122:K136)</f>
        <v>25.2</v>
      </c>
      <c r="L137" s="147"/>
      <c r="M137" s="150">
        <f>SUM(M122:M136)</f>
        <v>2.3000000000000007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49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88">
        <f t="shared" ref="H138:H147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479"/>
      <c r="P138" s="479"/>
      <c r="Q138" s="479"/>
      <c r="R138" s="479"/>
      <c r="S138" s="479"/>
      <c r="T138" s="479"/>
      <c r="U138" s="479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88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479"/>
      <c r="P139" s="479"/>
      <c r="Q139" s="479"/>
      <c r="R139" s="479"/>
      <c r="S139" s="479"/>
      <c r="T139" s="479"/>
      <c r="U139" s="479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88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479"/>
      <c r="P140" s="479"/>
      <c r="Q140" s="479"/>
      <c r="R140" s="479"/>
      <c r="S140" s="479"/>
      <c r="T140" s="479"/>
      <c r="U140" s="479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488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479"/>
      <c r="P141" s="479"/>
      <c r="Q141" s="479"/>
      <c r="R141" s="479"/>
      <c r="S141" s="479"/>
      <c r="T141" s="479"/>
      <c r="U141" s="479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88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479"/>
      <c r="P142" s="479"/>
      <c r="Q142" s="479"/>
      <c r="R142" s="479"/>
      <c r="S142" s="479"/>
      <c r="T142" s="479"/>
      <c r="U142" s="479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488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479"/>
      <c r="P143" s="479"/>
      <c r="Q143" s="479"/>
      <c r="R143" s="479"/>
      <c r="S143" s="479"/>
      <c r="T143" s="479"/>
      <c r="U143" s="479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/>
      <c r="G144" s="128"/>
      <c r="H144" s="488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479"/>
      <c r="P144" s="479"/>
      <c r="Q144" s="479"/>
      <c r="R144" s="479"/>
      <c r="S144" s="479"/>
      <c r="T144" s="479"/>
      <c r="U144" s="479"/>
      <c r="V144" s="132"/>
      <c r="W144" s="133"/>
      <c r="X144" s="132"/>
      <c r="Y144" s="132"/>
      <c r="Z144" s="132"/>
      <c r="AA144" s="132"/>
    </row>
    <row r="145" spans="1:27" ht="20.100000000000001" customHeight="1">
      <c r="A145" s="300">
        <v>30400021</v>
      </c>
      <c r="B145" s="134" t="s">
        <v>439</v>
      </c>
      <c r="C145" s="187" t="s">
        <v>53</v>
      </c>
      <c r="D145" s="108">
        <v>5.04</v>
      </c>
      <c r="E145" s="108"/>
      <c r="F145" s="127">
        <v>42743</v>
      </c>
      <c r="G145" s="128">
        <f>90*6+46</f>
        <v>586</v>
      </c>
      <c r="H145" s="488">
        <f t="shared" si="55"/>
        <v>2953.44</v>
      </c>
      <c r="I145" s="129">
        <f>10*4</f>
        <v>40</v>
      </c>
      <c r="J145" s="130"/>
      <c r="K145" s="131">
        <f t="array" ref="K145">IF(ISERROR(G145/L145),"",G145/L145)</f>
        <v>43.407407407407405</v>
      </c>
      <c r="L145" s="129">
        <v>13.5</v>
      </c>
      <c r="M145" s="109"/>
      <c r="N145" s="130"/>
      <c r="O145" s="479"/>
      <c r="P145" s="479"/>
      <c r="Q145" s="479"/>
      <c r="R145" s="479"/>
      <c r="S145" s="479"/>
      <c r="T145" s="479"/>
      <c r="U145" s="479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/>
      <c r="G146" s="128"/>
      <c r="H146" s="488">
        <f t="shared" si="55"/>
        <v>0</v>
      </c>
      <c r="I146" s="129"/>
      <c r="J146" s="130"/>
      <c r="K146" s="131">
        <f t="array" ref="K146">IF(ISERROR(G146/L146),"",G146/L146)</f>
        <v>0</v>
      </c>
      <c r="L146" s="129">
        <v>13.5</v>
      </c>
      <c r="M146" s="109"/>
      <c r="N146" s="130"/>
      <c r="O146" s="479"/>
      <c r="P146" s="479"/>
      <c r="Q146" s="479"/>
      <c r="R146" s="479"/>
      <c r="S146" s="479"/>
      <c r="T146" s="479"/>
      <c r="U146" s="479"/>
      <c r="V146" s="132"/>
      <c r="W146" s="133"/>
      <c r="X146" s="132"/>
      <c r="Y146" s="132"/>
      <c r="Z146" s="132"/>
      <c r="AA146" s="132"/>
    </row>
    <row r="147" spans="1:27" ht="20.100000000000001" hidden="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28"/>
      <c r="H147" s="488">
        <f t="shared" si="55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ref="M147" si="59">IF(ISERROR(I147-K147),"",I147-K147)</f>
        <v>0</v>
      </c>
      <c r="N147" s="130">
        <f t="shared" ref="N147" si="60">SUM(O147:U147)</f>
        <v>0</v>
      </c>
      <c r="O147" s="479"/>
      <c r="P147" s="479"/>
      <c r="Q147" s="479"/>
      <c r="R147" s="479"/>
      <c r="S147" s="479"/>
      <c r="T147" s="479"/>
      <c r="U147" s="479"/>
      <c r="V147" s="132">
        <f t="shared" ref="V147" si="61">SUM(X147:AA147)</f>
        <v>0</v>
      </c>
      <c r="W147" s="133" t="str">
        <f t="shared" ref="W147:W152" si="62">IF(ISERROR(V147/G147),"",V147/G147)</f>
        <v/>
      </c>
      <c r="X147" s="132"/>
      <c r="Y147" s="132"/>
      <c r="Z147" s="132"/>
      <c r="AA147" s="132"/>
    </row>
    <row r="148" spans="1:27" ht="20.100000000000001" customHeight="1">
      <c r="A148" s="578" t="s">
        <v>234</v>
      </c>
      <c r="B148" s="579"/>
      <c r="C148" s="486" t="s">
        <v>202</v>
      </c>
      <c r="D148" s="143"/>
      <c r="E148" s="143"/>
      <c r="F148" s="144"/>
      <c r="G148" s="145">
        <f>SUM(G138:G147)</f>
        <v>586</v>
      </c>
      <c r="H148" s="146">
        <f>SUM(H138:H147)</f>
        <v>2953.44</v>
      </c>
      <c r="I148" s="146">
        <f>SUM(I138:I147)</f>
        <v>40</v>
      </c>
      <c r="J148" s="130">
        <f t="array" ref="J148">IF(ISERROR(G148/I148),"",G148/I148)</f>
        <v>14.65</v>
      </c>
      <c r="K148" s="146">
        <f>SUM(K138:K147)</f>
        <v>43.407407407407405</v>
      </c>
      <c r="L148" s="147"/>
      <c r="M148" s="150">
        <f>SUM(M138:M147)</f>
        <v>0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>
        <f t="shared" si="62"/>
        <v>0</v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hidden="1" customHeight="1">
      <c r="A149" s="299">
        <v>30700013</v>
      </c>
      <c r="B149" s="298" t="s">
        <v>103</v>
      </c>
      <c r="C149" s="478"/>
      <c r="D149" s="108">
        <v>3.65</v>
      </c>
      <c r="E149" s="108"/>
      <c r="F149" s="153"/>
      <c r="G149" s="128"/>
      <c r="H149" s="488">
        <f t="shared" ref="H149:H162" si="63">D149*G149</f>
        <v>0</v>
      </c>
      <c r="I149" s="129"/>
      <c r="J149" s="130" t="str">
        <f t="array" ref="J149">IF(ISERROR(G149/I149),"",G149/I149)</f>
        <v/>
      </c>
      <c r="K149" s="488">
        <f t="array" ref="K149">IF(ISERROR(G149/L149),"",G149/L149)</f>
        <v>0</v>
      </c>
      <c r="L149" s="129">
        <v>5</v>
      </c>
      <c r="M149" s="109">
        <f t="shared" ref="M149:M152" si="64">IF(ISERROR(I149-K149),"",I149-K149)</f>
        <v>0</v>
      </c>
      <c r="N149" s="130">
        <f t="shared" ref="N149:N152" si="65">SUM(O149:U149)</f>
        <v>0</v>
      </c>
      <c r="O149" s="479"/>
      <c r="P149" s="479"/>
      <c r="Q149" s="479"/>
      <c r="R149" s="479"/>
      <c r="S149" s="479"/>
      <c r="T149" s="479"/>
      <c r="U149" s="479"/>
      <c r="V149" s="132">
        <f t="shared" ref="V149:V152" si="66">SUM(X149:AA149)</f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customHeight="1">
      <c r="A150" s="299">
        <v>30700014</v>
      </c>
      <c r="B150" s="141" t="s">
        <v>236</v>
      </c>
      <c r="C150" s="478"/>
      <c r="D150" s="108">
        <v>6.58</v>
      </c>
      <c r="E150" s="108"/>
      <c r="F150" s="127">
        <v>42738</v>
      </c>
      <c r="G150" s="128">
        <f>36*6</f>
        <v>216</v>
      </c>
      <c r="H150" s="488">
        <f t="shared" si="63"/>
        <v>1421.28</v>
      </c>
      <c r="I150" s="129">
        <v>43</v>
      </c>
      <c r="J150" s="130">
        <f t="array" ref="J150">IF(ISERROR(G150/I150),"",G150/I150)</f>
        <v>5.0232558139534884</v>
      </c>
      <c r="K150" s="131">
        <f t="array" ref="K150">IF(ISERROR(G150/L150),"",G150/L150)</f>
        <v>43.2</v>
      </c>
      <c r="L150" s="129">
        <v>5</v>
      </c>
      <c r="M150" s="109">
        <f t="shared" si="64"/>
        <v>-0.20000000000000284</v>
      </c>
      <c r="N150" s="130">
        <f t="shared" si="65"/>
        <v>0</v>
      </c>
      <c r="O150" s="479"/>
      <c r="P150" s="479"/>
      <c r="Q150" s="479"/>
      <c r="R150" s="479"/>
      <c r="S150" s="479"/>
      <c r="T150" s="479"/>
      <c r="U150" s="479"/>
      <c r="V150" s="132">
        <f t="shared" si="66"/>
        <v>0</v>
      </c>
      <c r="W150" s="133">
        <f t="shared" si="62"/>
        <v>0</v>
      </c>
      <c r="X150" s="132"/>
      <c r="Y150" s="132"/>
      <c r="Z150" s="132"/>
      <c r="AA150" s="132"/>
    </row>
    <row r="151" spans="1:27" ht="20.100000000000001" customHeight="1">
      <c r="A151" s="299">
        <v>30700016</v>
      </c>
      <c r="B151" s="141" t="s">
        <v>237</v>
      </c>
      <c r="C151" s="478"/>
      <c r="D151" s="108">
        <v>7.8</v>
      </c>
      <c r="E151" s="108"/>
      <c r="F151" s="127">
        <v>42738</v>
      </c>
      <c r="G151" s="128">
        <v>29</v>
      </c>
      <c r="H151" s="488">
        <f t="shared" si="63"/>
        <v>226.2</v>
      </c>
      <c r="I151" s="129">
        <v>6.5</v>
      </c>
      <c r="J151" s="130">
        <f t="array" ref="J151">IF(ISERROR(G151/I151),"",G151/I151)</f>
        <v>4.4615384615384617</v>
      </c>
      <c r="K151" s="131">
        <f t="array" ref="K151">IF(ISERROR(G151/L151),"",G151/L151)</f>
        <v>6.304347826086957</v>
      </c>
      <c r="L151" s="129">
        <v>4.5999999999999996</v>
      </c>
      <c r="M151" s="109">
        <f t="shared" si="64"/>
        <v>0.19565217391304301</v>
      </c>
      <c r="N151" s="130">
        <f t="shared" si="65"/>
        <v>0</v>
      </c>
      <c r="O151" s="479"/>
      <c r="P151" s="479"/>
      <c r="Q151" s="479"/>
      <c r="R151" s="479"/>
      <c r="S151" s="479"/>
      <c r="T151" s="479"/>
      <c r="U151" s="479"/>
      <c r="V151" s="132">
        <f t="shared" si="66"/>
        <v>0</v>
      </c>
      <c r="W151" s="133">
        <f t="shared" si="62"/>
        <v>0</v>
      </c>
      <c r="X151" s="132"/>
      <c r="Y151" s="132"/>
      <c r="Z151" s="132"/>
      <c r="AA151" s="132"/>
    </row>
    <row r="152" spans="1:27" ht="20.100000000000001" hidden="1" customHeight="1">
      <c r="A152" s="299">
        <v>30700017</v>
      </c>
      <c r="B152" s="141" t="s">
        <v>238</v>
      </c>
      <c r="C152" s="478"/>
      <c r="D152" s="108">
        <v>4.4000000000000004</v>
      </c>
      <c r="E152" s="108"/>
      <c r="F152" s="127"/>
      <c r="G152" s="128"/>
      <c r="H152" s="488">
        <f t="shared" si="63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5.8</v>
      </c>
      <c r="M152" s="109">
        <f t="shared" si="64"/>
        <v>0</v>
      </c>
      <c r="N152" s="130">
        <f t="shared" si="65"/>
        <v>0</v>
      </c>
      <c r="O152" s="479"/>
      <c r="P152" s="479"/>
      <c r="Q152" s="479"/>
      <c r="R152" s="479"/>
      <c r="S152" s="479"/>
      <c r="T152" s="479"/>
      <c r="U152" s="479"/>
      <c r="V152" s="132">
        <f t="shared" si="66"/>
        <v>0</v>
      </c>
      <c r="W152" s="133" t="str">
        <f t="shared" si="62"/>
        <v/>
      </c>
      <c r="X152" s="132"/>
      <c r="Y152" s="132"/>
      <c r="Z152" s="132"/>
      <c r="AA152" s="132"/>
    </row>
    <row r="153" spans="1:27" ht="20.100000000000001" hidden="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28"/>
      <c r="H153" s="488">
        <f t="shared" si="63"/>
        <v>0</v>
      </c>
      <c r="I153" s="129"/>
      <c r="J153" s="130"/>
      <c r="K153" s="131"/>
      <c r="L153" s="129">
        <v>6</v>
      </c>
      <c r="M153" s="109"/>
      <c r="N153" s="130"/>
      <c r="O153" s="479"/>
      <c r="P153" s="479"/>
      <c r="Q153" s="479"/>
      <c r="R153" s="479"/>
      <c r="S153" s="479"/>
      <c r="T153" s="479"/>
      <c r="U153" s="479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5"/>
      <c r="B154" s="478" t="s">
        <v>239</v>
      </c>
      <c r="C154" s="478" t="s">
        <v>179</v>
      </c>
      <c r="D154" s="108">
        <v>6.04</v>
      </c>
      <c r="E154" s="108"/>
      <c r="F154" s="127"/>
      <c r="G154" s="128"/>
      <c r="H154" s="488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5" si="67">IF(ISERROR(I154-K154),"",I154-K154)</f>
        <v>0</v>
      </c>
      <c r="N154" s="130">
        <f t="shared" ref="N154:N155" si="68">SUM(O154:U154)</f>
        <v>0</v>
      </c>
      <c r="O154" s="479"/>
      <c r="P154" s="479"/>
      <c r="Q154" s="479"/>
      <c r="R154" s="479"/>
      <c r="S154" s="479"/>
      <c r="T154" s="479"/>
      <c r="U154" s="479"/>
      <c r="V154" s="132">
        <f t="shared" ref="V154:V155" si="69">SUM(X154:AA154)</f>
        <v>0</v>
      </c>
      <c r="W154" s="133" t="str">
        <f t="shared" ref="W154:W155" si="70">IF(ISERROR(V154/G154),"",V154/G154)</f>
        <v/>
      </c>
      <c r="X154" s="132"/>
      <c r="Y154" s="132"/>
      <c r="Z154" s="132"/>
      <c r="AA154" s="132"/>
    </row>
    <row r="155" spans="1:27" ht="20.100000000000001" hidden="1" customHeight="1">
      <c r="A155" s="305">
        <v>30700019</v>
      </c>
      <c r="B155" s="478" t="s">
        <v>239</v>
      </c>
      <c r="C155" s="478" t="s">
        <v>186</v>
      </c>
      <c r="D155" s="108">
        <v>6.04</v>
      </c>
      <c r="E155" s="108"/>
      <c r="F155" s="127"/>
      <c r="G155" s="128"/>
      <c r="H155" s="488">
        <f t="shared" si="63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7"/>
        <v>0</v>
      </c>
      <c r="N155" s="130">
        <f t="shared" si="68"/>
        <v>0</v>
      </c>
      <c r="O155" s="479"/>
      <c r="P155" s="479"/>
      <c r="Q155" s="479"/>
      <c r="R155" s="479"/>
      <c r="S155" s="479"/>
      <c r="T155" s="479"/>
      <c r="U155" s="479"/>
      <c r="V155" s="132">
        <f t="shared" si="69"/>
        <v>0</v>
      </c>
      <c r="W155" s="133" t="str">
        <f t="shared" si="70"/>
        <v/>
      </c>
      <c r="X155" s="132"/>
      <c r="Y155" s="132"/>
      <c r="Z155" s="132"/>
      <c r="AA155" s="132"/>
    </row>
    <row r="156" spans="1:27" ht="20.100000000000001" hidden="1" customHeight="1">
      <c r="A156" s="305">
        <v>30601015</v>
      </c>
      <c r="B156" s="478" t="s">
        <v>443</v>
      </c>
      <c r="C156" s="478" t="s">
        <v>179</v>
      </c>
      <c r="D156" s="108">
        <v>6</v>
      </c>
      <c r="E156" s="108"/>
      <c r="F156" s="127"/>
      <c r="G156" s="128"/>
      <c r="H156" s="488">
        <f t="shared" si="63"/>
        <v>0</v>
      </c>
      <c r="I156" s="129"/>
      <c r="J156" s="130"/>
      <c r="K156" s="131"/>
      <c r="L156" s="129"/>
      <c r="M156" s="109"/>
      <c r="N156" s="130"/>
      <c r="O156" s="479"/>
      <c r="P156" s="479"/>
      <c r="Q156" s="479"/>
      <c r="R156" s="479"/>
      <c r="S156" s="479"/>
      <c r="T156" s="479"/>
      <c r="U156" s="479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305">
        <v>30101016</v>
      </c>
      <c r="B157" s="478" t="s">
        <v>443</v>
      </c>
      <c r="C157" s="478" t="s">
        <v>60</v>
      </c>
      <c r="D157" s="108">
        <v>6</v>
      </c>
      <c r="E157" s="108"/>
      <c r="F157" s="127"/>
      <c r="G157" s="128"/>
      <c r="H157" s="488">
        <f t="shared" si="63"/>
        <v>0</v>
      </c>
      <c r="I157" s="129"/>
      <c r="J157" s="130"/>
      <c r="K157" s="131"/>
      <c r="L157" s="129">
        <v>6</v>
      </c>
      <c r="M157" s="109"/>
      <c r="N157" s="130"/>
      <c r="O157" s="479"/>
      <c r="P157" s="479"/>
      <c r="Q157" s="479"/>
      <c r="R157" s="479"/>
      <c r="S157" s="479"/>
      <c r="T157" s="479"/>
      <c r="U157" s="479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299">
        <v>30700018</v>
      </c>
      <c r="B158" s="480" t="s">
        <v>240</v>
      </c>
      <c r="C158" s="126"/>
      <c r="D158" s="108">
        <v>7.3</v>
      </c>
      <c r="E158" s="108"/>
      <c r="F158" s="127"/>
      <c r="G158" s="128"/>
      <c r="H158" s="488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1">IF(ISERROR(I158-K158),"",I158-K158)</f>
        <v/>
      </c>
      <c r="N158" s="130">
        <f t="shared" ref="N158:N159" si="72">SUM(O158:U158)</f>
        <v>0</v>
      </c>
      <c r="O158" s="479"/>
      <c r="P158" s="479"/>
      <c r="Q158" s="479"/>
      <c r="R158" s="479"/>
      <c r="S158" s="479"/>
      <c r="T158" s="479"/>
      <c r="U158" s="479"/>
      <c r="V158" s="132">
        <f t="shared" ref="V158:V159" si="73">SUM(X158:AA158)</f>
        <v>0</v>
      </c>
      <c r="W158" s="133" t="str">
        <f t="shared" ref="W158:W159" si="74">IF(ISERROR(V158/G158),"",V158/G158)</f>
        <v/>
      </c>
      <c r="X158" s="132"/>
      <c r="Y158" s="132"/>
      <c r="Z158" s="132"/>
      <c r="AA158" s="132"/>
    </row>
    <row r="159" spans="1:27" ht="20.100000000000001" hidden="1" customHeight="1">
      <c r="A159" s="299">
        <v>30700010</v>
      </c>
      <c r="B159" s="480" t="s">
        <v>241</v>
      </c>
      <c r="C159" s="126"/>
      <c r="D159" s="108">
        <f>78*120/1000</f>
        <v>9.36</v>
      </c>
      <c r="E159" s="108"/>
      <c r="F159" s="127"/>
      <c r="G159" s="128"/>
      <c r="H159" s="488">
        <f t="shared" si="63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2"/>
        <v>0</v>
      </c>
      <c r="O159" s="479"/>
      <c r="P159" s="479"/>
      <c r="Q159" s="479"/>
      <c r="R159" s="479"/>
      <c r="S159" s="479"/>
      <c r="T159" s="479"/>
      <c r="U159" s="479"/>
      <c r="V159" s="132">
        <f t="shared" si="73"/>
        <v>0</v>
      </c>
      <c r="W159" s="133" t="str">
        <f t="shared" si="74"/>
        <v/>
      </c>
      <c r="X159" s="132"/>
      <c r="Y159" s="132"/>
      <c r="Z159" s="132"/>
      <c r="AA159" s="132"/>
    </row>
    <row r="160" spans="1:27" ht="20.100000000000001" hidden="1" customHeight="1">
      <c r="A160" s="299">
        <v>30700015</v>
      </c>
      <c r="B160" s="480" t="s">
        <v>242</v>
      </c>
      <c r="C160" s="126"/>
      <c r="D160" s="108">
        <v>4.5</v>
      </c>
      <c r="E160" s="108"/>
      <c r="F160" s="127"/>
      <c r="G160" s="128"/>
      <c r="H160" s="488">
        <f t="shared" si="63"/>
        <v>0</v>
      </c>
      <c r="I160" s="129"/>
      <c r="J160" s="130"/>
      <c r="K160" s="131"/>
      <c r="L160" s="129"/>
      <c r="M160" s="109"/>
      <c r="N160" s="130"/>
      <c r="O160" s="479"/>
      <c r="P160" s="479"/>
      <c r="Q160" s="479"/>
      <c r="R160" s="479"/>
      <c r="S160" s="479"/>
      <c r="T160" s="479"/>
      <c r="U160" s="479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299">
        <v>30700012</v>
      </c>
      <c r="B161" s="480" t="s">
        <v>243</v>
      </c>
      <c r="C161" s="126"/>
      <c r="D161" s="108">
        <v>4.5</v>
      </c>
      <c r="E161" s="108"/>
      <c r="F161" s="127"/>
      <c r="G161" s="128"/>
      <c r="H161" s="488">
        <f t="shared" si="63"/>
        <v>0</v>
      </c>
      <c r="I161" s="129"/>
      <c r="J161" s="130"/>
      <c r="K161" s="131"/>
      <c r="L161" s="129"/>
      <c r="M161" s="109"/>
      <c r="N161" s="130"/>
      <c r="O161" s="479"/>
      <c r="P161" s="479"/>
      <c r="Q161" s="479"/>
      <c r="R161" s="479"/>
      <c r="S161" s="479"/>
      <c r="T161" s="479"/>
      <c r="U161" s="479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306">
        <v>30101063</v>
      </c>
      <c r="B162" s="254" t="s">
        <v>436</v>
      </c>
      <c r="C162" s="126"/>
      <c r="D162" s="108">
        <v>5.03</v>
      </c>
      <c r="E162" s="108"/>
      <c r="F162" s="127"/>
      <c r="G162" s="128"/>
      <c r="H162" s="488">
        <f t="shared" si="63"/>
        <v>0</v>
      </c>
      <c r="I162" s="129"/>
      <c r="J162" s="130"/>
      <c r="K162" s="131"/>
      <c r="L162" s="129"/>
      <c r="M162" s="109"/>
      <c r="N162" s="130"/>
      <c r="O162" s="479"/>
      <c r="P162" s="479"/>
      <c r="Q162" s="479"/>
      <c r="R162" s="479"/>
      <c r="S162" s="479"/>
      <c r="T162" s="479"/>
      <c r="U162" s="479"/>
      <c r="V162" s="132"/>
      <c r="W162" s="133"/>
      <c r="X162" s="132"/>
      <c r="Y162" s="132"/>
      <c r="Z162" s="132"/>
      <c r="AA162" s="132"/>
    </row>
    <row r="163" spans="1:27" ht="20.100000000000001" customHeight="1">
      <c r="A163" s="578" t="s">
        <v>244</v>
      </c>
      <c r="B163" s="579"/>
      <c r="C163" s="486" t="s">
        <v>202</v>
      </c>
      <c r="D163" s="143"/>
      <c r="E163" s="143"/>
      <c r="F163" s="144"/>
      <c r="G163" s="145">
        <f>SUM(G149:G161)</f>
        <v>245</v>
      </c>
      <c r="H163" s="146">
        <f>SUM(H149:H159)</f>
        <v>1647.48</v>
      </c>
      <c r="I163" s="146">
        <f>SUM(I149:I161)</f>
        <v>49.5</v>
      </c>
      <c r="J163" s="130">
        <f t="array" ref="J163">IF(ISERROR(G163/I163),"",G163/I163)</f>
        <v>4.9494949494949498</v>
      </c>
      <c r="K163" s="146">
        <f>SUM(K149:K159)</f>
        <v>49.504347826086956</v>
      </c>
      <c r="L163" s="147"/>
      <c r="M163" s="150">
        <f t="shared" ref="M163:V163" si="75">SUM(M149:M159)</f>
        <v>-4.3478260869598273E-3</v>
      </c>
      <c r="N163" s="146">
        <f t="shared" si="75"/>
        <v>0</v>
      </c>
      <c r="O163" s="148">
        <f t="shared" si="75"/>
        <v>0</v>
      </c>
      <c r="P163" s="148">
        <f t="shared" si="75"/>
        <v>0</v>
      </c>
      <c r="Q163" s="148">
        <f t="shared" si="75"/>
        <v>0</v>
      </c>
      <c r="R163" s="148">
        <f t="shared" si="75"/>
        <v>0</v>
      </c>
      <c r="S163" s="148">
        <f t="shared" si="75"/>
        <v>0</v>
      </c>
      <c r="T163" s="148">
        <f t="shared" si="75"/>
        <v>0</v>
      </c>
      <c r="U163" s="148">
        <f t="shared" si="75"/>
        <v>0</v>
      </c>
      <c r="V163" s="149">
        <f t="shared" si="75"/>
        <v>0</v>
      </c>
      <c r="W163" s="133">
        <f>IF(ISERROR(V163/G163),"",V163/G163)</f>
        <v>0</v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580" t="s">
        <v>246</v>
      </c>
      <c r="B164" s="581"/>
      <c r="C164" s="581"/>
      <c r="D164" s="581"/>
      <c r="E164" s="581"/>
      <c r="F164" s="582"/>
      <c r="G164" s="154">
        <f>SUM(G28,G86,G121,G137,G148,G163)</f>
        <v>6109</v>
      </c>
      <c r="H164" s="154">
        <f>SUM(H28,H86,H121,H137,H148,H163)</f>
        <v>31188.55</v>
      </c>
      <c r="I164" s="154">
        <f>SUM(I28,I86,I121,I137,I148,I163)</f>
        <v>278.5</v>
      </c>
      <c r="J164" s="155">
        <f t="array" ref="J164">IF(ISERROR(G164/I164),"",G164/I164)</f>
        <v>21.935368043087973</v>
      </c>
      <c r="K164" s="154">
        <f>SUM(K28,K86,K121,K137,K148,K163)</f>
        <v>304.22144086150388</v>
      </c>
      <c r="L164" s="155">
        <f>IF(ISERROR(G164/K164),"",G164/K164)</f>
        <v>20.080767426189098</v>
      </c>
      <c r="M164" s="154">
        <f t="shared" ref="M164:AA164" si="76">SUM(M28,M86,M121,M137,M148,M163)</f>
        <v>-22.314033454096442</v>
      </c>
      <c r="N164" s="154">
        <f t="shared" si="76"/>
        <v>0</v>
      </c>
      <c r="O164" s="154">
        <f t="shared" si="76"/>
        <v>0</v>
      </c>
      <c r="P164" s="154">
        <f t="shared" si="76"/>
        <v>0</v>
      </c>
      <c r="Q164" s="154">
        <f t="shared" si="76"/>
        <v>0</v>
      </c>
      <c r="R164" s="154">
        <f t="shared" si="76"/>
        <v>0</v>
      </c>
      <c r="S164" s="154">
        <f t="shared" si="76"/>
        <v>0</v>
      </c>
      <c r="T164" s="154">
        <f t="shared" si="76"/>
        <v>0</v>
      </c>
      <c r="U164" s="154">
        <f t="shared" si="76"/>
        <v>0</v>
      </c>
      <c r="V164" s="154">
        <f t="shared" si="76"/>
        <v>0</v>
      </c>
      <c r="W164" s="154">
        <f t="shared" si="76"/>
        <v>0</v>
      </c>
      <c r="X164" s="154">
        <f t="shared" si="76"/>
        <v>0</v>
      </c>
      <c r="Y164" s="154">
        <f t="shared" si="76"/>
        <v>0</v>
      </c>
      <c r="Z164" s="154">
        <f t="shared" si="76"/>
        <v>0</v>
      </c>
      <c r="AA164" s="154">
        <f t="shared" si="76"/>
        <v>0</v>
      </c>
    </row>
    <row r="165" spans="1:27" ht="20.100000000000001" customHeight="1">
      <c r="A165" s="583" t="s">
        <v>476</v>
      </c>
      <c r="B165" s="485" t="s">
        <v>247</v>
      </c>
      <c r="C165" s="586" t="s">
        <v>248</v>
      </c>
      <c r="D165" s="587"/>
      <c r="E165" s="588" t="s">
        <v>249</v>
      </c>
      <c r="F165" s="588"/>
      <c r="G165" s="591" t="s">
        <v>250</v>
      </c>
      <c r="H165" s="591"/>
      <c r="I165" s="588" t="s">
        <v>251</v>
      </c>
      <c r="J165" s="588"/>
      <c r="K165" s="588" t="s">
        <v>252</v>
      </c>
      <c r="L165" s="588"/>
      <c r="M165" s="588" t="s">
        <v>253</v>
      </c>
      <c r="N165" s="588"/>
      <c r="O165" s="588" t="s">
        <v>254</v>
      </c>
      <c r="P165" s="591" t="s">
        <v>255</v>
      </c>
      <c r="Q165" s="591"/>
      <c r="R165" s="591" t="s">
        <v>252</v>
      </c>
      <c r="S165" s="591"/>
      <c r="T165" s="591" t="s">
        <v>256</v>
      </c>
      <c r="U165" s="591"/>
      <c r="V165" s="591" t="s">
        <v>257</v>
      </c>
      <c r="W165" s="591"/>
      <c r="X165" s="591" t="s">
        <v>252</v>
      </c>
      <c r="Y165" s="591"/>
      <c r="Z165" s="591" t="s">
        <v>256</v>
      </c>
      <c r="AA165" s="591"/>
    </row>
    <row r="166" spans="1:27" ht="20.100000000000001" customHeight="1">
      <c r="A166" s="584"/>
      <c r="B166" s="485" t="s">
        <v>258</v>
      </c>
      <c r="C166" s="586">
        <v>1</v>
      </c>
      <c r="D166" s="587"/>
      <c r="E166" s="590">
        <f>C166*11</f>
        <v>11</v>
      </c>
      <c r="F166" s="590"/>
      <c r="G166" s="591">
        <v>1</v>
      </c>
      <c r="H166" s="591"/>
      <c r="I166" s="590">
        <f>G166*11</f>
        <v>11</v>
      </c>
      <c r="J166" s="590"/>
      <c r="K166" s="590">
        <f>E166-I166</f>
        <v>0</v>
      </c>
      <c r="L166" s="590"/>
      <c r="M166" s="592">
        <f>IF(ISERROR(K166/E166),"",K166/E166)</f>
        <v>0</v>
      </c>
      <c r="N166" s="592"/>
      <c r="O166" s="588"/>
      <c r="P166" s="591" t="s">
        <v>201</v>
      </c>
      <c r="Q166" s="591"/>
      <c r="R166" s="593">
        <f>SUM(O28:U28)</f>
        <v>0</v>
      </c>
      <c r="S166" s="593"/>
      <c r="T166" s="594" t="str">
        <f t="array" ref="T166">IF(ISERROR(R166/R173),"",R166/R173)</f>
        <v/>
      </c>
      <c r="U166" s="594"/>
      <c r="V166" s="591" t="s">
        <v>259</v>
      </c>
      <c r="W166" s="591"/>
      <c r="X166" s="595">
        <f>SUM(P27,P85,P120,P136,P147,P161)</f>
        <v>0</v>
      </c>
      <c r="Y166" s="595"/>
      <c r="Z166" s="594" t="str">
        <f t="array" ref="Z166">IF(ISERROR(X166/X173),"",X166/X173)</f>
        <v/>
      </c>
      <c r="AA166" s="594"/>
    </row>
    <row r="167" spans="1:27" ht="20.100000000000001" customHeight="1">
      <c r="A167" s="584"/>
      <c r="B167" s="485" t="s">
        <v>260</v>
      </c>
      <c r="C167" s="586">
        <v>1</v>
      </c>
      <c r="D167" s="587"/>
      <c r="E167" s="590">
        <f>C167*11</f>
        <v>11</v>
      </c>
      <c r="F167" s="590"/>
      <c r="G167" s="591">
        <v>1</v>
      </c>
      <c r="H167" s="591"/>
      <c r="I167" s="590">
        <f>G167*11</f>
        <v>11</v>
      </c>
      <c r="J167" s="590"/>
      <c r="K167" s="590">
        <f>E167-I167</f>
        <v>0</v>
      </c>
      <c r="L167" s="590"/>
      <c r="M167" s="592">
        <f>IF(ISERROR(K167/E167),"",K167/E167)</f>
        <v>0</v>
      </c>
      <c r="N167" s="592"/>
      <c r="O167" s="588"/>
      <c r="P167" s="591" t="s">
        <v>216</v>
      </c>
      <c r="Q167" s="591"/>
      <c r="R167" s="593">
        <f>SUM(O86:U86)</f>
        <v>0</v>
      </c>
      <c r="S167" s="593"/>
      <c r="T167" s="594" t="str">
        <f>IF(ISERROR(R167/R173),"",R167/R173)</f>
        <v/>
      </c>
      <c r="U167" s="594"/>
      <c r="V167" s="591" t="s">
        <v>261</v>
      </c>
      <c r="W167" s="591"/>
      <c r="X167" s="595">
        <f>SUM(P28,P86,P121,P137,P148,P163)</f>
        <v>0</v>
      </c>
      <c r="Y167" s="595"/>
      <c r="Z167" s="594" t="str">
        <f>IF(ISERROR(X167/X173),"",X167/X173)</f>
        <v/>
      </c>
      <c r="AA167" s="594"/>
    </row>
    <row r="168" spans="1:27" ht="20.100000000000001" customHeight="1">
      <c r="A168" s="584"/>
      <c r="B168" s="485" t="s">
        <v>262</v>
      </c>
      <c r="C168" s="586">
        <v>1</v>
      </c>
      <c r="D168" s="587"/>
      <c r="E168" s="590">
        <f>C168*8</f>
        <v>8</v>
      </c>
      <c r="F168" s="590"/>
      <c r="G168" s="591">
        <v>1</v>
      </c>
      <c r="H168" s="591"/>
      <c r="I168" s="590">
        <f>G168*8</f>
        <v>8</v>
      </c>
      <c r="J168" s="590"/>
      <c r="K168" s="590">
        <f>E168-I168</f>
        <v>0</v>
      </c>
      <c r="L168" s="590"/>
      <c r="M168" s="592">
        <f>IF(ISERROR(K168/E168),"",K168/E168)</f>
        <v>0</v>
      </c>
      <c r="N168" s="592"/>
      <c r="O168" s="588"/>
      <c r="P168" s="591" t="s">
        <v>224</v>
      </c>
      <c r="Q168" s="591"/>
      <c r="R168" s="593">
        <f>SUM(O121:U121)</f>
        <v>0</v>
      </c>
      <c r="S168" s="593"/>
      <c r="T168" s="594" t="str">
        <f>IF(ISERROR(R168/R173),"",R168/R173)</f>
        <v/>
      </c>
      <c r="U168" s="594"/>
      <c r="V168" s="591" t="s">
        <v>263</v>
      </c>
      <c r="W168" s="591"/>
      <c r="X168" s="595">
        <f>SUM(P29,P87,P122,P138,P149,P164)</f>
        <v>0</v>
      </c>
      <c r="Y168" s="595"/>
      <c r="Z168" s="594" t="str">
        <f>IF(ISERROR(X168/X173),"",X168/X173)</f>
        <v/>
      </c>
      <c r="AA168" s="594"/>
    </row>
    <row r="169" spans="1:27" ht="20.100000000000001" customHeight="1">
      <c r="A169" s="584"/>
      <c r="B169" s="485" t="s">
        <v>264</v>
      </c>
      <c r="C169" s="586">
        <v>1</v>
      </c>
      <c r="D169" s="587"/>
      <c r="E169" s="590">
        <f>C169*11</f>
        <v>11</v>
      </c>
      <c r="F169" s="590"/>
      <c r="G169" s="591">
        <v>1</v>
      </c>
      <c r="H169" s="591"/>
      <c r="I169" s="590">
        <f>G169*11</f>
        <v>11</v>
      </c>
      <c r="J169" s="590"/>
      <c r="K169" s="590">
        <f>E169-I169</f>
        <v>0</v>
      </c>
      <c r="L169" s="590"/>
      <c r="M169" s="592">
        <f>IF(ISERROR(K169/E169),"",K169/E169)</f>
        <v>0</v>
      </c>
      <c r="N169" s="592"/>
      <c r="O169" s="588"/>
      <c r="P169" s="591" t="s">
        <v>231</v>
      </c>
      <c r="Q169" s="591"/>
      <c r="R169" s="593">
        <f>SUM(O137:U137)</f>
        <v>0</v>
      </c>
      <c r="S169" s="593"/>
      <c r="T169" s="594" t="str">
        <f>IF(ISERROR(R169/R173),"",R169/R173)</f>
        <v/>
      </c>
      <c r="U169" s="594"/>
      <c r="V169" s="591" t="s">
        <v>265</v>
      </c>
      <c r="W169" s="591"/>
      <c r="X169" s="595">
        <f>SUM(P31,P88,P123,P139,P150,P165)</f>
        <v>0</v>
      </c>
      <c r="Y169" s="595"/>
      <c r="Z169" s="594" t="str">
        <f>IF(ISERROR(X169/X173),"",X169/X173)</f>
        <v/>
      </c>
      <c r="AA169" s="594"/>
    </row>
    <row r="170" spans="1:27" ht="20.100000000000001" customHeight="1">
      <c r="A170" s="585"/>
      <c r="B170" s="485" t="s">
        <v>266</v>
      </c>
      <c r="C170" s="596">
        <f>SUM(C166:D169)</f>
        <v>4</v>
      </c>
      <c r="D170" s="597"/>
      <c r="E170" s="590">
        <f>SUM(E166:F169)</f>
        <v>41</v>
      </c>
      <c r="F170" s="590"/>
      <c r="G170" s="591">
        <f>SUM(G166:H169)</f>
        <v>4</v>
      </c>
      <c r="H170" s="591"/>
      <c r="I170" s="590">
        <f>SUM(I166:J169)</f>
        <v>41</v>
      </c>
      <c r="J170" s="590"/>
      <c r="K170" s="590">
        <f>SUM(K166:L169)</f>
        <v>0</v>
      </c>
      <c r="L170" s="590"/>
      <c r="M170" s="592">
        <f>IF(ISERROR(K170/E170),"",K170/E170)</f>
        <v>0</v>
      </c>
      <c r="N170" s="592"/>
      <c r="O170" s="588"/>
      <c r="P170" s="591" t="s">
        <v>234</v>
      </c>
      <c r="Q170" s="591"/>
      <c r="R170" s="593">
        <f>SUM(O148:U148)</f>
        <v>0</v>
      </c>
      <c r="S170" s="593"/>
      <c r="T170" s="594" t="str">
        <f>IF(ISERROR(R170/R173),"",R170/R173)</f>
        <v/>
      </c>
      <c r="U170" s="594"/>
      <c r="V170" s="591" t="s">
        <v>267</v>
      </c>
      <c r="W170" s="591"/>
      <c r="X170" s="595">
        <f>SUM(P32,P89,P124,P140,P151,P166)</f>
        <v>0</v>
      </c>
      <c r="Y170" s="595"/>
      <c r="Z170" s="594" t="str">
        <f>IF(ISERROR(X170/X173),"",X170/X173)</f>
        <v/>
      </c>
      <c r="AA170" s="594"/>
    </row>
    <row r="171" spans="1:27" ht="20.100000000000001" customHeight="1">
      <c r="A171" s="307" t="s">
        <v>477</v>
      </c>
      <c r="B171" s="485">
        <f>G164</f>
        <v>6109</v>
      </c>
      <c r="C171" s="598" t="s">
        <v>269</v>
      </c>
      <c r="D171" s="599"/>
      <c r="E171" s="591">
        <f>H164</f>
        <v>31188.55</v>
      </c>
      <c r="F171" s="591"/>
      <c r="G171" s="591" t="s">
        <v>270</v>
      </c>
      <c r="H171" s="591"/>
      <c r="I171" s="600">
        <f>L164</f>
        <v>20.080767426189098</v>
      </c>
      <c r="J171" s="600"/>
      <c r="K171" s="588" t="s">
        <v>271</v>
      </c>
      <c r="L171" s="588"/>
      <c r="M171" s="600">
        <f>J164</f>
        <v>21.935368043087973</v>
      </c>
      <c r="N171" s="600"/>
      <c r="O171" s="588"/>
      <c r="P171" s="591" t="s">
        <v>244</v>
      </c>
      <c r="Q171" s="591"/>
      <c r="R171" s="593">
        <f>SUM(O163:U163)</f>
        <v>0</v>
      </c>
      <c r="S171" s="593"/>
      <c r="T171" s="594" t="str">
        <f>IF(ISERROR(R171/R173),"",R171/R173)</f>
        <v/>
      </c>
      <c r="U171" s="594"/>
      <c r="V171" s="591" t="s">
        <v>272</v>
      </c>
      <c r="W171" s="591"/>
      <c r="X171" s="595">
        <f>SUM(P33,P90,P125,P141,P152,P167)</f>
        <v>0</v>
      </c>
      <c r="Y171" s="595"/>
      <c r="Z171" s="594" t="str">
        <f>IF(ISERROR(X171/X173),"",X171/X173)</f>
        <v/>
      </c>
      <c r="AA171" s="594"/>
    </row>
    <row r="172" spans="1:27" ht="20.100000000000001" customHeight="1">
      <c r="A172" s="308" t="s">
        <v>478</v>
      </c>
      <c r="B172" s="485">
        <f>I164+C170</f>
        <v>282.5</v>
      </c>
      <c r="C172" s="601" t="s">
        <v>251</v>
      </c>
      <c r="D172" s="602"/>
      <c r="E172" s="603">
        <f>K164+I170</f>
        <v>345.22144086150388</v>
      </c>
      <c r="F172" s="603"/>
      <c r="G172" s="591" t="s">
        <v>274</v>
      </c>
      <c r="H172" s="591"/>
      <c r="I172" s="600">
        <f>B172-E172</f>
        <v>-62.721440861503879</v>
      </c>
      <c r="J172" s="600"/>
      <c r="K172" s="588" t="s">
        <v>275</v>
      </c>
      <c r="L172" s="588"/>
      <c r="M172" s="592">
        <f>IF(ISERROR(I172/E172),"",I172/E172)</f>
        <v>-0.18168466218373297</v>
      </c>
      <c r="N172" s="592"/>
      <c r="O172" s="588"/>
      <c r="P172" s="591" t="s">
        <v>245</v>
      </c>
      <c r="Q172" s="591"/>
      <c r="R172" s="593"/>
      <c r="S172" s="593"/>
      <c r="T172" s="594" t="str">
        <f>IF(ISERROR(R172/R173),"",R172/R173)</f>
        <v/>
      </c>
      <c r="U172" s="594"/>
      <c r="V172" s="591" t="s">
        <v>264</v>
      </c>
      <c r="W172" s="591"/>
      <c r="X172" s="595"/>
      <c r="Y172" s="595"/>
      <c r="Z172" s="594" t="str">
        <f>IF(ISERROR(X172/X173),"",X172/X173)</f>
        <v/>
      </c>
      <c r="AA172" s="594"/>
    </row>
    <row r="173" spans="1:27" ht="20.100000000000001" customHeight="1">
      <c r="A173" s="308" t="s">
        <v>479</v>
      </c>
      <c r="B173" s="485">
        <f>N164</f>
        <v>0</v>
      </c>
      <c r="C173" s="601" t="s">
        <v>277</v>
      </c>
      <c r="D173" s="602"/>
      <c r="E173" s="594">
        <f>IF(ISERROR(B173/B172),"",B173/B172)</f>
        <v>0</v>
      </c>
      <c r="F173" s="594"/>
      <c r="G173" s="591" t="s">
        <v>278</v>
      </c>
      <c r="H173" s="591"/>
      <c r="I173" s="588">
        <f>V164</f>
        <v>0</v>
      </c>
      <c r="J173" s="588"/>
      <c r="K173" s="588" t="s">
        <v>279</v>
      </c>
      <c r="L173" s="588"/>
      <c r="M173" s="592">
        <f t="array" ref="M173">IF(ISERROR(I173/B171),"",I173/B171)</f>
        <v>0</v>
      </c>
      <c r="N173" s="592"/>
      <c r="O173" s="588"/>
      <c r="P173" s="591" t="s">
        <v>266</v>
      </c>
      <c r="Q173" s="591"/>
      <c r="R173" s="593">
        <f>SUM(R166:S172)</f>
        <v>0</v>
      </c>
      <c r="S173" s="593"/>
      <c r="T173" s="594"/>
      <c r="U173" s="594"/>
      <c r="V173" s="591" t="s">
        <v>266</v>
      </c>
      <c r="W173" s="591"/>
      <c r="X173" s="595">
        <f>SUM(X166:Y172)</f>
        <v>0</v>
      </c>
      <c r="Y173" s="595"/>
      <c r="Z173" s="594"/>
      <c r="AA173" s="594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4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604" t="s">
        <v>480</v>
      </c>
      <c r="B175" s="607" t="s">
        <v>280</v>
      </c>
      <c r="C175" s="607" t="s">
        <v>281</v>
      </c>
      <c r="D175" s="607" t="s">
        <v>282</v>
      </c>
      <c r="E175" s="610" t="s">
        <v>283</v>
      </c>
      <c r="F175" s="623" t="s">
        <v>284</v>
      </c>
      <c r="G175" s="588" t="s">
        <v>285</v>
      </c>
      <c r="H175" s="588"/>
      <c r="I175" s="607" t="s">
        <v>286</v>
      </c>
      <c r="J175" s="613" t="s">
        <v>271</v>
      </c>
      <c r="K175" s="616" t="s">
        <v>287</v>
      </c>
      <c r="L175" s="607" t="s">
        <v>270</v>
      </c>
      <c r="M175" s="619" t="s">
        <v>288</v>
      </c>
      <c r="N175" s="621" t="s">
        <v>252</v>
      </c>
      <c r="O175" s="588" t="s">
        <v>289</v>
      </c>
      <c r="P175" s="588"/>
      <c r="Q175" s="588"/>
      <c r="R175" s="588"/>
      <c r="S175" s="588"/>
      <c r="T175" s="588"/>
      <c r="U175" s="588"/>
      <c r="V175" s="588" t="s">
        <v>290</v>
      </c>
      <c r="W175" s="621" t="s">
        <v>291</v>
      </c>
      <c r="X175" s="588" t="s">
        <v>292</v>
      </c>
      <c r="Y175" s="588"/>
      <c r="Z175" s="588"/>
      <c r="AA175" s="588"/>
    </row>
    <row r="176" spans="1:27" ht="21.95" customHeight="1">
      <c r="A176" s="605"/>
      <c r="B176" s="608"/>
      <c r="C176" s="608"/>
      <c r="D176" s="608"/>
      <c r="E176" s="611"/>
      <c r="F176" s="624"/>
      <c r="G176" s="588"/>
      <c r="H176" s="588"/>
      <c r="I176" s="608"/>
      <c r="J176" s="614"/>
      <c r="K176" s="617"/>
      <c r="L176" s="608"/>
      <c r="M176" s="620"/>
      <c r="N176" s="621"/>
      <c r="O176" s="588" t="s">
        <v>259</v>
      </c>
      <c r="P176" s="588" t="s">
        <v>261</v>
      </c>
      <c r="Q176" s="588" t="s">
        <v>263</v>
      </c>
      <c r="R176" s="622" t="s">
        <v>265</v>
      </c>
      <c r="S176" s="591" t="s">
        <v>267</v>
      </c>
      <c r="T176" s="588" t="s">
        <v>272</v>
      </c>
      <c r="U176" s="588" t="s">
        <v>264</v>
      </c>
      <c r="V176" s="588"/>
      <c r="W176" s="621"/>
      <c r="X176" s="588" t="s">
        <v>293</v>
      </c>
      <c r="Y176" s="588" t="s">
        <v>294</v>
      </c>
      <c r="Z176" s="588" t="s">
        <v>295</v>
      </c>
      <c r="AA176" s="588" t="s">
        <v>264</v>
      </c>
    </row>
    <row r="177" spans="1:27" ht="21.95" customHeight="1">
      <c r="A177" s="606"/>
      <c r="B177" s="609"/>
      <c r="C177" s="609"/>
      <c r="D177" s="609"/>
      <c r="E177" s="612"/>
      <c r="F177" s="625"/>
      <c r="G177" s="348" t="s">
        <v>545</v>
      </c>
      <c r="H177" s="478" t="s">
        <v>297</v>
      </c>
      <c r="I177" s="609"/>
      <c r="J177" s="615"/>
      <c r="K177" s="618"/>
      <c r="L177" s="609"/>
      <c r="M177" s="620"/>
      <c r="N177" s="621"/>
      <c r="O177" s="588"/>
      <c r="P177" s="588"/>
      <c r="Q177" s="588"/>
      <c r="R177" s="622"/>
      <c r="S177" s="591"/>
      <c r="T177" s="588"/>
      <c r="U177" s="588"/>
      <c r="V177" s="588"/>
      <c r="W177" s="621"/>
      <c r="X177" s="588"/>
      <c r="Y177" s="588"/>
      <c r="Z177" s="588"/>
      <c r="AA177" s="588"/>
    </row>
    <row r="178" spans="1:27" ht="20.100000000000001" hidden="1" customHeight="1">
      <c r="A178" s="299" t="s">
        <v>544</v>
      </c>
      <c r="B178" s="480" t="s">
        <v>178</v>
      </c>
      <c r="C178" s="126" t="s">
        <v>179</v>
      </c>
      <c r="D178" s="108">
        <v>5.03</v>
      </c>
      <c r="E178" s="108"/>
      <c r="F178" s="127"/>
      <c r="G178" s="128"/>
      <c r="H178" s="488">
        <f t="shared" ref="H178:H187" si="77">D178*G178</f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16</v>
      </c>
      <c r="M178" s="109">
        <f t="shared" ref="M178:M187" si="78">IF(ISERROR(I178-K178),"",I178-K178)</f>
        <v>0</v>
      </c>
      <c r="N178" s="130">
        <f>SUM(O178:U178)</f>
        <v>0</v>
      </c>
      <c r="O178" s="479"/>
      <c r="P178" s="479"/>
      <c r="Q178" s="479"/>
      <c r="R178" s="479"/>
      <c r="S178" s="479"/>
      <c r="T178" s="479"/>
      <c r="U178" s="479"/>
      <c r="V178" s="132">
        <f t="shared" ref="V178:V183" si="79">SUM(X178:AA178)</f>
        <v>0</v>
      </c>
      <c r="W178" s="133" t="str">
        <f t="shared" ref="W178:W183" si="80">IF(ISERROR(V178/G178),"",V178/G178)</f>
        <v/>
      </c>
      <c r="X178" s="132"/>
      <c r="Y178" s="132"/>
      <c r="Z178" s="132"/>
      <c r="AA178" s="132"/>
    </row>
    <row r="179" spans="1:27" ht="20.100000000000001" hidden="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28"/>
      <c r="H179" s="488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ref="N179:N187" si="81">SUM(O179:U179)</f>
        <v>0</v>
      </c>
      <c r="O179" s="479"/>
      <c r="P179" s="479"/>
      <c r="Q179" s="479"/>
      <c r="R179" s="479"/>
      <c r="S179" s="479"/>
      <c r="T179" s="479"/>
      <c r="U179" s="479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28"/>
      <c r="H180" s="488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479"/>
      <c r="P180" s="479"/>
      <c r="Q180" s="479"/>
      <c r="R180" s="479"/>
      <c r="S180" s="479"/>
      <c r="T180" s="479"/>
      <c r="U180" s="479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>
        <v>42744</v>
      </c>
      <c r="G181" s="128">
        <f>61+108*3</f>
        <v>385</v>
      </c>
      <c r="H181" s="488">
        <f t="shared" si="77"/>
        <v>1936.5500000000002</v>
      </c>
      <c r="I181" s="129">
        <f>7*4</f>
        <v>28</v>
      </c>
      <c r="J181" s="130">
        <f t="array" ref="J181">IF(ISERROR(G181/I181),"",G181/I181)</f>
        <v>13.75</v>
      </c>
      <c r="K181" s="131">
        <f t="array" ref="K181">IF(ISERROR(G181/L181),"",G181/L181)</f>
        <v>20.263157894736842</v>
      </c>
      <c r="L181" s="129">
        <v>19</v>
      </c>
      <c r="M181" s="109">
        <f t="shared" si="78"/>
        <v>7.7368421052631575</v>
      </c>
      <c r="N181" s="130">
        <f t="shared" si="81"/>
        <v>0</v>
      </c>
      <c r="O181" s="479"/>
      <c r="P181" s="479"/>
      <c r="Q181" s="479"/>
      <c r="R181" s="479"/>
      <c r="S181" s="479"/>
      <c r="T181" s="479"/>
      <c r="U181" s="479"/>
      <c r="V181" s="132">
        <f t="shared" si="79"/>
        <v>0</v>
      </c>
      <c r="W181" s="133">
        <f t="shared" si="80"/>
        <v>0</v>
      </c>
      <c r="X181" s="132"/>
      <c r="Y181" s="132"/>
      <c r="Z181" s="132"/>
      <c r="AA181" s="132"/>
    </row>
    <row r="182" spans="1:27" ht="20.100000000000001" hidden="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/>
      <c r="G182" s="128"/>
      <c r="H182" s="488">
        <f t="shared" si="77"/>
        <v>0</v>
      </c>
      <c r="I182" s="129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20</v>
      </c>
      <c r="M182" s="109">
        <f t="shared" si="78"/>
        <v>0</v>
      </c>
      <c r="N182" s="130">
        <f t="shared" si="81"/>
        <v>0</v>
      </c>
      <c r="O182" s="479"/>
      <c r="P182" s="479"/>
      <c r="Q182" s="479"/>
      <c r="R182" s="479"/>
      <c r="S182" s="479"/>
      <c r="T182" s="479"/>
      <c r="U182" s="479"/>
      <c r="V182" s="132">
        <f t="shared" si="79"/>
        <v>0</v>
      </c>
      <c r="W182" s="133" t="str">
        <f t="shared" si="80"/>
        <v/>
      </c>
      <c r="X182" s="132"/>
      <c r="Y182" s="132"/>
      <c r="Z182" s="132"/>
      <c r="AA182" s="132"/>
    </row>
    <row r="183" spans="1:27" ht="20.10000000000000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27">
        <v>42742</v>
      </c>
      <c r="G183" s="128">
        <v>28</v>
      </c>
      <c r="H183" s="488">
        <f t="shared" si="77"/>
        <v>141.12</v>
      </c>
      <c r="I183" s="138">
        <f>1*3</f>
        <v>3</v>
      </c>
      <c r="J183" s="130">
        <f t="array" ref="J183">IF(ISERROR(G183/I183),"",G183/I183)</f>
        <v>9.3333333333333339</v>
      </c>
      <c r="K183" s="131">
        <f t="array" ref="K183">IF(ISERROR(G183/L183),"",G183/L183)</f>
        <v>1.4736842105263157</v>
      </c>
      <c r="L183" s="129">
        <v>19</v>
      </c>
      <c r="M183" s="109">
        <f t="shared" si="78"/>
        <v>1.5263157894736843</v>
      </c>
      <c r="N183" s="130">
        <f t="shared" si="81"/>
        <v>0</v>
      </c>
      <c r="O183" s="479"/>
      <c r="P183" s="479"/>
      <c r="Q183" s="479"/>
      <c r="R183" s="479"/>
      <c r="S183" s="479"/>
      <c r="T183" s="479"/>
      <c r="U183" s="479"/>
      <c r="V183" s="132">
        <f t="shared" si="79"/>
        <v>0</v>
      </c>
      <c r="W183" s="133">
        <f t="shared" si="80"/>
        <v>0</v>
      </c>
      <c r="X183" s="132"/>
      <c r="Y183" s="132"/>
      <c r="Z183" s="132"/>
      <c r="AA183" s="132"/>
    </row>
    <row r="184" spans="1:27" ht="20.100000000000001" hidden="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/>
      <c r="G184" s="128"/>
      <c r="H184" s="488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479"/>
      <c r="P184" s="479"/>
      <c r="Q184" s="479"/>
      <c r="R184" s="479"/>
      <c r="S184" s="479"/>
      <c r="T184" s="479"/>
      <c r="U184" s="479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28"/>
      <c r="H185" s="488">
        <f t="shared" si="77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78"/>
        <v>0</v>
      </c>
      <c r="N185" s="130">
        <f t="shared" si="81"/>
        <v>0</v>
      </c>
      <c r="O185" s="479"/>
      <c r="P185" s="479"/>
      <c r="Q185" s="479"/>
      <c r="R185" s="479"/>
      <c r="S185" s="479"/>
      <c r="T185" s="479"/>
      <c r="U185" s="479"/>
      <c r="V185" s="132"/>
      <c r="W185" s="133"/>
      <c r="X185" s="132"/>
      <c r="Y185" s="132"/>
      <c r="Z185" s="132"/>
      <c r="AA185" s="132"/>
    </row>
    <row r="186" spans="1:27" ht="20.100000000000001" hidden="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/>
      <c r="G186" s="128"/>
      <c r="H186" s="488">
        <f t="shared" si="77"/>
        <v>0</v>
      </c>
      <c r="I186" s="488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479"/>
      <c r="P186" s="479"/>
      <c r="Q186" s="479"/>
      <c r="R186" s="479"/>
      <c r="S186" s="479"/>
      <c r="T186" s="479"/>
      <c r="U186" s="479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/>
      <c r="G187" s="128"/>
      <c r="H187" s="488">
        <f t="shared" si="77"/>
        <v>0</v>
      </c>
      <c r="I187" s="488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 t="shared" si="78"/>
        <v>0</v>
      </c>
      <c r="N187" s="130">
        <f t="shared" si="81"/>
        <v>0</v>
      </c>
      <c r="O187" s="479"/>
      <c r="P187" s="479"/>
      <c r="Q187" s="479"/>
      <c r="R187" s="479"/>
      <c r="S187" s="479"/>
      <c r="T187" s="479"/>
      <c r="U187" s="479"/>
      <c r="V187" s="132">
        <f>SUM(X187:AA187)</f>
        <v>0</v>
      </c>
      <c r="W187" s="133" t="str">
        <f>IF(ISERROR(V187/G187),"",V187/G187)</f>
        <v/>
      </c>
      <c r="X187" s="132"/>
      <c r="Y187" s="132"/>
      <c r="Z187" s="132"/>
      <c r="AA187" s="132"/>
    </row>
    <row r="188" spans="1:27" ht="20.100000000000001" hidden="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28"/>
      <c r="H188" s="488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479"/>
      <c r="P188" s="479"/>
      <c r="Q188" s="479"/>
      <c r="R188" s="479"/>
      <c r="S188" s="479"/>
      <c r="T188" s="479"/>
      <c r="U188" s="479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28"/>
      <c r="H189" s="488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479"/>
      <c r="P189" s="479"/>
      <c r="Q189" s="479"/>
      <c r="R189" s="479"/>
      <c r="S189" s="479"/>
      <c r="T189" s="479"/>
      <c r="U189" s="479"/>
      <c r="V189" s="132"/>
      <c r="W189" s="133"/>
      <c r="X189" s="132"/>
      <c r="Y189" s="132"/>
      <c r="Z189" s="132"/>
      <c r="AA189" s="132"/>
    </row>
    <row r="190" spans="1:27" ht="20.100000000000001" hidden="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E190" s="108"/>
      <c r="F190" s="127"/>
      <c r="G190" s="128"/>
      <c r="H190" s="488">
        <f t="shared" ref="H190:H198" si="82">D190*G190</f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19</v>
      </c>
      <c r="M190" s="109">
        <f t="shared" ref="M190:M198" si="83">IF(ISERROR(I190-K190),"",I190-K190)</f>
        <v>0</v>
      </c>
      <c r="N190" s="130">
        <f t="shared" ref="N190:N192" si="84">SUM(O190:U190)</f>
        <v>0</v>
      </c>
      <c r="O190" s="479"/>
      <c r="P190" s="479"/>
      <c r="Q190" s="479"/>
      <c r="R190" s="479"/>
      <c r="S190" s="479"/>
      <c r="T190" s="479"/>
      <c r="U190" s="479"/>
      <c r="V190" s="132">
        <f t="shared" ref="V190:V192" si="85">SUM(X190:AA190)</f>
        <v>0</v>
      </c>
      <c r="W190" s="133" t="str">
        <f t="shared" ref="W190:W192" si="86">IF(ISERROR(V190/G190),"",V190/G190)</f>
        <v/>
      </c>
      <c r="X190" s="132"/>
      <c r="Y190" s="132"/>
      <c r="Z190" s="132"/>
      <c r="AA190" s="132"/>
    </row>
    <row r="191" spans="1:27" ht="20.100000000000001" hidden="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27"/>
      <c r="G191" s="128"/>
      <c r="H191" s="488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479"/>
      <c r="P191" s="479"/>
      <c r="Q191" s="479"/>
      <c r="R191" s="479"/>
      <c r="S191" s="479"/>
      <c r="T191" s="479"/>
      <c r="U191" s="479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hidden="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/>
      <c r="G192" s="128"/>
      <c r="H192" s="488">
        <f t="shared" si="82"/>
        <v>0</v>
      </c>
      <c r="I192" s="129"/>
      <c r="J192" s="130" t="str">
        <f t="array" ref="J192">IF(ISERROR(G192/I192),"",G192/I192)</f>
        <v/>
      </c>
      <c r="K192" s="131">
        <f t="array" ref="K192">IF(ISERROR(G192/L192),"",G192/L192)</f>
        <v>0</v>
      </c>
      <c r="L192" s="129">
        <v>23</v>
      </c>
      <c r="M192" s="109">
        <f t="shared" si="83"/>
        <v>0</v>
      </c>
      <c r="N192" s="130">
        <f t="shared" si="84"/>
        <v>0</v>
      </c>
      <c r="O192" s="479"/>
      <c r="P192" s="479"/>
      <c r="Q192" s="479"/>
      <c r="R192" s="479"/>
      <c r="S192" s="479"/>
      <c r="T192" s="479"/>
      <c r="U192" s="479"/>
      <c r="V192" s="132">
        <f t="shared" si="85"/>
        <v>0</v>
      </c>
      <c r="W192" s="133" t="str">
        <f t="shared" si="86"/>
        <v/>
      </c>
      <c r="X192" s="132"/>
      <c r="Y192" s="132"/>
      <c r="Z192" s="132"/>
      <c r="AA192" s="132"/>
    </row>
    <row r="193" spans="1:27" ht="20.100000000000001" hidden="1" customHeight="1">
      <c r="A193" s="300">
        <v>30100003</v>
      </c>
      <c r="B193" s="141" t="s">
        <v>198</v>
      </c>
      <c r="C193" s="478" t="s">
        <v>190</v>
      </c>
      <c r="D193" s="108">
        <v>4.8</v>
      </c>
      <c r="E193" s="108"/>
      <c r="F193" s="127"/>
      <c r="G193" s="128"/>
      <c r="H193" s="488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479"/>
      <c r="P193" s="479"/>
      <c r="Q193" s="479"/>
      <c r="R193" s="479"/>
      <c r="S193" s="479"/>
      <c r="T193" s="479"/>
      <c r="U193" s="479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30100004</v>
      </c>
      <c r="B194" s="141" t="s">
        <v>198</v>
      </c>
      <c r="C194" s="478" t="s">
        <v>187</v>
      </c>
      <c r="D194" s="108">
        <v>4.8</v>
      </c>
      <c r="E194" s="108"/>
      <c r="F194" s="127"/>
      <c r="G194" s="128"/>
      <c r="H194" s="488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479"/>
      <c r="P194" s="479"/>
      <c r="Q194" s="479"/>
      <c r="R194" s="479"/>
      <c r="S194" s="479"/>
      <c r="T194" s="479"/>
      <c r="U194" s="479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30100006</v>
      </c>
      <c r="B195" s="141" t="s">
        <v>198</v>
      </c>
      <c r="C195" s="478" t="s">
        <v>179</v>
      </c>
      <c r="D195" s="108">
        <v>4.8</v>
      </c>
      <c r="E195" s="108"/>
      <c r="F195" s="127"/>
      <c r="G195" s="128"/>
      <c r="H195" s="488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479"/>
      <c r="P195" s="479"/>
      <c r="Q195" s="479"/>
      <c r="R195" s="479"/>
      <c r="S195" s="479"/>
      <c r="T195" s="479"/>
      <c r="U195" s="479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30100005</v>
      </c>
      <c r="B196" s="141" t="s">
        <v>198</v>
      </c>
      <c r="C196" s="478" t="s">
        <v>199</v>
      </c>
      <c r="D196" s="108">
        <v>4.8</v>
      </c>
      <c r="E196" s="108"/>
      <c r="F196" s="127"/>
      <c r="G196" s="128"/>
      <c r="H196" s="488">
        <f t="shared" si="82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3"/>
        <v>0</v>
      </c>
      <c r="N196" s="130"/>
      <c r="O196" s="479"/>
      <c r="P196" s="479"/>
      <c r="Q196" s="479"/>
      <c r="R196" s="479"/>
      <c r="S196" s="479"/>
      <c r="T196" s="479"/>
      <c r="U196" s="479"/>
      <c r="V196" s="132"/>
      <c r="W196" s="133"/>
      <c r="X196" s="132"/>
      <c r="Y196" s="132"/>
      <c r="Z196" s="132"/>
      <c r="AA196" s="132"/>
    </row>
    <row r="197" spans="1:27" ht="20.100000000000001" hidden="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/>
      <c r="G197" s="128"/>
      <c r="H197" s="488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ref="N197:N198" si="87">SUM(O197:U197)</f>
        <v>0</v>
      </c>
      <c r="O197" s="479"/>
      <c r="P197" s="479"/>
      <c r="Q197" s="479"/>
      <c r="R197" s="479"/>
      <c r="S197" s="479"/>
      <c r="T197" s="479"/>
      <c r="U197" s="479"/>
      <c r="V197" s="132">
        <f t="shared" ref="V197:V198" si="88">SUM(X197:AA197)</f>
        <v>0</v>
      </c>
      <c r="W197" s="133" t="str">
        <f t="shared" ref="W197:W198" si="89">IF(ISERROR(V197/G197),"",V197/G197)</f>
        <v/>
      </c>
      <c r="X197" s="132"/>
      <c r="Y197" s="132"/>
      <c r="Z197" s="132"/>
      <c r="AA197" s="132"/>
    </row>
    <row r="198" spans="1:27" ht="20.100000000000001" hidden="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42"/>
      <c r="G198" s="128"/>
      <c r="H198" s="488">
        <f t="shared" si="82"/>
        <v>0</v>
      </c>
      <c r="I198" s="129"/>
      <c r="J198" s="130" t="str">
        <f t="array" ref="J198">IF(ISERROR(G198/I198),"",G198/I198)</f>
        <v/>
      </c>
      <c r="K198" s="131">
        <f t="array" ref="K198">IF(ISERROR(G198/L198),"",G198/L198)</f>
        <v>0</v>
      </c>
      <c r="L198" s="129">
        <v>23.5</v>
      </c>
      <c r="M198" s="109">
        <f t="shared" si="83"/>
        <v>0</v>
      </c>
      <c r="N198" s="130">
        <f t="shared" si="87"/>
        <v>0</v>
      </c>
      <c r="O198" s="479"/>
      <c r="P198" s="479"/>
      <c r="Q198" s="479"/>
      <c r="R198" s="479"/>
      <c r="S198" s="479"/>
      <c r="T198" s="479"/>
      <c r="U198" s="479"/>
      <c r="V198" s="132">
        <f t="shared" si="88"/>
        <v>0</v>
      </c>
      <c r="W198" s="133" t="str">
        <f t="shared" si="89"/>
        <v/>
      </c>
      <c r="X198" s="132"/>
      <c r="Y198" s="132"/>
      <c r="Z198" s="132"/>
      <c r="AA198" s="132"/>
    </row>
    <row r="199" spans="1:27" ht="20.100000000000001" customHeight="1">
      <c r="A199" s="578" t="s">
        <v>201</v>
      </c>
      <c r="B199" s="579"/>
      <c r="C199" s="486" t="s">
        <v>202</v>
      </c>
      <c r="D199" s="143"/>
      <c r="E199" s="143"/>
      <c r="F199" s="144"/>
      <c r="G199" s="145">
        <f>SUM(G178:G198)</f>
        <v>413</v>
      </c>
      <c r="H199" s="146">
        <f>SUM(H178:H198)</f>
        <v>2077.67</v>
      </c>
      <c r="I199" s="146">
        <f>SUM(I178:I198)</f>
        <v>31</v>
      </c>
      <c r="J199" s="130">
        <f t="array" ref="J199">IF(ISERROR(G199/I199),"",G199/I199)</f>
        <v>13.32258064516129</v>
      </c>
      <c r="K199" s="146">
        <f>SUM(K178:K198)</f>
        <v>21.736842105263158</v>
      </c>
      <c r="L199" s="147"/>
      <c r="M199" s="150">
        <f t="shared" ref="M199:AA199" si="90">SUM(M178:M198)</f>
        <v>9.2631578947368425</v>
      </c>
      <c r="N199" s="146">
        <f t="shared" si="90"/>
        <v>0</v>
      </c>
      <c r="O199" s="148">
        <f t="shared" si="90"/>
        <v>0</v>
      </c>
      <c r="P199" s="148">
        <f t="shared" si="90"/>
        <v>0</v>
      </c>
      <c r="Q199" s="148">
        <f t="shared" si="90"/>
        <v>0</v>
      </c>
      <c r="R199" s="148">
        <f t="shared" si="90"/>
        <v>0</v>
      </c>
      <c r="S199" s="148">
        <f t="shared" si="90"/>
        <v>0</v>
      </c>
      <c r="T199" s="148">
        <f t="shared" si="90"/>
        <v>0</v>
      </c>
      <c r="U199" s="148">
        <f t="shared" si="90"/>
        <v>0</v>
      </c>
      <c r="V199" s="149">
        <f t="shared" si="90"/>
        <v>0</v>
      </c>
      <c r="W199" s="133">
        <f t="shared" si="90"/>
        <v>0</v>
      </c>
      <c r="X199" s="149">
        <f t="shared" si="90"/>
        <v>0</v>
      </c>
      <c r="Y199" s="149">
        <f t="shared" si="90"/>
        <v>0</v>
      </c>
      <c r="Z199" s="149">
        <f t="shared" si="90"/>
        <v>0</v>
      </c>
      <c r="AA199" s="149">
        <f t="shared" si="90"/>
        <v>0</v>
      </c>
    </row>
    <row r="200" spans="1:27" ht="20.100000000000001" hidden="1" customHeight="1">
      <c r="A200" s="300">
        <v>30100012</v>
      </c>
      <c r="B200" s="480" t="s">
        <v>206</v>
      </c>
      <c r="C200" s="126" t="s">
        <v>199</v>
      </c>
      <c r="D200" s="108">
        <v>5.03</v>
      </c>
      <c r="E200" s="108"/>
      <c r="F200" s="127"/>
      <c r="G200" s="128"/>
      <c r="H200" s="488">
        <f t="shared" ref="H200:H256" si="91">D200*G200</f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 t="shared" ref="M200" si="92">IF(ISERROR(I200-K200),"",I200-K200)</f>
        <v>0</v>
      </c>
      <c r="N200" s="130">
        <f t="shared" ref="N200" si="93">SUM(O200:U200)</f>
        <v>0</v>
      </c>
      <c r="O200" s="483"/>
      <c r="P200" s="483"/>
      <c r="Q200" s="483"/>
      <c r="R200" s="483"/>
      <c r="S200" s="483"/>
      <c r="T200" s="483"/>
      <c r="U200" s="483"/>
      <c r="V200" s="132">
        <f t="shared" ref="V200" si="94">SUM(X200:AA200)</f>
        <v>0</v>
      </c>
      <c r="W200" s="133" t="str">
        <f t="shared" ref="W200" si="95">IF(ISERROR(V200/G200),"",V200/G200)</f>
        <v/>
      </c>
      <c r="X200" s="132"/>
      <c r="Y200" s="132"/>
      <c r="Z200" s="132"/>
      <c r="AA200" s="132"/>
    </row>
    <row r="201" spans="1:27" ht="20.100000000000001" hidden="1" customHeight="1">
      <c r="A201" s="300">
        <v>30100011</v>
      </c>
      <c r="B201" s="480" t="s">
        <v>425</v>
      </c>
      <c r="C201" s="187" t="s">
        <v>427</v>
      </c>
      <c r="D201" s="108">
        <v>5.03</v>
      </c>
      <c r="E201" s="108"/>
      <c r="F201" s="127"/>
      <c r="G201" s="128"/>
      <c r="H201" s="488">
        <f t="shared" si="91"/>
        <v>0</v>
      </c>
      <c r="I201" s="129"/>
      <c r="J201" s="130"/>
      <c r="K201" s="131"/>
      <c r="L201" s="129">
        <v>52</v>
      </c>
      <c r="M201" s="109"/>
      <c r="N201" s="130"/>
      <c r="O201" s="483"/>
      <c r="P201" s="483"/>
      <c r="Q201" s="483"/>
      <c r="R201" s="483"/>
      <c r="S201" s="483"/>
      <c r="T201" s="483"/>
      <c r="U201" s="483"/>
      <c r="V201" s="132"/>
      <c r="W201" s="133"/>
      <c r="X201" s="132"/>
      <c r="Y201" s="132"/>
      <c r="Z201" s="132"/>
      <c r="AA201" s="132"/>
    </row>
    <row r="202" spans="1:27" ht="20.100000000000001" customHeight="1">
      <c r="A202" s="300">
        <v>30100010</v>
      </c>
      <c r="B202" s="480" t="s">
        <v>206</v>
      </c>
      <c r="C202" s="126" t="s">
        <v>186</v>
      </c>
      <c r="D202" s="108">
        <v>5.03</v>
      </c>
      <c r="E202" s="108"/>
      <c r="F202" s="127">
        <v>42739</v>
      </c>
      <c r="G202" s="128">
        <f>3+40+68+1+108*3+24-108</f>
        <v>352</v>
      </c>
      <c r="H202" s="488">
        <f t="shared" si="91"/>
        <v>1770.5600000000002</v>
      </c>
      <c r="I202" s="129">
        <f>2.5*2</f>
        <v>5</v>
      </c>
      <c r="J202" s="130">
        <f t="array" ref="J202">IF(ISERROR(G202/I202),"",G202/I202)</f>
        <v>70.400000000000006</v>
      </c>
      <c r="K202" s="131">
        <f t="array" ref="K202">IF(ISERROR(G202/L202),"",G202/L202)</f>
        <v>6.7692307692307692</v>
      </c>
      <c r="L202" s="129">
        <v>52</v>
      </c>
      <c r="M202" s="109">
        <f t="shared" ref="M202" si="96">IF(ISERROR(I202-K202),"",I202-K202)</f>
        <v>-1.7692307692307692</v>
      </c>
      <c r="N202" s="130">
        <f t="shared" ref="N202:N204" si="97">SUM(O202:U202)</f>
        <v>0</v>
      </c>
      <c r="O202" s="483"/>
      <c r="P202" s="483"/>
      <c r="Q202" s="483"/>
      <c r="R202" s="483"/>
      <c r="S202" s="483"/>
      <c r="T202" s="483"/>
      <c r="U202" s="483"/>
      <c r="V202" s="132">
        <f t="shared" ref="V202:V204" si="98">SUM(X202:AA202)</f>
        <v>0</v>
      </c>
      <c r="W202" s="133">
        <f t="shared" ref="W202:W204" si="99">IF(ISERROR(V202/G202),"",V202/G202)</f>
        <v>0</v>
      </c>
      <c r="X202" s="132"/>
      <c r="Y202" s="132"/>
      <c r="Z202" s="132"/>
      <c r="AA202" s="132"/>
    </row>
    <row r="203" spans="1:27" ht="20.100000000000001" hidden="1" customHeight="1">
      <c r="A203" s="300">
        <v>30100014</v>
      </c>
      <c r="B203" s="480" t="s">
        <v>206</v>
      </c>
      <c r="C203" s="126" t="s">
        <v>203</v>
      </c>
      <c r="D203" s="108">
        <v>5.03</v>
      </c>
      <c r="E203" s="108"/>
      <c r="F203" s="127"/>
      <c r="G203" s="128"/>
      <c r="H203" s="488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>IF(ISERROR(I203-K203),"",I203-K203)</f>
        <v>0</v>
      </c>
      <c r="N203" s="130">
        <f t="shared" si="97"/>
        <v>0</v>
      </c>
      <c r="O203" s="483"/>
      <c r="P203" s="483"/>
      <c r="Q203" s="483"/>
      <c r="R203" s="483"/>
      <c r="S203" s="483"/>
      <c r="T203" s="483"/>
      <c r="U203" s="483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customHeight="1">
      <c r="A204" s="300">
        <v>30100013</v>
      </c>
      <c r="B204" s="480" t="s">
        <v>206</v>
      </c>
      <c r="C204" s="126" t="s">
        <v>207</v>
      </c>
      <c r="D204" s="108">
        <v>5.03</v>
      </c>
      <c r="E204" s="108"/>
      <c r="F204" s="127">
        <v>42743</v>
      </c>
      <c r="G204" s="128">
        <f>108*5+108*7</f>
        <v>1296</v>
      </c>
      <c r="H204" s="488">
        <f t="shared" si="91"/>
        <v>6518.88</v>
      </c>
      <c r="I204" s="129">
        <f>9*2</f>
        <v>18</v>
      </c>
      <c r="J204" s="130">
        <f t="array" ref="J204">IF(ISERROR(G204/I204),"",G204/I204)</f>
        <v>72</v>
      </c>
      <c r="K204" s="131">
        <f t="array" ref="K204">IF(ISERROR(G204/L204),"",G204/L204)</f>
        <v>24.923076923076923</v>
      </c>
      <c r="L204" s="129">
        <v>52</v>
      </c>
      <c r="M204" s="109">
        <f t="shared" ref="M204" si="100">IF(ISERROR(I204-K204),"",I204-K204)</f>
        <v>-6.9230769230769234</v>
      </c>
      <c r="N204" s="130">
        <f t="shared" si="97"/>
        <v>0</v>
      </c>
      <c r="O204" s="483"/>
      <c r="P204" s="483"/>
      <c r="Q204" s="483"/>
      <c r="R204" s="483"/>
      <c r="S204" s="483"/>
      <c r="T204" s="483"/>
      <c r="U204" s="483"/>
      <c r="V204" s="132">
        <f t="shared" si="98"/>
        <v>0</v>
      </c>
      <c r="W204" s="133">
        <f t="shared" si="99"/>
        <v>0</v>
      </c>
      <c r="X204" s="132"/>
      <c r="Y204" s="132"/>
      <c r="Z204" s="132"/>
      <c r="AA204" s="132"/>
    </row>
    <row r="205" spans="1:27" ht="20.100000000000001" hidden="1" customHeight="1">
      <c r="A205" s="300">
        <v>30100016</v>
      </c>
      <c r="B205" s="480" t="s">
        <v>414</v>
      </c>
      <c r="C205" s="187" t="s">
        <v>415</v>
      </c>
      <c r="D205" s="108">
        <v>5.03</v>
      </c>
      <c r="E205" s="108"/>
      <c r="F205" s="127"/>
      <c r="G205" s="128"/>
      <c r="H205" s="488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483"/>
      <c r="P205" s="483"/>
      <c r="Q205" s="483"/>
      <c r="R205" s="483"/>
      <c r="S205" s="483"/>
      <c r="T205" s="483"/>
      <c r="U205" s="483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30100017</v>
      </c>
      <c r="B206" s="480" t="s">
        <v>414</v>
      </c>
      <c r="C206" s="187" t="s">
        <v>416</v>
      </c>
      <c r="D206" s="108">
        <v>5.03</v>
      </c>
      <c r="E206" s="108"/>
      <c r="F206" s="127"/>
      <c r="G206" s="128"/>
      <c r="H206" s="488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483"/>
      <c r="P206" s="483"/>
      <c r="Q206" s="483"/>
      <c r="R206" s="483"/>
      <c r="S206" s="483"/>
      <c r="T206" s="483"/>
      <c r="U206" s="483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30100015</v>
      </c>
      <c r="B207" s="480" t="s">
        <v>414</v>
      </c>
      <c r="C207" s="187" t="s">
        <v>61</v>
      </c>
      <c r="D207" s="108">
        <v>5.03</v>
      </c>
      <c r="E207" s="108"/>
      <c r="F207" s="127"/>
      <c r="G207" s="128"/>
      <c r="H207" s="488">
        <f t="shared" si="91"/>
        <v>0</v>
      </c>
      <c r="I207" s="129"/>
      <c r="J207" s="130"/>
      <c r="K207" s="131"/>
      <c r="L207" s="129">
        <v>52</v>
      </c>
      <c r="M207" s="109"/>
      <c r="N207" s="130"/>
      <c r="O207" s="483"/>
      <c r="P207" s="483"/>
      <c r="Q207" s="483"/>
      <c r="R207" s="483"/>
      <c r="S207" s="483"/>
      <c r="T207" s="483"/>
      <c r="U207" s="483"/>
      <c r="V207" s="132"/>
      <c r="W207" s="133"/>
      <c r="X207" s="132"/>
      <c r="Y207" s="132"/>
      <c r="Z207" s="132"/>
      <c r="AA207" s="132"/>
    </row>
    <row r="208" spans="1:27" ht="20.100000000000001" hidden="1" customHeight="1">
      <c r="A208" s="300">
        <v>30100027</v>
      </c>
      <c r="B208" s="480" t="s">
        <v>208</v>
      </c>
      <c r="C208" s="126" t="s">
        <v>179</v>
      </c>
      <c r="D208" s="108">
        <v>5.08</v>
      </c>
      <c r="E208" s="108"/>
      <c r="F208" s="127"/>
      <c r="G208" s="128"/>
      <c r="H208" s="488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ref="M208:M237" si="101">IF(ISERROR(I208-K208),"",I208-K208)</f>
        <v>0</v>
      </c>
      <c r="N208" s="130">
        <f t="shared" ref="N208:N237" si="102">SUM(O208:U208)</f>
        <v>0</v>
      </c>
      <c r="O208" s="483"/>
      <c r="P208" s="483"/>
      <c r="Q208" s="483"/>
      <c r="R208" s="483"/>
      <c r="S208" s="483"/>
      <c r="T208" s="483"/>
      <c r="U208" s="483"/>
      <c r="V208" s="132">
        <f t="shared" ref="V208:V219" si="103">SUM(X208:AA208)</f>
        <v>0</v>
      </c>
      <c r="W208" s="133" t="str">
        <f t="shared" ref="W208:W219" si="104">IF(ISERROR(V208/G208),"",V208/G208)</f>
        <v/>
      </c>
      <c r="X208" s="132"/>
      <c r="Y208" s="132"/>
      <c r="Z208" s="132"/>
      <c r="AA208" s="132"/>
    </row>
    <row r="209" spans="1:27" ht="20.100000000000001" hidden="1" customHeight="1">
      <c r="A209" s="300">
        <v>30100023</v>
      </c>
      <c r="B209" s="480" t="s">
        <v>208</v>
      </c>
      <c r="C209" s="126" t="s">
        <v>204</v>
      </c>
      <c r="D209" s="108">
        <v>5.08</v>
      </c>
      <c r="E209" s="108"/>
      <c r="F209" s="127"/>
      <c r="G209" s="128"/>
      <c r="H209" s="488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483"/>
      <c r="P209" s="483"/>
      <c r="Q209" s="483"/>
      <c r="R209" s="483"/>
      <c r="S209" s="483"/>
      <c r="T209" s="483"/>
      <c r="U209" s="483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30100024</v>
      </c>
      <c r="B210" s="480" t="s">
        <v>208</v>
      </c>
      <c r="C210" s="126" t="s">
        <v>205</v>
      </c>
      <c r="D210" s="108">
        <v>5.08</v>
      </c>
      <c r="E210" s="108"/>
      <c r="F210" s="127"/>
      <c r="G210" s="128"/>
      <c r="H210" s="488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483"/>
      <c r="P210" s="483"/>
      <c r="Q210" s="483"/>
      <c r="R210" s="483"/>
      <c r="S210" s="483"/>
      <c r="T210" s="483"/>
      <c r="U210" s="483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30100022</v>
      </c>
      <c r="B211" s="480" t="s">
        <v>208</v>
      </c>
      <c r="C211" s="126" t="s">
        <v>186</v>
      </c>
      <c r="D211" s="108">
        <v>5.08</v>
      </c>
      <c r="E211" s="108"/>
      <c r="F211" s="127"/>
      <c r="G211" s="128"/>
      <c r="H211" s="488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483"/>
      <c r="P211" s="483"/>
      <c r="Q211" s="483"/>
      <c r="R211" s="483"/>
      <c r="S211" s="483"/>
      <c r="T211" s="483"/>
      <c r="U211" s="483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30100029</v>
      </c>
      <c r="B212" s="480" t="s">
        <v>208</v>
      </c>
      <c r="C212" s="126" t="s">
        <v>203</v>
      </c>
      <c r="D212" s="108">
        <v>5.08</v>
      </c>
      <c r="E212" s="108"/>
      <c r="F212" s="127"/>
      <c r="G212" s="128"/>
      <c r="H212" s="488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483"/>
      <c r="P212" s="483"/>
      <c r="Q212" s="483"/>
      <c r="R212" s="483"/>
      <c r="S212" s="483"/>
      <c r="T212" s="483"/>
      <c r="U212" s="483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customHeight="1">
      <c r="A213" s="300">
        <v>30100026</v>
      </c>
      <c r="B213" s="480" t="s">
        <v>208</v>
      </c>
      <c r="C213" s="126" t="s">
        <v>199</v>
      </c>
      <c r="D213" s="108">
        <v>5.08</v>
      </c>
      <c r="E213" s="108"/>
      <c r="F213" s="127">
        <v>42744</v>
      </c>
      <c r="G213" s="128">
        <f>48+108</f>
        <v>156</v>
      </c>
      <c r="H213" s="488">
        <f t="shared" si="91"/>
        <v>792.48</v>
      </c>
      <c r="I213" s="129">
        <f>2.5*4</f>
        <v>10</v>
      </c>
      <c r="J213" s="130">
        <f t="array" ref="J213">IF(ISERROR(G213/I213),"",G213/I213)</f>
        <v>15.6</v>
      </c>
      <c r="K213" s="131">
        <f t="array" ref="K213">IF(ISERROR(G213/L213),"",G213/L213)</f>
        <v>7.4285714285714288</v>
      </c>
      <c r="L213" s="129">
        <v>21</v>
      </c>
      <c r="M213" s="109">
        <f t="shared" si="101"/>
        <v>2.5714285714285712</v>
      </c>
      <c r="N213" s="130">
        <f t="shared" si="102"/>
        <v>0</v>
      </c>
      <c r="O213" s="479"/>
      <c r="P213" s="479"/>
      <c r="Q213" s="479"/>
      <c r="R213" s="479"/>
      <c r="S213" s="479"/>
      <c r="T213" s="479"/>
      <c r="U213" s="479"/>
      <c r="V213" s="132">
        <f t="shared" si="103"/>
        <v>0</v>
      </c>
      <c r="W213" s="133">
        <f t="shared" si="104"/>
        <v>0</v>
      </c>
      <c r="X213" s="132"/>
      <c r="Y213" s="132"/>
      <c r="Z213" s="132"/>
      <c r="AA213" s="132"/>
    </row>
    <row r="214" spans="1:27" ht="20.100000000000001" hidden="1" customHeight="1">
      <c r="A214" s="300">
        <v>30100025</v>
      </c>
      <c r="B214" s="480" t="s">
        <v>208</v>
      </c>
      <c r="C214" s="126" t="s">
        <v>187</v>
      </c>
      <c r="D214" s="108">
        <v>5.08</v>
      </c>
      <c r="E214" s="108"/>
      <c r="F214" s="127"/>
      <c r="G214" s="128"/>
      <c r="H214" s="488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483"/>
      <c r="P214" s="483"/>
      <c r="Q214" s="483"/>
      <c r="R214" s="483"/>
      <c r="S214" s="483"/>
      <c r="T214" s="483"/>
      <c r="U214" s="483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customHeight="1">
      <c r="A215" s="300">
        <v>30100028</v>
      </c>
      <c r="B215" s="480" t="s">
        <v>208</v>
      </c>
      <c r="C215" s="126" t="s">
        <v>207</v>
      </c>
      <c r="D215" s="108">
        <v>5.08</v>
      </c>
      <c r="E215" s="108"/>
      <c r="F215" s="127">
        <v>42742</v>
      </c>
      <c r="G215" s="128">
        <f>26+108*5+58</f>
        <v>624</v>
      </c>
      <c r="H215" s="488">
        <f t="shared" si="91"/>
        <v>3169.92</v>
      </c>
      <c r="I215" s="129">
        <f>9*4</f>
        <v>36</v>
      </c>
      <c r="J215" s="130">
        <f t="array" ref="J215">IF(ISERROR(G215/I215),"",G215/I215)</f>
        <v>17.333333333333332</v>
      </c>
      <c r="K215" s="131">
        <f t="array" ref="K215">IF(ISERROR(G215/L215),"",G215/L215)</f>
        <v>29.714285714285715</v>
      </c>
      <c r="L215" s="129">
        <v>21</v>
      </c>
      <c r="M215" s="109">
        <f t="shared" si="101"/>
        <v>6.2857142857142847</v>
      </c>
      <c r="N215" s="130">
        <f t="shared" si="102"/>
        <v>0</v>
      </c>
      <c r="O215" s="479"/>
      <c r="P215" s="479"/>
      <c r="Q215" s="479"/>
      <c r="R215" s="479"/>
      <c r="S215" s="479"/>
      <c r="T215" s="479"/>
      <c r="U215" s="479"/>
      <c r="V215" s="132">
        <f t="shared" si="103"/>
        <v>0</v>
      </c>
      <c r="W215" s="133">
        <f t="shared" si="104"/>
        <v>0</v>
      </c>
      <c r="X215" s="132"/>
      <c r="Y215" s="132"/>
      <c r="Z215" s="132"/>
      <c r="AA215" s="132"/>
    </row>
    <row r="216" spans="1:27" ht="20.100000000000001" hidden="1" customHeight="1">
      <c r="A216" s="300">
        <v>30100032</v>
      </c>
      <c r="B216" s="480" t="s">
        <v>209</v>
      </c>
      <c r="C216" s="126" t="s">
        <v>194</v>
      </c>
      <c r="D216" s="108">
        <v>5.03</v>
      </c>
      <c r="E216" s="108"/>
      <c r="F216" s="127"/>
      <c r="G216" s="128"/>
      <c r="H216" s="488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483"/>
      <c r="P216" s="483"/>
      <c r="Q216" s="483"/>
      <c r="R216" s="483"/>
      <c r="S216" s="483"/>
      <c r="T216" s="483"/>
      <c r="U216" s="483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hidden="1" customHeight="1">
      <c r="A217" s="300">
        <v>30100033</v>
      </c>
      <c r="B217" s="480" t="s">
        <v>209</v>
      </c>
      <c r="C217" s="126" t="s">
        <v>179</v>
      </c>
      <c r="D217" s="108">
        <v>5.03</v>
      </c>
      <c r="E217" s="108"/>
      <c r="F217" s="127"/>
      <c r="G217" s="128"/>
      <c r="H217" s="488">
        <f t="shared" si="91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1"/>
        <v>0</v>
      </c>
      <c r="N217" s="130">
        <f t="shared" si="102"/>
        <v>0</v>
      </c>
      <c r="O217" s="483"/>
      <c r="P217" s="483"/>
      <c r="Q217" s="483"/>
      <c r="R217" s="483"/>
      <c r="S217" s="483"/>
      <c r="T217" s="483"/>
      <c r="U217" s="483"/>
      <c r="V217" s="132">
        <f t="shared" si="103"/>
        <v>0</v>
      </c>
      <c r="W217" s="133" t="str">
        <f t="shared" si="104"/>
        <v/>
      </c>
      <c r="X217" s="132"/>
      <c r="Y217" s="132"/>
      <c r="Z217" s="132"/>
      <c r="AA217" s="132"/>
    </row>
    <row r="218" spans="1:27" ht="20.100000000000001" hidden="1" customHeight="1">
      <c r="A218" s="300">
        <v>30100062</v>
      </c>
      <c r="B218" s="480" t="s">
        <v>209</v>
      </c>
      <c r="C218" s="126" t="s">
        <v>195</v>
      </c>
      <c r="D218" s="108">
        <v>5.03</v>
      </c>
      <c r="E218" s="108"/>
      <c r="F218" s="127"/>
      <c r="G218" s="128"/>
      <c r="H218" s="488">
        <f t="shared" si="91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1"/>
        <v>0</v>
      </c>
      <c r="N218" s="130">
        <f t="shared" si="102"/>
        <v>0</v>
      </c>
      <c r="O218" s="483"/>
      <c r="P218" s="483"/>
      <c r="Q218" s="483"/>
      <c r="R218" s="483"/>
      <c r="S218" s="483"/>
      <c r="T218" s="483"/>
      <c r="U218" s="483"/>
      <c r="V218" s="132">
        <f t="shared" si="103"/>
        <v>0</v>
      </c>
      <c r="W218" s="133" t="str">
        <f t="shared" si="104"/>
        <v/>
      </c>
      <c r="X218" s="132"/>
      <c r="Y218" s="132"/>
      <c r="Z218" s="132"/>
      <c r="AA218" s="132"/>
    </row>
    <row r="219" spans="1:27" ht="20.100000000000001" hidden="1" customHeight="1">
      <c r="A219" s="300">
        <v>30100031</v>
      </c>
      <c r="B219" s="480" t="s">
        <v>209</v>
      </c>
      <c r="C219" s="126" t="s">
        <v>204</v>
      </c>
      <c r="D219" s="108">
        <v>5.03</v>
      </c>
      <c r="E219" s="108"/>
      <c r="F219" s="127"/>
      <c r="G219" s="128"/>
      <c r="H219" s="488">
        <f t="shared" si="91"/>
        <v>0</v>
      </c>
      <c r="I219" s="129"/>
      <c r="J219" s="130" t="str">
        <f t="array" ref="J219">IF(ISERROR(G219/I219),"",G219/I219)</f>
        <v/>
      </c>
      <c r="K219" s="131">
        <f t="array" ref="K219">IF(ISERROR(G219/L219),"",G219/L219)</f>
        <v>0</v>
      </c>
      <c r="L219" s="129">
        <v>56</v>
      </c>
      <c r="M219" s="109">
        <f t="shared" si="101"/>
        <v>0</v>
      </c>
      <c r="N219" s="130">
        <f t="shared" si="102"/>
        <v>0</v>
      </c>
      <c r="O219" s="483"/>
      <c r="P219" s="483"/>
      <c r="Q219" s="483"/>
      <c r="R219" s="483"/>
      <c r="S219" s="483"/>
      <c r="T219" s="483"/>
      <c r="U219" s="483"/>
      <c r="V219" s="132">
        <f t="shared" si="103"/>
        <v>0</v>
      </c>
      <c r="W219" s="133" t="str">
        <f t="shared" si="104"/>
        <v/>
      </c>
      <c r="X219" s="132"/>
      <c r="Y219" s="132"/>
      <c r="Z219" s="132"/>
      <c r="AA219" s="132"/>
    </row>
    <row r="220" spans="1:27" ht="20.100000000000001" hidden="1" customHeight="1">
      <c r="A220" s="300">
        <v>30100019</v>
      </c>
      <c r="B220" s="480" t="s">
        <v>382</v>
      </c>
      <c r="C220" s="187" t="s">
        <v>383</v>
      </c>
      <c r="D220" s="108">
        <v>5.03</v>
      </c>
      <c r="E220" s="108"/>
      <c r="F220" s="127"/>
      <c r="G220" s="128"/>
      <c r="H220" s="488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483"/>
      <c r="P220" s="483"/>
      <c r="Q220" s="483"/>
      <c r="R220" s="483"/>
      <c r="S220" s="483"/>
      <c r="T220" s="483"/>
      <c r="U220" s="483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30100020</v>
      </c>
      <c r="B221" s="480" t="s">
        <v>382</v>
      </c>
      <c r="C221" s="187" t="s">
        <v>384</v>
      </c>
      <c r="D221" s="108">
        <v>5.03</v>
      </c>
      <c r="E221" s="108"/>
      <c r="F221" s="127"/>
      <c r="G221" s="128"/>
      <c r="H221" s="488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483"/>
      <c r="P221" s="483"/>
      <c r="Q221" s="483"/>
      <c r="R221" s="483"/>
      <c r="S221" s="483"/>
      <c r="T221" s="483"/>
      <c r="U221" s="483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30100021</v>
      </c>
      <c r="B222" s="480" t="s">
        <v>382</v>
      </c>
      <c r="C222" s="187" t="s">
        <v>389</v>
      </c>
      <c r="D222" s="108">
        <v>5.03</v>
      </c>
      <c r="E222" s="108"/>
      <c r="F222" s="127"/>
      <c r="G222" s="128"/>
      <c r="H222" s="488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483"/>
      <c r="P222" s="483"/>
      <c r="Q222" s="483"/>
      <c r="R222" s="483"/>
      <c r="S222" s="483"/>
      <c r="T222" s="483"/>
      <c r="U222" s="483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0">
        <v>30100018</v>
      </c>
      <c r="B223" s="480" t="s">
        <v>382</v>
      </c>
      <c r="C223" s="187" t="s">
        <v>391</v>
      </c>
      <c r="D223" s="108">
        <v>5.03</v>
      </c>
      <c r="E223" s="108"/>
      <c r="F223" s="127"/>
      <c r="G223" s="128"/>
      <c r="H223" s="488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54</v>
      </c>
      <c r="M223" s="109">
        <f t="shared" si="101"/>
        <v>0</v>
      </c>
      <c r="N223" s="130">
        <f t="shared" si="102"/>
        <v>0</v>
      </c>
      <c r="O223" s="483"/>
      <c r="P223" s="483"/>
      <c r="Q223" s="483"/>
      <c r="R223" s="483"/>
      <c r="S223" s="483"/>
      <c r="T223" s="483"/>
      <c r="U223" s="483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30700007</v>
      </c>
      <c r="B224" s="480" t="s">
        <v>418</v>
      </c>
      <c r="C224" s="187" t="s">
        <v>364</v>
      </c>
      <c r="D224" s="108">
        <v>5.03</v>
      </c>
      <c r="E224" s="108"/>
      <c r="F224" s="127"/>
      <c r="G224" s="128"/>
      <c r="H224" s="488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483"/>
      <c r="P224" s="483"/>
      <c r="Q224" s="483"/>
      <c r="R224" s="483"/>
      <c r="S224" s="483"/>
      <c r="T224" s="483"/>
      <c r="U224" s="483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30700006</v>
      </c>
      <c r="B225" s="480" t="s">
        <v>418</v>
      </c>
      <c r="C225" s="187" t="s">
        <v>365</v>
      </c>
      <c r="D225" s="108">
        <v>5.03</v>
      </c>
      <c r="E225" s="108"/>
      <c r="F225" s="127"/>
      <c r="G225" s="128"/>
      <c r="H225" s="488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483"/>
      <c r="P225" s="483"/>
      <c r="Q225" s="483"/>
      <c r="R225" s="483"/>
      <c r="S225" s="483"/>
      <c r="T225" s="483"/>
      <c r="U225" s="483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30700008</v>
      </c>
      <c r="B226" s="480" t="s">
        <v>418</v>
      </c>
      <c r="C226" s="187" t="s">
        <v>366</v>
      </c>
      <c r="D226" s="108">
        <v>5.03</v>
      </c>
      <c r="E226" s="108"/>
      <c r="F226" s="127"/>
      <c r="G226" s="128"/>
      <c r="H226" s="488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483"/>
      <c r="P226" s="483"/>
      <c r="Q226" s="483"/>
      <c r="R226" s="483"/>
      <c r="S226" s="483"/>
      <c r="T226" s="483"/>
      <c r="U226" s="483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3">
        <v>30700009</v>
      </c>
      <c r="B227" s="480" t="s">
        <v>418</v>
      </c>
      <c r="C227" s="187" t="s">
        <v>367</v>
      </c>
      <c r="D227" s="108">
        <v>5.03</v>
      </c>
      <c r="E227" s="108"/>
      <c r="F227" s="127"/>
      <c r="G227" s="128"/>
      <c r="H227" s="488">
        <f t="shared" si="91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101"/>
        <v>0</v>
      </c>
      <c r="N227" s="130">
        <f t="shared" si="102"/>
        <v>0</v>
      </c>
      <c r="O227" s="483"/>
      <c r="P227" s="483"/>
      <c r="Q227" s="483"/>
      <c r="R227" s="483"/>
      <c r="S227" s="483"/>
      <c r="T227" s="483"/>
      <c r="U227" s="483"/>
      <c r="V227" s="132"/>
      <c r="W227" s="133"/>
      <c r="X227" s="132"/>
      <c r="Y227" s="132"/>
      <c r="Z227" s="132"/>
      <c r="AA227" s="132"/>
    </row>
    <row r="228" spans="1:27" ht="20.100000000000001" hidden="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/>
      <c r="G228" s="128"/>
      <c r="H228" s="488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479"/>
      <c r="P228" s="479"/>
      <c r="Q228" s="479"/>
      <c r="R228" s="479"/>
      <c r="S228" s="479"/>
      <c r="T228" s="479"/>
      <c r="U228" s="479"/>
      <c r="V228" s="132">
        <f t="shared" ref="V228:V237" si="105">SUM(X228:AA228)</f>
        <v>0</v>
      </c>
      <c r="W228" s="133" t="str">
        <f t="shared" ref="W228:W237" si="106">IF(ISERROR(V228/G228),"",V228/G228)</f>
        <v/>
      </c>
      <c r="X228" s="132"/>
      <c r="Y228" s="132"/>
      <c r="Z228" s="132"/>
      <c r="AA228" s="132"/>
    </row>
    <row r="229" spans="1:27" ht="20.100000000000001" hidden="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/>
      <c r="G229" s="128"/>
      <c r="H229" s="488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479"/>
      <c r="P229" s="479"/>
      <c r="Q229" s="479"/>
      <c r="R229" s="479"/>
      <c r="S229" s="479"/>
      <c r="T229" s="479"/>
      <c r="U229" s="479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/>
      <c r="G230" s="128"/>
      <c r="H230" s="488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40</v>
      </c>
      <c r="M230" s="109">
        <f t="shared" si="101"/>
        <v>0</v>
      </c>
      <c r="N230" s="130">
        <f t="shared" si="102"/>
        <v>0</v>
      </c>
      <c r="O230" s="479"/>
      <c r="P230" s="479"/>
      <c r="Q230" s="479"/>
      <c r="R230" s="479"/>
      <c r="S230" s="479"/>
      <c r="T230" s="479"/>
      <c r="U230" s="479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28"/>
      <c r="H231" s="488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479"/>
      <c r="P231" s="479"/>
      <c r="Q231" s="479"/>
      <c r="R231" s="479"/>
      <c r="S231" s="479"/>
      <c r="T231" s="479"/>
      <c r="U231" s="479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28"/>
      <c r="H232" s="488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479"/>
      <c r="P232" s="479"/>
      <c r="Q232" s="479"/>
      <c r="R232" s="479"/>
      <c r="S232" s="479"/>
      <c r="T232" s="479"/>
      <c r="U232" s="479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28"/>
      <c r="H233" s="488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479"/>
      <c r="P233" s="479"/>
      <c r="Q233" s="479"/>
      <c r="R233" s="479"/>
      <c r="S233" s="479"/>
      <c r="T233" s="479"/>
      <c r="U233" s="479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28"/>
      <c r="H234" s="488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479"/>
      <c r="P234" s="479"/>
      <c r="Q234" s="479"/>
      <c r="R234" s="479"/>
      <c r="S234" s="479"/>
      <c r="T234" s="479"/>
      <c r="U234" s="479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/>
      <c r="G235" s="128"/>
      <c r="H235" s="488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479"/>
      <c r="P235" s="479"/>
      <c r="Q235" s="479"/>
      <c r="R235" s="479"/>
      <c r="S235" s="479"/>
      <c r="T235" s="479"/>
      <c r="U235" s="479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/>
      <c r="G236" s="128"/>
      <c r="H236" s="488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479"/>
      <c r="P236" s="479"/>
      <c r="Q236" s="479"/>
      <c r="R236" s="479"/>
      <c r="S236" s="479"/>
      <c r="T236" s="479"/>
      <c r="U236" s="479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/>
      <c r="G237" s="128"/>
      <c r="H237" s="488">
        <f t="shared" si="91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50</v>
      </c>
      <c r="M237" s="109">
        <f t="shared" si="101"/>
        <v>0</v>
      </c>
      <c r="N237" s="130">
        <f t="shared" si="102"/>
        <v>0</v>
      </c>
      <c r="O237" s="479"/>
      <c r="P237" s="479"/>
      <c r="Q237" s="479"/>
      <c r="R237" s="479"/>
      <c r="S237" s="479"/>
      <c r="T237" s="479"/>
      <c r="U237" s="479"/>
      <c r="V237" s="132">
        <f t="shared" si="105"/>
        <v>0</v>
      </c>
      <c r="W237" s="133" t="str">
        <f t="shared" si="106"/>
        <v/>
      </c>
      <c r="X237" s="132"/>
      <c r="Y237" s="132"/>
      <c r="Z237" s="132"/>
      <c r="AA237" s="132"/>
    </row>
    <row r="238" spans="1:27" ht="20.100000000000001" hidden="1" customHeight="1">
      <c r="A238" s="300">
        <v>30100043</v>
      </c>
      <c r="B238" s="134" t="s">
        <v>429</v>
      </c>
      <c r="C238" s="187" t="s">
        <v>427</v>
      </c>
      <c r="D238" s="108">
        <v>5.03</v>
      </c>
      <c r="E238" s="108"/>
      <c r="F238" s="127"/>
      <c r="G238" s="128"/>
      <c r="H238" s="488">
        <f t="shared" si="91"/>
        <v>0</v>
      </c>
      <c r="I238" s="129"/>
      <c r="J238" s="130"/>
      <c r="K238" s="131"/>
      <c r="L238" s="129">
        <v>50</v>
      </c>
      <c r="M238" s="109"/>
      <c r="N238" s="130"/>
      <c r="O238" s="479"/>
      <c r="P238" s="479"/>
      <c r="Q238" s="479"/>
      <c r="R238" s="479"/>
      <c r="S238" s="479"/>
      <c r="T238" s="479"/>
      <c r="U238" s="479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/>
      <c r="G239" s="128"/>
      <c r="H239" s="488">
        <f t="shared" si="91"/>
        <v>0</v>
      </c>
      <c r="I239" s="129"/>
      <c r="J239" s="130"/>
      <c r="K239" s="131">
        <f t="array" ref="K239">IF(ISERROR(G239/L239),"",G239/L239)</f>
        <v>0</v>
      </c>
      <c r="L239" s="129">
        <v>50</v>
      </c>
      <c r="M239" s="109">
        <f t="shared" ref="M239:M250" si="107">IF(ISERROR(I239-K239),"",I239-K239)</f>
        <v>0</v>
      </c>
      <c r="N239" s="130"/>
      <c r="O239" s="479"/>
      <c r="P239" s="479"/>
      <c r="Q239" s="479"/>
      <c r="R239" s="479"/>
      <c r="S239" s="479"/>
      <c r="T239" s="479"/>
      <c r="U239" s="479"/>
      <c r="V239" s="132"/>
      <c r="W239" s="133"/>
      <c r="X239" s="132"/>
      <c r="Y239" s="132"/>
      <c r="Z239" s="132"/>
      <c r="AA239" s="132"/>
    </row>
    <row r="240" spans="1:27" ht="20.10000000000000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>
        <v>42741</v>
      </c>
      <c r="G240" s="128">
        <f>100*3+23+100</f>
        <v>423</v>
      </c>
      <c r="H240" s="488">
        <f t="shared" si="91"/>
        <v>2127.69</v>
      </c>
      <c r="I240" s="129">
        <f>4.5*4</f>
        <v>18</v>
      </c>
      <c r="J240" s="130">
        <f t="array" ref="J240">IF(ISERROR(G240/I240),"",G240/I240)</f>
        <v>23.5</v>
      </c>
      <c r="K240" s="131">
        <f t="array" ref="K240">IF(ISERROR(G240/L240),"",G240/L240)</f>
        <v>19.674418604651162</v>
      </c>
      <c r="L240" s="129">
        <v>21.5</v>
      </c>
      <c r="M240" s="109">
        <f t="shared" si="107"/>
        <v>-1.6744186046511622</v>
      </c>
      <c r="N240" s="130">
        <f t="shared" ref="N240:N241" si="108">SUM(O240:U240)</f>
        <v>0</v>
      </c>
      <c r="O240" s="479"/>
      <c r="P240" s="479"/>
      <c r="Q240" s="479"/>
      <c r="R240" s="479"/>
      <c r="S240" s="479"/>
      <c r="T240" s="479"/>
      <c r="U240" s="479"/>
      <c r="V240" s="132">
        <f t="shared" ref="V240:V241" si="109">SUM(X240:AA240)</f>
        <v>0</v>
      </c>
      <c r="W240" s="133">
        <f t="shared" ref="W240:W241" si="110">IF(ISERROR(V240/G240),"",V240/G240)</f>
        <v>0</v>
      </c>
      <c r="X240" s="132"/>
      <c r="Y240" s="132"/>
      <c r="Z240" s="132"/>
      <c r="AA240" s="132"/>
    </row>
    <row r="241" spans="1:27" ht="20.100000000000001" hidden="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/>
      <c r="G241" s="128"/>
      <c r="H241" s="488">
        <f t="shared" si="91"/>
        <v>0</v>
      </c>
      <c r="I241" s="129"/>
      <c r="J241" s="130" t="str">
        <f t="array" ref="J241">IF(ISERROR(G241/I241),"",G241/I241)</f>
        <v/>
      </c>
      <c r="K241" s="131">
        <f t="array" ref="K241">IF(ISERROR(G241/L241),"",G241/L241)</f>
        <v>0</v>
      </c>
      <c r="L241" s="129">
        <v>21.5</v>
      </c>
      <c r="M241" s="109">
        <f t="shared" si="107"/>
        <v>0</v>
      </c>
      <c r="N241" s="130">
        <f t="shared" si="108"/>
        <v>0</v>
      </c>
      <c r="O241" s="479"/>
      <c r="P241" s="479"/>
      <c r="Q241" s="479"/>
      <c r="R241" s="479"/>
      <c r="S241" s="479"/>
      <c r="T241" s="479"/>
      <c r="U241" s="479"/>
      <c r="V241" s="132">
        <f t="shared" si="109"/>
        <v>0</v>
      </c>
      <c r="W241" s="133" t="str">
        <f t="shared" si="110"/>
        <v/>
      </c>
      <c r="X241" s="132"/>
      <c r="Y241" s="132"/>
      <c r="Z241" s="132"/>
      <c r="AA241" s="132"/>
    </row>
    <row r="242" spans="1:27" ht="20.100000000000001" hidden="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28"/>
      <c r="H242" s="488">
        <f t="shared" si="91"/>
        <v>0</v>
      </c>
      <c r="I242" s="129"/>
      <c r="J242" s="130"/>
      <c r="K242" s="131"/>
      <c r="L242" s="129"/>
      <c r="M242" s="109">
        <f t="shared" si="107"/>
        <v>0</v>
      </c>
      <c r="N242" s="130"/>
      <c r="O242" s="479"/>
      <c r="P242" s="479"/>
      <c r="Q242" s="479"/>
      <c r="R242" s="479"/>
      <c r="S242" s="479"/>
      <c r="T242" s="479"/>
      <c r="U242" s="479"/>
      <c r="V242" s="132"/>
      <c r="W242" s="133"/>
      <c r="X242" s="132"/>
      <c r="Y242" s="132"/>
      <c r="Z242" s="132"/>
      <c r="AA242" s="132"/>
    </row>
    <row r="243" spans="1:27" ht="20.100000000000001" hidden="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28"/>
      <c r="H243" s="488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ref="N243:N246" si="111">SUM(O243:U243)</f>
        <v>0</v>
      </c>
      <c r="O243" s="479"/>
      <c r="P243" s="479"/>
      <c r="Q243" s="479"/>
      <c r="R243" s="479"/>
      <c r="S243" s="479"/>
      <c r="T243" s="479"/>
      <c r="U243" s="479"/>
      <c r="V243" s="132">
        <f t="shared" ref="V243:V246" si="112">SUM(X243:AA243)</f>
        <v>0</v>
      </c>
      <c r="W243" s="133" t="str">
        <f t="shared" ref="W243:W246" si="113">IF(ISERROR(V243/G243),"",V243/G243)</f>
        <v/>
      </c>
      <c r="X243" s="132"/>
      <c r="Y243" s="132"/>
      <c r="Z243" s="132"/>
      <c r="AA243" s="132"/>
    </row>
    <row r="244" spans="1:27" ht="20.100000000000001" hidden="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28"/>
      <c r="H244" s="488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479"/>
      <c r="P244" s="479"/>
      <c r="Q244" s="479"/>
      <c r="R244" s="479"/>
      <c r="S244" s="479"/>
      <c r="T244" s="479"/>
      <c r="U244" s="479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28"/>
      <c r="H245" s="488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479"/>
      <c r="P245" s="479"/>
      <c r="Q245" s="479"/>
      <c r="R245" s="479"/>
      <c r="S245" s="479"/>
      <c r="T245" s="479"/>
      <c r="U245" s="479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28"/>
      <c r="H246" s="488">
        <f t="shared" si="91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7"/>
        <v/>
      </c>
      <c r="N246" s="130">
        <f t="shared" si="111"/>
        <v>0</v>
      </c>
      <c r="O246" s="479"/>
      <c r="P246" s="479"/>
      <c r="Q246" s="479"/>
      <c r="R246" s="479"/>
      <c r="S246" s="479"/>
      <c r="T246" s="479"/>
      <c r="U246" s="479"/>
      <c r="V246" s="132">
        <f t="shared" si="112"/>
        <v>0</v>
      </c>
      <c r="W246" s="133" t="str">
        <f t="shared" si="113"/>
        <v/>
      </c>
      <c r="X246" s="132"/>
      <c r="Y246" s="132"/>
      <c r="Z246" s="132"/>
      <c r="AA246" s="132"/>
    </row>
    <row r="247" spans="1:27" ht="20.100000000000001" hidden="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28"/>
      <c r="H247" s="488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479"/>
      <c r="P247" s="479"/>
      <c r="Q247" s="479"/>
      <c r="R247" s="479"/>
      <c r="S247" s="479"/>
      <c r="T247" s="479"/>
      <c r="U247" s="479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28"/>
      <c r="H248" s="488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479"/>
      <c r="P248" s="479"/>
      <c r="Q248" s="479"/>
      <c r="R248" s="479"/>
      <c r="S248" s="479"/>
      <c r="T248" s="479"/>
      <c r="U248" s="479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28"/>
      <c r="H249" s="488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479"/>
      <c r="P249" s="479"/>
      <c r="Q249" s="479"/>
      <c r="R249" s="479"/>
      <c r="S249" s="479"/>
      <c r="T249" s="479"/>
      <c r="U249" s="479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28"/>
      <c r="H250" s="488">
        <f t="shared" si="91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7"/>
        <v>0</v>
      </c>
      <c r="N250" s="130"/>
      <c r="O250" s="479"/>
      <c r="P250" s="479"/>
      <c r="Q250" s="479"/>
      <c r="R250" s="479"/>
      <c r="S250" s="479"/>
      <c r="T250" s="479"/>
      <c r="U250" s="479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28"/>
      <c r="H251" s="488">
        <f t="shared" si="91"/>
        <v>0</v>
      </c>
      <c r="I251" s="129"/>
      <c r="J251" s="130"/>
      <c r="K251" s="131"/>
      <c r="L251" s="129">
        <v>4</v>
      </c>
      <c r="M251" s="109"/>
      <c r="N251" s="130"/>
      <c r="O251" s="479"/>
      <c r="P251" s="479"/>
      <c r="Q251" s="479"/>
      <c r="R251" s="479"/>
      <c r="S251" s="479"/>
      <c r="T251" s="479"/>
      <c r="U251" s="479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28"/>
      <c r="H252" s="488">
        <f t="shared" si="91"/>
        <v>0</v>
      </c>
      <c r="I252" s="129"/>
      <c r="J252" s="130"/>
      <c r="K252" s="131"/>
      <c r="L252" s="129">
        <v>4</v>
      </c>
      <c r="M252" s="109"/>
      <c r="N252" s="130"/>
      <c r="O252" s="479"/>
      <c r="P252" s="479"/>
      <c r="Q252" s="479"/>
      <c r="R252" s="479"/>
      <c r="S252" s="479"/>
      <c r="T252" s="479"/>
      <c r="U252" s="479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28"/>
      <c r="H253" s="488">
        <f t="shared" si="91"/>
        <v>0</v>
      </c>
      <c r="I253" s="129"/>
      <c r="J253" s="130"/>
      <c r="K253" s="131"/>
      <c r="L253" s="129">
        <v>4</v>
      </c>
      <c r="M253" s="109"/>
      <c r="N253" s="130"/>
      <c r="O253" s="479"/>
      <c r="P253" s="479"/>
      <c r="Q253" s="479"/>
      <c r="R253" s="479"/>
      <c r="S253" s="479"/>
      <c r="T253" s="479"/>
      <c r="U253" s="479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28"/>
      <c r="H254" s="488">
        <f t="shared" si="91"/>
        <v>0</v>
      </c>
      <c r="I254" s="129"/>
      <c r="J254" s="130"/>
      <c r="K254" s="131"/>
      <c r="L254" s="129">
        <v>4</v>
      </c>
      <c r="M254" s="109"/>
      <c r="N254" s="130"/>
      <c r="O254" s="479"/>
      <c r="P254" s="479"/>
      <c r="Q254" s="479"/>
      <c r="R254" s="479"/>
      <c r="S254" s="479"/>
      <c r="T254" s="479"/>
      <c r="U254" s="479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28"/>
      <c r="H255" s="488">
        <f t="shared" si="91"/>
        <v>0</v>
      </c>
      <c r="I255" s="129"/>
      <c r="J255" s="130"/>
      <c r="K255" s="131"/>
      <c r="L255" s="129">
        <v>4</v>
      </c>
      <c r="M255" s="109"/>
      <c r="N255" s="130"/>
      <c r="O255" s="479"/>
      <c r="P255" s="479"/>
      <c r="Q255" s="479"/>
      <c r="R255" s="479"/>
      <c r="S255" s="479"/>
      <c r="T255" s="479"/>
      <c r="U255" s="479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28"/>
      <c r="H256" s="488">
        <f t="shared" si="91"/>
        <v>0</v>
      </c>
      <c r="I256" s="129"/>
      <c r="J256" s="130"/>
      <c r="K256" s="131"/>
      <c r="L256" s="129">
        <v>4</v>
      </c>
      <c r="M256" s="109"/>
      <c r="N256" s="130"/>
      <c r="O256" s="479"/>
      <c r="P256" s="479"/>
      <c r="Q256" s="479"/>
      <c r="R256" s="479"/>
      <c r="S256" s="479"/>
      <c r="T256" s="479"/>
      <c r="U256" s="479"/>
      <c r="V256" s="132"/>
      <c r="W256" s="133"/>
      <c r="X256" s="132"/>
      <c r="Y256" s="132"/>
      <c r="Z256" s="132"/>
      <c r="AA256" s="132"/>
    </row>
    <row r="257" spans="1:27" ht="20.100000000000001" customHeight="1">
      <c r="A257" s="589" t="s">
        <v>216</v>
      </c>
      <c r="B257" s="589"/>
      <c r="C257" s="486" t="s">
        <v>202</v>
      </c>
      <c r="D257" s="143"/>
      <c r="E257" s="143"/>
      <c r="F257" s="144"/>
      <c r="G257" s="145">
        <f>SUM(G200:G256)</f>
        <v>2851</v>
      </c>
      <c r="H257" s="146">
        <f>SUM(H200:H256)</f>
        <v>14379.53</v>
      </c>
      <c r="I257" s="146">
        <f>SUM(I200:I256)</f>
        <v>87</v>
      </c>
      <c r="J257" s="130">
        <f t="array" ref="J257">IF(ISERROR(G257/I257),"",G257/I257)</f>
        <v>32.770114942528735</v>
      </c>
      <c r="K257" s="146">
        <f>SUM(K200:K256)</f>
        <v>88.509583439816012</v>
      </c>
      <c r="L257" s="147"/>
      <c r="M257" s="150">
        <f t="shared" ref="M257:V257" si="114">SUM(M200:M256)</f>
        <v>-1.5095834398159997</v>
      </c>
      <c r="N257" s="146">
        <f t="shared" si="114"/>
        <v>0</v>
      </c>
      <c r="O257" s="148">
        <f t="shared" si="114"/>
        <v>0</v>
      </c>
      <c r="P257" s="148">
        <f t="shared" si="114"/>
        <v>0</v>
      </c>
      <c r="Q257" s="148">
        <f t="shared" si="114"/>
        <v>0</v>
      </c>
      <c r="R257" s="148">
        <f t="shared" si="114"/>
        <v>0</v>
      </c>
      <c r="S257" s="148">
        <f t="shared" si="114"/>
        <v>0</v>
      </c>
      <c r="T257" s="148">
        <f t="shared" si="114"/>
        <v>0</v>
      </c>
      <c r="U257" s="148">
        <f t="shared" si="114"/>
        <v>0</v>
      </c>
      <c r="V257" s="149">
        <f t="shared" si="114"/>
        <v>0</v>
      </c>
      <c r="W257" s="133">
        <f t="shared" ref="W257:W264" si="115">IF(ISERROR(V257/G257),"",V257/G257)</f>
        <v>0</v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hidden="1" customHeight="1">
      <c r="A258" s="299">
        <v>30400012</v>
      </c>
      <c r="B258" s="480" t="s">
        <v>217</v>
      </c>
      <c r="C258" s="126" t="s">
        <v>179</v>
      </c>
      <c r="D258" s="108">
        <v>5.03</v>
      </c>
      <c r="E258" s="108"/>
      <c r="F258" s="127"/>
      <c r="G258" s="128"/>
      <c r="H258" s="488">
        <f t="shared" ref="H258:H291" si="116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7">IF(ISERROR(I258-K258),"",I258-K258)</f>
        <v>0</v>
      </c>
      <c r="N258" s="130">
        <f t="shared" ref="N258:N265" si="118">SUM(O258:U258)</f>
        <v>0</v>
      </c>
      <c r="O258" s="479"/>
      <c r="P258" s="479"/>
      <c r="Q258" s="479"/>
      <c r="R258" s="479"/>
      <c r="S258" s="479"/>
      <c r="T258" s="479"/>
      <c r="U258" s="479"/>
      <c r="V258" s="132">
        <f t="shared" ref="V258:V264" si="119">SUM(X258:AA258)</f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30400010</v>
      </c>
      <c r="B259" s="480" t="s">
        <v>217</v>
      </c>
      <c r="C259" s="126" t="s">
        <v>186</v>
      </c>
      <c r="D259" s="108">
        <v>5.03</v>
      </c>
      <c r="E259" s="108"/>
      <c r="F259" s="127"/>
      <c r="G259" s="128"/>
      <c r="H259" s="488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479"/>
      <c r="P259" s="479"/>
      <c r="Q259" s="479"/>
      <c r="R259" s="479"/>
      <c r="S259" s="479"/>
      <c r="T259" s="479"/>
      <c r="U259" s="479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customHeight="1">
      <c r="A260" s="299">
        <v>30400011</v>
      </c>
      <c r="B260" s="480" t="s">
        <v>217</v>
      </c>
      <c r="C260" s="126" t="s">
        <v>204</v>
      </c>
      <c r="D260" s="108">
        <v>5.03</v>
      </c>
      <c r="E260" s="108"/>
      <c r="F260" s="127">
        <v>42742</v>
      </c>
      <c r="G260" s="128">
        <v>28</v>
      </c>
      <c r="H260" s="488">
        <f t="shared" si="116"/>
        <v>140.84</v>
      </c>
      <c r="I260" s="129">
        <v>3</v>
      </c>
      <c r="J260" s="130">
        <f t="array" ref="J260">IF(ISERROR(G260/I260),"",G260/I260)</f>
        <v>9.3333333333333339</v>
      </c>
      <c r="K260" s="131">
        <f t="array" ref="K260">IF(ISERROR(G260/L260),"",G260/L260)</f>
        <v>3.1818181818181817</v>
      </c>
      <c r="L260" s="129">
        <v>8.8000000000000007</v>
      </c>
      <c r="M260" s="109">
        <f t="shared" si="117"/>
        <v>-0.18181818181818166</v>
      </c>
      <c r="N260" s="130">
        <f t="shared" si="118"/>
        <v>0</v>
      </c>
      <c r="O260" s="479"/>
      <c r="P260" s="479"/>
      <c r="Q260" s="479"/>
      <c r="R260" s="479"/>
      <c r="S260" s="479"/>
      <c r="T260" s="479"/>
      <c r="U260" s="479"/>
      <c r="V260" s="132">
        <f t="shared" si="119"/>
        <v>0</v>
      </c>
      <c r="W260" s="133">
        <f t="shared" si="115"/>
        <v>0</v>
      </c>
      <c r="X260" s="132"/>
      <c r="Y260" s="132"/>
      <c r="Z260" s="132"/>
      <c r="AA260" s="132"/>
    </row>
    <row r="261" spans="1:27" ht="20.100000000000001" hidden="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28"/>
      <c r="H261" s="488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479"/>
      <c r="P261" s="479"/>
      <c r="Q261" s="479"/>
      <c r="R261" s="479"/>
      <c r="S261" s="479"/>
      <c r="T261" s="479"/>
      <c r="U261" s="479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/>
      <c r="G262" s="128"/>
      <c r="H262" s="488">
        <f t="shared" si="116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479"/>
      <c r="P262" s="479"/>
      <c r="Q262" s="479"/>
      <c r="R262" s="479"/>
      <c r="S262" s="479"/>
      <c r="T262" s="479"/>
      <c r="U262" s="479"/>
      <c r="V262" s="132">
        <f t="shared" si="119"/>
        <v>0</v>
      </c>
      <c r="W262" s="133" t="str">
        <f t="shared" si="115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/>
      <c r="G263" s="128"/>
      <c r="H263" s="488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7"/>
        <v>0</v>
      </c>
      <c r="N263" s="130">
        <f t="shared" si="118"/>
        <v>0</v>
      </c>
      <c r="O263" s="479"/>
      <c r="P263" s="479"/>
      <c r="Q263" s="479"/>
      <c r="R263" s="479"/>
      <c r="S263" s="479"/>
      <c r="T263" s="479"/>
      <c r="U263" s="479"/>
      <c r="V263" s="132">
        <f t="shared" si="119"/>
        <v>0</v>
      </c>
      <c r="W263" s="133" t="str">
        <f t="shared" si="115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/>
      <c r="G264" s="128"/>
      <c r="H264" s="488">
        <f t="shared" si="116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479"/>
      <c r="P264" s="479"/>
      <c r="Q264" s="479"/>
      <c r="R264" s="479"/>
      <c r="S264" s="479"/>
      <c r="T264" s="479"/>
      <c r="U264" s="479"/>
      <c r="V264" s="132">
        <f t="shared" si="119"/>
        <v>0</v>
      </c>
      <c r="W264" s="133" t="str">
        <f t="shared" si="115"/>
        <v/>
      </c>
      <c r="X264" s="132"/>
      <c r="Y264" s="132"/>
      <c r="Z264" s="132"/>
      <c r="AA264" s="132"/>
    </row>
    <row r="265" spans="1:27" ht="20.100000000000001" hidden="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/>
      <c r="G265" s="128"/>
      <c r="H265" s="488">
        <f t="shared" si="116"/>
        <v>0</v>
      </c>
      <c r="I265" s="129"/>
      <c r="J265" s="130"/>
      <c r="K265" s="131">
        <f t="array" ref="K265">IF(ISERROR(G265/L265),"",G265/L265)</f>
        <v>0</v>
      </c>
      <c r="L265" s="129">
        <v>9.3000000000000007</v>
      </c>
      <c r="M265" s="109">
        <f t="shared" si="117"/>
        <v>0</v>
      </c>
      <c r="N265" s="130">
        <f t="shared" si="118"/>
        <v>0</v>
      </c>
      <c r="O265" s="479"/>
      <c r="P265" s="479"/>
      <c r="Q265" s="479"/>
      <c r="R265" s="479"/>
      <c r="S265" s="479"/>
      <c r="T265" s="479"/>
      <c r="U265" s="479"/>
      <c r="V265" s="132"/>
      <c r="W265" s="133"/>
      <c r="X265" s="132"/>
      <c r="Y265" s="132"/>
      <c r="Z265" s="132"/>
      <c r="AA265" s="132"/>
    </row>
    <row r="266" spans="1:27" ht="20.100000000000001" hidden="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28"/>
      <c r="H266" s="488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79"/>
      <c r="P266" s="479"/>
      <c r="Q266" s="479"/>
      <c r="R266" s="479"/>
      <c r="S266" s="479"/>
      <c r="T266" s="479"/>
      <c r="U266" s="479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28"/>
      <c r="H267" s="488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479"/>
      <c r="P267" s="479"/>
      <c r="Q267" s="479"/>
      <c r="R267" s="479"/>
      <c r="S267" s="479"/>
      <c r="T267" s="479"/>
      <c r="U267" s="479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28"/>
      <c r="H268" s="488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479"/>
      <c r="P268" s="479"/>
      <c r="Q268" s="479"/>
      <c r="R268" s="479"/>
      <c r="S268" s="479"/>
      <c r="T268" s="479"/>
      <c r="U268" s="479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28"/>
      <c r="H269" s="488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479"/>
      <c r="P269" s="479"/>
      <c r="Q269" s="479"/>
      <c r="R269" s="479"/>
      <c r="S269" s="479"/>
      <c r="T269" s="479"/>
      <c r="U269" s="479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28"/>
      <c r="H270" s="488">
        <f t="shared" si="116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5" si="120">IF(ISERROR(I270-K270),"",I270-K270)</f>
        <v>0</v>
      </c>
      <c r="N270" s="130">
        <f t="shared" ref="N270:N285" si="121">SUM(O270:U270)</f>
        <v>0</v>
      </c>
      <c r="O270" s="479"/>
      <c r="P270" s="479"/>
      <c r="Q270" s="479"/>
      <c r="R270" s="479"/>
      <c r="S270" s="479"/>
      <c r="T270" s="479"/>
      <c r="U270" s="479"/>
      <c r="V270" s="132">
        <f t="shared" ref="V270:V273" si="122">SUM(X270:AA270)</f>
        <v>0</v>
      </c>
      <c r="W270" s="133" t="str">
        <f t="shared" ref="W270:W277" si="123">IF(ISERROR(V270/G270),"",V270/G270)</f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28"/>
      <c r="H271" s="488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479"/>
      <c r="P271" s="479"/>
      <c r="Q271" s="479"/>
      <c r="R271" s="479"/>
      <c r="S271" s="479"/>
      <c r="T271" s="479"/>
      <c r="U271" s="479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28"/>
      <c r="H272" s="488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479"/>
      <c r="P272" s="479"/>
      <c r="Q272" s="479"/>
      <c r="R272" s="479"/>
      <c r="S272" s="479"/>
      <c r="T272" s="479"/>
      <c r="U272" s="479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28"/>
      <c r="H273" s="488">
        <f t="shared" si="116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20"/>
        <v/>
      </c>
      <c r="N273" s="130">
        <f t="shared" si="121"/>
        <v>0</v>
      </c>
      <c r="O273" s="479"/>
      <c r="P273" s="479"/>
      <c r="Q273" s="479"/>
      <c r="R273" s="479"/>
      <c r="S273" s="479"/>
      <c r="T273" s="479"/>
      <c r="U273" s="479"/>
      <c r="V273" s="132">
        <f t="shared" si="122"/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30600005</v>
      </c>
      <c r="B274" s="480" t="s">
        <v>222</v>
      </c>
      <c r="C274" s="126" t="s">
        <v>181</v>
      </c>
      <c r="D274" s="108">
        <v>9.36</v>
      </c>
      <c r="E274" s="108"/>
      <c r="F274" s="127"/>
      <c r="G274" s="128"/>
      <c r="H274" s="488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479"/>
      <c r="P274" s="479"/>
      <c r="Q274" s="479"/>
      <c r="R274" s="479"/>
      <c r="S274" s="479"/>
      <c r="T274" s="479"/>
      <c r="U274" s="479"/>
      <c r="V274" s="132">
        <f t="shared" ref="V274:V277" si="124">SUM(X274:AA274)</f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30600008</v>
      </c>
      <c r="B275" s="480" t="s">
        <v>222</v>
      </c>
      <c r="C275" s="126" t="s">
        <v>179</v>
      </c>
      <c r="D275" s="108">
        <v>9.36</v>
      </c>
      <c r="E275" s="108"/>
      <c r="F275" s="127"/>
      <c r="G275" s="128"/>
      <c r="H275" s="488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479"/>
      <c r="P275" s="479"/>
      <c r="Q275" s="479"/>
      <c r="R275" s="479"/>
      <c r="S275" s="479"/>
      <c r="T275" s="479"/>
      <c r="U275" s="479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30600007</v>
      </c>
      <c r="B276" s="480" t="s">
        <v>222</v>
      </c>
      <c r="C276" s="126" t="s">
        <v>221</v>
      </c>
      <c r="D276" s="108">
        <v>9.36</v>
      </c>
      <c r="E276" s="108"/>
      <c r="F276" s="127"/>
      <c r="G276" s="128"/>
      <c r="H276" s="488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479"/>
      <c r="P276" s="479"/>
      <c r="Q276" s="479"/>
      <c r="R276" s="479"/>
      <c r="S276" s="479"/>
      <c r="T276" s="479"/>
      <c r="U276" s="479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304">
        <v>30600006</v>
      </c>
      <c r="B277" s="480" t="s">
        <v>222</v>
      </c>
      <c r="C277" s="126" t="s">
        <v>186</v>
      </c>
      <c r="D277" s="108">
        <v>9.36</v>
      </c>
      <c r="E277" s="108"/>
      <c r="F277" s="127"/>
      <c r="G277" s="128"/>
      <c r="H277" s="488">
        <f t="shared" si="116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20"/>
        <v>0</v>
      </c>
      <c r="N277" s="130">
        <f t="shared" si="121"/>
        <v>0</v>
      </c>
      <c r="O277" s="479"/>
      <c r="P277" s="479"/>
      <c r="Q277" s="479"/>
      <c r="R277" s="479"/>
      <c r="S277" s="479"/>
      <c r="T277" s="479"/>
      <c r="U277" s="479"/>
      <c r="V277" s="132">
        <f t="shared" si="124"/>
        <v>0</v>
      </c>
      <c r="W277" s="133" t="str">
        <f t="shared" si="123"/>
        <v/>
      </c>
      <c r="X277" s="132"/>
      <c r="Y277" s="132"/>
      <c r="Z277" s="132"/>
      <c r="AA277" s="132"/>
    </row>
    <row r="278" spans="1:27" ht="20.100000000000001" hidden="1" customHeight="1">
      <c r="A278" s="299">
        <v>30400026</v>
      </c>
      <c r="B278" s="480" t="s">
        <v>393</v>
      </c>
      <c r="C278" s="187" t="s">
        <v>395</v>
      </c>
      <c r="D278" s="108">
        <v>5</v>
      </c>
      <c r="E278" s="108"/>
      <c r="F278" s="127"/>
      <c r="G278" s="128"/>
      <c r="H278" s="488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479"/>
      <c r="P278" s="479"/>
      <c r="Q278" s="479"/>
      <c r="R278" s="479"/>
      <c r="S278" s="479"/>
      <c r="T278" s="479"/>
      <c r="U278" s="479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30400028</v>
      </c>
      <c r="B279" s="480" t="s">
        <v>393</v>
      </c>
      <c r="C279" s="187" t="s">
        <v>402</v>
      </c>
      <c r="D279" s="108">
        <v>5</v>
      </c>
      <c r="E279" s="108"/>
      <c r="F279" s="127"/>
      <c r="G279" s="128"/>
      <c r="H279" s="488">
        <f t="shared" si="116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479"/>
      <c r="P279" s="479"/>
      <c r="Q279" s="479"/>
      <c r="R279" s="479"/>
      <c r="S279" s="479"/>
      <c r="T279" s="479"/>
      <c r="U279" s="479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>
        <v>30400027</v>
      </c>
      <c r="B280" s="480" t="s">
        <v>404</v>
      </c>
      <c r="C280" s="187" t="s">
        <v>405</v>
      </c>
      <c r="D280" s="108">
        <v>5</v>
      </c>
      <c r="E280" s="108"/>
      <c r="F280" s="127"/>
      <c r="G280" s="128"/>
      <c r="H280" s="488">
        <f t="shared" si="116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479"/>
      <c r="P280" s="479"/>
      <c r="Q280" s="479"/>
      <c r="R280" s="479"/>
      <c r="S280" s="479"/>
      <c r="T280" s="479"/>
      <c r="U280" s="479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/>
      <c r="B281" s="480" t="s">
        <v>342</v>
      </c>
      <c r="C281" s="187" t="s">
        <v>372</v>
      </c>
      <c r="D281" s="108">
        <v>5</v>
      </c>
      <c r="E281" s="108"/>
      <c r="F281" s="127"/>
      <c r="G281" s="128"/>
      <c r="H281" s="488">
        <f t="shared" si="116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479"/>
      <c r="P281" s="479"/>
      <c r="Q281" s="479"/>
      <c r="R281" s="479"/>
      <c r="S281" s="479"/>
      <c r="T281" s="479"/>
      <c r="U281" s="479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30600009</v>
      </c>
      <c r="B282" s="480" t="s">
        <v>343</v>
      </c>
      <c r="C282" s="126" t="s">
        <v>345</v>
      </c>
      <c r="D282" s="108">
        <v>5</v>
      </c>
      <c r="E282" s="108"/>
      <c r="F282" s="127"/>
      <c r="G282" s="128"/>
      <c r="H282" s="488">
        <f t="shared" si="116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479"/>
      <c r="P282" s="479"/>
      <c r="Q282" s="479"/>
      <c r="R282" s="479"/>
      <c r="S282" s="479"/>
      <c r="T282" s="479"/>
      <c r="U282" s="479"/>
      <c r="V282" s="132"/>
      <c r="W282" s="133"/>
      <c r="X282" s="132"/>
      <c r="Y282" s="132"/>
      <c r="Z282" s="132"/>
      <c r="AA282" s="132"/>
    </row>
    <row r="283" spans="1:27" ht="20.100000000000001" customHeight="1">
      <c r="A283" s="299">
        <v>30600010</v>
      </c>
      <c r="B283" s="480" t="s">
        <v>343</v>
      </c>
      <c r="C283" s="126" t="s">
        <v>347</v>
      </c>
      <c r="D283" s="108">
        <v>5</v>
      </c>
      <c r="E283" s="108"/>
      <c r="F283" s="127">
        <v>42737</v>
      </c>
      <c r="G283" s="128">
        <v>58</v>
      </c>
      <c r="H283" s="488">
        <f t="shared" si="116"/>
        <v>290</v>
      </c>
      <c r="I283" s="129">
        <v>11</v>
      </c>
      <c r="J283" s="130">
        <f t="array" ref="J283">IF(ISERROR(G283/I283),"",G283/I283)</f>
        <v>5.2727272727272725</v>
      </c>
      <c r="K283" s="131">
        <f t="array" ref="K283">IF(ISERROR(G283/L283),"",G283/L283)</f>
        <v>11.6</v>
      </c>
      <c r="L283" s="129">
        <v>5</v>
      </c>
      <c r="M283" s="109">
        <f t="shared" si="120"/>
        <v>-0.59999999999999964</v>
      </c>
      <c r="N283" s="130">
        <f t="shared" si="121"/>
        <v>0</v>
      </c>
      <c r="O283" s="479"/>
      <c r="P283" s="479"/>
      <c r="Q283" s="479"/>
      <c r="R283" s="479"/>
      <c r="S283" s="479"/>
      <c r="T283" s="479"/>
      <c r="U283" s="479"/>
      <c r="V283" s="132"/>
      <c r="W283" s="133"/>
      <c r="X283" s="132"/>
      <c r="Y283" s="132"/>
      <c r="Z283" s="132"/>
      <c r="AA283" s="132"/>
    </row>
    <row r="284" spans="1:27" ht="20.10000000000000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>
        <v>42742</v>
      </c>
      <c r="G284" s="128">
        <f>56+100*4</f>
        <v>456</v>
      </c>
      <c r="H284" s="488">
        <f t="shared" si="116"/>
        <v>2307.3599999999997</v>
      </c>
      <c r="I284" s="129">
        <f>11.5*4</f>
        <v>46</v>
      </c>
      <c r="J284" s="130">
        <f t="array" ref="J284">IF(ISERROR(G284/I284),"",G284/I284)</f>
        <v>9.9130434782608692</v>
      </c>
      <c r="K284" s="131">
        <f t="array" ref="K284">IF(ISERROR(G284/L284),"",G284/L284)</f>
        <v>29.419354838709676</v>
      </c>
      <c r="L284" s="129">
        <v>15.5</v>
      </c>
      <c r="M284" s="109">
        <f t="shared" si="120"/>
        <v>16.580645161290324</v>
      </c>
      <c r="N284" s="130">
        <f t="shared" si="121"/>
        <v>0</v>
      </c>
      <c r="O284" s="479"/>
      <c r="P284" s="479"/>
      <c r="Q284" s="479"/>
      <c r="R284" s="479"/>
      <c r="S284" s="479"/>
      <c r="T284" s="479"/>
      <c r="U284" s="479"/>
      <c r="V284" s="132">
        <f t="shared" ref="V284:V285" si="125">SUM(X284:AA284)</f>
        <v>0</v>
      </c>
      <c r="W284" s="133">
        <f t="shared" ref="W284:W285" si="126">IF(ISERROR(V284/G284),"",V284/G284)</f>
        <v>0</v>
      </c>
      <c r="X284" s="132"/>
      <c r="Y284" s="132"/>
      <c r="Z284" s="132"/>
      <c r="AA284" s="132"/>
    </row>
    <row r="285" spans="1:27" ht="20.100000000000001" hidden="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28"/>
      <c r="H285" s="488">
        <f t="shared" si="116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20"/>
        <v>0</v>
      </c>
      <c r="N285" s="130">
        <f t="shared" si="121"/>
        <v>0</v>
      </c>
      <c r="O285" s="479"/>
      <c r="P285" s="479"/>
      <c r="Q285" s="479"/>
      <c r="R285" s="479"/>
      <c r="S285" s="479"/>
      <c r="T285" s="479"/>
      <c r="U285" s="479"/>
      <c r="V285" s="132">
        <f t="shared" si="125"/>
        <v>0</v>
      </c>
      <c r="W285" s="133" t="str">
        <f t="shared" si="126"/>
        <v/>
      </c>
      <c r="X285" s="132"/>
      <c r="Y285" s="132"/>
      <c r="Z285" s="132"/>
      <c r="AA285" s="132"/>
    </row>
    <row r="286" spans="1:27" ht="20.100000000000001" hidden="1" customHeight="1">
      <c r="A286" s="299">
        <v>30400004</v>
      </c>
      <c r="B286" s="151" t="s">
        <v>419</v>
      </c>
      <c r="C286" s="187" t="s">
        <v>73</v>
      </c>
      <c r="D286" s="108">
        <v>5.03</v>
      </c>
      <c r="E286" s="108"/>
      <c r="F286" s="127"/>
      <c r="G286" s="128"/>
      <c r="H286" s="488">
        <f t="shared" si="116"/>
        <v>0</v>
      </c>
      <c r="I286" s="129"/>
      <c r="J286" s="130"/>
      <c r="K286" s="131"/>
      <c r="L286" s="129">
        <v>24</v>
      </c>
      <c r="M286" s="109"/>
      <c r="N286" s="130"/>
      <c r="O286" s="479"/>
      <c r="P286" s="479"/>
      <c r="Q286" s="479"/>
      <c r="R286" s="479"/>
      <c r="S286" s="479"/>
      <c r="T286" s="479"/>
      <c r="U286" s="479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/>
      <c r="G287" s="128"/>
      <c r="H287" s="488">
        <f t="shared" si="116"/>
        <v>0</v>
      </c>
      <c r="I287" s="129"/>
      <c r="J287" s="130"/>
      <c r="K287" s="131"/>
      <c r="L287" s="129">
        <v>24</v>
      </c>
      <c r="M287" s="109"/>
      <c r="N287" s="130"/>
      <c r="O287" s="479"/>
      <c r="P287" s="479"/>
      <c r="Q287" s="479"/>
      <c r="R287" s="479"/>
      <c r="S287" s="479"/>
      <c r="T287" s="479"/>
      <c r="U287" s="479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/>
      <c r="G288" s="128"/>
      <c r="H288" s="488">
        <f t="shared" si="116"/>
        <v>0</v>
      </c>
      <c r="I288" s="129"/>
      <c r="J288" s="130"/>
      <c r="K288" s="131"/>
      <c r="L288" s="129">
        <v>24</v>
      </c>
      <c r="M288" s="109"/>
      <c r="N288" s="130"/>
      <c r="O288" s="479"/>
      <c r="P288" s="479"/>
      <c r="Q288" s="479"/>
      <c r="R288" s="479"/>
      <c r="S288" s="479"/>
      <c r="T288" s="479"/>
      <c r="U288" s="479"/>
      <c r="V288" s="132"/>
      <c r="W288" s="133"/>
      <c r="X288" s="132"/>
      <c r="Y288" s="132"/>
      <c r="Z288" s="132"/>
      <c r="AA288" s="132"/>
    </row>
    <row r="289" spans="1:27" ht="20.10000000000000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>
        <v>42740</v>
      </c>
      <c r="G289" s="128">
        <f>100+15</f>
        <v>115</v>
      </c>
      <c r="H289" s="488">
        <f t="shared" si="116"/>
        <v>583.05000000000007</v>
      </c>
      <c r="I289" s="129">
        <f>7*4</f>
        <v>28</v>
      </c>
      <c r="J289" s="130">
        <f t="array" ref="J289">IF(ISERROR(G289/I289),"",G289/I289)</f>
        <v>4.1071428571428568</v>
      </c>
      <c r="K289" s="131">
        <f t="array" ref="K289">IF(ISERROR(G289/L289),"",G289/L289)</f>
        <v>12.777777777777779</v>
      </c>
      <c r="L289" s="129">
        <v>9</v>
      </c>
      <c r="M289" s="109">
        <f t="shared" ref="M289:M291" si="127">IF(ISERROR(I289-K289),"",I289-K289)</f>
        <v>15.222222222222221</v>
      </c>
      <c r="N289" s="130">
        <f t="shared" ref="N289:N291" si="128">SUM(O289:U289)</f>
        <v>0</v>
      </c>
      <c r="O289" s="479"/>
      <c r="P289" s="479"/>
      <c r="Q289" s="479"/>
      <c r="R289" s="479"/>
      <c r="S289" s="479"/>
      <c r="T289" s="479"/>
      <c r="U289" s="479"/>
      <c r="V289" s="132">
        <f t="shared" ref="V289:V291" si="129">SUM(X289:AA289)</f>
        <v>0</v>
      </c>
      <c r="W289" s="133">
        <f t="shared" ref="W289:W313" si="130">IF(ISERROR(V289/G289),"",V289/G289)</f>
        <v>0</v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28"/>
      <c r="H290" s="488">
        <f t="shared" si="116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479"/>
      <c r="P290" s="479"/>
      <c r="Q290" s="479"/>
      <c r="R290" s="479"/>
      <c r="S290" s="479"/>
      <c r="T290" s="479"/>
      <c r="U290" s="479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hidden="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/>
      <c r="G291" s="128"/>
      <c r="H291" s="488">
        <f t="shared" si="116"/>
        <v>0</v>
      </c>
      <c r="I291" s="129"/>
      <c r="J291" s="130" t="str">
        <f t="array" ref="J291">IF(ISERROR(G291/I291),"",G291/I291)</f>
        <v/>
      </c>
      <c r="K291" s="488">
        <f t="array" ref="K291">IF(ISERROR(G291/L291),"",G291/L291)</f>
        <v>0</v>
      </c>
      <c r="L291" s="129">
        <v>9</v>
      </c>
      <c r="M291" s="109">
        <f t="shared" si="127"/>
        <v>0</v>
      </c>
      <c r="N291" s="130">
        <f t="shared" si="128"/>
        <v>0</v>
      </c>
      <c r="O291" s="479"/>
      <c r="P291" s="479"/>
      <c r="Q291" s="479"/>
      <c r="R291" s="479"/>
      <c r="S291" s="479"/>
      <c r="T291" s="479"/>
      <c r="U291" s="479"/>
      <c r="V291" s="132">
        <f t="shared" si="129"/>
        <v>0</v>
      </c>
      <c r="W291" s="133" t="str">
        <f t="shared" si="130"/>
        <v/>
      </c>
      <c r="X291" s="132"/>
      <c r="Y291" s="132"/>
      <c r="Z291" s="132"/>
      <c r="AA291" s="132"/>
    </row>
    <row r="292" spans="1:27" ht="20.100000000000001" customHeight="1">
      <c r="A292" s="578" t="s">
        <v>224</v>
      </c>
      <c r="B292" s="579"/>
      <c r="C292" s="486" t="s">
        <v>202</v>
      </c>
      <c r="D292" s="143"/>
      <c r="E292" s="143"/>
      <c r="F292" s="144"/>
      <c r="G292" s="145">
        <f>SUM(G258:G291)</f>
        <v>657</v>
      </c>
      <c r="H292" s="146">
        <f>SUM(H258:H291)</f>
        <v>3321.25</v>
      </c>
      <c r="I292" s="146">
        <f>SUM(I258:I291)</f>
        <v>88</v>
      </c>
      <c r="J292" s="130">
        <f t="array" ref="J292">IF(ISERROR(G292/I292),"",G292/I292)</f>
        <v>7.4659090909090908</v>
      </c>
      <c r="K292" s="146">
        <f>SUM(K258:K291)</f>
        <v>56.97895079830564</v>
      </c>
      <c r="L292" s="147"/>
      <c r="M292" s="150">
        <f t="shared" ref="M292:V292" si="131">SUM(M258:M291)</f>
        <v>31.021049201694364</v>
      </c>
      <c r="N292" s="146">
        <f t="shared" si="131"/>
        <v>0</v>
      </c>
      <c r="O292" s="148">
        <f t="shared" si="131"/>
        <v>0</v>
      </c>
      <c r="P292" s="148">
        <f t="shared" si="131"/>
        <v>0</v>
      </c>
      <c r="Q292" s="148">
        <f t="shared" si="131"/>
        <v>0</v>
      </c>
      <c r="R292" s="148">
        <f t="shared" si="131"/>
        <v>0</v>
      </c>
      <c r="S292" s="148">
        <f t="shared" si="131"/>
        <v>0</v>
      </c>
      <c r="T292" s="148">
        <f t="shared" si="131"/>
        <v>0</v>
      </c>
      <c r="U292" s="148">
        <f t="shared" si="131"/>
        <v>0</v>
      </c>
      <c r="V292" s="149">
        <f t="shared" si="131"/>
        <v>0</v>
      </c>
      <c r="W292" s="133">
        <f t="shared" si="130"/>
        <v>0</v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>
        <v>42742</v>
      </c>
      <c r="G293" s="128">
        <f>90*6-90</f>
        <v>450</v>
      </c>
      <c r="H293" s="488">
        <f t="shared" ref="H293:H307" si="132">D293*G293</f>
        <v>2263.5</v>
      </c>
      <c r="I293" s="129">
        <f>11.5*2</f>
        <v>23</v>
      </c>
      <c r="J293" s="130">
        <f t="array" ref="J293">IF(ISERROR(G293/I293),"",G293/I293)</f>
        <v>19.565217391304348</v>
      </c>
      <c r="K293" s="131">
        <f t="array" ref="K293">IF(ISERROR(G293/L293),"",G293/L293)</f>
        <v>18</v>
      </c>
      <c r="L293" s="129">
        <v>25</v>
      </c>
      <c r="M293" s="109">
        <f t="shared" ref="M293:M307" si="133">IF(ISERROR(I293-K293),"",I293-K293)</f>
        <v>5</v>
      </c>
      <c r="N293" s="130">
        <f t="shared" ref="N293:N307" si="134">SUM(O293:U293)</f>
        <v>0</v>
      </c>
      <c r="O293" s="479"/>
      <c r="P293" s="479"/>
      <c r="Q293" s="479"/>
      <c r="R293" s="479"/>
      <c r="S293" s="479"/>
      <c r="T293" s="479"/>
      <c r="U293" s="479"/>
      <c r="V293" s="132">
        <f t="shared" ref="V293:V307" si="135">SUM(X293:AA293)</f>
        <v>0</v>
      </c>
      <c r="W293" s="133">
        <f t="shared" si="130"/>
        <v>0</v>
      </c>
      <c r="X293" s="132"/>
      <c r="Y293" s="132"/>
      <c r="Z293" s="132"/>
      <c r="AA293" s="132"/>
    </row>
    <row r="294" spans="1:27" ht="20.100000000000001" hidden="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/>
      <c r="G294" s="128"/>
      <c r="H294" s="488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25</v>
      </c>
      <c r="M294" s="109">
        <f t="shared" si="133"/>
        <v>0</v>
      </c>
      <c r="N294" s="130">
        <f t="shared" si="134"/>
        <v>0</v>
      </c>
      <c r="O294" s="479"/>
      <c r="P294" s="479"/>
      <c r="Q294" s="479"/>
      <c r="R294" s="479"/>
      <c r="S294" s="479"/>
      <c r="T294" s="479"/>
      <c r="U294" s="479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>
        <v>42743</v>
      </c>
      <c r="G295" s="128">
        <f>35+100*4</f>
        <v>435</v>
      </c>
      <c r="H295" s="488">
        <f t="shared" si="132"/>
        <v>2192.4</v>
      </c>
      <c r="I295" s="129">
        <f>10.5*3</f>
        <v>31.5</v>
      </c>
      <c r="J295" s="130">
        <f t="array" ref="J295">IF(ISERROR(G295/I295),"",G295/I295)</f>
        <v>13.80952380952381</v>
      </c>
      <c r="K295" s="131">
        <f t="array" ref="K295">IF(ISERROR(G295/L295),"",G295/L295)</f>
        <v>21.75</v>
      </c>
      <c r="L295" s="129">
        <v>20</v>
      </c>
      <c r="M295" s="109">
        <f t="shared" si="133"/>
        <v>9.75</v>
      </c>
      <c r="N295" s="130">
        <f t="shared" si="134"/>
        <v>0</v>
      </c>
      <c r="O295" s="479"/>
      <c r="P295" s="479"/>
      <c r="Q295" s="479"/>
      <c r="R295" s="479"/>
      <c r="S295" s="479"/>
      <c r="T295" s="479"/>
      <c r="U295" s="479"/>
      <c r="V295" s="132">
        <f t="shared" si="135"/>
        <v>0</v>
      </c>
      <c r="W295" s="133">
        <f t="shared" si="130"/>
        <v>0</v>
      </c>
      <c r="X295" s="132"/>
      <c r="Y295" s="132"/>
      <c r="Z295" s="132"/>
      <c r="AA295" s="132"/>
    </row>
    <row r="296" spans="1:27" ht="20.100000000000001" hidden="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28"/>
      <c r="H296" s="488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479"/>
      <c r="P296" s="479"/>
      <c r="Q296" s="479"/>
      <c r="R296" s="479"/>
      <c r="S296" s="479"/>
      <c r="T296" s="479"/>
      <c r="U296" s="479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30100054</v>
      </c>
      <c r="B297" s="140" t="s">
        <v>227</v>
      </c>
      <c r="C297" s="484" t="s">
        <v>203</v>
      </c>
      <c r="D297" s="108">
        <v>5.03</v>
      </c>
      <c r="E297" s="108"/>
      <c r="F297" s="127"/>
      <c r="G297" s="128"/>
      <c r="H297" s="488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479"/>
      <c r="P297" s="479"/>
      <c r="Q297" s="479"/>
      <c r="R297" s="479"/>
      <c r="S297" s="479"/>
      <c r="T297" s="479"/>
      <c r="U297" s="479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/>
      <c r="G298" s="128"/>
      <c r="H298" s="488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479"/>
      <c r="P298" s="479"/>
      <c r="Q298" s="479"/>
      <c r="R298" s="479"/>
      <c r="S298" s="479"/>
      <c r="T298" s="479"/>
      <c r="U298" s="479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28"/>
      <c r="H299" s="488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479"/>
      <c r="P299" s="479"/>
      <c r="Q299" s="479"/>
      <c r="R299" s="479"/>
      <c r="S299" s="479"/>
      <c r="T299" s="479"/>
      <c r="U299" s="479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/>
      <c r="B300" s="140" t="s">
        <v>227</v>
      </c>
      <c r="C300" s="484" t="s">
        <v>228</v>
      </c>
      <c r="D300" s="108">
        <v>5.03</v>
      </c>
      <c r="E300" s="108"/>
      <c r="F300" s="127"/>
      <c r="G300" s="128"/>
      <c r="H300" s="488">
        <f t="shared" si="132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3"/>
        <v>0</v>
      </c>
      <c r="N300" s="130">
        <f t="shared" si="134"/>
        <v>0</v>
      </c>
      <c r="O300" s="479"/>
      <c r="P300" s="479"/>
      <c r="Q300" s="479"/>
      <c r="R300" s="479"/>
      <c r="S300" s="479"/>
      <c r="T300" s="479"/>
      <c r="U300" s="479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30101067</v>
      </c>
      <c r="B301" s="140" t="s">
        <v>229</v>
      </c>
      <c r="C301" s="484" t="s">
        <v>212</v>
      </c>
      <c r="D301" s="108">
        <v>5.03</v>
      </c>
      <c r="E301" s="108"/>
      <c r="F301" s="127"/>
      <c r="G301" s="128"/>
      <c r="H301" s="488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479"/>
      <c r="P301" s="479"/>
      <c r="Q301" s="479"/>
      <c r="R301" s="479"/>
      <c r="S301" s="479"/>
      <c r="T301" s="479"/>
      <c r="U301" s="479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30101068</v>
      </c>
      <c r="B302" s="140" t="s">
        <v>229</v>
      </c>
      <c r="C302" s="484" t="s">
        <v>203</v>
      </c>
      <c r="D302" s="108">
        <v>5.03</v>
      </c>
      <c r="E302" s="108"/>
      <c r="F302" s="127"/>
      <c r="G302" s="128"/>
      <c r="H302" s="488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479"/>
      <c r="P302" s="479"/>
      <c r="Q302" s="479"/>
      <c r="R302" s="479"/>
      <c r="S302" s="479"/>
      <c r="T302" s="479"/>
      <c r="U302" s="479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30101069</v>
      </c>
      <c r="B303" s="140" t="s">
        <v>229</v>
      </c>
      <c r="C303" s="484" t="s">
        <v>186</v>
      </c>
      <c r="D303" s="108">
        <v>5.03</v>
      </c>
      <c r="E303" s="108"/>
      <c r="F303" s="127"/>
      <c r="G303" s="128"/>
      <c r="H303" s="488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479"/>
      <c r="P303" s="479"/>
      <c r="Q303" s="479"/>
      <c r="R303" s="479"/>
      <c r="S303" s="479"/>
      <c r="T303" s="479"/>
      <c r="U303" s="479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30101070</v>
      </c>
      <c r="B304" s="140" t="s">
        <v>229</v>
      </c>
      <c r="C304" s="484" t="s">
        <v>228</v>
      </c>
      <c r="D304" s="108">
        <v>5.03</v>
      </c>
      <c r="E304" s="108"/>
      <c r="F304" s="127"/>
      <c r="G304" s="128"/>
      <c r="H304" s="488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479"/>
      <c r="P304" s="479"/>
      <c r="Q304" s="479"/>
      <c r="R304" s="479"/>
      <c r="S304" s="479"/>
      <c r="T304" s="479"/>
      <c r="U304" s="479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299">
        <v>30101071</v>
      </c>
      <c r="B305" s="140" t="s">
        <v>229</v>
      </c>
      <c r="C305" s="484" t="s">
        <v>199</v>
      </c>
      <c r="D305" s="108">
        <v>5.03</v>
      </c>
      <c r="E305" s="108"/>
      <c r="F305" s="127"/>
      <c r="G305" s="128"/>
      <c r="H305" s="488">
        <f t="shared" si="132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3"/>
        <v/>
      </c>
      <c r="N305" s="130">
        <f t="shared" si="134"/>
        <v>0</v>
      </c>
      <c r="O305" s="479"/>
      <c r="P305" s="479"/>
      <c r="Q305" s="479"/>
      <c r="R305" s="479"/>
      <c r="S305" s="479"/>
      <c r="T305" s="479"/>
      <c r="U305" s="479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/>
      <c r="G306" s="128"/>
      <c r="H306" s="488">
        <f t="shared" si="132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3"/>
        <v>0</v>
      </c>
      <c r="N306" s="130">
        <f t="shared" si="134"/>
        <v>0</v>
      </c>
      <c r="O306" s="479"/>
      <c r="P306" s="479"/>
      <c r="Q306" s="479"/>
      <c r="R306" s="479"/>
      <c r="S306" s="479"/>
      <c r="T306" s="479"/>
      <c r="U306" s="479"/>
      <c r="V306" s="132">
        <f t="shared" si="135"/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hidden="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/>
      <c r="G307" s="128"/>
      <c r="H307" s="488">
        <f t="shared" si="132"/>
        <v>0</v>
      </c>
      <c r="I307" s="129"/>
      <c r="J307" s="130" t="str">
        <f t="array" ref="J307">IF(ISERROR(G307/I307),"",G307/I307)</f>
        <v/>
      </c>
      <c r="K307" s="131">
        <f t="array" ref="K307">IF(ISERROR(G307/L307),"",G307/L307)</f>
        <v>0</v>
      </c>
      <c r="L307" s="129">
        <v>25</v>
      </c>
      <c r="M307" s="109">
        <f t="shared" si="133"/>
        <v>0</v>
      </c>
      <c r="N307" s="130">
        <f t="shared" si="134"/>
        <v>0</v>
      </c>
      <c r="O307" s="479"/>
      <c r="P307" s="479"/>
      <c r="Q307" s="479"/>
      <c r="R307" s="479"/>
      <c r="S307" s="479"/>
      <c r="T307" s="479"/>
      <c r="U307" s="479"/>
      <c r="V307" s="132">
        <f t="shared" si="135"/>
        <v>0</v>
      </c>
      <c r="W307" s="133" t="str">
        <f t="shared" si="130"/>
        <v/>
      </c>
      <c r="X307" s="132"/>
      <c r="Y307" s="132"/>
      <c r="Z307" s="132"/>
      <c r="AA307" s="132"/>
    </row>
    <row r="308" spans="1:27" ht="20.100000000000001" customHeight="1">
      <c r="A308" s="578" t="s">
        <v>231</v>
      </c>
      <c r="B308" s="579"/>
      <c r="C308" s="486" t="s">
        <v>202</v>
      </c>
      <c r="D308" s="143"/>
      <c r="E308" s="143"/>
      <c r="F308" s="144"/>
      <c r="G308" s="145">
        <f>SUM(G293:G307)</f>
        <v>885</v>
      </c>
      <c r="H308" s="146">
        <f>SUM(H293:H307)</f>
        <v>4455.8999999999996</v>
      </c>
      <c r="I308" s="146">
        <f>SUM(I293:I307)</f>
        <v>54.5</v>
      </c>
      <c r="J308" s="130">
        <f t="array" ref="J308">IF(ISERROR(G308/I308),"",G308/I308)</f>
        <v>16.238532110091743</v>
      </c>
      <c r="K308" s="146">
        <f>SUM(K293:K307)</f>
        <v>39.75</v>
      </c>
      <c r="L308" s="146"/>
      <c r="M308" s="150">
        <f>SUM(M293:M307)</f>
        <v>14.75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>
        <f t="shared" si="130"/>
        <v>0</v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hidden="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28"/>
      <c r="H309" s="488">
        <f t="shared" ref="H309:H318" si="136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6" si="137">IF(ISERROR(I309-K309),"",I309-K309)</f>
        <v>0</v>
      </c>
      <c r="N309" s="130">
        <f t="shared" ref="N309:N313" si="138">SUM(O309:U309)</f>
        <v>0</v>
      </c>
      <c r="O309" s="479"/>
      <c r="P309" s="479"/>
      <c r="Q309" s="479"/>
      <c r="R309" s="479"/>
      <c r="S309" s="479"/>
      <c r="T309" s="479"/>
      <c r="U309" s="479"/>
      <c r="V309" s="132">
        <f t="shared" ref="V309:V313" si="139">SUM(X309:AA309)</f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28"/>
      <c r="H310" s="488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479"/>
      <c r="P310" s="479"/>
      <c r="Q310" s="479"/>
      <c r="R310" s="479"/>
      <c r="S310" s="479"/>
      <c r="T310" s="479"/>
      <c r="U310" s="479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28"/>
      <c r="H311" s="488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479"/>
      <c r="P311" s="479"/>
      <c r="Q311" s="479"/>
      <c r="R311" s="479"/>
      <c r="S311" s="479"/>
      <c r="T311" s="479"/>
      <c r="U311" s="479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28"/>
      <c r="H312" s="488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479"/>
      <c r="P312" s="479"/>
      <c r="Q312" s="479"/>
      <c r="R312" s="479"/>
      <c r="S312" s="479"/>
      <c r="T312" s="479"/>
      <c r="U312" s="479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28"/>
      <c r="H313" s="488">
        <f t="shared" si="136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37"/>
        <v>0</v>
      </c>
      <c r="N313" s="130">
        <f t="shared" si="138"/>
        <v>0</v>
      </c>
      <c r="O313" s="479"/>
      <c r="P313" s="479"/>
      <c r="Q313" s="479"/>
      <c r="R313" s="479"/>
      <c r="S313" s="479"/>
      <c r="T313" s="479"/>
      <c r="U313" s="479"/>
      <c r="V313" s="132">
        <f t="shared" si="139"/>
        <v>0</v>
      </c>
      <c r="W313" s="133" t="str">
        <f t="shared" si="130"/>
        <v/>
      </c>
      <c r="X313" s="132"/>
      <c r="Y313" s="132"/>
      <c r="Z313" s="132"/>
      <c r="AA313" s="132"/>
    </row>
    <row r="314" spans="1:27" ht="20.10000000000000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>
        <v>42741</v>
      </c>
      <c r="G314" s="128">
        <f>12+20</f>
        <v>32</v>
      </c>
      <c r="H314" s="488">
        <f t="shared" si="136"/>
        <v>160.96</v>
      </c>
      <c r="I314" s="129">
        <v>3</v>
      </c>
      <c r="J314" s="130">
        <f t="array" ref="J314">IF(ISERROR(G314/I314),"",G314/I314)</f>
        <v>10.666666666666666</v>
      </c>
      <c r="K314" s="131">
        <f t="array" ref="K314">IF(ISERROR(G314/L314),"",G314/L314)</f>
        <v>2.3703703703703702</v>
      </c>
      <c r="L314" s="129">
        <v>13.5</v>
      </c>
      <c r="M314" s="109">
        <f t="shared" si="137"/>
        <v>0.62962962962962976</v>
      </c>
      <c r="N314" s="130"/>
      <c r="O314" s="479"/>
      <c r="P314" s="479"/>
      <c r="Q314" s="479"/>
      <c r="R314" s="479"/>
      <c r="S314" s="479"/>
      <c r="T314" s="479"/>
      <c r="U314" s="479"/>
      <c r="V314" s="132"/>
      <c r="W314" s="133"/>
      <c r="X314" s="132"/>
      <c r="Y314" s="132"/>
      <c r="Z314" s="132"/>
      <c r="AA314" s="132"/>
    </row>
    <row r="315" spans="1:27" ht="20.100000000000001" hidden="1" customHeight="1">
      <c r="A315" s="300">
        <v>30400020</v>
      </c>
      <c r="B315" s="134" t="s">
        <v>439</v>
      </c>
      <c r="C315" s="187" t="s">
        <v>74</v>
      </c>
      <c r="D315" s="108">
        <v>5.03</v>
      </c>
      <c r="E315" s="108"/>
      <c r="F315" s="127"/>
      <c r="G315" s="128"/>
      <c r="H315" s="488">
        <f t="shared" si="136"/>
        <v>0</v>
      </c>
      <c r="I315" s="129"/>
      <c r="J315" s="130" t="str">
        <f t="array" ref="J315">IF(ISERROR(G315/I315),"",G315/I315)</f>
        <v/>
      </c>
      <c r="K315" s="131">
        <f t="array" ref="K315">IF(ISERROR(G315/L315),"",G315/L315)</f>
        <v>0</v>
      </c>
      <c r="L315" s="129">
        <v>13.5</v>
      </c>
      <c r="M315" s="109">
        <f t="shared" si="137"/>
        <v>0</v>
      </c>
      <c r="N315" s="130"/>
      <c r="O315" s="479"/>
      <c r="P315" s="479"/>
      <c r="Q315" s="479"/>
      <c r="R315" s="479"/>
      <c r="S315" s="479"/>
      <c r="T315" s="479"/>
      <c r="U315" s="479"/>
      <c r="V315" s="132"/>
      <c r="W315" s="133"/>
      <c r="X315" s="132"/>
      <c r="Y315" s="132"/>
      <c r="Z315" s="132"/>
      <c r="AA315" s="132"/>
    </row>
    <row r="316" spans="1:27" ht="20.100000000000001" customHeight="1">
      <c r="A316" s="300">
        <v>30400021</v>
      </c>
      <c r="B316" s="134" t="s">
        <v>439</v>
      </c>
      <c r="C316" s="187" t="s">
        <v>53</v>
      </c>
      <c r="D316" s="108">
        <v>5.03</v>
      </c>
      <c r="E316" s="108"/>
      <c r="F316" s="127">
        <v>42743</v>
      </c>
      <c r="G316" s="128">
        <f>41+90*7</f>
        <v>671</v>
      </c>
      <c r="H316" s="488">
        <f t="shared" si="136"/>
        <v>3375.13</v>
      </c>
      <c r="I316" s="129">
        <f>11.5*4</f>
        <v>46</v>
      </c>
      <c r="J316" s="130">
        <f t="array" ref="J316">IF(ISERROR(G316/I316),"",G316/I316)</f>
        <v>14.586956521739131</v>
      </c>
      <c r="K316" s="131">
        <f t="array" ref="K316">IF(ISERROR(G316/L316),"",G316/L316)</f>
        <v>49.703703703703702</v>
      </c>
      <c r="L316" s="129">
        <v>13.5</v>
      </c>
      <c r="M316" s="109">
        <f t="shared" si="137"/>
        <v>-3.7037037037037024</v>
      </c>
      <c r="N316" s="130"/>
      <c r="O316" s="479"/>
      <c r="P316" s="479"/>
      <c r="Q316" s="479"/>
      <c r="R316" s="479"/>
      <c r="S316" s="479"/>
      <c r="T316" s="479"/>
      <c r="U316" s="479"/>
      <c r="V316" s="132"/>
      <c r="W316" s="133"/>
      <c r="X316" s="132"/>
      <c r="Y316" s="132"/>
      <c r="Z316" s="132"/>
      <c r="AA316" s="132"/>
    </row>
    <row r="317" spans="1:27" ht="20.100000000000001" hidden="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/>
      <c r="G317" s="128"/>
      <c r="H317" s="488">
        <f t="shared" si="136"/>
        <v>0</v>
      </c>
      <c r="I317" s="129"/>
      <c r="J317" s="130"/>
      <c r="K317" s="131"/>
      <c r="L317" s="129"/>
      <c r="M317" s="109"/>
      <c r="N317" s="130"/>
      <c r="O317" s="479"/>
      <c r="P317" s="479"/>
      <c r="Q317" s="479"/>
      <c r="R317" s="479"/>
      <c r="S317" s="479"/>
      <c r="T317" s="479"/>
      <c r="U317" s="479"/>
      <c r="V317" s="132"/>
      <c r="W317" s="133"/>
      <c r="X317" s="132"/>
      <c r="Y317" s="132"/>
      <c r="Z317" s="132"/>
      <c r="AA317" s="132"/>
    </row>
    <row r="318" spans="1:27" ht="20.100000000000001" hidden="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28"/>
      <c r="H318" s="488">
        <f t="shared" si="136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ref="M318" si="140">IF(ISERROR(I318-K318),"",I318-K318)</f>
        <v>0</v>
      </c>
      <c r="N318" s="130">
        <f t="shared" ref="N318" si="141">SUM(O318:U318)</f>
        <v>0</v>
      </c>
      <c r="O318" s="479"/>
      <c r="P318" s="479"/>
      <c r="Q318" s="479"/>
      <c r="R318" s="479"/>
      <c r="S318" s="479"/>
      <c r="T318" s="479"/>
      <c r="U318" s="479"/>
      <c r="V318" s="132">
        <f t="shared" ref="V318" si="142">SUM(X318:AA318)</f>
        <v>0</v>
      </c>
      <c r="W318" s="133" t="str">
        <f t="shared" ref="W318:W323" si="143">IF(ISERROR(V318/G318),"",V318/G318)</f>
        <v/>
      </c>
      <c r="X318" s="132"/>
      <c r="Y318" s="132"/>
      <c r="Z318" s="132"/>
      <c r="AA318" s="132"/>
    </row>
    <row r="319" spans="1:27" ht="20.100000000000001" customHeight="1">
      <c r="A319" s="578" t="s">
        <v>234</v>
      </c>
      <c r="B319" s="579"/>
      <c r="C319" s="486" t="s">
        <v>202</v>
      </c>
      <c r="D319" s="143"/>
      <c r="E319" s="143"/>
      <c r="F319" s="144"/>
      <c r="G319" s="145">
        <f>SUM(G309:G318)</f>
        <v>703</v>
      </c>
      <c r="H319" s="146">
        <f>SUM(H309:H318)</f>
        <v>3536.09</v>
      </c>
      <c r="I319" s="146">
        <f>SUM(I309:I318)</f>
        <v>49</v>
      </c>
      <c r="J319" s="130">
        <f t="array" ref="J319">IF(ISERROR(G319/I319),"",G319/I319)</f>
        <v>14.346938775510203</v>
      </c>
      <c r="K319" s="146">
        <f>SUM(K309:K318)</f>
        <v>52.074074074074076</v>
      </c>
      <c r="L319" s="147"/>
      <c r="M319" s="150">
        <f>SUM(M309:M318)</f>
        <v>-3.0740740740740726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>
        <f t="shared" si="143"/>
        <v>0</v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hidden="1" customHeight="1">
      <c r="A320" s="299">
        <v>30700013</v>
      </c>
      <c r="B320" s="141" t="s">
        <v>235</v>
      </c>
      <c r="C320" s="478"/>
      <c r="D320" s="108">
        <v>3.65</v>
      </c>
      <c r="E320" s="108"/>
      <c r="F320" s="153"/>
      <c r="G320" s="128"/>
      <c r="H320" s="488">
        <f t="shared" ref="H320:H333" si="144">D320*G320</f>
        <v>0</v>
      </c>
      <c r="I320" s="129"/>
      <c r="J320" s="130" t="str">
        <f t="array" ref="J320">IF(ISERROR(G320/I320),"",G320/I320)</f>
        <v/>
      </c>
      <c r="K320" s="488">
        <f t="array" ref="K320">IF(ISERROR(G320/L320),"",G320/L320)</f>
        <v>0</v>
      </c>
      <c r="L320" s="129">
        <v>5</v>
      </c>
      <c r="M320" s="109">
        <f t="shared" ref="M320:M323" si="145">IF(ISERROR(I320-K320),"",I320-K320)</f>
        <v>0</v>
      </c>
      <c r="N320" s="130">
        <f t="shared" ref="N320:N323" si="146">SUM(O320:U320)</f>
        <v>0</v>
      </c>
      <c r="O320" s="479"/>
      <c r="P320" s="479"/>
      <c r="Q320" s="479"/>
      <c r="R320" s="479"/>
      <c r="S320" s="479"/>
      <c r="T320" s="479"/>
      <c r="U320" s="479"/>
      <c r="V320" s="132">
        <f t="shared" ref="V320:V323" si="147">SUM(X320:AA320)</f>
        <v>0</v>
      </c>
      <c r="W320" s="133" t="str">
        <f t="shared" si="143"/>
        <v/>
      </c>
      <c r="X320" s="132"/>
      <c r="Y320" s="132"/>
      <c r="Z320" s="132"/>
      <c r="AA320" s="132"/>
    </row>
    <row r="321" spans="1:27" ht="20.100000000000001" customHeight="1">
      <c r="A321" s="299">
        <v>30700014</v>
      </c>
      <c r="B321" s="141" t="s">
        <v>236</v>
      </c>
      <c r="C321" s="478"/>
      <c r="D321" s="108">
        <v>6.58</v>
      </c>
      <c r="E321" s="108"/>
      <c r="F321" s="127">
        <v>42738</v>
      </c>
      <c r="G321" s="152">
        <f>31+1+31+38+5-5</f>
        <v>101</v>
      </c>
      <c r="H321" s="488">
        <f t="shared" si="144"/>
        <v>664.58</v>
      </c>
      <c r="I321" s="129">
        <v>22</v>
      </c>
      <c r="J321" s="130">
        <f t="array" ref="J321">IF(ISERROR(G321/I321),"",G321/I321)</f>
        <v>4.5909090909090908</v>
      </c>
      <c r="K321" s="131">
        <f t="array" ref="K321">IF(ISERROR(G321/L321),"",G321/L321)</f>
        <v>20.2</v>
      </c>
      <c r="L321" s="129">
        <v>5</v>
      </c>
      <c r="M321" s="109">
        <f t="shared" si="145"/>
        <v>1.8000000000000007</v>
      </c>
      <c r="N321" s="130">
        <f t="shared" si="146"/>
        <v>0</v>
      </c>
      <c r="O321" s="479"/>
      <c r="P321" s="479"/>
      <c r="Q321" s="479"/>
      <c r="R321" s="479"/>
      <c r="S321" s="479"/>
      <c r="T321" s="479"/>
      <c r="U321" s="479"/>
      <c r="V321" s="132">
        <f t="shared" si="147"/>
        <v>0</v>
      </c>
      <c r="W321" s="133">
        <f t="shared" si="143"/>
        <v>0</v>
      </c>
      <c r="X321" s="132"/>
      <c r="Y321" s="132"/>
      <c r="Z321" s="132"/>
      <c r="AA321" s="132"/>
    </row>
    <row r="322" spans="1:27" ht="20.100000000000001" customHeight="1">
      <c r="A322" s="299">
        <v>30700016</v>
      </c>
      <c r="B322" s="141" t="s">
        <v>237</v>
      </c>
      <c r="C322" s="478"/>
      <c r="D322" s="108">
        <v>7.8</v>
      </c>
      <c r="E322" s="108"/>
      <c r="F322" s="127">
        <v>42738</v>
      </c>
      <c r="G322" s="128">
        <f>32+36</f>
        <v>68</v>
      </c>
      <c r="H322" s="488">
        <f t="shared" si="144"/>
        <v>530.4</v>
      </c>
      <c r="I322" s="129">
        <v>15</v>
      </c>
      <c r="J322" s="130">
        <f t="array" ref="J322">IF(ISERROR(G322/I322),"",G322/I322)</f>
        <v>4.5333333333333332</v>
      </c>
      <c r="K322" s="131">
        <f t="array" ref="K322">IF(ISERROR(G322/L322),"",G322/L322)</f>
        <v>14.782608695652176</v>
      </c>
      <c r="L322" s="129">
        <v>4.5999999999999996</v>
      </c>
      <c r="M322" s="109">
        <f t="shared" si="145"/>
        <v>0.21739130434782439</v>
      </c>
      <c r="N322" s="130">
        <f t="shared" si="146"/>
        <v>0</v>
      </c>
      <c r="O322" s="479"/>
      <c r="P322" s="479"/>
      <c r="Q322" s="479"/>
      <c r="R322" s="479"/>
      <c r="S322" s="479"/>
      <c r="T322" s="479"/>
      <c r="U322" s="479"/>
      <c r="V322" s="132">
        <f t="shared" si="147"/>
        <v>0</v>
      </c>
      <c r="W322" s="133">
        <f t="shared" si="143"/>
        <v>0</v>
      </c>
      <c r="X322" s="132"/>
      <c r="Y322" s="132"/>
      <c r="Z322" s="132"/>
      <c r="AA322" s="132"/>
    </row>
    <row r="323" spans="1:27" ht="20.100000000000001" customHeight="1">
      <c r="A323" s="299">
        <v>30700017</v>
      </c>
      <c r="B323" s="141" t="s">
        <v>238</v>
      </c>
      <c r="C323" s="478"/>
      <c r="D323" s="108">
        <v>4.4000000000000004</v>
      </c>
      <c r="E323" s="108"/>
      <c r="F323" s="127">
        <v>42738</v>
      </c>
      <c r="G323" s="128">
        <v>71</v>
      </c>
      <c r="H323" s="488">
        <f t="shared" si="144"/>
        <v>312.40000000000003</v>
      </c>
      <c r="I323" s="129">
        <v>13</v>
      </c>
      <c r="J323" s="130">
        <f t="array" ref="J323">IF(ISERROR(G323/I323),"",G323/I323)</f>
        <v>5.4615384615384617</v>
      </c>
      <c r="K323" s="131">
        <f t="array" ref="K323">IF(ISERROR(G323/L323),"",G323/L323)</f>
        <v>12.241379310344827</v>
      </c>
      <c r="L323" s="129">
        <v>5.8</v>
      </c>
      <c r="M323" s="109">
        <f t="shared" si="145"/>
        <v>0.7586206896551726</v>
      </c>
      <c r="N323" s="130">
        <f t="shared" si="146"/>
        <v>0</v>
      </c>
      <c r="O323" s="479"/>
      <c r="P323" s="479"/>
      <c r="Q323" s="479"/>
      <c r="R323" s="479"/>
      <c r="S323" s="479"/>
      <c r="T323" s="479"/>
      <c r="U323" s="479"/>
      <c r="V323" s="132">
        <f t="shared" si="147"/>
        <v>0</v>
      </c>
      <c r="W323" s="133">
        <f t="shared" si="143"/>
        <v>0</v>
      </c>
      <c r="X323" s="132"/>
      <c r="Y323" s="132"/>
      <c r="Z323" s="132"/>
      <c r="AA323" s="132"/>
    </row>
    <row r="324" spans="1:27" ht="20.100000000000001" hidden="1" customHeight="1">
      <c r="A324" s="299">
        <v>30700001</v>
      </c>
      <c r="B324" s="127" t="s">
        <v>359</v>
      </c>
      <c r="C324" s="478"/>
      <c r="D324" s="108"/>
      <c r="E324" s="108"/>
      <c r="F324" s="127"/>
      <c r="G324" s="128"/>
      <c r="H324" s="488">
        <f t="shared" si="144"/>
        <v>0</v>
      </c>
      <c r="I324" s="129"/>
      <c r="J324" s="130"/>
      <c r="K324" s="131"/>
      <c r="L324" s="129">
        <v>6</v>
      </c>
      <c r="M324" s="109"/>
      <c r="N324" s="130"/>
      <c r="O324" s="479"/>
      <c r="P324" s="479"/>
      <c r="Q324" s="479"/>
      <c r="R324" s="479"/>
      <c r="S324" s="479"/>
      <c r="T324" s="479"/>
      <c r="U324" s="479"/>
      <c r="V324" s="132"/>
      <c r="W324" s="133"/>
      <c r="X324" s="132"/>
      <c r="Y324" s="132"/>
      <c r="Z324" s="132"/>
      <c r="AA324" s="132"/>
    </row>
    <row r="325" spans="1:27" ht="20.100000000000001" hidden="1" customHeight="1">
      <c r="A325" s="305"/>
      <c r="B325" s="478" t="s">
        <v>239</v>
      </c>
      <c r="C325" s="478" t="s">
        <v>179</v>
      </c>
      <c r="D325" s="108">
        <v>6.04</v>
      </c>
      <c r="E325" s="108"/>
      <c r="F325" s="127"/>
      <c r="G325" s="128"/>
      <c r="H325" s="488">
        <f t="shared" si="144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6" si="148">IF(ISERROR(I325-K325),"",I325-K325)</f>
        <v>0</v>
      </c>
      <c r="N325" s="130">
        <f t="shared" ref="N325:N326" si="149">SUM(O325:U325)</f>
        <v>0</v>
      </c>
      <c r="O325" s="479"/>
      <c r="P325" s="479"/>
      <c r="Q325" s="479"/>
      <c r="R325" s="479"/>
      <c r="S325" s="479"/>
      <c r="T325" s="479"/>
      <c r="U325" s="479"/>
      <c r="V325" s="132">
        <f t="shared" ref="V325:V326" si="150">SUM(X325:AA325)</f>
        <v>0</v>
      </c>
      <c r="W325" s="133" t="str">
        <f t="shared" ref="W325:W326" si="151">IF(ISERROR(V325/G325),"",V325/G325)</f>
        <v/>
      </c>
      <c r="X325" s="132"/>
      <c r="Y325" s="132"/>
      <c r="Z325" s="132"/>
      <c r="AA325" s="132"/>
    </row>
    <row r="326" spans="1:27" ht="20.100000000000001" hidden="1" customHeight="1">
      <c r="A326" s="305">
        <v>30700019</v>
      </c>
      <c r="B326" s="478" t="s">
        <v>239</v>
      </c>
      <c r="C326" s="478" t="s">
        <v>186</v>
      </c>
      <c r="D326" s="108">
        <v>6.04</v>
      </c>
      <c r="E326" s="108"/>
      <c r="F326" s="127"/>
      <c r="G326" s="128"/>
      <c r="H326" s="488">
        <f t="shared" si="144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48"/>
        <v>0</v>
      </c>
      <c r="N326" s="130">
        <f t="shared" si="149"/>
        <v>0</v>
      </c>
      <c r="O326" s="479"/>
      <c r="P326" s="479"/>
      <c r="Q326" s="479"/>
      <c r="R326" s="479"/>
      <c r="S326" s="479"/>
      <c r="T326" s="479"/>
      <c r="U326" s="479"/>
      <c r="V326" s="132">
        <f t="shared" si="150"/>
        <v>0</v>
      </c>
      <c r="W326" s="133" t="str">
        <f t="shared" si="151"/>
        <v/>
      </c>
      <c r="X326" s="132"/>
      <c r="Y326" s="132"/>
      <c r="Z326" s="132"/>
      <c r="AA326" s="132"/>
    </row>
    <row r="327" spans="1:27" ht="20.100000000000001" hidden="1" customHeight="1">
      <c r="A327" s="305">
        <v>30601015</v>
      </c>
      <c r="B327" s="478" t="s">
        <v>443</v>
      </c>
      <c r="C327" s="478" t="s">
        <v>179</v>
      </c>
      <c r="D327" s="108">
        <v>6</v>
      </c>
      <c r="E327" s="108"/>
      <c r="F327" s="127"/>
      <c r="G327" s="128"/>
      <c r="H327" s="488">
        <f t="shared" si="144"/>
        <v>0</v>
      </c>
      <c r="I327" s="129"/>
      <c r="J327" s="130"/>
      <c r="K327" s="131"/>
      <c r="L327" s="129"/>
      <c r="M327" s="109"/>
      <c r="N327" s="130"/>
      <c r="O327" s="479"/>
      <c r="P327" s="479"/>
      <c r="Q327" s="479"/>
      <c r="R327" s="479"/>
      <c r="S327" s="479"/>
      <c r="T327" s="479"/>
      <c r="U327" s="479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305">
        <v>30101016</v>
      </c>
      <c r="B328" s="478" t="s">
        <v>443</v>
      </c>
      <c r="C328" s="478" t="s">
        <v>60</v>
      </c>
      <c r="D328" s="108">
        <v>6</v>
      </c>
      <c r="E328" s="108"/>
      <c r="F328" s="127"/>
      <c r="G328" s="128"/>
      <c r="H328" s="488">
        <f t="shared" si="144"/>
        <v>0</v>
      </c>
      <c r="I328" s="129"/>
      <c r="J328" s="130"/>
      <c r="K328" s="131">
        <f t="array" ref="K328">IF(ISERROR(G328/L328),"",G328/L328)</f>
        <v>0</v>
      </c>
      <c r="L328" s="129">
        <v>6</v>
      </c>
      <c r="M328" s="109"/>
      <c r="N328" s="130"/>
      <c r="O328" s="479"/>
      <c r="P328" s="479"/>
      <c r="Q328" s="479"/>
      <c r="R328" s="479"/>
      <c r="S328" s="479"/>
      <c r="T328" s="479"/>
      <c r="U328" s="479"/>
      <c r="V328" s="132"/>
      <c r="W328" s="133"/>
      <c r="X328" s="132"/>
      <c r="Y328" s="132"/>
      <c r="Z328" s="132"/>
      <c r="AA328" s="132"/>
    </row>
    <row r="329" spans="1:27" ht="20.100000000000001" hidden="1" customHeight="1">
      <c r="A329" s="299">
        <v>30700018</v>
      </c>
      <c r="B329" s="480" t="s">
        <v>240</v>
      </c>
      <c r="C329" s="126"/>
      <c r="D329" s="108">
        <v>7.3</v>
      </c>
      <c r="E329" s="108"/>
      <c r="F329" s="127"/>
      <c r="G329" s="128"/>
      <c r="H329" s="488">
        <f t="shared" si="144"/>
        <v>0</v>
      </c>
      <c r="I329" s="129"/>
      <c r="J329" s="130"/>
      <c r="K329" s="131"/>
      <c r="L329" s="129"/>
      <c r="M329" s="109"/>
      <c r="N329" s="130"/>
      <c r="O329" s="479"/>
      <c r="P329" s="479"/>
      <c r="Q329" s="479"/>
      <c r="R329" s="479"/>
      <c r="S329" s="479"/>
      <c r="T329" s="479"/>
      <c r="U329" s="479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30700010</v>
      </c>
      <c r="B330" s="480" t="s">
        <v>241</v>
      </c>
      <c r="C330" s="126"/>
      <c r="D330" s="108">
        <f>78*120/1000</f>
        <v>9.36</v>
      </c>
      <c r="E330" s="108"/>
      <c r="F330" s="127"/>
      <c r="G330" s="128"/>
      <c r="H330" s="488">
        <f t="shared" si="144"/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2">SUM(O330:U330)</f>
        <v>0</v>
      </c>
      <c r="O330" s="479"/>
      <c r="P330" s="479"/>
      <c r="Q330" s="479"/>
      <c r="R330" s="479"/>
      <c r="S330" s="479"/>
      <c r="T330" s="479"/>
      <c r="U330" s="479"/>
      <c r="V330" s="132">
        <f t="shared" ref="V330" si="153">SUM(X330:AA330)</f>
        <v>0</v>
      </c>
      <c r="W330" s="133" t="str">
        <f t="shared" ref="W330" si="154">IF(ISERROR(V330/G330),"",V330/G330)</f>
        <v/>
      </c>
      <c r="X330" s="132"/>
      <c r="Y330" s="132"/>
      <c r="Z330" s="132"/>
      <c r="AA330" s="132"/>
    </row>
    <row r="331" spans="1:27" ht="20.100000000000001" hidden="1" customHeight="1">
      <c r="A331" s="299">
        <v>30700015</v>
      </c>
      <c r="B331" s="480" t="s">
        <v>242</v>
      </c>
      <c r="C331" s="126"/>
      <c r="D331" s="108">
        <v>4.5</v>
      </c>
      <c r="E331" s="108"/>
      <c r="F331" s="127"/>
      <c r="G331" s="128"/>
      <c r="H331" s="488">
        <f t="shared" si="144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479"/>
      <c r="P331" s="479"/>
      <c r="Q331" s="479"/>
      <c r="R331" s="479"/>
      <c r="S331" s="479"/>
      <c r="T331" s="479"/>
      <c r="U331" s="479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299">
        <v>30700012</v>
      </c>
      <c r="B332" s="480" t="s">
        <v>243</v>
      </c>
      <c r="C332" s="126"/>
      <c r="D332" s="108">
        <v>4.5</v>
      </c>
      <c r="E332" s="108"/>
      <c r="F332" s="127"/>
      <c r="G332" s="128"/>
      <c r="H332" s="488">
        <f t="shared" si="144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479"/>
      <c r="P332" s="479"/>
      <c r="Q332" s="479"/>
      <c r="R332" s="479"/>
      <c r="S332" s="479"/>
      <c r="T332" s="479"/>
      <c r="U332" s="479"/>
      <c r="V332" s="132"/>
      <c r="W332" s="133"/>
      <c r="X332" s="132"/>
      <c r="Y332" s="132"/>
      <c r="Z332" s="132"/>
      <c r="AA332" s="132"/>
    </row>
    <row r="333" spans="1:27" ht="20.100000000000001" hidden="1" customHeight="1">
      <c r="A333" s="299"/>
      <c r="B333" s="199" t="s">
        <v>438</v>
      </c>
      <c r="C333" s="126"/>
      <c r="D333" s="108">
        <v>4.5</v>
      </c>
      <c r="E333" s="108"/>
      <c r="F333" s="127"/>
      <c r="G333" s="128"/>
      <c r="H333" s="488">
        <f t="shared" si="144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479"/>
      <c r="P333" s="479"/>
      <c r="Q333" s="479"/>
      <c r="R333" s="479"/>
      <c r="S333" s="479"/>
      <c r="T333" s="479"/>
      <c r="U333" s="479"/>
      <c r="V333" s="132"/>
      <c r="W333" s="133"/>
      <c r="X333" s="132"/>
      <c r="Y333" s="132"/>
      <c r="Z333" s="132"/>
      <c r="AA333" s="132"/>
    </row>
    <row r="334" spans="1:27" ht="20.100000000000001" customHeight="1">
      <c r="A334" s="578" t="s">
        <v>244</v>
      </c>
      <c r="B334" s="579"/>
      <c r="C334" s="486" t="s">
        <v>202</v>
      </c>
      <c r="D334" s="143"/>
      <c r="E334" s="143"/>
      <c r="F334" s="144"/>
      <c r="G334" s="145">
        <f>SUM(G320:G333)</f>
        <v>240</v>
      </c>
      <c r="H334" s="146">
        <f>SUM(H320:H330)</f>
        <v>1507.38</v>
      </c>
      <c r="I334" s="146">
        <f>SUM(I320:I333)</f>
        <v>50</v>
      </c>
      <c r="J334" s="130">
        <f t="array" ref="J334">IF(ISERROR(G334/I334),"",G334/I334)</f>
        <v>4.8</v>
      </c>
      <c r="K334" s="146">
        <f>SUM(K320:K330)</f>
        <v>47.223988005997001</v>
      </c>
      <c r="L334" s="147"/>
      <c r="M334" s="150">
        <f t="shared" ref="M334:AA334" si="155">SUM(M320:M330)</f>
        <v>2.7760119940029977</v>
      </c>
      <c r="N334" s="146">
        <f t="shared" si="155"/>
        <v>0</v>
      </c>
      <c r="O334" s="148">
        <f t="shared" si="155"/>
        <v>0</v>
      </c>
      <c r="P334" s="148">
        <f t="shared" si="155"/>
        <v>0</v>
      </c>
      <c r="Q334" s="148">
        <f t="shared" si="155"/>
        <v>0</v>
      </c>
      <c r="R334" s="148">
        <f t="shared" si="155"/>
        <v>0</v>
      </c>
      <c r="S334" s="148">
        <f t="shared" si="155"/>
        <v>0</v>
      </c>
      <c r="T334" s="148">
        <f t="shared" si="155"/>
        <v>0</v>
      </c>
      <c r="U334" s="148">
        <f t="shared" si="155"/>
        <v>0</v>
      </c>
      <c r="V334" s="149">
        <f t="shared" si="155"/>
        <v>0</v>
      </c>
      <c r="W334" s="133">
        <f t="shared" si="155"/>
        <v>0</v>
      </c>
      <c r="X334" s="149">
        <f t="shared" si="155"/>
        <v>0</v>
      </c>
      <c r="Y334" s="149">
        <f t="shared" si="155"/>
        <v>0</v>
      </c>
      <c r="Z334" s="149">
        <f t="shared" si="155"/>
        <v>0</v>
      </c>
      <c r="AA334" s="149">
        <f t="shared" si="155"/>
        <v>0</v>
      </c>
    </row>
    <row r="335" spans="1:27" ht="20.100000000000001" customHeight="1">
      <c r="A335" s="580" t="s">
        <v>246</v>
      </c>
      <c r="B335" s="581"/>
      <c r="C335" s="581"/>
      <c r="D335" s="581"/>
      <c r="E335" s="581"/>
      <c r="F335" s="582"/>
      <c r="G335" s="154">
        <f>SUM(G199,G257,G292,G308,G319,G334)</f>
        <v>5749</v>
      </c>
      <c r="H335" s="154">
        <f>SUM(H199,H257,H292,H308,H319,H334)</f>
        <v>29277.82</v>
      </c>
      <c r="I335" s="154">
        <f>SUM(I199,I257,I292,I308,I319,I334)</f>
        <v>359.5</v>
      </c>
      <c r="J335" s="155">
        <f t="array" ref="J335">IF(ISERROR(G335/I335),"",G335/I335)</f>
        <v>15.991655076495132</v>
      </c>
      <c r="K335" s="154">
        <f>SUM(K199,K257,K292,K308,K319,K334)</f>
        <v>306.2734384234559</v>
      </c>
      <c r="L335" s="155">
        <f>IF(ISERROR(G335/K335),"",G335/K335)</f>
        <v>18.7708082999068</v>
      </c>
      <c r="M335" s="154">
        <f t="shared" ref="M335:AA335" si="156">SUM(M199,M257,M292,M308,M319,M334)</f>
        <v>53.226561576544128</v>
      </c>
      <c r="N335" s="154">
        <f t="shared" si="156"/>
        <v>0</v>
      </c>
      <c r="O335" s="154">
        <f t="shared" si="156"/>
        <v>0</v>
      </c>
      <c r="P335" s="154">
        <f t="shared" si="156"/>
        <v>0</v>
      </c>
      <c r="Q335" s="154">
        <f t="shared" si="156"/>
        <v>0</v>
      </c>
      <c r="R335" s="154">
        <f t="shared" si="156"/>
        <v>0</v>
      </c>
      <c r="S335" s="154">
        <f t="shared" si="156"/>
        <v>0</v>
      </c>
      <c r="T335" s="154">
        <f t="shared" si="156"/>
        <v>0</v>
      </c>
      <c r="U335" s="154">
        <f t="shared" si="156"/>
        <v>0</v>
      </c>
      <c r="V335" s="154">
        <f t="shared" si="156"/>
        <v>0</v>
      </c>
      <c r="W335" s="154">
        <f t="shared" si="156"/>
        <v>0</v>
      </c>
      <c r="X335" s="154">
        <f t="shared" si="156"/>
        <v>0</v>
      </c>
      <c r="Y335" s="154">
        <f t="shared" si="156"/>
        <v>0</v>
      </c>
      <c r="Z335" s="154">
        <f t="shared" si="156"/>
        <v>0</v>
      </c>
      <c r="AA335" s="154">
        <f t="shared" si="156"/>
        <v>0</v>
      </c>
    </row>
    <row r="336" spans="1:27" ht="20.100000000000001" customHeight="1">
      <c r="A336" s="583" t="s">
        <v>476</v>
      </c>
      <c r="B336" s="485" t="s">
        <v>247</v>
      </c>
      <c r="C336" s="586" t="s">
        <v>248</v>
      </c>
      <c r="D336" s="587"/>
      <c r="E336" s="588" t="s">
        <v>249</v>
      </c>
      <c r="F336" s="588"/>
      <c r="G336" s="591" t="s">
        <v>250</v>
      </c>
      <c r="H336" s="591"/>
      <c r="I336" s="588" t="s">
        <v>251</v>
      </c>
      <c r="J336" s="588"/>
      <c r="K336" s="588" t="s">
        <v>252</v>
      </c>
      <c r="L336" s="588"/>
      <c r="M336" s="588" t="s">
        <v>253</v>
      </c>
      <c r="N336" s="588"/>
      <c r="O336" s="588" t="s">
        <v>254</v>
      </c>
      <c r="P336" s="591" t="s">
        <v>255</v>
      </c>
      <c r="Q336" s="591"/>
      <c r="R336" s="591" t="s">
        <v>252</v>
      </c>
      <c r="S336" s="591"/>
      <c r="T336" s="591" t="s">
        <v>256</v>
      </c>
      <c r="U336" s="591"/>
      <c r="V336" s="591" t="s">
        <v>257</v>
      </c>
      <c r="W336" s="591"/>
      <c r="X336" s="591" t="s">
        <v>252</v>
      </c>
      <c r="Y336" s="591"/>
      <c r="Z336" s="591" t="s">
        <v>256</v>
      </c>
      <c r="AA336" s="591"/>
    </row>
    <row r="337" spans="1:27" ht="20.100000000000001" customHeight="1">
      <c r="A337" s="584"/>
      <c r="B337" s="485" t="s">
        <v>258</v>
      </c>
      <c r="C337" s="626">
        <v>1</v>
      </c>
      <c r="D337" s="627"/>
      <c r="E337" s="590">
        <f>C337*11</f>
        <v>11</v>
      </c>
      <c r="F337" s="590"/>
      <c r="G337" s="591">
        <v>1</v>
      </c>
      <c r="H337" s="591"/>
      <c r="I337" s="590">
        <f>G337*11</f>
        <v>11</v>
      </c>
      <c r="J337" s="590"/>
      <c r="K337" s="590">
        <f>E337-I337</f>
        <v>0</v>
      </c>
      <c r="L337" s="590"/>
      <c r="M337" s="592">
        <f>IF(ISERROR(K337/E337),"",K337/E337)</f>
        <v>0</v>
      </c>
      <c r="N337" s="592"/>
      <c r="O337" s="588"/>
      <c r="P337" s="591" t="s">
        <v>201</v>
      </c>
      <c r="Q337" s="591"/>
      <c r="R337" s="593">
        <f>SUM(O199:U199)</f>
        <v>0</v>
      </c>
      <c r="S337" s="593"/>
      <c r="T337" s="594" t="str">
        <f t="array" ref="T337">IF(ISERROR(R337/R344),"",R337/R344)</f>
        <v/>
      </c>
      <c r="U337" s="594"/>
      <c r="V337" s="591" t="s">
        <v>259</v>
      </c>
      <c r="W337" s="591"/>
      <c r="X337" s="628">
        <f>SUM(P198,P256,P291,P307,P318,P333)</f>
        <v>0</v>
      </c>
      <c r="Y337" s="629"/>
      <c r="Z337" s="594" t="str">
        <f t="array" ref="Z337">IF(ISERROR(X337/X344),"",X337/X344)</f>
        <v/>
      </c>
      <c r="AA337" s="594"/>
    </row>
    <row r="338" spans="1:27" ht="20.100000000000001" customHeight="1">
      <c r="A338" s="584"/>
      <c r="B338" s="485" t="s">
        <v>260</v>
      </c>
      <c r="C338" s="586">
        <v>0</v>
      </c>
      <c r="D338" s="587"/>
      <c r="E338" s="590">
        <f>C338*11</f>
        <v>0</v>
      </c>
      <c r="F338" s="590"/>
      <c r="G338" s="591">
        <v>0</v>
      </c>
      <c r="H338" s="591"/>
      <c r="I338" s="590">
        <f>G338*11</f>
        <v>0</v>
      </c>
      <c r="J338" s="590"/>
      <c r="K338" s="590">
        <f>E338-I338</f>
        <v>0</v>
      </c>
      <c r="L338" s="590"/>
      <c r="M338" s="592" t="str">
        <f>IF(ISERROR(K338/E338),"",K338/E338)</f>
        <v/>
      </c>
      <c r="N338" s="592"/>
      <c r="O338" s="588"/>
      <c r="P338" s="591" t="s">
        <v>216</v>
      </c>
      <c r="Q338" s="591"/>
      <c r="R338" s="593">
        <f>SUM(O257:U257)</f>
        <v>0</v>
      </c>
      <c r="S338" s="593"/>
      <c r="T338" s="594" t="str">
        <f>IF(ISERROR(R338/R344),"",R338/R344)</f>
        <v/>
      </c>
      <c r="U338" s="594"/>
      <c r="V338" s="591" t="s">
        <v>261</v>
      </c>
      <c r="W338" s="591"/>
      <c r="X338" s="628">
        <f>SUM(P199,P257,P292,P308,P319,P334)</f>
        <v>0</v>
      </c>
      <c r="Y338" s="629"/>
      <c r="Z338" s="594" t="str">
        <f>IF(ISERROR(X338/X344),"",X338/X344)</f>
        <v/>
      </c>
      <c r="AA338" s="594"/>
    </row>
    <row r="339" spans="1:27" ht="20.100000000000001" customHeight="1">
      <c r="A339" s="584"/>
      <c r="B339" s="485" t="s">
        <v>262</v>
      </c>
      <c r="C339" s="586">
        <v>0</v>
      </c>
      <c r="D339" s="587"/>
      <c r="E339" s="590">
        <f>C339*8</f>
        <v>0</v>
      </c>
      <c r="F339" s="590"/>
      <c r="G339" s="591">
        <v>1</v>
      </c>
      <c r="H339" s="591"/>
      <c r="I339" s="590">
        <f>G339*8</f>
        <v>8</v>
      </c>
      <c r="J339" s="590"/>
      <c r="K339" s="590">
        <f>E339-I339</f>
        <v>-8</v>
      </c>
      <c r="L339" s="590"/>
      <c r="M339" s="592" t="str">
        <f>IF(ISERROR(K339/E339),"",K339/E339)</f>
        <v/>
      </c>
      <c r="N339" s="592"/>
      <c r="O339" s="588"/>
      <c r="P339" s="591" t="s">
        <v>224</v>
      </c>
      <c r="Q339" s="591"/>
      <c r="R339" s="593">
        <f>SUM(O292:U292)</f>
        <v>0</v>
      </c>
      <c r="S339" s="593"/>
      <c r="T339" s="594" t="str">
        <f>IF(ISERROR(R339/R344),"",R339/R344)</f>
        <v/>
      </c>
      <c r="U339" s="594"/>
      <c r="V339" s="591" t="s">
        <v>263</v>
      </c>
      <c r="W339" s="591"/>
      <c r="X339" s="628">
        <f>SUM(P200,P258,P293,P309,P320,P335)</f>
        <v>0</v>
      </c>
      <c r="Y339" s="629"/>
      <c r="Z339" s="594" t="str">
        <f>IF(ISERROR(X339/X344),"",X339/X344)</f>
        <v/>
      </c>
      <c r="AA339" s="594"/>
    </row>
    <row r="340" spans="1:27" ht="20.100000000000001" customHeight="1">
      <c r="A340" s="584"/>
      <c r="B340" s="485" t="s">
        <v>264</v>
      </c>
      <c r="C340" s="586">
        <v>1</v>
      </c>
      <c r="D340" s="587"/>
      <c r="E340" s="590">
        <f>C340*11</f>
        <v>11</v>
      </c>
      <c r="F340" s="590"/>
      <c r="G340" s="591">
        <v>1</v>
      </c>
      <c r="H340" s="591"/>
      <c r="I340" s="590">
        <f>G340*11</f>
        <v>11</v>
      </c>
      <c r="J340" s="590"/>
      <c r="K340" s="590">
        <f>E340-I340</f>
        <v>0</v>
      </c>
      <c r="L340" s="590"/>
      <c r="M340" s="592">
        <f>IF(ISERROR(K340/E340),"",K340/E340)</f>
        <v>0</v>
      </c>
      <c r="N340" s="592"/>
      <c r="O340" s="588"/>
      <c r="P340" s="591" t="s">
        <v>231</v>
      </c>
      <c r="Q340" s="591"/>
      <c r="R340" s="593">
        <f>SUM(O308:U308)</f>
        <v>0</v>
      </c>
      <c r="S340" s="593"/>
      <c r="T340" s="594" t="str">
        <f>IF(ISERROR(R340/R344),"",R340/R344)</f>
        <v/>
      </c>
      <c r="U340" s="594"/>
      <c r="V340" s="591" t="s">
        <v>265</v>
      </c>
      <c r="W340" s="591"/>
      <c r="X340" s="628">
        <f>SUM(P202,P259,P294,P310,P321,P336)</f>
        <v>0</v>
      </c>
      <c r="Y340" s="629"/>
      <c r="Z340" s="594" t="str">
        <f>IF(ISERROR(X340/X344),"",X340/X344)</f>
        <v/>
      </c>
      <c r="AA340" s="594"/>
    </row>
    <row r="341" spans="1:27" ht="20.100000000000001" customHeight="1">
      <c r="A341" s="585"/>
      <c r="B341" s="485" t="s">
        <v>266</v>
      </c>
      <c r="C341" s="596">
        <f>SUM(C337:D340)</f>
        <v>2</v>
      </c>
      <c r="D341" s="597"/>
      <c r="E341" s="590">
        <f>SUM(E337:F340)</f>
        <v>22</v>
      </c>
      <c r="F341" s="590"/>
      <c r="G341" s="591">
        <f>SUM(G337:H340)</f>
        <v>3</v>
      </c>
      <c r="H341" s="591"/>
      <c r="I341" s="590">
        <f>SUM(I337:J340)</f>
        <v>30</v>
      </c>
      <c r="J341" s="590"/>
      <c r="K341" s="590">
        <f>SUM(K337:L340)</f>
        <v>-8</v>
      </c>
      <c r="L341" s="590"/>
      <c r="M341" s="592">
        <f>IF(ISERROR(K341/E341),"",K341/E341)</f>
        <v>-0.36363636363636365</v>
      </c>
      <c r="N341" s="592"/>
      <c r="O341" s="588"/>
      <c r="P341" s="591" t="s">
        <v>234</v>
      </c>
      <c r="Q341" s="591"/>
      <c r="R341" s="593">
        <f>SUM(O319:U319)</f>
        <v>0</v>
      </c>
      <c r="S341" s="593"/>
      <c r="T341" s="594" t="str">
        <f>IF(ISERROR(R341/R344),"",R341/R344)</f>
        <v/>
      </c>
      <c r="U341" s="594"/>
      <c r="V341" s="591" t="s">
        <v>267</v>
      </c>
      <c r="W341" s="591"/>
      <c r="X341" s="628">
        <f>SUM(P203,P260,P295,P311,P322,P337)</f>
        <v>0</v>
      </c>
      <c r="Y341" s="629"/>
      <c r="Z341" s="594" t="str">
        <f>IF(ISERROR(X341/X344),"",X341/X344)</f>
        <v/>
      </c>
      <c r="AA341" s="594"/>
    </row>
    <row r="342" spans="1:27" ht="20.100000000000001" customHeight="1">
      <c r="A342" s="309" t="s">
        <v>477</v>
      </c>
      <c r="B342" s="485">
        <f>G335</f>
        <v>5749</v>
      </c>
      <c r="C342" s="598" t="s">
        <v>269</v>
      </c>
      <c r="D342" s="599"/>
      <c r="E342" s="591">
        <f>H335</f>
        <v>29277.82</v>
      </c>
      <c r="F342" s="591"/>
      <c r="G342" s="591" t="s">
        <v>270</v>
      </c>
      <c r="H342" s="591"/>
      <c r="I342" s="600">
        <f>L335</f>
        <v>18.7708082999068</v>
      </c>
      <c r="J342" s="600"/>
      <c r="K342" s="588" t="s">
        <v>271</v>
      </c>
      <c r="L342" s="588"/>
      <c r="M342" s="600">
        <f>J335</f>
        <v>15.991655076495132</v>
      </c>
      <c r="N342" s="600"/>
      <c r="O342" s="588"/>
      <c r="P342" s="591" t="s">
        <v>244</v>
      </c>
      <c r="Q342" s="591"/>
      <c r="R342" s="593">
        <f>SUM(O334:U334)</f>
        <v>0</v>
      </c>
      <c r="S342" s="593"/>
      <c r="T342" s="594" t="str">
        <f>IF(ISERROR(R342/R344),"",R342/R344)</f>
        <v/>
      </c>
      <c r="U342" s="594"/>
      <c r="V342" s="591" t="s">
        <v>272</v>
      </c>
      <c r="W342" s="591"/>
      <c r="X342" s="628">
        <f>SUM(P204,P261,P296,P312,P323,P338)</f>
        <v>0</v>
      </c>
      <c r="Y342" s="629"/>
      <c r="Z342" s="594" t="str">
        <f>IF(ISERROR(X342/X344),"",X342/X344)</f>
        <v/>
      </c>
      <c r="AA342" s="594"/>
    </row>
    <row r="343" spans="1:27" ht="20.100000000000001" customHeight="1">
      <c r="A343" s="310" t="s">
        <v>478</v>
      </c>
      <c r="B343" s="485">
        <f>I335+C341</f>
        <v>361.5</v>
      </c>
      <c r="C343" s="601" t="s">
        <v>251</v>
      </c>
      <c r="D343" s="602"/>
      <c r="E343" s="603">
        <f>K335+I341</f>
        <v>336.2734384234559</v>
      </c>
      <c r="F343" s="603"/>
      <c r="G343" s="591" t="s">
        <v>274</v>
      </c>
      <c r="H343" s="591"/>
      <c r="I343" s="600">
        <f>B343-E343</f>
        <v>25.2265615765441</v>
      </c>
      <c r="J343" s="600"/>
      <c r="K343" s="588" t="s">
        <v>275</v>
      </c>
      <c r="L343" s="588"/>
      <c r="M343" s="592">
        <f>IF(ISERROR(I343/E343),"",I343/E343)</f>
        <v>7.5018002298407174E-2</v>
      </c>
      <c r="N343" s="592"/>
      <c r="O343" s="588"/>
      <c r="P343" s="591" t="s">
        <v>245</v>
      </c>
      <c r="Q343" s="591"/>
      <c r="R343" s="593"/>
      <c r="S343" s="593"/>
      <c r="T343" s="594" t="str">
        <f>IF(ISERROR(R343/R344),"",R343/R344)</f>
        <v/>
      </c>
      <c r="U343" s="594"/>
      <c r="V343" s="591" t="s">
        <v>264</v>
      </c>
      <c r="W343" s="591"/>
      <c r="X343" s="628">
        <f>SUM(P205,P262,P297,P313,P324,P339)</f>
        <v>0</v>
      </c>
      <c r="Y343" s="629"/>
      <c r="Z343" s="594" t="str">
        <f>IF(ISERROR(X343/X344),"",X343/X344)</f>
        <v/>
      </c>
      <c r="AA343" s="594"/>
    </row>
    <row r="344" spans="1:27" ht="20.100000000000001" customHeight="1">
      <c r="A344" s="310" t="s">
        <v>479</v>
      </c>
      <c r="B344" s="485">
        <f>N335</f>
        <v>0</v>
      </c>
      <c r="C344" s="601" t="s">
        <v>277</v>
      </c>
      <c r="D344" s="602"/>
      <c r="E344" s="594">
        <f>IF(ISERROR(B344/B343),"",B344/B343)</f>
        <v>0</v>
      </c>
      <c r="F344" s="594"/>
      <c r="G344" s="591" t="s">
        <v>278</v>
      </c>
      <c r="H344" s="591"/>
      <c r="I344" s="588">
        <f>V335</f>
        <v>0</v>
      </c>
      <c r="J344" s="588"/>
      <c r="K344" s="588" t="s">
        <v>279</v>
      </c>
      <c r="L344" s="588"/>
      <c r="M344" s="592">
        <f t="array" ref="M344">IF(ISERROR(I344/B342),"",I344/B342)</f>
        <v>0</v>
      </c>
      <c r="N344" s="592"/>
      <c r="O344" s="588"/>
      <c r="P344" s="591" t="s">
        <v>266</v>
      </c>
      <c r="Q344" s="591"/>
      <c r="R344" s="593">
        <f>SUM(R337:S343)</f>
        <v>0</v>
      </c>
      <c r="S344" s="593"/>
      <c r="T344" s="594"/>
      <c r="U344" s="594"/>
      <c r="V344" s="591" t="s">
        <v>266</v>
      </c>
      <c r="W344" s="591"/>
      <c r="X344" s="595">
        <f>SUM(X337:Y343)</f>
        <v>0</v>
      </c>
      <c r="Y344" s="595"/>
      <c r="Z344" s="594"/>
      <c r="AA344" s="594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4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604" t="s">
        <v>480</v>
      </c>
      <c r="B346" s="607" t="s">
        <v>280</v>
      </c>
      <c r="C346" s="607" t="s">
        <v>281</v>
      </c>
      <c r="D346" s="607" t="s">
        <v>282</v>
      </c>
      <c r="E346" s="610" t="s">
        <v>283</v>
      </c>
      <c r="F346" s="623" t="s">
        <v>284</v>
      </c>
      <c r="G346" s="588" t="s">
        <v>285</v>
      </c>
      <c r="H346" s="588"/>
      <c r="I346" s="607" t="s">
        <v>286</v>
      </c>
      <c r="J346" s="613" t="s">
        <v>271</v>
      </c>
      <c r="K346" s="616" t="s">
        <v>287</v>
      </c>
      <c r="L346" s="607" t="s">
        <v>270</v>
      </c>
      <c r="M346" s="619" t="s">
        <v>288</v>
      </c>
      <c r="N346" s="621" t="s">
        <v>252</v>
      </c>
      <c r="O346" s="588" t="s">
        <v>289</v>
      </c>
      <c r="P346" s="588"/>
      <c r="Q346" s="588"/>
      <c r="R346" s="588"/>
      <c r="S346" s="588"/>
      <c r="T346" s="588"/>
      <c r="U346" s="588"/>
      <c r="V346" s="588" t="s">
        <v>290</v>
      </c>
      <c r="W346" s="621" t="s">
        <v>291</v>
      </c>
      <c r="X346" s="588" t="s">
        <v>292</v>
      </c>
      <c r="Y346" s="588"/>
      <c r="Z346" s="588"/>
      <c r="AA346" s="588"/>
    </row>
    <row r="347" spans="1:27" ht="21.95" customHeight="1">
      <c r="A347" s="605"/>
      <c r="B347" s="608"/>
      <c r="C347" s="608"/>
      <c r="D347" s="608"/>
      <c r="E347" s="611"/>
      <c r="F347" s="624"/>
      <c r="G347" s="588"/>
      <c r="H347" s="588"/>
      <c r="I347" s="608"/>
      <c r="J347" s="614"/>
      <c r="K347" s="617"/>
      <c r="L347" s="608"/>
      <c r="M347" s="620"/>
      <c r="N347" s="621"/>
      <c r="O347" s="588" t="s">
        <v>259</v>
      </c>
      <c r="P347" s="588" t="s">
        <v>261</v>
      </c>
      <c r="Q347" s="588" t="s">
        <v>263</v>
      </c>
      <c r="R347" s="622" t="s">
        <v>265</v>
      </c>
      <c r="S347" s="591" t="s">
        <v>267</v>
      </c>
      <c r="T347" s="588" t="s">
        <v>272</v>
      </c>
      <c r="U347" s="588" t="s">
        <v>264</v>
      </c>
      <c r="V347" s="588"/>
      <c r="W347" s="621"/>
      <c r="X347" s="588" t="s">
        <v>293</v>
      </c>
      <c r="Y347" s="588" t="s">
        <v>294</v>
      </c>
      <c r="Z347" s="588" t="s">
        <v>295</v>
      </c>
      <c r="AA347" s="588" t="s">
        <v>264</v>
      </c>
    </row>
    <row r="348" spans="1:27" ht="21.95" customHeight="1">
      <c r="A348" s="606"/>
      <c r="B348" s="609"/>
      <c r="C348" s="609"/>
      <c r="D348" s="609"/>
      <c r="E348" s="612"/>
      <c r="F348" s="625"/>
      <c r="G348" s="348" t="s">
        <v>545</v>
      </c>
      <c r="H348" s="478" t="s">
        <v>297</v>
      </c>
      <c r="I348" s="609"/>
      <c r="J348" s="615"/>
      <c r="K348" s="618"/>
      <c r="L348" s="609"/>
      <c r="M348" s="620"/>
      <c r="N348" s="621"/>
      <c r="O348" s="588"/>
      <c r="P348" s="588"/>
      <c r="Q348" s="588"/>
      <c r="R348" s="622"/>
      <c r="S348" s="591"/>
      <c r="T348" s="588"/>
      <c r="U348" s="588"/>
      <c r="V348" s="588"/>
      <c r="W348" s="621"/>
      <c r="X348" s="588"/>
      <c r="Y348" s="588"/>
      <c r="Z348" s="588"/>
      <c r="AA348" s="588"/>
    </row>
    <row r="349" spans="1:27" ht="20.100000000000001" hidden="1" customHeight="1">
      <c r="A349" s="299">
        <v>30100030</v>
      </c>
      <c r="B349" s="480" t="s">
        <v>178</v>
      </c>
      <c r="C349" s="126" t="s">
        <v>179</v>
      </c>
      <c r="D349" s="108">
        <v>5.03</v>
      </c>
      <c r="E349" s="108"/>
      <c r="F349" s="127"/>
      <c r="G349" s="128"/>
      <c r="H349" s="488">
        <f t="shared" ref="H349:H369" si="157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58" si="158">IF(ISERROR(I349-K349),"",I349-K349)</f>
        <v>0</v>
      </c>
      <c r="N349" s="130">
        <f t="shared" ref="N349:N354" si="159">SUM(O349:U349)</f>
        <v>0</v>
      </c>
      <c r="O349" s="479"/>
      <c r="P349" s="479"/>
      <c r="Q349" s="479"/>
      <c r="R349" s="479"/>
      <c r="S349" s="479"/>
      <c r="T349" s="479"/>
      <c r="U349" s="479"/>
      <c r="V349" s="132">
        <f t="shared" ref="V349:V354" si="160">SUM(X349:AA349)</f>
        <v>0</v>
      </c>
      <c r="W349" s="133" t="str">
        <f t="shared" ref="W349:W354" si="161">IF(ISERROR(V349/G349),"",V349/G349)</f>
        <v/>
      </c>
      <c r="X349" s="132"/>
      <c r="Y349" s="132"/>
      <c r="Z349" s="132"/>
      <c r="AA349" s="132"/>
    </row>
    <row r="350" spans="1:27" ht="20.100000000000001" hidden="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28"/>
      <c r="H350" s="488">
        <f t="shared" si="157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8"/>
        <v>0</v>
      </c>
      <c r="N350" s="130">
        <f t="shared" si="159"/>
        <v>0</v>
      </c>
      <c r="O350" s="479"/>
      <c r="P350" s="479"/>
      <c r="Q350" s="479"/>
      <c r="R350" s="479"/>
      <c r="S350" s="479"/>
      <c r="T350" s="479"/>
      <c r="U350" s="479"/>
      <c r="V350" s="132">
        <f t="shared" si="160"/>
        <v>0</v>
      </c>
      <c r="W350" s="133" t="str">
        <f t="shared" si="161"/>
        <v/>
      </c>
      <c r="X350" s="132"/>
      <c r="Y350" s="132"/>
      <c r="Z350" s="132"/>
      <c r="AA350" s="132"/>
    </row>
    <row r="351" spans="1:27" ht="20.100000000000001" hidden="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28"/>
      <c r="H351" s="488">
        <f t="shared" si="157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58"/>
        <v>0</v>
      </c>
      <c r="N351" s="130">
        <f t="shared" si="159"/>
        <v>0</v>
      </c>
      <c r="O351" s="479"/>
      <c r="P351" s="479"/>
      <c r="Q351" s="479"/>
      <c r="R351" s="479"/>
      <c r="S351" s="479"/>
      <c r="T351" s="479"/>
      <c r="U351" s="479"/>
      <c r="V351" s="132">
        <f t="shared" si="160"/>
        <v>0</v>
      </c>
      <c r="W351" s="133" t="str">
        <f t="shared" si="161"/>
        <v/>
      </c>
      <c r="X351" s="132"/>
      <c r="Y351" s="132"/>
      <c r="Z351" s="132"/>
      <c r="AA351" s="132"/>
    </row>
    <row r="352" spans="1:27" ht="20.100000000000001" hidden="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28"/>
      <c r="H352" s="488">
        <f t="shared" si="157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8"/>
        <v>0</v>
      </c>
      <c r="N352" s="130">
        <f t="shared" si="159"/>
        <v>0</v>
      </c>
      <c r="O352" s="479"/>
      <c r="P352" s="479"/>
      <c r="Q352" s="479"/>
      <c r="R352" s="479"/>
      <c r="S352" s="479"/>
      <c r="T352" s="479"/>
      <c r="U352" s="479"/>
      <c r="V352" s="132">
        <f t="shared" si="160"/>
        <v>0</v>
      </c>
      <c r="W352" s="133" t="str">
        <f t="shared" si="161"/>
        <v/>
      </c>
      <c r="X352" s="132"/>
      <c r="Y352" s="132"/>
      <c r="Z352" s="132"/>
      <c r="AA352" s="132"/>
    </row>
    <row r="353" spans="1:27" ht="20.100000000000001" hidden="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28"/>
      <c r="H353" s="488">
        <f t="shared" si="157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58"/>
        <v>0</v>
      </c>
      <c r="N353" s="130">
        <f t="shared" si="159"/>
        <v>0</v>
      </c>
      <c r="O353" s="479"/>
      <c r="P353" s="479"/>
      <c r="Q353" s="479"/>
      <c r="R353" s="479"/>
      <c r="S353" s="479"/>
      <c r="T353" s="479"/>
      <c r="U353" s="479"/>
      <c r="V353" s="132">
        <f t="shared" si="160"/>
        <v>0</v>
      </c>
      <c r="W353" s="133" t="str">
        <f t="shared" si="161"/>
        <v/>
      </c>
      <c r="X353" s="132"/>
      <c r="Y353" s="132"/>
      <c r="Z353" s="132"/>
      <c r="AA353" s="132"/>
    </row>
    <row r="354" spans="1:27" ht="20.100000000000001" hidden="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137"/>
      <c r="H354" s="488">
        <f t="shared" si="157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58"/>
        <v>0</v>
      </c>
      <c r="N354" s="130">
        <f t="shared" si="159"/>
        <v>0</v>
      </c>
      <c r="O354" s="479"/>
      <c r="P354" s="479"/>
      <c r="Q354" s="479"/>
      <c r="R354" s="479"/>
      <c r="S354" s="479"/>
      <c r="T354" s="479"/>
      <c r="U354" s="479"/>
      <c r="V354" s="132">
        <f t="shared" si="160"/>
        <v>0</v>
      </c>
      <c r="W354" s="133" t="str">
        <f t="shared" si="161"/>
        <v/>
      </c>
      <c r="X354" s="132"/>
      <c r="Y354" s="132"/>
      <c r="Z354" s="132"/>
      <c r="AA354" s="132"/>
    </row>
    <row r="355" spans="1:27" ht="20.100000000000001" hidden="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28"/>
      <c r="H355" s="488">
        <f t="shared" si="157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58"/>
        <v>0</v>
      </c>
      <c r="N355" s="130"/>
      <c r="O355" s="479"/>
      <c r="P355" s="479"/>
      <c r="Q355" s="479"/>
      <c r="R355" s="479"/>
      <c r="S355" s="479"/>
      <c r="T355" s="479"/>
      <c r="U355" s="479"/>
      <c r="V355" s="132"/>
      <c r="W355" s="133"/>
      <c r="X355" s="132"/>
      <c r="Y355" s="132"/>
      <c r="Z355" s="132"/>
      <c r="AA355" s="132"/>
    </row>
    <row r="356" spans="1:27" ht="20.100000000000001" hidden="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28"/>
      <c r="H356" s="488">
        <f t="shared" si="157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58"/>
        <v>0</v>
      </c>
      <c r="N356" s="130"/>
      <c r="O356" s="479"/>
      <c r="P356" s="479"/>
      <c r="Q356" s="479"/>
      <c r="R356" s="479"/>
      <c r="S356" s="479"/>
      <c r="T356" s="479"/>
      <c r="U356" s="479"/>
      <c r="V356" s="132"/>
      <c r="W356" s="133"/>
      <c r="X356" s="132"/>
      <c r="Y356" s="132"/>
      <c r="Z356" s="132"/>
      <c r="AA356" s="132"/>
    </row>
    <row r="357" spans="1:27" ht="20.100000000000001" hidden="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28"/>
      <c r="H357" s="488">
        <f t="shared" si="157"/>
        <v>0</v>
      </c>
      <c r="I357" s="488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58"/>
        <v>0</v>
      </c>
      <c r="N357" s="130">
        <f>SUM(O357:U357)</f>
        <v>0</v>
      </c>
      <c r="O357" s="479"/>
      <c r="P357" s="479"/>
      <c r="Q357" s="479"/>
      <c r="R357" s="479"/>
      <c r="S357" s="479"/>
      <c r="T357" s="479"/>
      <c r="U357" s="479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hidden="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28"/>
      <c r="H358" s="488">
        <f t="shared" si="157"/>
        <v>0</v>
      </c>
      <c r="I358" s="488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58"/>
        <v>0</v>
      </c>
      <c r="N358" s="130">
        <f>SUM(O358:U358)</f>
        <v>0</v>
      </c>
      <c r="O358" s="479"/>
      <c r="P358" s="479"/>
      <c r="Q358" s="479"/>
      <c r="R358" s="479"/>
      <c r="S358" s="479"/>
      <c r="T358" s="479"/>
      <c r="U358" s="479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hidden="1" customHeight="1">
      <c r="A359" s="302">
        <v>30100063</v>
      </c>
      <c r="B359" s="134" t="s">
        <v>191</v>
      </c>
      <c r="C359" s="126" t="s">
        <v>192</v>
      </c>
      <c r="D359" s="108">
        <v>5.03</v>
      </c>
      <c r="E359" s="108"/>
      <c r="F359" s="126"/>
      <c r="G359" s="128"/>
      <c r="H359" s="488">
        <f t="shared" si="157"/>
        <v>0</v>
      </c>
      <c r="I359" s="488"/>
      <c r="J359" s="130"/>
      <c r="K359" s="131"/>
      <c r="L359" s="129"/>
      <c r="M359" s="109"/>
      <c r="N359" s="130"/>
      <c r="O359" s="479"/>
      <c r="P359" s="479"/>
      <c r="Q359" s="479"/>
      <c r="R359" s="479"/>
      <c r="S359" s="479"/>
      <c r="T359" s="479"/>
      <c r="U359" s="479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30100061</v>
      </c>
      <c r="B360" s="134" t="s">
        <v>191</v>
      </c>
      <c r="C360" s="126" t="s">
        <v>193</v>
      </c>
      <c r="D360" s="108">
        <v>5.03</v>
      </c>
      <c r="E360" s="108"/>
      <c r="F360" s="126"/>
      <c r="G360" s="128"/>
      <c r="H360" s="488">
        <f t="shared" si="157"/>
        <v>0</v>
      </c>
      <c r="I360" s="488"/>
      <c r="J360" s="130"/>
      <c r="K360" s="131"/>
      <c r="L360" s="129"/>
      <c r="M360" s="109"/>
      <c r="N360" s="130"/>
      <c r="O360" s="479"/>
      <c r="P360" s="479"/>
      <c r="Q360" s="479"/>
      <c r="R360" s="479"/>
      <c r="S360" s="479"/>
      <c r="T360" s="479"/>
      <c r="U360" s="479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28"/>
      <c r="H361" s="488">
        <f t="shared" si="157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ref="M361:M369" si="162">IF(ISERROR(I361-K361),"",I361-K361)</f>
        <v>0</v>
      </c>
      <c r="N361" s="130">
        <f t="shared" ref="N361:N363" si="163">SUM(O361:U361)</f>
        <v>0</v>
      </c>
      <c r="O361" s="479"/>
      <c r="P361" s="479"/>
      <c r="Q361" s="479"/>
      <c r="R361" s="479"/>
      <c r="S361" s="479"/>
      <c r="T361" s="479"/>
      <c r="U361" s="479"/>
      <c r="V361" s="132">
        <f t="shared" ref="V361:V363" si="164">SUM(X361:AA361)</f>
        <v>0</v>
      </c>
      <c r="W361" s="133" t="str">
        <f t="shared" ref="W361:W363" si="165">IF(ISERROR(V361/G361),"",V361/G361)</f>
        <v/>
      </c>
      <c r="X361" s="132"/>
      <c r="Y361" s="132"/>
      <c r="Z361" s="132"/>
      <c r="AA361" s="132"/>
    </row>
    <row r="362" spans="1:27" ht="20.100000000000001" hidden="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28"/>
      <c r="H362" s="488">
        <f t="shared" si="157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2"/>
        <v>0</v>
      </c>
      <c r="N362" s="130">
        <f t="shared" si="163"/>
        <v>0</v>
      </c>
      <c r="O362" s="479"/>
      <c r="P362" s="479"/>
      <c r="Q362" s="479"/>
      <c r="R362" s="479"/>
      <c r="S362" s="479"/>
      <c r="T362" s="479"/>
      <c r="U362" s="479"/>
      <c r="V362" s="132">
        <f t="shared" si="164"/>
        <v>0</v>
      </c>
      <c r="W362" s="133" t="str">
        <f t="shared" si="165"/>
        <v/>
      </c>
      <c r="X362" s="132"/>
      <c r="Y362" s="132"/>
      <c r="Z362" s="132"/>
      <c r="AA362" s="132"/>
    </row>
    <row r="363" spans="1:27" ht="20.100000000000001" hidden="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28"/>
      <c r="H363" s="488">
        <f t="shared" si="157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2"/>
        <v>0</v>
      </c>
      <c r="N363" s="130">
        <f t="shared" si="163"/>
        <v>0</v>
      </c>
      <c r="O363" s="479"/>
      <c r="P363" s="479"/>
      <c r="Q363" s="479"/>
      <c r="R363" s="479"/>
      <c r="S363" s="479"/>
      <c r="T363" s="479"/>
      <c r="U363" s="479"/>
      <c r="V363" s="132">
        <f t="shared" si="164"/>
        <v>0</v>
      </c>
      <c r="W363" s="133" t="str">
        <f t="shared" si="165"/>
        <v/>
      </c>
      <c r="X363" s="132"/>
      <c r="Y363" s="132"/>
      <c r="Z363" s="132"/>
      <c r="AA363" s="132"/>
    </row>
    <row r="364" spans="1:27" ht="20.100000000000001" hidden="1" customHeight="1">
      <c r="A364" s="300">
        <v>30100003</v>
      </c>
      <c r="B364" s="141" t="s">
        <v>198</v>
      </c>
      <c r="C364" s="478" t="s">
        <v>190</v>
      </c>
      <c r="D364" s="108">
        <v>4.8</v>
      </c>
      <c r="E364" s="108"/>
      <c r="F364" s="127"/>
      <c r="G364" s="128"/>
      <c r="H364" s="488">
        <f t="shared" si="157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2"/>
        <v>0</v>
      </c>
      <c r="N364" s="130"/>
      <c r="O364" s="479"/>
      <c r="P364" s="479"/>
      <c r="Q364" s="479"/>
      <c r="R364" s="479"/>
      <c r="S364" s="479"/>
      <c r="T364" s="479"/>
      <c r="U364" s="479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30100004</v>
      </c>
      <c r="B365" s="141" t="s">
        <v>198</v>
      </c>
      <c r="C365" s="478" t="s">
        <v>187</v>
      </c>
      <c r="D365" s="108">
        <v>4.8</v>
      </c>
      <c r="E365" s="108"/>
      <c r="F365" s="127"/>
      <c r="G365" s="128"/>
      <c r="H365" s="488">
        <f t="shared" si="157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2"/>
        <v>0</v>
      </c>
      <c r="N365" s="130"/>
      <c r="O365" s="479"/>
      <c r="P365" s="479"/>
      <c r="Q365" s="479"/>
      <c r="R365" s="479"/>
      <c r="S365" s="479"/>
      <c r="T365" s="479"/>
      <c r="U365" s="479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30100006</v>
      </c>
      <c r="B366" s="141" t="s">
        <v>198</v>
      </c>
      <c r="C366" s="478" t="s">
        <v>179</v>
      </c>
      <c r="D366" s="108">
        <v>4.8</v>
      </c>
      <c r="E366" s="108"/>
      <c r="F366" s="127"/>
      <c r="G366" s="128"/>
      <c r="H366" s="488">
        <f t="shared" si="157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2"/>
        <v>0</v>
      </c>
      <c r="N366" s="130"/>
      <c r="O366" s="479"/>
      <c r="P366" s="479"/>
      <c r="Q366" s="479"/>
      <c r="R366" s="479"/>
      <c r="S366" s="479"/>
      <c r="T366" s="479"/>
      <c r="U366" s="479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0">
        <v>30100005</v>
      </c>
      <c r="B367" s="141" t="s">
        <v>198</v>
      </c>
      <c r="C367" s="478" t="s">
        <v>199</v>
      </c>
      <c r="D367" s="108">
        <v>4.8</v>
      </c>
      <c r="E367" s="108"/>
      <c r="F367" s="127"/>
      <c r="G367" s="128"/>
      <c r="H367" s="488">
        <f t="shared" si="157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2"/>
        <v>0</v>
      </c>
      <c r="N367" s="130"/>
      <c r="O367" s="479"/>
      <c r="P367" s="479"/>
      <c r="Q367" s="479"/>
      <c r="R367" s="479"/>
      <c r="S367" s="479"/>
      <c r="T367" s="479"/>
      <c r="U367" s="479"/>
      <c r="V367" s="132"/>
      <c r="W367" s="133"/>
      <c r="X367" s="132"/>
      <c r="Y367" s="132"/>
      <c r="Z367" s="132"/>
      <c r="AA367" s="132"/>
    </row>
    <row r="368" spans="1:27" ht="20.100000000000001" hidden="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28"/>
      <c r="H368" s="488">
        <f t="shared" si="157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2"/>
        <v>0</v>
      </c>
      <c r="N368" s="130">
        <f t="shared" ref="N368:N369" si="166">SUM(O368:U368)</f>
        <v>0</v>
      </c>
      <c r="O368" s="479"/>
      <c r="P368" s="479"/>
      <c r="Q368" s="479"/>
      <c r="R368" s="479"/>
      <c r="S368" s="479"/>
      <c r="T368" s="479"/>
      <c r="U368" s="479"/>
      <c r="V368" s="132">
        <f t="shared" ref="V368:V369" si="167">SUM(X368:AA368)</f>
        <v>0</v>
      </c>
      <c r="W368" s="133" t="str">
        <f t="shared" ref="W368:W369" si="168">IF(ISERROR(V368/G368),"",V368/G368)</f>
        <v/>
      </c>
      <c r="X368" s="132"/>
      <c r="Y368" s="132"/>
      <c r="Z368" s="132"/>
      <c r="AA368" s="132"/>
    </row>
    <row r="369" spans="1:27" ht="20.100000000000001" hidden="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28"/>
      <c r="H369" s="488">
        <f t="shared" si="157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2"/>
        <v>0</v>
      </c>
      <c r="N369" s="130">
        <f t="shared" si="166"/>
        <v>0</v>
      </c>
      <c r="O369" s="479"/>
      <c r="P369" s="479"/>
      <c r="Q369" s="479"/>
      <c r="R369" s="479"/>
      <c r="S369" s="479"/>
      <c r="T369" s="479"/>
      <c r="U369" s="479"/>
      <c r="V369" s="132">
        <f t="shared" si="167"/>
        <v>0</v>
      </c>
      <c r="W369" s="133" t="str">
        <f t="shared" si="168"/>
        <v/>
      </c>
      <c r="X369" s="132"/>
      <c r="Y369" s="132"/>
      <c r="Z369" s="132"/>
      <c r="AA369" s="132"/>
    </row>
    <row r="370" spans="1:27" ht="20.100000000000001" hidden="1" customHeight="1">
      <c r="A370" s="578" t="s">
        <v>201</v>
      </c>
      <c r="B370" s="579"/>
      <c r="C370" s="486" t="s">
        <v>202</v>
      </c>
      <c r="D370" s="143"/>
      <c r="E370" s="143"/>
      <c r="F370" s="144"/>
      <c r="G370" s="145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69">SUM(M349:M369)</f>
        <v>0</v>
      </c>
      <c r="N370" s="146">
        <f t="shared" si="169"/>
        <v>0</v>
      </c>
      <c r="O370" s="148">
        <f t="shared" si="169"/>
        <v>0</v>
      </c>
      <c r="P370" s="148">
        <f t="shared" si="169"/>
        <v>0</v>
      </c>
      <c r="Q370" s="148">
        <f t="shared" si="169"/>
        <v>0</v>
      </c>
      <c r="R370" s="148">
        <f t="shared" si="169"/>
        <v>0</v>
      </c>
      <c r="S370" s="148">
        <f t="shared" si="169"/>
        <v>0</v>
      </c>
      <c r="T370" s="148">
        <f t="shared" si="169"/>
        <v>0</v>
      </c>
      <c r="U370" s="148">
        <f t="shared" si="169"/>
        <v>0</v>
      </c>
      <c r="V370" s="149">
        <f t="shared" si="169"/>
        <v>0</v>
      </c>
      <c r="W370" s="133">
        <f t="shared" si="169"/>
        <v>0</v>
      </c>
      <c r="X370" s="149">
        <f t="shared" si="169"/>
        <v>0</v>
      </c>
      <c r="Y370" s="149">
        <f t="shared" si="169"/>
        <v>0</v>
      </c>
      <c r="Z370" s="149">
        <f t="shared" si="169"/>
        <v>0</v>
      </c>
      <c r="AA370" s="149">
        <f t="shared" si="169"/>
        <v>0</v>
      </c>
    </row>
    <row r="371" spans="1:27" ht="20.100000000000001" hidden="1" customHeight="1">
      <c r="A371" s="300">
        <v>30100012</v>
      </c>
      <c r="B371" s="480" t="s">
        <v>206</v>
      </c>
      <c r="C371" s="126" t="s">
        <v>199</v>
      </c>
      <c r="D371" s="108">
        <v>5.03</v>
      </c>
      <c r="E371" s="108"/>
      <c r="F371" s="127"/>
      <c r="G371" s="128"/>
      <c r="H371" s="488">
        <f t="shared" ref="H371:H427" si="170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" si="171">IF(ISERROR(I371-K371),"",I371-K371)</f>
        <v>0</v>
      </c>
      <c r="N371" s="130">
        <f t="shared" ref="N371" si="172">SUM(O371:U371)</f>
        <v>0</v>
      </c>
      <c r="O371" s="483"/>
      <c r="P371" s="483"/>
      <c r="Q371" s="483"/>
      <c r="R371" s="483"/>
      <c r="S371" s="483"/>
      <c r="T371" s="483"/>
      <c r="U371" s="483"/>
      <c r="V371" s="132">
        <f t="shared" ref="V371" si="173">SUM(X371:AA371)</f>
        <v>0</v>
      </c>
      <c r="W371" s="133" t="str">
        <f t="shared" ref="W371" si="174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30100011</v>
      </c>
      <c r="B372" s="480" t="s">
        <v>425</v>
      </c>
      <c r="C372" s="187" t="s">
        <v>427</v>
      </c>
      <c r="D372" s="108">
        <v>5.03</v>
      </c>
      <c r="E372" s="108"/>
      <c r="F372" s="127"/>
      <c r="G372" s="128"/>
      <c r="H372" s="488">
        <f t="shared" si="170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483"/>
      <c r="P372" s="483"/>
      <c r="Q372" s="483"/>
      <c r="R372" s="483"/>
      <c r="S372" s="483"/>
      <c r="T372" s="483"/>
      <c r="U372" s="483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0">
        <v>30100010</v>
      </c>
      <c r="B373" s="480" t="s">
        <v>206</v>
      </c>
      <c r="C373" s="126" t="s">
        <v>186</v>
      </c>
      <c r="D373" s="108">
        <v>5.03</v>
      </c>
      <c r="E373" s="108"/>
      <c r="F373" s="127"/>
      <c r="G373" s="128"/>
      <c r="H373" s="488">
        <f t="shared" si="170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ref="M373:M408" si="175">IF(ISERROR(I373-K373),"",I373-K373)</f>
        <v>0</v>
      </c>
      <c r="N373" s="130">
        <f t="shared" ref="N373:N375" si="176">SUM(O373:U373)</f>
        <v>0</v>
      </c>
      <c r="O373" s="483"/>
      <c r="P373" s="483"/>
      <c r="Q373" s="483"/>
      <c r="R373" s="483"/>
      <c r="S373" s="483"/>
      <c r="T373" s="483"/>
      <c r="U373" s="483"/>
      <c r="V373" s="132">
        <f t="shared" ref="V373:V375" si="177">SUM(X373:AA373)</f>
        <v>0</v>
      </c>
      <c r="W373" s="133" t="str">
        <f t="shared" ref="W373:W375" si="178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0">
        <v>30100014</v>
      </c>
      <c r="B374" s="480" t="s">
        <v>206</v>
      </c>
      <c r="C374" s="126" t="s">
        <v>203</v>
      </c>
      <c r="D374" s="108">
        <v>5.03</v>
      </c>
      <c r="E374" s="108"/>
      <c r="F374" s="127"/>
      <c r="G374" s="128"/>
      <c r="H374" s="488">
        <f t="shared" si="170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5"/>
        <v>0</v>
      </c>
      <c r="N374" s="130">
        <f t="shared" si="176"/>
        <v>0</v>
      </c>
      <c r="O374" s="483"/>
      <c r="P374" s="483"/>
      <c r="Q374" s="483"/>
      <c r="R374" s="483"/>
      <c r="S374" s="483"/>
      <c r="T374" s="483"/>
      <c r="U374" s="483"/>
      <c r="V374" s="132">
        <f t="shared" si="177"/>
        <v>0</v>
      </c>
      <c r="W374" s="133" t="str">
        <f t="shared" si="178"/>
        <v/>
      </c>
      <c r="X374" s="132"/>
      <c r="Y374" s="132"/>
      <c r="Z374" s="132"/>
      <c r="AA374" s="132"/>
    </row>
    <row r="375" spans="1:27" ht="20.100000000000001" hidden="1" customHeight="1">
      <c r="A375" s="300">
        <v>30100013</v>
      </c>
      <c r="B375" s="480" t="s">
        <v>206</v>
      </c>
      <c r="C375" s="126" t="s">
        <v>207</v>
      </c>
      <c r="D375" s="108">
        <v>5.03</v>
      </c>
      <c r="E375" s="108"/>
      <c r="F375" s="127"/>
      <c r="G375" s="128"/>
      <c r="H375" s="488">
        <f t="shared" si="170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5"/>
        <v>0</v>
      </c>
      <c r="N375" s="130">
        <f t="shared" si="176"/>
        <v>0</v>
      </c>
      <c r="O375" s="483"/>
      <c r="P375" s="483"/>
      <c r="Q375" s="483"/>
      <c r="R375" s="483"/>
      <c r="S375" s="483"/>
      <c r="T375" s="483"/>
      <c r="U375" s="483"/>
      <c r="V375" s="132">
        <f t="shared" si="177"/>
        <v>0</v>
      </c>
      <c r="W375" s="133" t="str">
        <f t="shared" si="178"/>
        <v/>
      </c>
      <c r="X375" s="132"/>
      <c r="Y375" s="132"/>
      <c r="Z375" s="132"/>
      <c r="AA375" s="132"/>
    </row>
    <row r="376" spans="1:27" ht="20.100000000000001" hidden="1" customHeight="1">
      <c r="A376" s="300">
        <v>30100016</v>
      </c>
      <c r="B376" s="480" t="s">
        <v>414</v>
      </c>
      <c r="C376" s="187" t="s">
        <v>415</v>
      </c>
      <c r="D376" s="108"/>
      <c r="E376" s="108"/>
      <c r="F376" s="127"/>
      <c r="G376" s="128"/>
      <c r="H376" s="488">
        <f t="shared" si="170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5"/>
        <v>0</v>
      </c>
      <c r="N376" s="130"/>
      <c r="O376" s="483"/>
      <c r="P376" s="483"/>
      <c r="Q376" s="483"/>
      <c r="R376" s="483"/>
      <c r="S376" s="483"/>
      <c r="T376" s="483"/>
      <c r="U376" s="483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30100017</v>
      </c>
      <c r="B377" s="480" t="s">
        <v>414</v>
      </c>
      <c r="C377" s="187" t="s">
        <v>416</v>
      </c>
      <c r="D377" s="108"/>
      <c r="E377" s="108"/>
      <c r="F377" s="127"/>
      <c r="G377" s="128"/>
      <c r="H377" s="488">
        <f t="shared" si="170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5"/>
        <v>0</v>
      </c>
      <c r="N377" s="130"/>
      <c r="O377" s="483"/>
      <c r="P377" s="483"/>
      <c r="Q377" s="483"/>
      <c r="R377" s="483"/>
      <c r="S377" s="483"/>
      <c r="T377" s="483"/>
      <c r="U377" s="483"/>
      <c r="V377" s="132"/>
      <c r="W377" s="133"/>
      <c r="X377" s="132"/>
      <c r="Y377" s="132"/>
      <c r="Z377" s="132"/>
      <c r="AA377" s="132"/>
    </row>
    <row r="378" spans="1:27" ht="20.100000000000001" hidden="1" customHeight="1">
      <c r="A378" s="300">
        <v>30100015</v>
      </c>
      <c r="B378" s="480" t="s">
        <v>414</v>
      </c>
      <c r="C378" s="187" t="s">
        <v>61</v>
      </c>
      <c r="D378" s="108"/>
      <c r="E378" s="108"/>
      <c r="F378" s="127"/>
      <c r="G378" s="128"/>
      <c r="H378" s="488">
        <f t="shared" si="170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5"/>
        <v>0</v>
      </c>
      <c r="N378" s="130"/>
      <c r="O378" s="483"/>
      <c r="P378" s="483"/>
      <c r="Q378" s="483"/>
      <c r="R378" s="483"/>
      <c r="S378" s="483"/>
      <c r="T378" s="483"/>
      <c r="U378" s="483"/>
      <c r="V378" s="132"/>
      <c r="W378" s="133"/>
      <c r="X378" s="132"/>
      <c r="Y378" s="132"/>
      <c r="Z378" s="132"/>
      <c r="AA378" s="132"/>
    </row>
    <row r="379" spans="1:27" ht="20.100000000000001" hidden="1" customHeight="1">
      <c r="A379" s="300">
        <v>30100027</v>
      </c>
      <c r="B379" s="480" t="s">
        <v>208</v>
      </c>
      <c r="C379" s="126" t="s">
        <v>179</v>
      </c>
      <c r="D379" s="108">
        <v>5.08</v>
      </c>
      <c r="E379" s="108"/>
      <c r="F379" s="127"/>
      <c r="G379" s="128"/>
      <c r="H379" s="488">
        <f t="shared" si="170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5"/>
        <v>0</v>
      </c>
      <c r="N379" s="130">
        <f t="shared" ref="N379:N394" si="179">SUM(O379:U379)</f>
        <v>0</v>
      </c>
      <c r="O379" s="483"/>
      <c r="P379" s="483"/>
      <c r="Q379" s="483"/>
      <c r="R379" s="483"/>
      <c r="S379" s="483"/>
      <c r="T379" s="483"/>
      <c r="U379" s="483"/>
      <c r="V379" s="132">
        <f t="shared" ref="V379:V390" si="180">SUM(X379:AA379)</f>
        <v>0</v>
      </c>
      <c r="W379" s="133" t="str">
        <f t="shared" ref="W379:W390" si="181">IF(ISERROR(V379/G379),"",V379/G379)</f>
        <v/>
      </c>
      <c r="X379" s="132"/>
      <c r="Y379" s="132"/>
      <c r="Z379" s="132"/>
      <c r="AA379" s="132"/>
    </row>
    <row r="380" spans="1:27" ht="20.100000000000001" hidden="1" customHeight="1">
      <c r="A380" s="300">
        <v>30100023</v>
      </c>
      <c r="B380" s="480" t="s">
        <v>208</v>
      </c>
      <c r="C380" s="126" t="s">
        <v>204</v>
      </c>
      <c r="D380" s="108">
        <v>5.08</v>
      </c>
      <c r="E380" s="108"/>
      <c r="F380" s="127"/>
      <c r="G380" s="128"/>
      <c r="H380" s="488">
        <f t="shared" si="170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5"/>
        <v>0</v>
      </c>
      <c r="N380" s="130">
        <f t="shared" si="179"/>
        <v>0</v>
      </c>
      <c r="O380" s="483"/>
      <c r="P380" s="483"/>
      <c r="Q380" s="483"/>
      <c r="R380" s="483"/>
      <c r="S380" s="483"/>
      <c r="T380" s="483"/>
      <c r="U380" s="483"/>
      <c r="V380" s="132">
        <f t="shared" si="180"/>
        <v>0</v>
      </c>
      <c r="W380" s="133" t="str">
        <f t="shared" si="181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30100024</v>
      </c>
      <c r="B381" s="480" t="s">
        <v>208</v>
      </c>
      <c r="C381" s="126" t="s">
        <v>205</v>
      </c>
      <c r="D381" s="108">
        <v>5.08</v>
      </c>
      <c r="E381" s="108"/>
      <c r="F381" s="127"/>
      <c r="G381" s="128"/>
      <c r="H381" s="488">
        <f t="shared" si="170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5"/>
        <v>0</v>
      </c>
      <c r="N381" s="130">
        <f t="shared" si="179"/>
        <v>0</v>
      </c>
      <c r="O381" s="483"/>
      <c r="P381" s="483"/>
      <c r="Q381" s="483"/>
      <c r="R381" s="483"/>
      <c r="S381" s="483"/>
      <c r="T381" s="483"/>
      <c r="U381" s="483"/>
      <c r="V381" s="132">
        <f t="shared" si="180"/>
        <v>0</v>
      </c>
      <c r="W381" s="133" t="str">
        <f t="shared" si="181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30100022</v>
      </c>
      <c r="B382" s="480" t="s">
        <v>208</v>
      </c>
      <c r="C382" s="126" t="s">
        <v>186</v>
      </c>
      <c r="D382" s="108">
        <v>5.08</v>
      </c>
      <c r="E382" s="108"/>
      <c r="F382" s="127"/>
      <c r="G382" s="128"/>
      <c r="H382" s="488">
        <f t="shared" si="170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5"/>
        <v>0</v>
      </c>
      <c r="N382" s="130">
        <f t="shared" si="179"/>
        <v>0</v>
      </c>
      <c r="O382" s="483"/>
      <c r="P382" s="483"/>
      <c r="Q382" s="483"/>
      <c r="R382" s="483"/>
      <c r="S382" s="483"/>
      <c r="T382" s="483"/>
      <c r="U382" s="483"/>
      <c r="V382" s="132">
        <f t="shared" si="180"/>
        <v>0</v>
      </c>
      <c r="W382" s="133" t="str">
        <f t="shared" si="181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30100029</v>
      </c>
      <c r="B383" s="480" t="s">
        <v>208</v>
      </c>
      <c r="C383" s="126" t="s">
        <v>203</v>
      </c>
      <c r="D383" s="108">
        <v>5.08</v>
      </c>
      <c r="E383" s="108"/>
      <c r="F383" s="127"/>
      <c r="G383" s="128"/>
      <c r="H383" s="488">
        <f t="shared" si="170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5"/>
        <v>0</v>
      </c>
      <c r="N383" s="130">
        <f t="shared" si="179"/>
        <v>0</v>
      </c>
      <c r="O383" s="483"/>
      <c r="P383" s="483"/>
      <c r="Q383" s="483"/>
      <c r="R383" s="483"/>
      <c r="S383" s="483"/>
      <c r="T383" s="483"/>
      <c r="U383" s="483"/>
      <c r="V383" s="132">
        <f t="shared" si="180"/>
        <v>0</v>
      </c>
      <c r="W383" s="133" t="str">
        <f t="shared" si="181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30100026</v>
      </c>
      <c r="B384" s="480" t="s">
        <v>208</v>
      </c>
      <c r="C384" s="126" t="s">
        <v>199</v>
      </c>
      <c r="D384" s="108">
        <v>5.08</v>
      </c>
      <c r="E384" s="108"/>
      <c r="F384" s="127"/>
      <c r="G384" s="128"/>
      <c r="H384" s="488">
        <f t="shared" si="170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5"/>
        <v>0</v>
      </c>
      <c r="N384" s="130">
        <f t="shared" si="179"/>
        <v>0</v>
      </c>
      <c r="O384" s="479"/>
      <c r="P384" s="479"/>
      <c r="Q384" s="479"/>
      <c r="R384" s="479"/>
      <c r="S384" s="479"/>
      <c r="T384" s="479"/>
      <c r="U384" s="479"/>
      <c r="V384" s="132">
        <f t="shared" si="180"/>
        <v>0</v>
      </c>
      <c r="W384" s="133" t="str">
        <f t="shared" si="181"/>
        <v/>
      </c>
      <c r="X384" s="132"/>
      <c r="Y384" s="132"/>
      <c r="Z384" s="132"/>
      <c r="AA384" s="132"/>
    </row>
    <row r="385" spans="1:27" ht="20.100000000000001" hidden="1" customHeight="1">
      <c r="A385" s="300">
        <v>30100025</v>
      </c>
      <c r="B385" s="480" t="s">
        <v>208</v>
      </c>
      <c r="C385" s="126" t="s">
        <v>187</v>
      </c>
      <c r="D385" s="108">
        <v>5.08</v>
      </c>
      <c r="E385" s="108"/>
      <c r="F385" s="127"/>
      <c r="G385" s="128"/>
      <c r="H385" s="488">
        <f t="shared" si="170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5"/>
        <v>0</v>
      </c>
      <c r="N385" s="130">
        <f t="shared" si="179"/>
        <v>0</v>
      </c>
      <c r="O385" s="483"/>
      <c r="P385" s="483"/>
      <c r="Q385" s="483"/>
      <c r="R385" s="483"/>
      <c r="S385" s="483"/>
      <c r="T385" s="483"/>
      <c r="U385" s="483"/>
      <c r="V385" s="132">
        <f t="shared" si="180"/>
        <v>0</v>
      </c>
      <c r="W385" s="133" t="str">
        <f t="shared" si="181"/>
        <v/>
      </c>
      <c r="X385" s="132"/>
      <c r="Y385" s="132"/>
      <c r="Z385" s="132"/>
      <c r="AA385" s="132"/>
    </row>
    <row r="386" spans="1:27" ht="20.100000000000001" hidden="1" customHeight="1">
      <c r="A386" s="300">
        <v>30100028</v>
      </c>
      <c r="B386" s="480" t="s">
        <v>208</v>
      </c>
      <c r="C386" s="126" t="s">
        <v>207</v>
      </c>
      <c r="D386" s="108">
        <v>5.08</v>
      </c>
      <c r="E386" s="108"/>
      <c r="F386" s="127"/>
      <c r="G386" s="128"/>
      <c r="H386" s="488">
        <f t="shared" si="170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5"/>
        <v>0</v>
      </c>
      <c r="N386" s="130">
        <f t="shared" si="179"/>
        <v>0</v>
      </c>
      <c r="O386" s="479"/>
      <c r="P386" s="479"/>
      <c r="Q386" s="479"/>
      <c r="R386" s="479"/>
      <c r="S386" s="479"/>
      <c r="T386" s="479"/>
      <c r="U386" s="479"/>
      <c r="V386" s="132">
        <f t="shared" si="180"/>
        <v>0</v>
      </c>
      <c r="W386" s="133" t="str">
        <f t="shared" si="181"/>
        <v/>
      </c>
      <c r="X386" s="132"/>
      <c r="Y386" s="132"/>
      <c r="Z386" s="132"/>
      <c r="AA386" s="132"/>
    </row>
    <row r="387" spans="1:27" ht="20.100000000000001" hidden="1" customHeight="1">
      <c r="A387" s="300">
        <v>30100032</v>
      </c>
      <c r="B387" s="480" t="s">
        <v>209</v>
      </c>
      <c r="C387" s="126" t="s">
        <v>194</v>
      </c>
      <c r="D387" s="108">
        <v>5.03</v>
      </c>
      <c r="E387" s="108"/>
      <c r="F387" s="127"/>
      <c r="G387" s="128"/>
      <c r="H387" s="488">
        <f t="shared" si="170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5"/>
        <v>0</v>
      </c>
      <c r="N387" s="130">
        <f t="shared" si="179"/>
        <v>0</v>
      </c>
      <c r="O387" s="483"/>
      <c r="P387" s="483"/>
      <c r="Q387" s="483"/>
      <c r="R387" s="483"/>
      <c r="S387" s="483"/>
      <c r="T387" s="483"/>
      <c r="U387" s="483"/>
      <c r="V387" s="132">
        <f t="shared" si="180"/>
        <v>0</v>
      </c>
      <c r="W387" s="133" t="str">
        <f t="shared" si="181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30100033</v>
      </c>
      <c r="B388" s="480" t="s">
        <v>209</v>
      </c>
      <c r="C388" s="126" t="s">
        <v>179</v>
      </c>
      <c r="D388" s="108">
        <v>5.03</v>
      </c>
      <c r="E388" s="108"/>
      <c r="F388" s="127"/>
      <c r="G388" s="128"/>
      <c r="H388" s="488">
        <f t="shared" si="170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5"/>
        <v>0</v>
      </c>
      <c r="N388" s="130">
        <f t="shared" si="179"/>
        <v>0</v>
      </c>
      <c r="O388" s="483"/>
      <c r="P388" s="483"/>
      <c r="Q388" s="483"/>
      <c r="R388" s="483"/>
      <c r="S388" s="483"/>
      <c r="T388" s="483"/>
      <c r="U388" s="483"/>
      <c r="V388" s="132">
        <f t="shared" si="180"/>
        <v>0</v>
      </c>
      <c r="W388" s="133" t="str">
        <f t="shared" si="181"/>
        <v/>
      </c>
      <c r="X388" s="132"/>
      <c r="Y388" s="132"/>
      <c r="Z388" s="132"/>
      <c r="AA388" s="132"/>
    </row>
    <row r="389" spans="1:27" ht="20.100000000000001" hidden="1" customHeight="1">
      <c r="A389" s="300">
        <v>30100062</v>
      </c>
      <c r="B389" s="480" t="s">
        <v>209</v>
      </c>
      <c r="C389" s="126" t="s">
        <v>195</v>
      </c>
      <c r="D389" s="108">
        <v>5.03</v>
      </c>
      <c r="E389" s="108"/>
      <c r="F389" s="127"/>
      <c r="G389" s="128"/>
      <c r="H389" s="488">
        <f t="shared" si="170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5"/>
        <v>0</v>
      </c>
      <c r="N389" s="130">
        <f t="shared" si="179"/>
        <v>0</v>
      </c>
      <c r="O389" s="483"/>
      <c r="P389" s="483"/>
      <c r="Q389" s="483"/>
      <c r="R389" s="483"/>
      <c r="S389" s="483"/>
      <c r="T389" s="483"/>
      <c r="U389" s="483"/>
      <c r="V389" s="132">
        <f t="shared" si="180"/>
        <v>0</v>
      </c>
      <c r="W389" s="133" t="str">
        <f t="shared" si="181"/>
        <v/>
      </c>
      <c r="X389" s="132"/>
      <c r="Y389" s="132"/>
      <c r="Z389" s="132"/>
      <c r="AA389" s="132"/>
    </row>
    <row r="390" spans="1:27" ht="20.100000000000001" hidden="1" customHeight="1">
      <c r="A390" s="300">
        <v>30100031</v>
      </c>
      <c r="B390" s="480" t="s">
        <v>209</v>
      </c>
      <c r="C390" s="126" t="s">
        <v>204</v>
      </c>
      <c r="D390" s="108">
        <v>5.03</v>
      </c>
      <c r="E390" s="108"/>
      <c r="F390" s="127"/>
      <c r="G390" s="128"/>
      <c r="H390" s="488">
        <f t="shared" si="170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5"/>
        <v>0</v>
      </c>
      <c r="N390" s="130">
        <f t="shared" si="179"/>
        <v>0</v>
      </c>
      <c r="O390" s="483"/>
      <c r="P390" s="483"/>
      <c r="Q390" s="483"/>
      <c r="R390" s="483"/>
      <c r="S390" s="483"/>
      <c r="T390" s="483"/>
      <c r="U390" s="483"/>
      <c r="V390" s="132">
        <f t="shared" si="180"/>
        <v>0</v>
      </c>
      <c r="W390" s="133" t="str">
        <f t="shared" si="181"/>
        <v/>
      </c>
      <c r="X390" s="132"/>
      <c r="Y390" s="132"/>
      <c r="Z390" s="132"/>
      <c r="AA390" s="132"/>
    </row>
    <row r="391" spans="1:27" ht="20.100000000000001" hidden="1" customHeight="1">
      <c r="A391" s="300">
        <v>30100019</v>
      </c>
      <c r="B391" s="480" t="s">
        <v>382</v>
      </c>
      <c r="C391" s="187" t="s">
        <v>383</v>
      </c>
      <c r="D391" s="108">
        <v>5.03</v>
      </c>
      <c r="E391" s="108"/>
      <c r="F391" s="127"/>
      <c r="G391" s="128"/>
      <c r="H391" s="488">
        <f t="shared" si="170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5"/>
        <v>0</v>
      </c>
      <c r="N391" s="130">
        <f t="shared" si="179"/>
        <v>0</v>
      </c>
      <c r="O391" s="483"/>
      <c r="P391" s="483"/>
      <c r="Q391" s="483"/>
      <c r="R391" s="483"/>
      <c r="S391" s="483"/>
      <c r="T391" s="483"/>
      <c r="U391" s="483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30100020</v>
      </c>
      <c r="B392" s="480" t="s">
        <v>382</v>
      </c>
      <c r="C392" s="187" t="s">
        <v>384</v>
      </c>
      <c r="D392" s="108">
        <v>5.03</v>
      </c>
      <c r="E392" s="108"/>
      <c r="F392" s="127"/>
      <c r="G392" s="128"/>
      <c r="H392" s="488">
        <f t="shared" si="170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5"/>
        <v>0</v>
      </c>
      <c r="N392" s="130">
        <f t="shared" si="179"/>
        <v>0</v>
      </c>
      <c r="O392" s="483"/>
      <c r="P392" s="483"/>
      <c r="Q392" s="483"/>
      <c r="R392" s="483"/>
      <c r="S392" s="483"/>
      <c r="T392" s="483"/>
      <c r="U392" s="483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0">
        <v>30100021</v>
      </c>
      <c r="B393" s="480" t="s">
        <v>382</v>
      </c>
      <c r="C393" s="187" t="s">
        <v>389</v>
      </c>
      <c r="D393" s="108">
        <v>5.03</v>
      </c>
      <c r="E393" s="108"/>
      <c r="F393" s="127"/>
      <c r="G393" s="128"/>
      <c r="H393" s="488">
        <f t="shared" si="170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5"/>
        <v>0</v>
      </c>
      <c r="N393" s="130">
        <f t="shared" si="179"/>
        <v>0</v>
      </c>
      <c r="O393" s="483"/>
      <c r="P393" s="483"/>
      <c r="Q393" s="483"/>
      <c r="R393" s="483"/>
      <c r="S393" s="483"/>
      <c r="T393" s="483"/>
      <c r="U393" s="483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0">
        <v>30100018</v>
      </c>
      <c r="B394" s="480" t="s">
        <v>382</v>
      </c>
      <c r="C394" s="187" t="s">
        <v>391</v>
      </c>
      <c r="D394" s="108">
        <v>5.03</v>
      </c>
      <c r="E394" s="108"/>
      <c r="F394" s="127"/>
      <c r="G394" s="128"/>
      <c r="H394" s="488">
        <f t="shared" si="170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5"/>
        <v>0</v>
      </c>
      <c r="N394" s="130">
        <f t="shared" si="179"/>
        <v>0</v>
      </c>
      <c r="O394" s="483"/>
      <c r="P394" s="483"/>
      <c r="Q394" s="483"/>
      <c r="R394" s="483"/>
      <c r="S394" s="483"/>
      <c r="T394" s="483"/>
      <c r="U394" s="483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30700007</v>
      </c>
      <c r="B395" s="480" t="s">
        <v>418</v>
      </c>
      <c r="C395" s="187" t="s">
        <v>364</v>
      </c>
      <c r="D395" s="108">
        <v>5.03</v>
      </c>
      <c r="E395" s="108"/>
      <c r="F395" s="127"/>
      <c r="G395" s="128"/>
      <c r="H395" s="488">
        <f t="shared" si="170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5"/>
        <v>0</v>
      </c>
      <c r="N395" s="130"/>
      <c r="O395" s="483"/>
      <c r="P395" s="483"/>
      <c r="Q395" s="483"/>
      <c r="R395" s="483"/>
      <c r="S395" s="483"/>
      <c r="T395" s="483"/>
      <c r="U395" s="483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30700006</v>
      </c>
      <c r="B396" s="480" t="s">
        <v>418</v>
      </c>
      <c r="C396" s="187" t="s">
        <v>365</v>
      </c>
      <c r="D396" s="108">
        <v>5.03</v>
      </c>
      <c r="E396" s="108"/>
      <c r="F396" s="127"/>
      <c r="G396" s="128"/>
      <c r="H396" s="488">
        <f t="shared" si="170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5"/>
        <v>0</v>
      </c>
      <c r="N396" s="130"/>
      <c r="O396" s="483"/>
      <c r="P396" s="483"/>
      <c r="Q396" s="483"/>
      <c r="R396" s="483"/>
      <c r="S396" s="483"/>
      <c r="T396" s="483"/>
      <c r="U396" s="483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3">
        <v>30700008</v>
      </c>
      <c r="B397" s="480" t="s">
        <v>418</v>
      </c>
      <c r="C397" s="187" t="s">
        <v>366</v>
      </c>
      <c r="D397" s="108">
        <v>5.03</v>
      </c>
      <c r="E397" s="108"/>
      <c r="F397" s="127"/>
      <c r="G397" s="128"/>
      <c r="H397" s="488">
        <f t="shared" si="170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5"/>
        <v>0</v>
      </c>
      <c r="N397" s="130"/>
      <c r="O397" s="483"/>
      <c r="P397" s="483"/>
      <c r="Q397" s="483"/>
      <c r="R397" s="483"/>
      <c r="S397" s="483"/>
      <c r="T397" s="483"/>
      <c r="U397" s="483"/>
      <c r="V397" s="132"/>
      <c r="W397" s="133"/>
      <c r="X397" s="132"/>
      <c r="Y397" s="132"/>
      <c r="Z397" s="132"/>
      <c r="AA397" s="132"/>
    </row>
    <row r="398" spans="1:27" ht="20.100000000000001" hidden="1" customHeight="1">
      <c r="A398" s="303">
        <v>30700009</v>
      </c>
      <c r="B398" s="480" t="s">
        <v>418</v>
      </c>
      <c r="C398" s="187" t="s">
        <v>367</v>
      </c>
      <c r="D398" s="108">
        <v>5.03</v>
      </c>
      <c r="E398" s="108"/>
      <c r="F398" s="127"/>
      <c r="G398" s="128"/>
      <c r="H398" s="488">
        <f t="shared" si="170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5"/>
        <v>0</v>
      </c>
      <c r="N398" s="130"/>
      <c r="O398" s="483"/>
      <c r="P398" s="483"/>
      <c r="Q398" s="483"/>
      <c r="R398" s="483"/>
      <c r="S398" s="483"/>
      <c r="T398" s="483"/>
      <c r="U398" s="483"/>
      <c r="V398" s="132"/>
      <c r="W398" s="133"/>
      <c r="X398" s="132"/>
      <c r="Y398" s="132"/>
      <c r="Z398" s="132"/>
      <c r="AA398" s="132"/>
    </row>
    <row r="399" spans="1:27" ht="20.100000000000001" hidden="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28"/>
      <c r="H399" s="488">
        <f t="shared" si="170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5"/>
        <v>0</v>
      </c>
      <c r="N399" s="130">
        <f t="shared" ref="N399:N408" si="182">SUM(O399:U399)</f>
        <v>0</v>
      </c>
      <c r="O399" s="479"/>
      <c r="P399" s="479"/>
      <c r="Q399" s="479"/>
      <c r="R399" s="479"/>
      <c r="S399" s="479"/>
      <c r="T399" s="479"/>
      <c r="U399" s="479"/>
      <c r="V399" s="132">
        <f t="shared" ref="V399:V408" si="183">SUM(X399:AA399)</f>
        <v>0</v>
      </c>
      <c r="W399" s="133" t="str">
        <f t="shared" ref="W399:W408" si="184">IF(ISERROR(V399/G399),"",V399/G399)</f>
        <v/>
      </c>
      <c r="X399" s="132"/>
      <c r="Y399" s="132"/>
      <c r="Z399" s="132"/>
      <c r="AA399" s="132"/>
    </row>
    <row r="400" spans="1:27" ht="20.100000000000001" hidden="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28"/>
      <c r="H400" s="488">
        <f t="shared" si="170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75"/>
        <v>0</v>
      </c>
      <c r="N400" s="130">
        <f t="shared" si="182"/>
        <v>0</v>
      </c>
      <c r="O400" s="479"/>
      <c r="P400" s="479"/>
      <c r="Q400" s="479"/>
      <c r="R400" s="479"/>
      <c r="S400" s="479"/>
      <c r="T400" s="479"/>
      <c r="U400" s="479"/>
      <c r="V400" s="132">
        <f t="shared" si="183"/>
        <v>0</v>
      </c>
      <c r="W400" s="133" t="str">
        <f t="shared" si="184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28"/>
      <c r="H401" s="488">
        <f t="shared" si="170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75"/>
        <v>0</v>
      </c>
      <c r="N401" s="130">
        <f t="shared" si="182"/>
        <v>0</v>
      </c>
      <c r="O401" s="479"/>
      <c r="P401" s="479"/>
      <c r="Q401" s="479"/>
      <c r="R401" s="479"/>
      <c r="S401" s="479"/>
      <c r="T401" s="479"/>
      <c r="U401" s="479"/>
      <c r="V401" s="132">
        <f t="shared" si="183"/>
        <v>0</v>
      </c>
      <c r="W401" s="133" t="str">
        <f t="shared" si="184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28"/>
      <c r="H402" s="488">
        <f t="shared" si="170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5"/>
        <v>0</v>
      </c>
      <c r="N402" s="130">
        <f t="shared" si="182"/>
        <v>0</v>
      </c>
      <c r="O402" s="479"/>
      <c r="P402" s="479"/>
      <c r="Q402" s="479"/>
      <c r="R402" s="479"/>
      <c r="S402" s="479"/>
      <c r="T402" s="479"/>
      <c r="U402" s="479"/>
      <c r="V402" s="132">
        <f t="shared" si="183"/>
        <v>0</v>
      </c>
      <c r="W402" s="133" t="str">
        <f t="shared" si="184"/>
        <v/>
      </c>
      <c r="X402" s="132"/>
      <c r="Y402" s="132"/>
      <c r="Z402" s="132"/>
      <c r="AA402" s="132"/>
    </row>
    <row r="403" spans="1:27" ht="20.100000000000001" hidden="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28"/>
      <c r="H403" s="488">
        <f t="shared" si="170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5"/>
        <v>0</v>
      </c>
      <c r="N403" s="130">
        <f t="shared" si="182"/>
        <v>0</v>
      </c>
      <c r="O403" s="479"/>
      <c r="P403" s="479"/>
      <c r="Q403" s="479"/>
      <c r="R403" s="479"/>
      <c r="S403" s="479"/>
      <c r="T403" s="479"/>
      <c r="U403" s="479"/>
      <c r="V403" s="132">
        <f t="shared" si="183"/>
        <v>0</v>
      </c>
      <c r="W403" s="133" t="str">
        <f t="shared" si="184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28"/>
      <c r="H404" s="488">
        <f t="shared" si="170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5"/>
        <v>0</v>
      </c>
      <c r="N404" s="130">
        <f t="shared" si="182"/>
        <v>0</v>
      </c>
      <c r="O404" s="479"/>
      <c r="P404" s="479"/>
      <c r="Q404" s="479"/>
      <c r="R404" s="479"/>
      <c r="S404" s="479"/>
      <c r="T404" s="479"/>
      <c r="U404" s="479"/>
      <c r="V404" s="132">
        <f t="shared" si="183"/>
        <v>0</v>
      </c>
      <c r="W404" s="133" t="str">
        <f t="shared" si="184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28"/>
      <c r="H405" s="488">
        <f t="shared" si="170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5"/>
        <v>0</v>
      </c>
      <c r="N405" s="130">
        <f t="shared" si="182"/>
        <v>0</v>
      </c>
      <c r="O405" s="479"/>
      <c r="P405" s="479"/>
      <c r="Q405" s="479"/>
      <c r="R405" s="479"/>
      <c r="S405" s="479"/>
      <c r="T405" s="479"/>
      <c r="U405" s="479"/>
      <c r="V405" s="132">
        <f t="shared" si="183"/>
        <v>0</v>
      </c>
      <c r="W405" s="133" t="str">
        <f t="shared" si="184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28"/>
      <c r="H406" s="488">
        <f t="shared" si="170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5"/>
        <v>0</v>
      </c>
      <c r="N406" s="130">
        <f t="shared" si="182"/>
        <v>0</v>
      </c>
      <c r="O406" s="479"/>
      <c r="P406" s="479"/>
      <c r="Q406" s="479"/>
      <c r="R406" s="479"/>
      <c r="S406" s="479"/>
      <c r="T406" s="479"/>
      <c r="U406" s="479"/>
      <c r="V406" s="132">
        <f t="shared" si="183"/>
        <v>0</v>
      </c>
      <c r="W406" s="133" t="str">
        <f t="shared" si="184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28"/>
      <c r="H407" s="488">
        <f t="shared" si="170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75"/>
        <v>0</v>
      </c>
      <c r="N407" s="130">
        <f t="shared" si="182"/>
        <v>0</v>
      </c>
      <c r="O407" s="479"/>
      <c r="P407" s="479"/>
      <c r="Q407" s="479"/>
      <c r="R407" s="479"/>
      <c r="S407" s="479"/>
      <c r="T407" s="479"/>
      <c r="U407" s="479"/>
      <c r="V407" s="132">
        <f t="shared" si="183"/>
        <v>0</v>
      </c>
      <c r="W407" s="133" t="str">
        <f t="shared" si="184"/>
        <v/>
      </c>
      <c r="X407" s="132"/>
      <c r="Y407" s="132"/>
      <c r="Z407" s="132"/>
      <c r="AA407" s="132"/>
    </row>
    <row r="408" spans="1:27" ht="20.100000000000001" hidden="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28"/>
      <c r="H408" s="488">
        <f t="shared" si="170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75"/>
        <v>0</v>
      </c>
      <c r="N408" s="130">
        <f t="shared" si="182"/>
        <v>0</v>
      </c>
      <c r="O408" s="479"/>
      <c r="P408" s="479"/>
      <c r="Q408" s="479"/>
      <c r="R408" s="479"/>
      <c r="S408" s="479"/>
      <c r="T408" s="479"/>
      <c r="U408" s="479"/>
      <c r="V408" s="132">
        <f t="shared" si="183"/>
        <v>0</v>
      </c>
      <c r="W408" s="133" t="str">
        <f t="shared" si="184"/>
        <v/>
      </c>
      <c r="X408" s="132"/>
      <c r="Y408" s="132"/>
      <c r="Z408" s="132"/>
      <c r="AA408" s="132"/>
    </row>
    <row r="409" spans="1:27" ht="20.100000000000001" hidden="1" customHeight="1">
      <c r="A409" s="300">
        <v>30100043</v>
      </c>
      <c r="B409" s="134" t="s">
        <v>429</v>
      </c>
      <c r="C409" s="187" t="s">
        <v>427</v>
      </c>
      <c r="D409" s="108">
        <v>50.3</v>
      </c>
      <c r="E409" s="108"/>
      <c r="F409" s="127"/>
      <c r="G409" s="128"/>
      <c r="H409" s="488">
        <f t="shared" si="170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479"/>
      <c r="P409" s="479"/>
      <c r="Q409" s="479"/>
      <c r="R409" s="479"/>
      <c r="S409" s="479"/>
      <c r="T409" s="479"/>
      <c r="U409" s="479"/>
      <c r="V409" s="132"/>
      <c r="W409" s="133"/>
      <c r="X409" s="132"/>
      <c r="Y409" s="132"/>
      <c r="Z409" s="132"/>
      <c r="AA409" s="132"/>
    </row>
    <row r="410" spans="1:27" ht="20.100000000000001" hidden="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28"/>
      <c r="H410" s="488">
        <f t="shared" si="170"/>
        <v>0</v>
      </c>
      <c r="I410" s="129"/>
      <c r="J410" s="130"/>
      <c r="K410" s="131"/>
      <c r="L410" s="129">
        <v>50</v>
      </c>
      <c r="M410" s="109"/>
      <c r="N410" s="130"/>
      <c r="O410" s="479"/>
      <c r="P410" s="479"/>
      <c r="Q410" s="479"/>
      <c r="R410" s="479"/>
      <c r="S410" s="479"/>
      <c r="T410" s="479"/>
      <c r="U410" s="479"/>
      <c r="V410" s="132"/>
      <c r="W410" s="133"/>
      <c r="X410" s="132"/>
      <c r="Y410" s="132"/>
      <c r="Z410" s="132"/>
      <c r="AA410" s="132"/>
    </row>
    <row r="411" spans="1:27" ht="20.100000000000001" hidden="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28"/>
      <c r="H411" s="488">
        <f t="shared" si="170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5">IF(ISERROR(I411-K411),"",I411-K411)</f>
        <v>0</v>
      </c>
      <c r="N411" s="130">
        <f t="shared" ref="N411:N412" si="186">SUM(O411:U411)</f>
        <v>0</v>
      </c>
      <c r="O411" s="479"/>
      <c r="P411" s="479"/>
      <c r="Q411" s="479"/>
      <c r="R411" s="479"/>
      <c r="S411" s="479"/>
      <c r="T411" s="479"/>
      <c r="U411" s="479"/>
      <c r="V411" s="132">
        <f t="shared" ref="V411:V412" si="187">SUM(X411:AA411)</f>
        <v>0</v>
      </c>
      <c r="W411" s="133" t="str">
        <f t="shared" ref="W411:W412" si="188">IF(ISERROR(V411/G411),"",V411/G411)</f>
        <v/>
      </c>
      <c r="X411" s="132"/>
      <c r="Y411" s="132"/>
      <c r="Z411" s="132"/>
      <c r="AA411" s="132"/>
    </row>
    <row r="412" spans="1:27" ht="20.100000000000001" hidden="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28"/>
      <c r="H412" s="488">
        <f t="shared" si="170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5"/>
        <v>0</v>
      </c>
      <c r="N412" s="130">
        <f t="shared" si="186"/>
        <v>0</v>
      </c>
      <c r="O412" s="479"/>
      <c r="P412" s="479"/>
      <c r="Q412" s="479"/>
      <c r="R412" s="479"/>
      <c r="S412" s="479"/>
      <c r="T412" s="479"/>
      <c r="U412" s="479"/>
      <c r="V412" s="132">
        <f t="shared" si="187"/>
        <v>0</v>
      </c>
      <c r="W412" s="133" t="str">
        <f t="shared" si="188"/>
        <v/>
      </c>
      <c r="X412" s="132"/>
      <c r="Y412" s="132"/>
      <c r="Z412" s="132"/>
      <c r="AA412" s="132"/>
    </row>
    <row r="413" spans="1:27" ht="20.100000000000001" hidden="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28"/>
      <c r="H413" s="488">
        <f t="shared" si="170"/>
        <v>0</v>
      </c>
      <c r="I413" s="129"/>
      <c r="J413" s="130"/>
      <c r="K413" s="131"/>
      <c r="L413" s="129"/>
      <c r="M413" s="109"/>
      <c r="N413" s="130"/>
      <c r="O413" s="479"/>
      <c r="P413" s="479"/>
      <c r="Q413" s="479"/>
      <c r="R413" s="479"/>
      <c r="S413" s="479"/>
      <c r="T413" s="479"/>
      <c r="U413" s="479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28"/>
      <c r="H414" s="488">
        <f t="shared" si="170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89">IF(ISERROR(I414-K414),"",I414-K414)</f>
        <v/>
      </c>
      <c r="N414" s="130">
        <f t="shared" ref="N414:N417" si="190">SUM(O414:U414)</f>
        <v>0</v>
      </c>
      <c r="O414" s="479"/>
      <c r="P414" s="479"/>
      <c r="Q414" s="479"/>
      <c r="R414" s="479"/>
      <c r="S414" s="479"/>
      <c r="T414" s="479"/>
      <c r="U414" s="479"/>
      <c r="V414" s="132">
        <f t="shared" ref="V414:V417" si="191">SUM(X414:AA414)</f>
        <v>0</v>
      </c>
      <c r="W414" s="133" t="str">
        <f t="shared" ref="W414:W417" si="192">IF(ISERROR(V414/G414),"",V414/G414)</f>
        <v/>
      </c>
      <c r="X414" s="132"/>
      <c r="Y414" s="132"/>
      <c r="Z414" s="132"/>
      <c r="AA414" s="132"/>
    </row>
    <row r="415" spans="1:27" ht="20.100000000000001" hidden="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28"/>
      <c r="H415" s="488">
        <f t="shared" si="170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89"/>
        <v/>
      </c>
      <c r="N415" s="130">
        <f t="shared" si="190"/>
        <v>0</v>
      </c>
      <c r="O415" s="479"/>
      <c r="P415" s="479"/>
      <c r="Q415" s="479"/>
      <c r="R415" s="479"/>
      <c r="S415" s="479"/>
      <c r="T415" s="479"/>
      <c r="U415" s="479"/>
      <c r="V415" s="132">
        <f t="shared" si="191"/>
        <v>0</v>
      </c>
      <c r="W415" s="133" t="str">
        <f t="shared" si="192"/>
        <v/>
      </c>
      <c r="X415" s="132"/>
      <c r="Y415" s="132"/>
      <c r="Z415" s="132"/>
      <c r="AA415" s="132"/>
    </row>
    <row r="416" spans="1:27" ht="20.100000000000001" hidden="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28"/>
      <c r="H416" s="488">
        <f t="shared" si="170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89"/>
        <v/>
      </c>
      <c r="N416" s="130">
        <f t="shared" si="190"/>
        <v>0</v>
      </c>
      <c r="O416" s="479"/>
      <c r="P416" s="479"/>
      <c r="Q416" s="479"/>
      <c r="R416" s="479"/>
      <c r="S416" s="479"/>
      <c r="T416" s="479"/>
      <c r="U416" s="479"/>
      <c r="V416" s="132">
        <f t="shared" si="191"/>
        <v>0</v>
      </c>
      <c r="W416" s="133" t="str">
        <f t="shared" si="192"/>
        <v/>
      </c>
      <c r="X416" s="132"/>
      <c r="Y416" s="132"/>
      <c r="Z416" s="132"/>
      <c r="AA416" s="132"/>
    </row>
    <row r="417" spans="1:27" ht="20.100000000000001" hidden="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28"/>
      <c r="H417" s="488">
        <f t="shared" si="170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89"/>
        <v/>
      </c>
      <c r="N417" s="130">
        <f t="shared" si="190"/>
        <v>0</v>
      </c>
      <c r="O417" s="479"/>
      <c r="P417" s="479"/>
      <c r="Q417" s="479"/>
      <c r="R417" s="479"/>
      <c r="S417" s="479"/>
      <c r="T417" s="479"/>
      <c r="U417" s="479"/>
      <c r="V417" s="132">
        <f t="shared" si="191"/>
        <v>0</v>
      </c>
      <c r="W417" s="133" t="str">
        <f t="shared" si="192"/>
        <v/>
      </c>
      <c r="X417" s="132"/>
      <c r="Y417" s="132"/>
      <c r="Z417" s="132"/>
      <c r="AA417" s="132"/>
    </row>
    <row r="418" spans="1:27" ht="20.100000000000001" hidden="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28"/>
      <c r="H418" s="488">
        <f t="shared" si="170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89"/>
        <v>0</v>
      </c>
      <c r="N418" s="130"/>
      <c r="O418" s="479"/>
      <c r="P418" s="479"/>
      <c r="Q418" s="479"/>
      <c r="R418" s="479"/>
      <c r="S418" s="479"/>
      <c r="T418" s="479"/>
      <c r="U418" s="479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28"/>
      <c r="H419" s="488">
        <f t="shared" si="170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89"/>
        <v>0</v>
      </c>
      <c r="N419" s="130"/>
      <c r="O419" s="479"/>
      <c r="P419" s="479"/>
      <c r="Q419" s="479"/>
      <c r="R419" s="479"/>
      <c r="S419" s="479"/>
      <c r="T419" s="479"/>
      <c r="U419" s="479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28"/>
      <c r="H420" s="488">
        <f t="shared" si="170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89"/>
        <v>0</v>
      </c>
      <c r="N420" s="130"/>
      <c r="O420" s="479"/>
      <c r="P420" s="479"/>
      <c r="Q420" s="479"/>
      <c r="R420" s="479"/>
      <c r="S420" s="479"/>
      <c r="T420" s="479"/>
      <c r="U420" s="479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28"/>
      <c r="H421" s="488">
        <f t="shared" si="170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89"/>
        <v>0</v>
      </c>
      <c r="N421" s="130"/>
      <c r="O421" s="479"/>
      <c r="P421" s="479"/>
      <c r="Q421" s="479"/>
      <c r="R421" s="479"/>
      <c r="S421" s="479"/>
      <c r="T421" s="479"/>
      <c r="U421" s="479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28"/>
      <c r="H422" s="488">
        <f t="shared" si="170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89"/>
        <v>0</v>
      </c>
      <c r="N422" s="130"/>
      <c r="O422" s="479"/>
      <c r="P422" s="479"/>
      <c r="Q422" s="479"/>
      <c r="R422" s="479"/>
      <c r="S422" s="479"/>
      <c r="T422" s="479"/>
      <c r="U422" s="479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28"/>
      <c r="H423" s="488">
        <f t="shared" si="170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89"/>
        <v>0</v>
      </c>
      <c r="N423" s="130"/>
      <c r="O423" s="479"/>
      <c r="P423" s="479"/>
      <c r="Q423" s="479"/>
      <c r="R423" s="479"/>
      <c r="S423" s="479"/>
      <c r="T423" s="479"/>
      <c r="U423" s="479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28"/>
      <c r="H424" s="488">
        <f t="shared" si="170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89"/>
        <v>0</v>
      </c>
      <c r="N424" s="130"/>
      <c r="O424" s="479"/>
      <c r="P424" s="479"/>
      <c r="Q424" s="479"/>
      <c r="R424" s="479"/>
      <c r="S424" s="479"/>
      <c r="T424" s="479"/>
      <c r="U424" s="479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28"/>
      <c r="H425" s="488">
        <f t="shared" si="170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89"/>
        <v>0</v>
      </c>
      <c r="N425" s="130"/>
      <c r="O425" s="479"/>
      <c r="P425" s="479"/>
      <c r="Q425" s="479"/>
      <c r="R425" s="479"/>
      <c r="S425" s="479"/>
      <c r="T425" s="479"/>
      <c r="U425" s="479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28"/>
      <c r="H426" s="488">
        <f t="shared" si="170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89"/>
        <v>0</v>
      </c>
      <c r="N426" s="130"/>
      <c r="O426" s="479"/>
      <c r="P426" s="479"/>
      <c r="Q426" s="479"/>
      <c r="R426" s="479"/>
      <c r="S426" s="479"/>
      <c r="T426" s="479"/>
      <c r="U426" s="479"/>
      <c r="V426" s="132"/>
      <c r="W426" s="133"/>
      <c r="X426" s="132"/>
      <c r="Y426" s="132"/>
      <c r="Z426" s="132"/>
      <c r="AA426" s="132"/>
    </row>
    <row r="427" spans="1:27" ht="20.100000000000001" hidden="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28"/>
      <c r="H427" s="488">
        <f t="shared" si="170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89"/>
        <v>0</v>
      </c>
      <c r="N427" s="130"/>
      <c r="O427" s="479"/>
      <c r="P427" s="479"/>
      <c r="Q427" s="479"/>
      <c r="R427" s="479"/>
      <c r="S427" s="479"/>
      <c r="T427" s="479"/>
      <c r="U427" s="479"/>
      <c r="V427" s="132"/>
      <c r="W427" s="133"/>
      <c r="X427" s="132"/>
      <c r="Y427" s="132"/>
      <c r="Z427" s="132"/>
      <c r="AA427" s="132"/>
    </row>
    <row r="428" spans="1:27" ht="20.100000000000001" hidden="1" customHeight="1">
      <c r="A428" s="589" t="s">
        <v>216</v>
      </c>
      <c r="B428" s="589"/>
      <c r="C428" s="486" t="s">
        <v>202</v>
      </c>
      <c r="D428" s="143"/>
      <c r="E428" s="143"/>
      <c r="F428" s="144"/>
      <c r="G428" s="145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3">SUM(M371:M427)</f>
        <v>0</v>
      </c>
      <c r="N428" s="146">
        <f t="shared" si="193"/>
        <v>0</v>
      </c>
      <c r="O428" s="148">
        <f t="shared" si="193"/>
        <v>0</v>
      </c>
      <c r="P428" s="148">
        <f t="shared" si="193"/>
        <v>0</v>
      </c>
      <c r="Q428" s="148">
        <f t="shared" si="193"/>
        <v>0</v>
      </c>
      <c r="R428" s="148">
        <f t="shared" si="193"/>
        <v>0</v>
      </c>
      <c r="S428" s="148">
        <f t="shared" si="193"/>
        <v>0</v>
      </c>
      <c r="T428" s="148">
        <f t="shared" si="193"/>
        <v>0</v>
      </c>
      <c r="U428" s="148">
        <f t="shared" si="193"/>
        <v>0</v>
      </c>
      <c r="V428" s="149">
        <f t="shared" si="193"/>
        <v>0</v>
      </c>
      <c r="W428" s="133" t="str">
        <f t="shared" ref="W428:W435" si="194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hidden="1" customHeight="1">
      <c r="A429" s="299">
        <v>30400012</v>
      </c>
      <c r="B429" s="480" t="s">
        <v>217</v>
      </c>
      <c r="C429" s="126" t="s">
        <v>179</v>
      </c>
      <c r="D429" s="108">
        <v>5.03</v>
      </c>
      <c r="E429" s="108"/>
      <c r="F429" s="127"/>
      <c r="G429" s="128"/>
      <c r="H429" s="488">
        <f t="shared" ref="H429:H462" si="195">D429*G429</f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ref="M429:M436" si="196">IF(ISERROR(I429-K429),"",I429-K429)</f>
        <v>0</v>
      </c>
      <c r="N429" s="130">
        <f t="shared" ref="N429:N436" si="197">SUM(O429:U429)</f>
        <v>0</v>
      </c>
      <c r="O429" s="479"/>
      <c r="P429" s="479"/>
      <c r="Q429" s="479"/>
      <c r="R429" s="479"/>
      <c r="S429" s="479"/>
      <c r="T429" s="479"/>
      <c r="U429" s="479"/>
      <c r="V429" s="132">
        <f t="shared" ref="V429:V435" si="198">SUM(X429:AA429)</f>
        <v>0</v>
      </c>
      <c r="W429" s="133" t="str">
        <f t="shared" si="194"/>
        <v/>
      </c>
      <c r="X429" s="132"/>
      <c r="Y429" s="132"/>
      <c r="Z429" s="132"/>
      <c r="AA429" s="132"/>
    </row>
    <row r="430" spans="1:27" ht="20.100000000000001" customHeight="1">
      <c r="A430" s="299">
        <v>30400010</v>
      </c>
      <c r="B430" s="480" t="s">
        <v>217</v>
      </c>
      <c r="C430" s="126" t="s">
        <v>186</v>
      </c>
      <c r="D430" s="108">
        <v>5.03</v>
      </c>
      <c r="E430" s="108"/>
      <c r="F430" s="127">
        <v>42741</v>
      </c>
      <c r="G430" s="128">
        <f>72*7+63+18+48*2+34</f>
        <v>715</v>
      </c>
      <c r="H430" s="488">
        <f t="shared" si="195"/>
        <v>3596.4500000000003</v>
      </c>
      <c r="I430" s="129">
        <f>10+10+10*2+10+9.5*2</f>
        <v>69</v>
      </c>
      <c r="J430" s="130">
        <f t="array" ref="J430">IF(ISERROR(G430/I430),"",G430/I430)</f>
        <v>10.362318840579711</v>
      </c>
      <c r="K430" s="131">
        <f t="array" ref="K430">IF(ISERROR(G430/L430),"",G430/L430)</f>
        <v>81.25</v>
      </c>
      <c r="L430" s="129">
        <v>8.8000000000000007</v>
      </c>
      <c r="M430" s="109">
        <f t="shared" si="196"/>
        <v>-12.25</v>
      </c>
      <c r="N430" s="130">
        <f t="shared" si="197"/>
        <v>0</v>
      </c>
      <c r="O430" s="479"/>
      <c r="P430" s="479"/>
      <c r="Q430" s="479"/>
      <c r="R430" s="479"/>
      <c r="S430" s="479"/>
      <c r="T430" s="479"/>
      <c r="U430" s="479"/>
      <c r="V430" s="132">
        <f t="shared" si="198"/>
        <v>0</v>
      </c>
      <c r="W430" s="133">
        <f t="shared" si="194"/>
        <v>0</v>
      </c>
      <c r="X430" s="132"/>
      <c r="Y430" s="132"/>
      <c r="Z430" s="132"/>
      <c r="AA430" s="132"/>
    </row>
    <row r="431" spans="1:27" ht="20.100000000000001" customHeight="1">
      <c r="A431" s="299">
        <v>30400011</v>
      </c>
      <c r="B431" s="480" t="s">
        <v>217</v>
      </c>
      <c r="C431" s="126" t="s">
        <v>204</v>
      </c>
      <c r="D431" s="108">
        <v>5.03</v>
      </c>
      <c r="E431" s="108"/>
      <c r="F431" s="127">
        <v>42742</v>
      </c>
      <c r="G431" s="128">
        <f>52+72*3</f>
        <v>268</v>
      </c>
      <c r="H431" s="488">
        <f t="shared" si="195"/>
        <v>1348.04</v>
      </c>
      <c r="I431" s="129">
        <f>8.5+9.5+1*2</f>
        <v>20</v>
      </c>
      <c r="J431" s="130">
        <f t="array" ref="J431">IF(ISERROR(G431/I431),"",G431/I431)</f>
        <v>13.4</v>
      </c>
      <c r="K431" s="131">
        <f t="array" ref="K431">IF(ISERROR(G431/L431),"",G431/L431)</f>
        <v>30.454545454545453</v>
      </c>
      <c r="L431" s="129">
        <v>8.8000000000000007</v>
      </c>
      <c r="M431" s="109">
        <f t="shared" si="196"/>
        <v>-10.454545454545453</v>
      </c>
      <c r="N431" s="130">
        <f t="shared" si="197"/>
        <v>0</v>
      </c>
      <c r="O431" s="479"/>
      <c r="P431" s="479"/>
      <c r="Q431" s="479"/>
      <c r="R431" s="479"/>
      <c r="S431" s="479"/>
      <c r="T431" s="479"/>
      <c r="U431" s="479"/>
      <c r="V431" s="132">
        <f t="shared" si="198"/>
        <v>0</v>
      </c>
      <c r="W431" s="133">
        <f t="shared" si="194"/>
        <v>0</v>
      </c>
      <c r="X431" s="132"/>
      <c r="Y431" s="132"/>
      <c r="Z431" s="132"/>
      <c r="AA431" s="132"/>
    </row>
    <row r="432" spans="1:27" ht="20.100000000000001" hidden="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28"/>
      <c r="H432" s="488">
        <f t="shared" si="195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6"/>
        <v>0</v>
      </c>
      <c r="N432" s="130">
        <f t="shared" si="197"/>
        <v>0</v>
      </c>
      <c r="O432" s="479"/>
      <c r="P432" s="479"/>
      <c r="Q432" s="479"/>
      <c r="R432" s="479"/>
      <c r="S432" s="479"/>
      <c r="T432" s="479"/>
      <c r="U432" s="479"/>
      <c r="V432" s="132">
        <f t="shared" si="198"/>
        <v>0</v>
      </c>
      <c r="W432" s="133" t="str">
        <f t="shared" si="194"/>
        <v/>
      </c>
      <c r="X432" s="132"/>
      <c r="Y432" s="132"/>
      <c r="Z432" s="132"/>
      <c r="AA432" s="132"/>
    </row>
    <row r="433" spans="1:27" ht="20.10000000000000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>
        <v>42741</v>
      </c>
      <c r="G433" s="128">
        <v>100</v>
      </c>
      <c r="H433" s="488">
        <f t="shared" si="195"/>
        <v>503</v>
      </c>
      <c r="I433" s="129">
        <v>11</v>
      </c>
      <c r="J433" s="130">
        <f t="array" ref="J433">IF(ISERROR(G433/I433),"",G433/I433)</f>
        <v>9.0909090909090917</v>
      </c>
      <c r="K433" s="131">
        <f t="array" ref="K433">IF(ISERROR(G433/L433),"",G433/L433)</f>
        <v>10.75268817204301</v>
      </c>
      <c r="L433" s="129">
        <v>9.3000000000000007</v>
      </c>
      <c r="M433" s="109">
        <f t="shared" si="196"/>
        <v>0.24731182795698992</v>
      </c>
      <c r="N433" s="130">
        <f t="shared" si="197"/>
        <v>0</v>
      </c>
      <c r="O433" s="479"/>
      <c r="P433" s="479"/>
      <c r="Q433" s="479"/>
      <c r="R433" s="479"/>
      <c r="S433" s="479"/>
      <c r="T433" s="479"/>
      <c r="U433" s="479"/>
      <c r="V433" s="132">
        <f t="shared" si="198"/>
        <v>0</v>
      </c>
      <c r="W433" s="133">
        <f t="shared" si="194"/>
        <v>0</v>
      </c>
      <c r="X433" s="132"/>
      <c r="Y433" s="132"/>
      <c r="Z433" s="132"/>
      <c r="AA433" s="132"/>
    </row>
    <row r="434" spans="1:27" ht="20.100000000000001" hidden="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/>
      <c r="G434" s="128"/>
      <c r="H434" s="488">
        <f t="shared" si="195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9.3000000000000007</v>
      </c>
      <c r="M434" s="109">
        <f t="shared" si="196"/>
        <v>0</v>
      </c>
      <c r="N434" s="130">
        <f t="shared" si="197"/>
        <v>0</v>
      </c>
      <c r="O434" s="479"/>
      <c r="P434" s="479"/>
      <c r="Q434" s="479"/>
      <c r="R434" s="479"/>
      <c r="S434" s="479"/>
      <c r="T434" s="479"/>
      <c r="U434" s="479"/>
      <c r="V434" s="132">
        <f t="shared" si="198"/>
        <v>0</v>
      </c>
      <c r="W434" s="133" t="str">
        <f t="shared" si="194"/>
        <v/>
      </c>
      <c r="X434" s="132"/>
      <c r="Y434" s="132"/>
      <c r="Z434" s="132"/>
      <c r="AA434" s="132"/>
    </row>
    <row r="435" spans="1:27" ht="20.100000000000001" hidden="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/>
      <c r="G435" s="128"/>
      <c r="H435" s="488">
        <f t="shared" si="195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9.3000000000000007</v>
      </c>
      <c r="M435" s="109">
        <f t="shared" si="196"/>
        <v>0</v>
      </c>
      <c r="N435" s="130">
        <f t="shared" si="197"/>
        <v>0</v>
      </c>
      <c r="O435" s="479"/>
      <c r="P435" s="479"/>
      <c r="Q435" s="479"/>
      <c r="R435" s="479"/>
      <c r="S435" s="479"/>
      <c r="T435" s="479"/>
      <c r="U435" s="479"/>
      <c r="V435" s="132">
        <f t="shared" si="198"/>
        <v>0</v>
      </c>
      <c r="W435" s="133" t="str">
        <f t="shared" si="194"/>
        <v/>
      </c>
      <c r="X435" s="132"/>
      <c r="Y435" s="132"/>
      <c r="Z435" s="132"/>
      <c r="AA435" s="132"/>
    </row>
    <row r="436" spans="1:27" ht="20.100000000000001" hidden="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/>
      <c r="G436" s="128"/>
      <c r="H436" s="488">
        <f t="shared" si="195"/>
        <v>0</v>
      </c>
      <c r="I436" s="129"/>
      <c r="J436" s="130"/>
      <c r="K436" s="131">
        <f t="array" ref="K436">IF(ISERROR(G436/L436),"",G436/L436)</f>
        <v>0</v>
      </c>
      <c r="L436" s="129">
        <v>9.3000000000000007</v>
      </c>
      <c r="M436" s="109">
        <f t="shared" si="196"/>
        <v>0</v>
      </c>
      <c r="N436" s="130">
        <f t="shared" si="197"/>
        <v>0</v>
      </c>
      <c r="O436" s="479"/>
      <c r="P436" s="479"/>
      <c r="Q436" s="479"/>
      <c r="R436" s="479"/>
      <c r="S436" s="479"/>
      <c r="T436" s="479"/>
      <c r="U436" s="479"/>
      <c r="V436" s="132"/>
      <c r="W436" s="133"/>
      <c r="X436" s="132"/>
      <c r="Y436" s="132"/>
      <c r="Z436" s="132"/>
      <c r="AA436" s="132"/>
    </row>
    <row r="437" spans="1:27" ht="20.100000000000001" hidden="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28"/>
      <c r="H437" s="488">
        <f t="shared" si="195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479"/>
      <c r="P437" s="479"/>
      <c r="Q437" s="479"/>
      <c r="R437" s="479"/>
      <c r="S437" s="479"/>
      <c r="T437" s="479"/>
      <c r="U437" s="479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28"/>
      <c r="H438" s="488">
        <f t="shared" si="195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479"/>
      <c r="P438" s="479"/>
      <c r="Q438" s="479"/>
      <c r="R438" s="479"/>
      <c r="S438" s="479"/>
      <c r="T438" s="479"/>
      <c r="U438" s="479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28"/>
      <c r="H439" s="488">
        <f t="shared" si="195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479"/>
      <c r="P439" s="479"/>
      <c r="Q439" s="479"/>
      <c r="R439" s="479"/>
      <c r="S439" s="479"/>
      <c r="T439" s="479"/>
      <c r="U439" s="479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28"/>
      <c r="H440" s="488">
        <f t="shared" si="195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479"/>
      <c r="P440" s="479"/>
      <c r="Q440" s="479"/>
      <c r="R440" s="479"/>
      <c r="S440" s="479"/>
      <c r="T440" s="479"/>
      <c r="U440" s="479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hidden="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28"/>
      <c r="H441" s="488">
        <f t="shared" si="195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2" si="199">IF(ISERROR(I441-K441),"",I441-K441)</f>
        <v>0</v>
      </c>
      <c r="N441" s="130">
        <f t="shared" ref="N441:N456" si="200">SUM(O441:U441)</f>
        <v>0</v>
      </c>
      <c r="O441" s="479"/>
      <c r="P441" s="479"/>
      <c r="Q441" s="479"/>
      <c r="R441" s="479"/>
      <c r="S441" s="479"/>
      <c r="T441" s="479"/>
      <c r="U441" s="479"/>
      <c r="V441" s="132">
        <f t="shared" ref="V441:V444" si="201">SUM(X441:AA441)</f>
        <v>0</v>
      </c>
      <c r="W441" s="133" t="str">
        <f t="shared" ref="W441:W448" si="202">IF(ISERROR(V441/G441),"",V441/G441)</f>
        <v/>
      </c>
      <c r="X441" s="132"/>
      <c r="Y441" s="132"/>
      <c r="Z441" s="132"/>
      <c r="AA441" s="132"/>
    </row>
    <row r="442" spans="1:27" ht="20.100000000000001" hidden="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28"/>
      <c r="H442" s="488">
        <f t="shared" si="195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199"/>
        <v/>
      </c>
      <c r="N442" s="130">
        <f t="shared" si="200"/>
        <v>0</v>
      </c>
      <c r="O442" s="479"/>
      <c r="P442" s="479"/>
      <c r="Q442" s="479"/>
      <c r="R442" s="479"/>
      <c r="S442" s="479"/>
      <c r="T442" s="479"/>
      <c r="U442" s="479"/>
      <c r="V442" s="132">
        <f t="shared" si="201"/>
        <v>0</v>
      </c>
      <c r="W442" s="133" t="str">
        <f t="shared" si="202"/>
        <v/>
      </c>
      <c r="X442" s="132"/>
      <c r="Y442" s="132"/>
      <c r="Z442" s="132"/>
      <c r="AA442" s="132"/>
    </row>
    <row r="443" spans="1:27" ht="20.100000000000001" hidden="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28"/>
      <c r="H443" s="488">
        <f t="shared" si="195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199"/>
        <v/>
      </c>
      <c r="N443" s="130">
        <f t="shared" si="200"/>
        <v>0</v>
      </c>
      <c r="O443" s="479"/>
      <c r="P443" s="479"/>
      <c r="Q443" s="479"/>
      <c r="R443" s="479"/>
      <c r="S443" s="479"/>
      <c r="T443" s="479"/>
      <c r="U443" s="479"/>
      <c r="V443" s="132">
        <f t="shared" si="201"/>
        <v>0</v>
      </c>
      <c r="W443" s="133" t="str">
        <f t="shared" si="202"/>
        <v/>
      </c>
      <c r="X443" s="132"/>
      <c r="Y443" s="132"/>
      <c r="Z443" s="132"/>
      <c r="AA443" s="132"/>
    </row>
    <row r="444" spans="1:27" ht="20.100000000000001" hidden="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28"/>
      <c r="H444" s="488">
        <f t="shared" si="195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199"/>
        <v/>
      </c>
      <c r="N444" s="130">
        <f t="shared" si="200"/>
        <v>0</v>
      </c>
      <c r="O444" s="479"/>
      <c r="P444" s="479"/>
      <c r="Q444" s="479"/>
      <c r="R444" s="479"/>
      <c r="S444" s="479"/>
      <c r="T444" s="479"/>
      <c r="U444" s="479"/>
      <c r="V444" s="132">
        <f t="shared" si="201"/>
        <v>0</v>
      </c>
      <c r="W444" s="133" t="str">
        <f t="shared" si="202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30600005</v>
      </c>
      <c r="B445" s="480" t="s">
        <v>222</v>
      </c>
      <c r="C445" s="126" t="s">
        <v>181</v>
      </c>
      <c r="D445" s="108">
        <v>9.36</v>
      </c>
      <c r="E445" s="108"/>
      <c r="F445" s="127"/>
      <c r="G445" s="128"/>
      <c r="H445" s="488">
        <f t="shared" si="195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199"/>
        <v>0</v>
      </c>
      <c r="N445" s="130">
        <f t="shared" si="200"/>
        <v>0</v>
      </c>
      <c r="O445" s="479"/>
      <c r="P445" s="479"/>
      <c r="Q445" s="479"/>
      <c r="R445" s="479"/>
      <c r="S445" s="479"/>
      <c r="T445" s="479"/>
      <c r="U445" s="479"/>
      <c r="V445" s="132">
        <f t="shared" ref="V445:V448" si="203">SUM(X445:AA445)</f>
        <v>0</v>
      </c>
      <c r="W445" s="133" t="str">
        <f t="shared" si="202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30600008</v>
      </c>
      <c r="B446" s="480" t="s">
        <v>222</v>
      </c>
      <c r="C446" s="126" t="s">
        <v>179</v>
      </c>
      <c r="D446" s="108">
        <v>9.36</v>
      </c>
      <c r="E446" s="108"/>
      <c r="F446" s="127"/>
      <c r="G446" s="128"/>
      <c r="H446" s="488">
        <f t="shared" si="195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199"/>
        <v>0</v>
      </c>
      <c r="N446" s="130">
        <f t="shared" si="200"/>
        <v>0</v>
      </c>
      <c r="O446" s="479"/>
      <c r="P446" s="479"/>
      <c r="Q446" s="479"/>
      <c r="R446" s="479"/>
      <c r="S446" s="479"/>
      <c r="T446" s="479"/>
      <c r="U446" s="479"/>
      <c r="V446" s="132">
        <f t="shared" si="203"/>
        <v>0</v>
      </c>
      <c r="W446" s="133" t="str">
        <f t="shared" si="202"/>
        <v/>
      </c>
      <c r="X446" s="132"/>
      <c r="Y446" s="132"/>
      <c r="Z446" s="132"/>
      <c r="AA446" s="132"/>
    </row>
    <row r="447" spans="1:27" ht="20.100000000000001" hidden="1" customHeight="1">
      <c r="A447" s="304">
        <v>30600007</v>
      </c>
      <c r="B447" s="480" t="s">
        <v>222</v>
      </c>
      <c r="C447" s="126" t="s">
        <v>221</v>
      </c>
      <c r="D447" s="108">
        <v>9.36</v>
      </c>
      <c r="E447" s="108"/>
      <c r="F447" s="127"/>
      <c r="G447" s="128"/>
      <c r="H447" s="488">
        <f t="shared" si="195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199"/>
        <v>0</v>
      </c>
      <c r="N447" s="130">
        <f t="shared" si="200"/>
        <v>0</v>
      </c>
      <c r="O447" s="479"/>
      <c r="P447" s="479"/>
      <c r="Q447" s="479"/>
      <c r="R447" s="479"/>
      <c r="S447" s="479"/>
      <c r="T447" s="479"/>
      <c r="U447" s="479"/>
      <c r="V447" s="132">
        <f t="shared" si="203"/>
        <v>0</v>
      </c>
      <c r="W447" s="133" t="str">
        <f t="shared" si="202"/>
        <v/>
      </c>
      <c r="X447" s="132"/>
      <c r="Y447" s="132"/>
      <c r="Z447" s="132"/>
      <c r="AA447" s="132"/>
    </row>
    <row r="448" spans="1:27" ht="20.100000000000001" hidden="1" customHeight="1">
      <c r="A448" s="304">
        <v>30600006</v>
      </c>
      <c r="B448" s="480" t="s">
        <v>222</v>
      </c>
      <c r="C448" s="126" t="s">
        <v>186</v>
      </c>
      <c r="D448" s="108">
        <v>9.36</v>
      </c>
      <c r="E448" s="108"/>
      <c r="F448" s="127"/>
      <c r="G448" s="128"/>
      <c r="H448" s="488">
        <f t="shared" si="195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199"/>
        <v>0</v>
      </c>
      <c r="N448" s="130">
        <f t="shared" si="200"/>
        <v>0</v>
      </c>
      <c r="O448" s="479"/>
      <c r="P448" s="479"/>
      <c r="Q448" s="479"/>
      <c r="R448" s="479"/>
      <c r="S448" s="479"/>
      <c r="T448" s="479"/>
      <c r="U448" s="479"/>
      <c r="V448" s="132">
        <f t="shared" si="203"/>
        <v>0</v>
      </c>
      <c r="W448" s="133" t="str">
        <f t="shared" si="202"/>
        <v/>
      </c>
      <c r="X448" s="132"/>
      <c r="Y448" s="132"/>
      <c r="Z448" s="132"/>
      <c r="AA448" s="132"/>
    </row>
    <row r="449" spans="1:27" ht="20.100000000000001" hidden="1" customHeight="1">
      <c r="A449" s="299">
        <v>30400026</v>
      </c>
      <c r="B449" s="480" t="s">
        <v>393</v>
      </c>
      <c r="C449" s="187" t="s">
        <v>395</v>
      </c>
      <c r="D449" s="108">
        <v>5</v>
      </c>
      <c r="E449" s="108"/>
      <c r="F449" s="127"/>
      <c r="G449" s="128"/>
      <c r="H449" s="488">
        <f t="shared" si="195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199"/>
        <v>0</v>
      </c>
      <c r="N449" s="130">
        <f t="shared" si="200"/>
        <v>0</v>
      </c>
      <c r="O449" s="479"/>
      <c r="P449" s="479"/>
      <c r="Q449" s="479"/>
      <c r="R449" s="479"/>
      <c r="S449" s="479"/>
      <c r="T449" s="479"/>
      <c r="U449" s="479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>
        <v>30400028</v>
      </c>
      <c r="B450" s="480" t="s">
        <v>393</v>
      </c>
      <c r="C450" s="187" t="s">
        <v>402</v>
      </c>
      <c r="D450" s="108">
        <v>5</v>
      </c>
      <c r="E450" s="108"/>
      <c r="F450" s="127"/>
      <c r="G450" s="128"/>
      <c r="H450" s="488">
        <f t="shared" si="195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199"/>
        <v>0</v>
      </c>
      <c r="N450" s="130">
        <f t="shared" si="200"/>
        <v>0</v>
      </c>
      <c r="O450" s="479"/>
      <c r="P450" s="479"/>
      <c r="Q450" s="479"/>
      <c r="R450" s="479"/>
      <c r="S450" s="479"/>
      <c r="T450" s="479"/>
      <c r="U450" s="479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30400027</v>
      </c>
      <c r="B451" s="480" t="s">
        <v>404</v>
      </c>
      <c r="C451" s="187" t="s">
        <v>405</v>
      </c>
      <c r="D451" s="108">
        <v>5</v>
      </c>
      <c r="E451" s="108"/>
      <c r="F451" s="127"/>
      <c r="G451" s="128"/>
      <c r="H451" s="488">
        <f t="shared" si="195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199"/>
        <v>0</v>
      </c>
      <c r="N451" s="130">
        <f t="shared" si="200"/>
        <v>0</v>
      </c>
      <c r="O451" s="479"/>
      <c r="P451" s="479"/>
      <c r="Q451" s="479"/>
      <c r="R451" s="479"/>
      <c r="S451" s="479"/>
      <c r="T451" s="479"/>
      <c r="U451" s="479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/>
      <c r="B452" s="480" t="s">
        <v>342</v>
      </c>
      <c r="C452" s="187" t="s">
        <v>372</v>
      </c>
      <c r="D452" s="108">
        <v>5</v>
      </c>
      <c r="E452" s="108"/>
      <c r="F452" s="127"/>
      <c r="G452" s="128"/>
      <c r="H452" s="488">
        <f t="shared" si="195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199"/>
        <v>0</v>
      </c>
      <c r="N452" s="130">
        <f t="shared" si="200"/>
        <v>0</v>
      </c>
      <c r="O452" s="479"/>
      <c r="P452" s="479"/>
      <c r="Q452" s="479"/>
      <c r="R452" s="479"/>
      <c r="S452" s="479"/>
      <c r="T452" s="479"/>
      <c r="U452" s="479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30600009</v>
      </c>
      <c r="B453" s="480" t="s">
        <v>343</v>
      </c>
      <c r="C453" s="126" t="s">
        <v>345</v>
      </c>
      <c r="D453" s="108">
        <v>5</v>
      </c>
      <c r="E453" s="108"/>
      <c r="F453" s="127"/>
      <c r="G453" s="128"/>
      <c r="H453" s="488">
        <f t="shared" si="195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199"/>
        <v>0</v>
      </c>
      <c r="N453" s="130">
        <f t="shared" si="200"/>
        <v>0</v>
      </c>
      <c r="O453" s="479"/>
      <c r="P453" s="479"/>
      <c r="Q453" s="479"/>
      <c r="R453" s="479"/>
      <c r="S453" s="479"/>
      <c r="T453" s="479"/>
      <c r="U453" s="479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299">
        <v>30600010</v>
      </c>
      <c r="B454" s="480" t="s">
        <v>343</v>
      </c>
      <c r="C454" s="126" t="s">
        <v>347</v>
      </c>
      <c r="D454" s="108">
        <v>5</v>
      </c>
      <c r="E454" s="108"/>
      <c r="F454" s="127"/>
      <c r="G454" s="128"/>
      <c r="H454" s="488">
        <f t="shared" si="195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199"/>
        <v>0</v>
      </c>
      <c r="N454" s="130">
        <f t="shared" si="200"/>
        <v>0</v>
      </c>
      <c r="O454" s="479"/>
      <c r="P454" s="479"/>
      <c r="Q454" s="479"/>
      <c r="R454" s="479"/>
      <c r="S454" s="479"/>
      <c r="T454" s="479"/>
      <c r="U454" s="479"/>
      <c r="V454" s="132"/>
      <c r="W454" s="133"/>
      <c r="X454" s="132"/>
      <c r="Y454" s="132"/>
      <c r="Z454" s="132"/>
      <c r="AA454" s="132"/>
    </row>
    <row r="455" spans="1:27" ht="20.100000000000001" hidden="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/>
      <c r="G455" s="128"/>
      <c r="H455" s="488">
        <f t="shared" si="195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15.5</v>
      </c>
      <c r="M455" s="109">
        <f t="shared" si="199"/>
        <v>0</v>
      </c>
      <c r="N455" s="130">
        <f t="shared" si="200"/>
        <v>0</v>
      </c>
      <c r="O455" s="479"/>
      <c r="P455" s="479"/>
      <c r="Q455" s="479"/>
      <c r="R455" s="479"/>
      <c r="S455" s="479"/>
      <c r="T455" s="479"/>
      <c r="U455" s="479"/>
      <c r="V455" s="132">
        <f t="shared" ref="V455:V456" si="204">SUM(X455:AA455)</f>
        <v>0</v>
      </c>
      <c r="W455" s="133" t="str">
        <f t="shared" ref="W455:W456" si="205">IF(ISERROR(V455/G455),"",V455/G455)</f>
        <v/>
      </c>
      <c r="X455" s="132"/>
      <c r="Y455" s="132"/>
      <c r="Z455" s="132"/>
      <c r="AA455" s="132"/>
    </row>
    <row r="456" spans="1:27" ht="20.100000000000001" hidden="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/>
      <c r="G456" s="128"/>
      <c r="H456" s="488">
        <f t="shared" si="195"/>
        <v>0</v>
      </c>
      <c r="I456" s="129"/>
      <c r="J456" s="130" t="str">
        <f t="array" ref="J456">IF(ISERROR(G456/I456),"",G456/I456)</f>
        <v/>
      </c>
      <c r="K456" s="131">
        <f t="array" ref="K456">IF(ISERROR(G456/L456),"",G456/L456)</f>
        <v>0</v>
      </c>
      <c r="L456" s="129">
        <v>15.5</v>
      </c>
      <c r="M456" s="109">
        <f t="shared" si="199"/>
        <v>0</v>
      </c>
      <c r="N456" s="130">
        <f t="shared" si="200"/>
        <v>0</v>
      </c>
      <c r="O456" s="479"/>
      <c r="P456" s="479"/>
      <c r="Q456" s="479"/>
      <c r="R456" s="479"/>
      <c r="S456" s="479"/>
      <c r="T456" s="479"/>
      <c r="U456" s="479"/>
      <c r="V456" s="132">
        <f t="shared" si="204"/>
        <v>0</v>
      </c>
      <c r="W456" s="133" t="str">
        <f t="shared" si="205"/>
        <v/>
      </c>
      <c r="X456" s="132"/>
      <c r="Y456" s="132"/>
      <c r="Z456" s="132"/>
      <c r="AA456" s="132"/>
    </row>
    <row r="457" spans="1:27" ht="20.100000000000001" hidden="1" customHeight="1">
      <c r="A457" s="299">
        <v>30400004</v>
      </c>
      <c r="B457" s="151" t="s">
        <v>419</v>
      </c>
      <c r="C457" s="187" t="s">
        <v>73</v>
      </c>
      <c r="D457" s="108"/>
      <c r="E457" s="108"/>
      <c r="F457" s="127"/>
      <c r="G457" s="128"/>
      <c r="H457" s="488">
        <f t="shared" si="195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199"/>
        <v>0</v>
      </c>
      <c r="N457" s="130"/>
      <c r="O457" s="479"/>
      <c r="P457" s="479"/>
      <c r="Q457" s="479"/>
      <c r="R457" s="479"/>
      <c r="S457" s="479"/>
      <c r="T457" s="479"/>
      <c r="U457" s="479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28"/>
      <c r="H458" s="488">
        <f t="shared" si="195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199"/>
        <v>0</v>
      </c>
      <c r="N458" s="130"/>
      <c r="O458" s="479"/>
      <c r="P458" s="479"/>
      <c r="Q458" s="479"/>
      <c r="R458" s="479"/>
      <c r="S458" s="479"/>
      <c r="T458" s="479"/>
      <c r="U458" s="479"/>
      <c r="V458" s="132"/>
      <c r="W458" s="133"/>
      <c r="X458" s="132"/>
      <c r="Y458" s="132"/>
      <c r="Z458" s="132"/>
      <c r="AA458" s="132"/>
    </row>
    <row r="459" spans="1:27" ht="20.100000000000001" hidden="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28"/>
      <c r="H459" s="488">
        <f t="shared" si="195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199"/>
        <v>0</v>
      </c>
      <c r="N459" s="130"/>
      <c r="O459" s="479"/>
      <c r="P459" s="479"/>
      <c r="Q459" s="479"/>
      <c r="R459" s="479"/>
      <c r="S459" s="479"/>
      <c r="T459" s="479"/>
      <c r="U459" s="479"/>
      <c r="V459" s="132"/>
      <c r="W459" s="133"/>
      <c r="X459" s="132"/>
      <c r="Y459" s="132"/>
      <c r="Z459" s="132"/>
      <c r="AA459" s="132"/>
    </row>
    <row r="460" spans="1:27" ht="20.100000000000001" hidden="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28"/>
      <c r="H460" s="488">
        <f t="shared" si="195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199"/>
        <v>0</v>
      </c>
      <c r="N460" s="130">
        <f t="shared" ref="N460:N462" si="206">SUM(O460:U460)</f>
        <v>0</v>
      </c>
      <c r="O460" s="479"/>
      <c r="P460" s="479"/>
      <c r="Q460" s="479"/>
      <c r="R460" s="479"/>
      <c r="S460" s="479"/>
      <c r="T460" s="479"/>
      <c r="U460" s="479"/>
      <c r="V460" s="132">
        <f t="shared" ref="V460:V462" si="207">SUM(X460:AA460)</f>
        <v>0</v>
      </c>
      <c r="W460" s="133" t="str">
        <f t="shared" ref="W460:W484" si="208">IF(ISERROR(V460/G460),"",V460/G460)</f>
        <v/>
      </c>
      <c r="X460" s="132"/>
      <c r="Y460" s="132"/>
      <c r="Z460" s="132"/>
      <c r="AA460" s="132"/>
    </row>
    <row r="461" spans="1:27" ht="20.100000000000001" hidden="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28"/>
      <c r="H461" s="488">
        <f t="shared" si="195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si="199"/>
        <v>0</v>
      </c>
      <c r="N461" s="130">
        <f t="shared" si="206"/>
        <v>0</v>
      </c>
      <c r="O461" s="479"/>
      <c r="P461" s="479"/>
      <c r="Q461" s="479"/>
      <c r="R461" s="479"/>
      <c r="S461" s="479"/>
      <c r="T461" s="479"/>
      <c r="U461" s="479"/>
      <c r="V461" s="132">
        <f t="shared" si="207"/>
        <v>0</v>
      </c>
      <c r="W461" s="133" t="str">
        <f t="shared" si="208"/>
        <v/>
      </c>
      <c r="X461" s="132"/>
      <c r="Y461" s="132"/>
      <c r="Z461" s="132"/>
      <c r="AA461" s="132"/>
    </row>
    <row r="462" spans="1:27" ht="20.100000000000001" hidden="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28"/>
      <c r="H462" s="488">
        <f t="shared" si="195"/>
        <v>0</v>
      </c>
      <c r="I462" s="129"/>
      <c r="J462" s="130" t="str">
        <f t="array" ref="J462">IF(ISERROR(G462/I462),"",G462/I462)</f>
        <v/>
      </c>
      <c r="K462" s="488">
        <f t="array" ref="K462">IF(ISERROR(G462/L462),"",G462/L462)</f>
        <v>0</v>
      </c>
      <c r="L462" s="129">
        <v>9</v>
      </c>
      <c r="M462" s="109">
        <f t="shared" si="199"/>
        <v>0</v>
      </c>
      <c r="N462" s="130">
        <f t="shared" si="206"/>
        <v>0</v>
      </c>
      <c r="O462" s="479"/>
      <c r="P462" s="479"/>
      <c r="Q462" s="479"/>
      <c r="R462" s="479"/>
      <c r="S462" s="479"/>
      <c r="T462" s="479"/>
      <c r="U462" s="479"/>
      <c r="V462" s="132">
        <f t="shared" si="207"/>
        <v>0</v>
      </c>
      <c r="W462" s="133" t="str">
        <f t="shared" si="208"/>
        <v/>
      </c>
      <c r="X462" s="132"/>
      <c r="Y462" s="132"/>
      <c r="Z462" s="132"/>
      <c r="AA462" s="132"/>
    </row>
    <row r="463" spans="1:27" ht="20.100000000000001" customHeight="1">
      <c r="A463" s="578" t="s">
        <v>224</v>
      </c>
      <c r="B463" s="579"/>
      <c r="C463" s="486" t="s">
        <v>202</v>
      </c>
      <c r="D463" s="143"/>
      <c r="E463" s="143"/>
      <c r="F463" s="144"/>
      <c r="G463" s="145">
        <f>SUM(G429:G462)</f>
        <v>1083</v>
      </c>
      <c r="H463" s="146">
        <f>SUM(H429:H462)</f>
        <v>5447.49</v>
      </c>
      <c r="I463" s="146">
        <f>SUM(I429:I462)</f>
        <v>100</v>
      </c>
      <c r="J463" s="130">
        <f t="array" ref="J463">IF(ISERROR(G463/I463),"",G463/I463)</f>
        <v>10.83</v>
      </c>
      <c r="K463" s="146">
        <f>SUM(K429:K462)</f>
        <v>122.45723362658846</v>
      </c>
      <c r="L463" s="147"/>
      <c r="M463" s="150">
        <f t="shared" ref="M463:V463" si="209">SUM(M429:M462)</f>
        <v>-22.457233626588462</v>
      </c>
      <c r="N463" s="146">
        <f t="shared" si="209"/>
        <v>0</v>
      </c>
      <c r="O463" s="148">
        <f t="shared" si="209"/>
        <v>0</v>
      </c>
      <c r="P463" s="148">
        <f t="shared" si="209"/>
        <v>0</v>
      </c>
      <c r="Q463" s="148">
        <f t="shared" si="209"/>
        <v>0</v>
      </c>
      <c r="R463" s="148">
        <f t="shared" si="209"/>
        <v>0</v>
      </c>
      <c r="S463" s="148">
        <f t="shared" si="209"/>
        <v>0</v>
      </c>
      <c r="T463" s="148">
        <f t="shared" si="209"/>
        <v>0</v>
      </c>
      <c r="U463" s="148">
        <f t="shared" si="209"/>
        <v>0</v>
      </c>
      <c r="V463" s="149">
        <f t="shared" si="209"/>
        <v>0</v>
      </c>
      <c r="W463" s="133">
        <f t="shared" si="208"/>
        <v>0</v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hidden="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28"/>
      <c r="H464" s="488">
        <f t="shared" ref="H464:H478" si="210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8" si="211">IF(ISERROR(I464-K464),"",I464-K464)</f>
        <v>0</v>
      </c>
      <c r="N464" s="130">
        <f t="shared" ref="N464:N478" si="212">SUM(O464:U464)</f>
        <v>0</v>
      </c>
      <c r="O464" s="479"/>
      <c r="P464" s="479"/>
      <c r="Q464" s="479"/>
      <c r="R464" s="479"/>
      <c r="S464" s="479"/>
      <c r="T464" s="479"/>
      <c r="U464" s="479"/>
      <c r="V464" s="132">
        <f t="shared" ref="V464:V478" si="213">SUM(X464:AA464)</f>
        <v>0</v>
      </c>
      <c r="W464" s="133" t="str">
        <f t="shared" si="208"/>
        <v/>
      </c>
      <c r="X464" s="132"/>
      <c r="Y464" s="132"/>
      <c r="Z464" s="132"/>
      <c r="AA464" s="132"/>
    </row>
    <row r="465" spans="1:27" ht="20.100000000000001" hidden="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28"/>
      <c r="H465" s="488">
        <f t="shared" si="210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1"/>
        <v>0</v>
      </c>
      <c r="N465" s="130">
        <f t="shared" si="212"/>
        <v>0</v>
      </c>
      <c r="O465" s="479"/>
      <c r="P465" s="479"/>
      <c r="Q465" s="479"/>
      <c r="R465" s="479"/>
      <c r="S465" s="479"/>
      <c r="T465" s="479"/>
      <c r="U465" s="479"/>
      <c r="V465" s="132">
        <f t="shared" si="213"/>
        <v>0</v>
      </c>
      <c r="W465" s="133" t="str">
        <f t="shared" si="208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28"/>
      <c r="H466" s="488">
        <f t="shared" si="210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1"/>
        <v>0</v>
      </c>
      <c r="N466" s="130">
        <f t="shared" si="212"/>
        <v>0</v>
      </c>
      <c r="O466" s="479"/>
      <c r="P466" s="479"/>
      <c r="Q466" s="479"/>
      <c r="R466" s="479"/>
      <c r="S466" s="479"/>
      <c r="T466" s="479"/>
      <c r="U466" s="479"/>
      <c r="V466" s="132">
        <f t="shared" si="213"/>
        <v>0</v>
      </c>
      <c r="W466" s="133" t="str">
        <f t="shared" si="208"/>
        <v/>
      </c>
      <c r="X466" s="132"/>
      <c r="Y466" s="132"/>
      <c r="Z466" s="132"/>
      <c r="AA466" s="132"/>
    </row>
    <row r="467" spans="1:27" ht="20.100000000000001" hidden="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28"/>
      <c r="H467" s="488">
        <f t="shared" si="210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1"/>
        <v>0</v>
      </c>
      <c r="N467" s="130">
        <f t="shared" si="212"/>
        <v>0</v>
      </c>
      <c r="O467" s="479"/>
      <c r="P467" s="479"/>
      <c r="Q467" s="479"/>
      <c r="R467" s="479"/>
      <c r="S467" s="479"/>
      <c r="T467" s="479"/>
      <c r="U467" s="479"/>
      <c r="V467" s="132">
        <f t="shared" si="213"/>
        <v>0</v>
      </c>
      <c r="W467" s="133" t="str">
        <f t="shared" si="208"/>
        <v/>
      </c>
      <c r="X467" s="132"/>
      <c r="Y467" s="132"/>
      <c r="Z467" s="132"/>
      <c r="AA467" s="132"/>
    </row>
    <row r="468" spans="1:27" ht="20.100000000000001" hidden="1" customHeight="1">
      <c r="A468" s="299">
        <v>30100054</v>
      </c>
      <c r="B468" s="140" t="s">
        <v>227</v>
      </c>
      <c r="C468" s="484" t="s">
        <v>203</v>
      </c>
      <c r="D468" s="108">
        <v>5.03</v>
      </c>
      <c r="E468" s="108"/>
      <c r="F468" s="127"/>
      <c r="G468" s="128"/>
      <c r="H468" s="488">
        <f t="shared" si="210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1"/>
        <v>0</v>
      </c>
      <c r="N468" s="130">
        <f t="shared" si="212"/>
        <v>0</v>
      </c>
      <c r="O468" s="479"/>
      <c r="P468" s="479"/>
      <c r="Q468" s="479"/>
      <c r="R468" s="479"/>
      <c r="S468" s="479"/>
      <c r="T468" s="479"/>
      <c r="U468" s="479"/>
      <c r="V468" s="132">
        <f t="shared" si="213"/>
        <v>0</v>
      </c>
      <c r="W468" s="133" t="str">
        <f t="shared" si="208"/>
        <v/>
      </c>
      <c r="X468" s="132"/>
      <c r="Y468" s="132"/>
      <c r="Z468" s="132"/>
      <c r="AA468" s="132"/>
    </row>
    <row r="469" spans="1:27" ht="20.100000000000001" hidden="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28"/>
      <c r="H469" s="488">
        <f t="shared" si="210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1"/>
        <v>0</v>
      </c>
      <c r="N469" s="130">
        <f t="shared" si="212"/>
        <v>0</v>
      </c>
      <c r="O469" s="479"/>
      <c r="P469" s="479"/>
      <c r="Q469" s="479"/>
      <c r="R469" s="479"/>
      <c r="S469" s="479"/>
      <c r="T469" s="479"/>
      <c r="U469" s="479"/>
      <c r="V469" s="132">
        <f t="shared" si="213"/>
        <v>0</v>
      </c>
      <c r="W469" s="133" t="str">
        <f t="shared" si="208"/>
        <v/>
      </c>
      <c r="X469" s="132"/>
      <c r="Y469" s="132"/>
      <c r="Z469" s="132"/>
      <c r="AA469" s="132"/>
    </row>
    <row r="470" spans="1:27" ht="20.100000000000001" hidden="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28"/>
      <c r="H470" s="488">
        <f t="shared" si="210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1"/>
        <v>0</v>
      </c>
      <c r="N470" s="130">
        <f t="shared" si="212"/>
        <v>0</v>
      </c>
      <c r="O470" s="479"/>
      <c r="P470" s="479"/>
      <c r="Q470" s="479"/>
      <c r="R470" s="479"/>
      <c r="S470" s="479"/>
      <c r="T470" s="479"/>
      <c r="U470" s="479"/>
      <c r="V470" s="132">
        <f t="shared" si="213"/>
        <v>0</v>
      </c>
      <c r="W470" s="133" t="str">
        <f t="shared" si="208"/>
        <v/>
      </c>
      <c r="X470" s="132"/>
      <c r="Y470" s="132"/>
      <c r="Z470" s="132"/>
      <c r="AA470" s="132"/>
    </row>
    <row r="471" spans="1:27" ht="20.100000000000001" hidden="1" customHeight="1">
      <c r="A471" s="299"/>
      <c r="B471" s="140" t="s">
        <v>227</v>
      </c>
      <c r="C471" s="484" t="s">
        <v>228</v>
      </c>
      <c r="D471" s="108">
        <v>5.03</v>
      </c>
      <c r="E471" s="108"/>
      <c r="F471" s="127"/>
      <c r="G471" s="128"/>
      <c r="H471" s="488">
        <f t="shared" si="210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1"/>
        <v>0</v>
      </c>
      <c r="N471" s="130">
        <f t="shared" si="212"/>
        <v>0</v>
      </c>
      <c r="O471" s="479"/>
      <c r="P471" s="479"/>
      <c r="Q471" s="479"/>
      <c r="R471" s="479"/>
      <c r="S471" s="479"/>
      <c r="T471" s="479"/>
      <c r="U471" s="479"/>
      <c r="V471" s="132">
        <f t="shared" si="213"/>
        <v>0</v>
      </c>
      <c r="W471" s="133" t="str">
        <f t="shared" si="208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30101067</v>
      </c>
      <c r="B472" s="140" t="s">
        <v>229</v>
      </c>
      <c r="C472" s="484" t="s">
        <v>212</v>
      </c>
      <c r="D472" s="108">
        <v>5.03</v>
      </c>
      <c r="E472" s="108"/>
      <c r="F472" s="127"/>
      <c r="G472" s="128"/>
      <c r="H472" s="488">
        <f t="shared" si="210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1"/>
        <v/>
      </c>
      <c r="N472" s="130">
        <f t="shared" si="212"/>
        <v>0</v>
      </c>
      <c r="O472" s="479"/>
      <c r="P472" s="479"/>
      <c r="Q472" s="479"/>
      <c r="R472" s="479"/>
      <c r="S472" s="479"/>
      <c r="T472" s="479"/>
      <c r="U472" s="479"/>
      <c r="V472" s="132">
        <f t="shared" si="213"/>
        <v>0</v>
      </c>
      <c r="W472" s="133" t="str">
        <f t="shared" si="208"/>
        <v/>
      </c>
      <c r="X472" s="132"/>
      <c r="Y472" s="132"/>
      <c r="Z472" s="132"/>
      <c r="AA472" s="132"/>
    </row>
    <row r="473" spans="1:27" ht="20.100000000000001" hidden="1" customHeight="1">
      <c r="A473" s="299">
        <v>30101068</v>
      </c>
      <c r="B473" s="140" t="s">
        <v>229</v>
      </c>
      <c r="C473" s="484" t="s">
        <v>203</v>
      </c>
      <c r="D473" s="108">
        <v>5.03</v>
      </c>
      <c r="E473" s="108"/>
      <c r="F473" s="127"/>
      <c r="G473" s="128"/>
      <c r="H473" s="488">
        <f t="shared" si="210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1"/>
        <v/>
      </c>
      <c r="N473" s="130">
        <f t="shared" si="212"/>
        <v>0</v>
      </c>
      <c r="O473" s="479"/>
      <c r="P473" s="479"/>
      <c r="Q473" s="479"/>
      <c r="R473" s="479"/>
      <c r="S473" s="479"/>
      <c r="T473" s="479"/>
      <c r="U473" s="479"/>
      <c r="V473" s="132">
        <f t="shared" si="213"/>
        <v>0</v>
      </c>
      <c r="W473" s="133" t="str">
        <f t="shared" si="208"/>
        <v/>
      </c>
      <c r="X473" s="132"/>
      <c r="Y473" s="132"/>
      <c r="Z473" s="132"/>
      <c r="AA473" s="132"/>
    </row>
    <row r="474" spans="1:27" ht="20.100000000000001" hidden="1" customHeight="1">
      <c r="A474" s="299">
        <v>30101069</v>
      </c>
      <c r="B474" s="140" t="s">
        <v>229</v>
      </c>
      <c r="C474" s="484" t="s">
        <v>186</v>
      </c>
      <c r="D474" s="108">
        <v>5.03</v>
      </c>
      <c r="E474" s="108"/>
      <c r="F474" s="127"/>
      <c r="G474" s="128"/>
      <c r="H474" s="488">
        <f t="shared" si="210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1"/>
        <v/>
      </c>
      <c r="N474" s="130">
        <f t="shared" si="212"/>
        <v>0</v>
      </c>
      <c r="O474" s="479"/>
      <c r="P474" s="479"/>
      <c r="Q474" s="479"/>
      <c r="R474" s="479"/>
      <c r="S474" s="479"/>
      <c r="T474" s="479"/>
      <c r="U474" s="479"/>
      <c r="V474" s="132">
        <f t="shared" si="213"/>
        <v>0</v>
      </c>
      <c r="W474" s="133" t="str">
        <f t="shared" si="208"/>
        <v/>
      </c>
      <c r="X474" s="132"/>
      <c r="Y474" s="132"/>
      <c r="Z474" s="132"/>
      <c r="AA474" s="132"/>
    </row>
    <row r="475" spans="1:27" ht="20.100000000000001" hidden="1" customHeight="1">
      <c r="A475" s="299">
        <v>30101070</v>
      </c>
      <c r="B475" s="140" t="s">
        <v>229</v>
      </c>
      <c r="C475" s="484" t="s">
        <v>228</v>
      </c>
      <c r="D475" s="108">
        <v>5.03</v>
      </c>
      <c r="E475" s="108"/>
      <c r="F475" s="127"/>
      <c r="G475" s="128"/>
      <c r="H475" s="488">
        <f t="shared" si="210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1"/>
        <v/>
      </c>
      <c r="N475" s="130">
        <f t="shared" si="212"/>
        <v>0</v>
      </c>
      <c r="O475" s="479"/>
      <c r="P475" s="479"/>
      <c r="Q475" s="479"/>
      <c r="R475" s="479"/>
      <c r="S475" s="479"/>
      <c r="T475" s="479"/>
      <c r="U475" s="479"/>
      <c r="V475" s="132">
        <f t="shared" si="213"/>
        <v>0</v>
      </c>
      <c r="W475" s="133" t="str">
        <f t="shared" si="208"/>
        <v/>
      </c>
      <c r="X475" s="132"/>
      <c r="Y475" s="132"/>
      <c r="Z475" s="132"/>
      <c r="AA475" s="132"/>
    </row>
    <row r="476" spans="1:27" ht="20.100000000000001" hidden="1" customHeight="1">
      <c r="A476" s="299">
        <v>30101071</v>
      </c>
      <c r="B476" s="140" t="s">
        <v>229</v>
      </c>
      <c r="C476" s="484" t="s">
        <v>199</v>
      </c>
      <c r="D476" s="108">
        <v>5.03</v>
      </c>
      <c r="E476" s="108"/>
      <c r="F476" s="127"/>
      <c r="G476" s="128"/>
      <c r="H476" s="488">
        <f t="shared" si="210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1"/>
        <v/>
      </c>
      <c r="N476" s="130">
        <f t="shared" si="212"/>
        <v>0</v>
      </c>
      <c r="O476" s="479"/>
      <c r="P476" s="479"/>
      <c r="Q476" s="479"/>
      <c r="R476" s="479"/>
      <c r="S476" s="479"/>
      <c r="T476" s="479"/>
      <c r="U476" s="479"/>
      <c r="V476" s="132">
        <f t="shared" si="213"/>
        <v>0</v>
      </c>
      <c r="W476" s="133" t="str">
        <f t="shared" si="208"/>
        <v/>
      </c>
      <c r="X476" s="132"/>
      <c r="Y476" s="132"/>
      <c r="Z476" s="132"/>
      <c r="AA476" s="132"/>
    </row>
    <row r="477" spans="1:27" ht="20.100000000000001" hidden="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28"/>
      <c r="H477" s="488">
        <f t="shared" si="210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si="211"/>
        <v>0</v>
      </c>
      <c r="N477" s="130">
        <f t="shared" si="212"/>
        <v>0</v>
      </c>
      <c r="O477" s="479"/>
      <c r="P477" s="479"/>
      <c r="Q477" s="479"/>
      <c r="R477" s="479"/>
      <c r="S477" s="479"/>
      <c r="T477" s="479"/>
      <c r="U477" s="479"/>
      <c r="V477" s="132">
        <f t="shared" si="213"/>
        <v>0</v>
      </c>
      <c r="W477" s="133" t="str">
        <f t="shared" si="208"/>
        <v/>
      </c>
      <c r="X477" s="132"/>
      <c r="Y477" s="132"/>
      <c r="Z477" s="132"/>
      <c r="AA477" s="132"/>
    </row>
    <row r="478" spans="1:27" ht="20.100000000000001" hidden="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28"/>
      <c r="H478" s="488">
        <f t="shared" si="210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1"/>
        <v>0</v>
      </c>
      <c r="N478" s="130">
        <f t="shared" si="212"/>
        <v>0</v>
      </c>
      <c r="O478" s="479"/>
      <c r="P478" s="479"/>
      <c r="Q478" s="479"/>
      <c r="R478" s="479"/>
      <c r="S478" s="479"/>
      <c r="T478" s="479"/>
      <c r="U478" s="479"/>
      <c r="V478" s="132">
        <f t="shared" si="213"/>
        <v>0</v>
      </c>
      <c r="W478" s="133" t="str">
        <f t="shared" si="208"/>
        <v/>
      </c>
      <c r="X478" s="132"/>
      <c r="Y478" s="132"/>
      <c r="Z478" s="132"/>
      <c r="AA478" s="132"/>
    </row>
    <row r="479" spans="1:27" ht="20.100000000000001" hidden="1" customHeight="1">
      <c r="A479" s="578" t="s">
        <v>231</v>
      </c>
      <c r="B479" s="579"/>
      <c r="C479" s="486" t="s">
        <v>202</v>
      </c>
      <c r="D479" s="143"/>
      <c r="E479" s="143"/>
      <c r="F479" s="144"/>
      <c r="G479" s="145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08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hidden="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28"/>
      <c r="H480" s="488">
        <f t="shared" ref="H480:H489" si="214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4" si="215">IF(ISERROR(I480-K480),"",I480-K480)</f>
        <v>0</v>
      </c>
      <c r="N480" s="130">
        <f t="shared" ref="N480:N484" si="216">SUM(O480:U480)</f>
        <v>0</v>
      </c>
      <c r="O480" s="479"/>
      <c r="P480" s="479"/>
      <c r="Q480" s="479"/>
      <c r="R480" s="479"/>
      <c r="S480" s="479"/>
      <c r="T480" s="479"/>
      <c r="U480" s="479"/>
      <c r="V480" s="132">
        <f t="shared" ref="V480:V484" si="217">SUM(X480:AA480)</f>
        <v>0</v>
      </c>
      <c r="W480" s="133" t="str">
        <f t="shared" si="208"/>
        <v/>
      </c>
      <c r="X480" s="132"/>
      <c r="Y480" s="132"/>
      <c r="Z480" s="132"/>
      <c r="AA480" s="132"/>
    </row>
    <row r="481" spans="1:27" ht="20.100000000000001" hidden="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28"/>
      <c r="H481" s="488">
        <f t="shared" si="214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5"/>
        <v>0</v>
      </c>
      <c r="N481" s="130">
        <f t="shared" si="216"/>
        <v>0</v>
      </c>
      <c r="O481" s="479"/>
      <c r="P481" s="479"/>
      <c r="Q481" s="479"/>
      <c r="R481" s="479"/>
      <c r="S481" s="479"/>
      <c r="T481" s="479"/>
      <c r="U481" s="479"/>
      <c r="V481" s="132">
        <f t="shared" si="217"/>
        <v>0</v>
      </c>
      <c r="W481" s="133" t="str">
        <f t="shared" si="208"/>
        <v/>
      </c>
      <c r="X481" s="132"/>
      <c r="Y481" s="132"/>
      <c r="Z481" s="132"/>
      <c r="AA481" s="132"/>
    </row>
    <row r="482" spans="1:27" ht="20.100000000000001" hidden="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28"/>
      <c r="H482" s="488">
        <f t="shared" si="214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5"/>
        <v>0</v>
      </c>
      <c r="N482" s="130">
        <f t="shared" si="216"/>
        <v>0</v>
      </c>
      <c r="O482" s="479"/>
      <c r="P482" s="479"/>
      <c r="Q482" s="479"/>
      <c r="R482" s="479"/>
      <c r="S482" s="479"/>
      <c r="T482" s="479"/>
      <c r="U482" s="479"/>
      <c r="V482" s="132">
        <f t="shared" si="217"/>
        <v>0</v>
      </c>
      <c r="W482" s="133" t="str">
        <f t="shared" si="208"/>
        <v/>
      </c>
      <c r="X482" s="132"/>
      <c r="Y482" s="132"/>
      <c r="Z482" s="132"/>
      <c r="AA482" s="132"/>
    </row>
    <row r="483" spans="1:27" ht="20.100000000000001" hidden="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28"/>
      <c r="H483" s="488">
        <f t="shared" si="214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15"/>
        <v>0</v>
      </c>
      <c r="N483" s="130">
        <f t="shared" si="216"/>
        <v>0</v>
      </c>
      <c r="O483" s="479"/>
      <c r="P483" s="479"/>
      <c r="Q483" s="479"/>
      <c r="R483" s="479"/>
      <c r="S483" s="479"/>
      <c r="T483" s="479"/>
      <c r="U483" s="479"/>
      <c r="V483" s="132">
        <f t="shared" si="217"/>
        <v>0</v>
      </c>
      <c r="W483" s="133" t="str">
        <f t="shared" si="208"/>
        <v/>
      </c>
      <c r="X483" s="132"/>
      <c r="Y483" s="132"/>
      <c r="Z483" s="132"/>
      <c r="AA483" s="132"/>
    </row>
    <row r="484" spans="1:27" ht="20.100000000000001" hidden="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28"/>
      <c r="H484" s="488">
        <f t="shared" si="214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15"/>
        <v>0</v>
      </c>
      <c r="N484" s="130">
        <f t="shared" si="216"/>
        <v>0</v>
      </c>
      <c r="O484" s="479"/>
      <c r="P484" s="479"/>
      <c r="Q484" s="479"/>
      <c r="R484" s="479"/>
      <c r="S484" s="479"/>
      <c r="T484" s="479"/>
      <c r="U484" s="479"/>
      <c r="V484" s="132">
        <f t="shared" si="217"/>
        <v>0</v>
      </c>
      <c r="W484" s="133" t="str">
        <f t="shared" si="208"/>
        <v/>
      </c>
      <c r="X484" s="132"/>
      <c r="Y484" s="132"/>
      <c r="Z484" s="132"/>
      <c r="AA484" s="132"/>
    </row>
    <row r="485" spans="1:27" ht="20.100000000000001" hidden="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28"/>
      <c r="H485" s="488">
        <f t="shared" si="214"/>
        <v>0</v>
      </c>
      <c r="I485" s="129"/>
      <c r="J485" s="130"/>
      <c r="K485" s="131"/>
      <c r="L485" s="129">
        <v>13.5</v>
      </c>
      <c r="M485" s="109"/>
      <c r="N485" s="130"/>
      <c r="O485" s="479"/>
      <c r="P485" s="479"/>
      <c r="Q485" s="479"/>
      <c r="R485" s="479"/>
      <c r="S485" s="479"/>
      <c r="T485" s="479"/>
      <c r="U485" s="479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30400020</v>
      </c>
      <c r="B486" s="134" t="s">
        <v>439</v>
      </c>
      <c r="C486" s="187" t="s">
        <v>74</v>
      </c>
      <c r="D486" s="108">
        <v>5.04</v>
      </c>
      <c r="E486" s="108"/>
      <c r="F486" s="127"/>
      <c r="G486" s="128"/>
      <c r="H486" s="488">
        <f t="shared" si="214"/>
        <v>0</v>
      </c>
      <c r="I486" s="129"/>
      <c r="J486" s="130"/>
      <c r="K486" s="131"/>
      <c r="L486" s="129">
        <v>13.5</v>
      </c>
      <c r="M486" s="109"/>
      <c r="N486" s="130"/>
      <c r="O486" s="479"/>
      <c r="P486" s="479"/>
      <c r="Q486" s="479"/>
      <c r="R486" s="479"/>
      <c r="S486" s="479"/>
      <c r="T486" s="479"/>
      <c r="U486" s="479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0">
        <v>30400021</v>
      </c>
      <c r="B487" s="134" t="s">
        <v>439</v>
      </c>
      <c r="C487" s="187" t="s">
        <v>53</v>
      </c>
      <c r="D487" s="108">
        <v>5.04</v>
      </c>
      <c r="E487" s="108"/>
      <c r="F487" s="127"/>
      <c r="G487" s="128"/>
      <c r="H487" s="488">
        <f t="shared" si="214"/>
        <v>0</v>
      </c>
      <c r="I487" s="129"/>
      <c r="J487" s="130"/>
      <c r="K487" s="131"/>
      <c r="L487" s="129">
        <v>13.5</v>
      </c>
      <c r="M487" s="109"/>
      <c r="N487" s="130"/>
      <c r="O487" s="479"/>
      <c r="P487" s="479"/>
      <c r="Q487" s="479"/>
      <c r="R487" s="479"/>
      <c r="S487" s="479"/>
      <c r="T487" s="479"/>
      <c r="U487" s="479"/>
      <c r="V487" s="132"/>
      <c r="W487" s="133"/>
      <c r="X487" s="132"/>
      <c r="Y487" s="132"/>
      <c r="Z487" s="132"/>
      <c r="AA487" s="132"/>
    </row>
    <row r="488" spans="1:27" ht="20.100000000000001" hidden="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28"/>
      <c r="H488" s="488">
        <f t="shared" si="214"/>
        <v>0</v>
      </c>
      <c r="I488" s="129"/>
      <c r="J488" s="130"/>
      <c r="K488" s="131"/>
      <c r="L488" s="129">
        <v>13.5</v>
      </c>
      <c r="M488" s="109"/>
      <c r="N488" s="130"/>
      <c r="O488" s="479"/>
      <c r="P488" s="479"/>
      <c r="Q488" s="479"/>
      <c r="R488" s="479"/>
      <c r="S488" s="479"/>
      <c r="T488" s="479"/>
      <c r="U488" s="479"/>
      <c r="V488" s="132"/>
      <c r="W488" s="133"/>
      <c r="X488" s="132"/>
      <c r="Y488" s="132"/>
      <c r="Z488" s="132"/>
      <c r="AA488" s="132"/>
    </row>
    <row r="489" spans="1:27" ht="20.100000000000001" hidden="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28"/>
      <c r="H489" s="488">
        <f t="shared" si="214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ref="M489" si="218">IF(ISERROR(I489-K489),"",I489-K489)</f>
        <v>0</v>
      </c>
      <c r="N489" s="130">
        <f t="shared" ref="N489" si="219">SUM(O489:U489)</f>
        <v>0</v>
      </c>
      <c r="O489" s="479"/>
      <c r="P489" s="479"/>
      <c r="Q489" s="479"/>
      <c r="R489" s="479"/>
      <c r="S489" s="479"/>
      <c r="T489" s="479"/>
      <c r="U489" s="479"/>
      <c r="V489" s="132">
        <f t="shared" ref="V489" si="220">SUM(X489:AA489)</f>
        <v>0</v>
      </c>
      <c r="W489" s="133" t="str">
        <f t="shared" ref="W489:W494" si="221">IF(ISERROR(V489/G489),"",V489/G489)</f>
        <v/>
      </c>
      <c r="X489" s="132"/>
      <c r="Y489" s="132"/>
      <c r="Z489" s="132"/>
      <c r="AA489" s="132"/>
    </row>
    <row r="490" spans="1:27" ht="20.100000000000001" hidden="1" customHeight="1">
      <c r="A490" s="578" t="s">
        <v>234</v>
      </c>
      <c r="B490" s="579"/>
      <c r="C490" s="486" t="s">
        <v>202</v>
      </c>
      <c r="D490" s="143"/>
      <c r="E490" s="143"/>
      <c r="F490" s="144"/>
      <c r="G490" s="145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1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hidden="1" customHeight="1">
      <c r="A491" s="299">
        <v>30700013</v>
      </c>
      <c r="B491" s="141" t="s">
        <v>235</v>
      </c>
      <c r="C491" s="478"/>
      <c r="D491" s="108">
        <v>3.65</v>
      </c>
      <c r="E491" s="108"/>
      <c r="F491" s="153"/>
      <c r="G491" s="128"/>
      <c r="H491" s="488">
        <f t="shared" ref="H491:H505" si="222">D491*G491</f>
        <v>0</v>
      </c>
      <c r="I491" s="129"/>
      <c r="J491" s="130" t="str">
        <f t="array" ref="J491">IF(ISERROR(G491/I491),"",G491/I491)</f>
        <v/>
      </c>
      <c r="K491" s="488">
        <f t="array" ref="K491">IF(ISERROR(G491/L491),"",G491/L491)</f>
        <v>0</v>
      </c>
      <c r="L491" s="129">
        <v>5</v>
      </c>
      <c r="M491" s="109">
        <f t="shared" ref="M491:M494" si="223">IF(ISERROR(I491-K491),"",I491-K491)</f>
        <v>0</v>
      </c>
      <c r="N491" s="130">
        <f t="shared" ref="N491:N494" si="224">SUM(O491:U491)</f>
        <v>0</v>
      </c>
      <c r="O491" s="479"/>
      <c r="P491" s="479"/>
      <c r="Q491" s="479"/>
      <c r="R491" s="479"/>
      <c r="S491" s="479"/>
      <c r="T491" s="479"/>
      <c r="U491" s="479"/>
      <c r="V491" s="132">
        <f t="shared" ref="V491:V494" si="225">SUM(X491:AA491)</f>
        <v>0</v>
      </c>
      <c r="W491" s="133" t="str">
        <f t="shared" si="221"/>
        <v/>
      </c>
      <c r="X491" s="132"/>
      <c r="Y491" s="132"/>
      <c r="Z491" s="132"/>
      <c r="AA491" s="132"/>
    </row>
    <row r="492" spans="1:27" ht="20.100000000000001" hidden="1" customHeight="1">
      <c r="A492" s="299">
        <v>30700014</v>
      </c>
      <c r="B492" s="141" t="s">
        <v>236</v>
      </c>
      <c r="C492" s="478"/>
      <c r="D492" s="108">
        <v>6.58</v>
      </c>
      <c r="E492" s="108"/>
      <c r="F492" s="127"/>
      <c r="G492" s="128"/>
      <c r="H492" s="488">
        <f t="shared" si="222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3"/>
        <v>0</v>
      </c>
      <c r="N492" s="130">
        <f t="shared" si="224"/>
        <v>0</v>
      </c>
      <c r="O492" s="479"/>
      <c r="P492" s="479"/>
      <c r="Q492" s="479"/>
      <c r="R492" s="479"/>
      <c r="S492" s="479"/>
      <c r="T492" s="479"/>
      <c r="U492" s="479"/>
      <c r="V492" s="132">
        <f t="shared" si="225"/>
        <v>0</v>
      </c>
      <c r="W492" s="133" t="str">
        <f t="shared" si="221"/>
        <v/>
      </c>
      <c r="X492" s="132"/>
      <c r="Y492" s="132"/>
      <c r="Z492" s="132"/>
      <c r="AA492" s="132"/>
    </row>
    <row r="493" spans="1:27" ht="20.100000000000001" hidden="1" customHeight="1">
      <c r="A493" s="299">
        <v>30700016</v>
      </c>
      <c r="B493" s="141" t="s">
        <v>237</v>
      </c>
      <c r="C493" s="478"/>
      <c r="D493" s="108">
        <v>7.8</v>
      </c>
      <c r="E493" s="108"/>
      <c r="F493" s="127"/>
      <c r="G493" s="128"/>
      <c r="H493" s="488">
        <f t="shared" si="222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3"/>
        <v>0</v>
      </c>
      <c r="N493" s="130">
        <f t="shared" si="224"/>
        <v>0</v>
      </c>
      <c r="O493" s="479"/>
      <c r="P493" s="479"/>
      <c r="Q493" s="479"/>
      <c r="R493" s="479"/>
      <c r="S493" s="479"/>
      <c r="T493" s="479"/>
      <c r="U493" s="479"/>
      <c r="V493" s="132">
        <f t="shared" si="225"/>
        <v>0</v>
      </c>
      <c r="W493" s="133" t="str">
        <f t="shared" si="221"/>
        <v/>
      </c>
      <c r="X493" s="132"/>
      <c r="Y493" s="132"/>
      <c r="Z493" s="132"/>
      <c r="AA493" s="132"/>
    </row>
    <row r="494" spans="1:27" ht="20.100000000000001" hidden="1" customHeight="1">
      <c r="A494" s="299">
        <v>30700017</v>
      </c>
      <c r="B494" s="141" t="s">
        <v>238</v>
      </c>
      <c r="C494" s="478"/>
      <c r="D494" s="108">
        <v>4.4000000000000004</v>
      </c>
      <c r="E494" s="108"/>
      <c r="F494" s="127"/>
      <c r="G494" s="128"/>
      <c r="H494" s="488">
        <f t="shared" si="222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3"/>
        <v>0</v>
      </c>
      <c r="N494" s="130">
        <f t="shared" si="224"/>
        <v>0</v>
      </c>
      <c r="O494" s="479"/>
      <c r="P494" s="479"/>
      <c r="Q494" s="479"/>
      <c r="R494" s="479"/>
      <c r="S494" s="479"/>
      <c r="T494" s="479"/>
      <c r="U494" s="479"/>
      <c r="V494" s="132">
        <f t="shared" si="225"/>
        <v>0</v>
      </c>
      <c r="W494" s="133" t="str">
        <f t="shared" si="221"/>
        <v/>
      </c>
      <c r="X494" s="132"/>
      <c r="Y494" s="132"/>
      <c r="Z494" s="132"/>
      <c r="AA494" s="132"/>
    </row>
    <row r="495" spans="1:27" ht="20.100000000000001" hidden="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28"/>
      <c r="H495" s="488">
        <f t="shared" si="222"/>
        <v>0</v>
      </c>
      <c r="I495" s="129"/>
      <c r="J495" s="130"/>
      <c r="K495" s="131"/>
      <c r="L495" s="129"/>
      <c r="M495" s="109"/>
      <c r="N495" s="130"/>
      <c r="O495" s="479"/>
      <c r="P495" s="479"/>
      <c r="Q495" s="479"/>
      <c r="R495" s="479"/>
      <c r="S495" s="479"/>
      <c r="T495" s="479"/>
      <c r="U495" s="479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299">
        <v>30700001</v>
      </c>
      <c r="B496" s="127" t="s">
        <v>359</v>
      </c>
      <c r="C496" s="478"/>
      <c r="D496" s="108"/>
      <c r="E496" s="108"/>
      <c r="F496" s="127"/>
      <c r="G496" s="128"/>
      <c r="H496" s="488">
        <f t="shared" si="222"/>
        <v>0</v>
      </c>
      <c r="I496" s="129"/>
      <c r="J496" s="130"/>
      <c r="K496" s="131"/>
      <c r="L496" s="129">
        <v>6</v>
      </c>
      <c r="M496" s="109"/>
      <c r="N496" s="130"/>
      <c r="O496" s="479"/>
      <c r="P496" s="479"/>
      <c r="Q496" s="479"/>
      <c r="R496" s="479"/>
      <c r="S496" s="479"/>
      <c r="T496" s="479"/>
      <c r="U496" s="479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/>
      <c r="B497" s="478" t="s">
        <v>239</v>
      </c>
      <c r="C497" s="478" t="s">
        <v>179</v>
      </c>
      <c r="D497" s="108">
        <v>6.04</v>
      </c>
      <c r="E497" s="108"/>
      <c r="F497" s="127"/>
      <c r="G497" s="128"/>
      <c r="H497" s="488">
        <f t="shared" si="222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498" si="226">IF(ISERROR(I497-K497),"",I497-K497)</f>
        <v>0</v>
      </c>
      <c r="N497" s="130">
        <f t="shared" ref="N497:N498" si="227">SUM(O497:U497)</f>
        <v>0</v>
      </c>
      <c r="O497" s="479"/>
      <c r="P497" s="479"/>
      <c r="Q497" s="479"/>
      <c r="R497" s="479"/>
      <c r="S497" s="479"/>
      <c r="T497" s="479"/>
      <c r="U497" s="479"/>
      <c r="V497" s="132">
        <f t="shared" ref="V497:V498" si="228">SUM(X497:AA497)</f>
        <v>0</v>
      </c>
      <c r="W497" s="133" t="str">
        <f t="shared" ref="W497:W498" si="229">IF(ISERROR(V497/G497),"",V497/G497)</f>
        <v/>
      </c>
      <c r="X497" s="132"/>
      <c r="Y497" s="132"/>
      <c r="Z497" s="132"/>
      <c r="AA497" s="132"/>
    </row>
    <row r="498" spans="1:27" ht="20.100000000000001" hidden="1" customHeight="1">
      <c r="A498" s="305">
        <v>30700019</v>
      </c>
      <c r="B498" s="478" t="s">
        <v>239</v>
      </c>
      <c r="C498" s="478" t="s">
        <v>186</v>
      </c>
      <c r="D498" s="108">
        <v>6.04</v>
      </c>
      <c r="E498" s="108"/>
      <c r="F498" s="127"/>
      <c r="G498" s="128"/>
      <c r="H498" s="488">
        <f t="shared" si="222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6"/>
        <v>0</v>
      </c>
      <c r="N498" s="130">
        <f t="shared" si="227"/>
        <v>0</v>
      </c>
      <c r="O498" s="479"/>
      <c r="P498" s="479"/>
      <c r="Q498" s="479"/>
      <c r="R498" s="479"/>
      <c r="S498" s="479"/>
      <c r="T498" s="479"/>
      <c r="U498" s="479"/>
      <c r="V498" s="132">
        <f t="shared" si="228"/>
        <v>0</v>
      </c>
      <c r="W498" s="133" t="str">
        <f t="shared" si="229"/>
        <v/>
      </c>
      <c r="X498" s="132"/>
      <c r="Y498" s="132"/>
      <c r="Z498" s="132"/>
      <c r="AA498" s="132"/>
    </row>
    <row r="499" spans="1:27" ht="20.100000000000001" hidden="1" customHeight="1">
      <c r="A499" s="305">
        <v>30601015</v>
      </c>
      <c r="B499" s="478" t="s">
        <v>443</v>
      </c>
      <c r="C499" s="478" t="s">
        <v>179</v>
      </c>
      <c r="D499" s="108"/>
      <c r="E499" s="108"/>
      <c r="F499" s="127"/>
      <c r="G499" s="128"/>
      <c r="H499" s="488">
        <f t="shared" si="222"/>
        <v>0</v>
      </c>
      <c r="I499" s="129"/>
      <c r="J499" s="130"/>
      <c r="K499" s="131"/>
      <c r="L499" s="129"/>
      <c r="M499" s="109"/>
      <c r="N499" s="130"/>
      <c r="O499" s="479"/>
      <c r="P499" s="479"/>
      <c r="Q499" s="479"/>
      <c r="R499" s="479"/>
      <c r="S499" s="479"/>
      <c r="T499" s="479"/>
      <c r="U499" s="479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305">
        <v>30101016</v>
      </c>
      <c r="B500" s="478" t="s">
        <v>443</v>
      </c>
      <c r="C500" s="478" t="s">
        <v>186</v>
      </c>
      <c r="D500" s="108"/>
      <c r="E500" s="108"/>
      <c r="F500" s="127"/>
      <c r="G500" s="128"/>
      <c r="H500" s="488">
        <f t="shared" si="222"/>
        <v>0</v>
      </c>
      <c r="I500" s="129"/>
      <c r="J500" s="130"/>
      <c r="K500" s="131"/>
      <c r="L500" s="129"/>
      <c r="M500" s="109"/>
      <c r="N500" s="130"/>
      <c r="O500" s="479"/>
      <c r="P500" s="479"/>
      <c r="Q500" s="479"/>
      <c r="R500" s="479"/>
      <c r="S500" s="479"/>
      <c r="T500" s="479"/>
      <c r="U500" s="479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30700018</v>
      </c>
      <c r="B501" s="480" t="s">
        <v>240</v>
      </c>
      <c r="C501" s="126"/>
      <c r="D501" s="108">
        <v>7.3</v>
      </c>
      <c r="E501" s="108"/>
      <c r="F501" s="127"/>
      <c r="G501" s="128"/>
      <c r="H501" s="488">
        <f t="shared" si="222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ref="M501" si="230">IF(ISERROR(I501-K501),"",I501-K501)</f>
        <v>0</v>
      </c>
      <c r="N501" s="130">
        <f t="shared" ref="N501" si="231">SUM(O501:U501)</f>
        <v>0</v>
      </c>
      <c r="O501" s="479"/>
      <c r="P501" s="479"/>
      <c r="Q501" s="479"/>
      <c r="R501" s="479"/>
      <c r="S501" s="479"/>
      <c r="T501" s="479"/>
      <c r="U501" s="479"/>
      <c r="V501" s="132">
        <f t="shared" ref="V501" si="232">SUM(X501:AA501)</f>
        <v>0</v>
      </c>
      <c r="W501" s="133" t="str">
        <f t="shared" ref="W501" si="233">IF(ISERROR(V501/G501),"",V501/G501)</f>
        <v/>
      </c>
      <c r="X501" s="132"/>
      <c r="Y501" s="132"/>
      <c r="Z501" s="132"/>
      <c r="AA501" s="132"/>
    </row>
    <row r="502" spans="1:27" ht="20.100000000000001" hidden="1" customHeight="1">
      <c r="A502" s="299">
        <v>30700010</v>
      </c>
      <c r="B502" s="480" t="s">
        <v>241</v>
      </c>
      <c r="C502" s="126"/>
      <c r="D502" s="108">
        <f>78*120/1000</f>
        <v>9.36</v>
      </c>
      <c r="E502" s="108"/>
      <c r="F502" s="127"/>
      <c r="G502" s="128"/>
      <c r="H502" s="488">
        <f t="shared" si="222"/>
        <v>0</v>
      </c>
      <c r="I502" s="129"/>
      <c r="J502" s="130"/>
      <c r="K502" s="131"/>
      <c r="L502" s="129"/>
      <c r="M502" s="109"/>
      <c r="N502" s="130"/>
      <c r="O502" s="479"/>
      <c r="P502" s="479"/>
      <c r="Q502" s="479"/>
      <c r="R502" s="479"/>
      <c r="S502" s="479"/>
      <c r="T502" s="479"/>
      <c r="U502" s="479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299">
        <v>30700015</v>
      </c>
      <c r="B503" s="480" t="s">
        <v>242</v>
      </c>
      <c r="C503" s="126"/>
      <c r="D503" s="108">
        <v>4.5</v>
      </c>
      <c r="E503" s="108"/>
      <c r="F503" s="127"/>
      <c r="G503" s="128"/>
      <c r="H503" s="488">
        <f t="shared" si="222"/>
        <v>0</v>
      </c>
      <c r="I503" s="129"/>
      <c r="J503" s="130"/>
      <c r="K503" s="131"/>
      <c r="L503" s="129"/>
      <c r="M503" s="109"/>
      <c r="N503" s="130"/>
      <c r="O503" s="479"/>
      <c r="P503" s="479"/>
      <c r="Q503" s="479"/>
      <c r="R503" s="479"/>
      <c r="S503" s="479"/>
      <c r="T503" s="479"/>
      <c r="U503" s="479"/>
      <c r="V503" s="132"/>
      <c r="W503" s="133"/>
      <c r="X503" s="132"/>
      <c r="Y503" s="132"/>
      <c r="Z503" s="132"/>
      <c r="AA503" s="132"/>
    </row>
    <row r="504" spans="1:27" ht="20.100000000000001" hidden="1" customHeight="1">
      <c r="A504" s="299">
        <v>30700012</v>
      </c>
      <c r="B504" s="480" t="s">
        <v>243</v>
      </c>
      <c r="C504" s="126"/>
      <c r="D504" s="108">
        <v>4.5</v>
      </c>
      <c r="E504" s="108"/>
      <c r="F504" s="127"/>
      <c r="G504" s="128"/>
      <c r="H504" s="488">
        <f t="shared" si="222"/>
        <v>0</v>
      </c>
      <c r="I504" s="129"/>
      <c r="J504" s="130"/>
      <c r="K504" s="131"/>
      <c r="L504" s="129"/>
      <c r="M504" s="109"/>
      <c r="N504" s="130"/>
      <c r="O504" s="479"/>
      <c r="P504" s="479"/>
      <c r="Q504" s="479"/>
      <c r="R504" s="479"/>
      <c r="S504" s="479"/>
      <c r="T504" s="479"/>
      <c r="U504" s="479"/>
      <c r="V504" s="132"/>
      <c r="W504" s="133"/>
      <c r="X504" s="132"/>
      <c r="Y504" s="132"/>
      <c r="Z504" s="132"/>
      <c r="AA504" s="132"/>
    </row>
    <row r="505" spans="1:27" ht="20.100000000000001" hidden="1" customHeight="1">
      <c r="A505" s="299"/>
      <c r="B505" s="480"/>
      <c r="C505" s="126"/>
      <c r="D505" s="108"/>
      <c r="E505" s="108"/>
      <c r="F505" s="127"/>
      <c r="G505" s="128"/>
      <c r="H505" s="488">
        <f t="shared" si="222"/>
        <v>0</v>
      </c>
      <c r="I505" s="129"/>
      <c r="J505" s="130"/>
      <c r="K505" s="131"/>
      <c r="L505" s="129"/>
      <c r="M505" s="109"/>
      <c r="N505" s="130"/>
      <c r="O505" s="479"/>
      <c r="P505" s="479"/>
      <c r="Q505" s="479"/>
      <c r="R505" s="479"/>
      <c r="S505" s="479"/>
      <c r="T505" s="479"/>
      <c r="U505" s="479"/>
      <c r="V505" s="132"/>
      <c r="W505" s="133"/>
      <c r="X505" s="132"/>
      <c r="Y505" s="132"/>
      <c r="Z505" s="132"/>
      <c r="AA505" s="132"/>
    </row>
    <row r="506" spans="1:27" ht="20.100000000000001" hidden="1" customHeight="1">
      <c r="A506" s="578" t="s">
        <v>244</v>
      </c>
      <c r="B506" s="579"/>
      <c r="C506" s="486" t="s">
        <v>202</v>
      </c>
      <c r="D506" s="143"/>
      <c r="E506" s="143"/>
      <c r="F506" s="144"/>
      <c r="G506" s="145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4">SUM(M491:M501)</f>
        <v>0</v>
      </c>
      <c r="N506" s="146">
        <f t="shared" si="234"/>
        <v>0</v>
      </c>
      <c r="O506" s="148">
        <f t="shared" si="234"/>
        <v>0</v>
      </c>
      <c r="P506" s="148">
        <f t="shared" si="234"/>
        <v>0</v>
      </c>
      <c r="Q506" s="148">
        <f t="shared" si="234"/>
        <v>0</v>
      </c>
      <c r="R506" s="148">
        <f t="shared" si="234"/>
        <v>0</v>
      </c>
      <c r="S506" s="148">
        <f t="shared" si="234"/>
        <v>0</v>
      </c>
      <c r="T506" s="148">
        <f t="shared" si="234"/>
        <v>0</v>
      </c>
      <c r="U506" s="148">
        <f t="shared" si="234"/>
        <v>0</v>
      </c>
      <c r="V506" s="149">
        <f t="shared" si="234"/>
        <v>0</v>
      </c>
      <c r="W506" s="133">
        <f t="shared" si="234"/>
        <v>0</v>
      </c>
      <c r="X506" s="149">
        <f t="shared" si="234"/>
        <v>0</v>
      </c>
      <c r="Y506" s="149">
        <f t="shared" si="234"/>
        <v>0</v>
      </c>
      <c r="Z506" s="149">
        <f t="shared" si="234"/>
        <v>0</v>
      </c>
      <c r="AA506" s="149">
        <f t="shared" si="234"/>
        <v>0</v>
      </c>
    </row>
    <row r="507" spans="1:27" ht="20.100000000000001" customHeight="1">
      <c r="A507" s="580" t="s">
        <v>246</v>
      </c>
      <c r="B507" s="581"/>
      <c r="C507" s="581"/>
      <c r="D507" s="581"/>
      <c r="E507" s="581"/>
      <c r="F507" s="582"/>
      <c r="G507" s="154">
        <f>SUM(G370,G428,G463,G479,G490,G506)</f>
        <v>1083</v>
      </c>
      <c r="H507" s="154">
        <f>SUM(H370,H428,H463,H479,H490,H506)</f>
        <v>5447.49</v>
      </c>
      <c r="I507" s="154">
        <f>SUM(I370,I428,I463,I479,I490,I506)</f>
        <v>100</v>
      </c>
      <c r="J507" s="155">
        <f t="array" ref="J507">IF(ISERROR(G507/I507),"",G507/I507)</f>
        <v>10.83</v>
      </c>
      <c r="K507" s="154">
        <f>SUM(K370,K428,K463,K479,K490,K506)</f>
        <v>122.45723362658846</v>
      </c>
      <c r="L507" s="155">
        <f>IF(ISERROR(G507/K507),"",G507/K507)</f>
        <v>8.8439038505672585</v>
      </c>
      <c r="M507" s="154">
        <f t="shared" ref="M507:V507" si="235">SUM(M370,M428,M463,M479,M490,M506)</f>
        <v>-22.457233626588462</v>
      </c>
      <c r="N507" s="154">
        <f t="shared" si="235"/>
        <v>0</v>
      </c>
      <c r="O507" s="154">
        <f t="shared" si="235"/>
        <v>0</v>
      </c>
      <c r="P507" s="154">
        <f t="shared" si="235"/>
        <v>0</v>
      </c>
      <c r="Q507" s="154">
        <f t="shared" si="235"/>
        <v>0</v>
      </c>
      <c r="R507" s="154">
        <f t="shared" si="235"/>
        <v>0</v>
      </c>
      <c r="S507" s="154">
        <f t="shared" si="235"/>
        <v>0</v>
      </c>
      <c r="T507" s="154">
        <f t="shared" si="235"/>
        <v>0</v>
      </c>
      <c r="U507" s="154">
        <f t="shared" si="235"/>
        <v>0</v>
      </c>
      <c r="V507" s="154">
        <f t="shared" si="235"/>
        <v>0</v>
      </c>
      <c r="W507" s="156">
        <f t="shared" ref="W507" si="236">IF(ISERROR(V507/G507),"",V507/G507)</f>
        <v>0</v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583" t="s">
        <v>476</v>
      </c>
      <c r="B508" s="485" t="s">
        <v>247</v>
      </c>
      <c r="C508" s="586" t="s">
        <v>248</v>
      </c>
      <c r="D508" s="587"/>
      <c r="E508" s="588" t="s">
        <v>249</v>
      </c>
      <c r="F508" s="588"/>
      <c r="G508" s="591" t="s">
        <v>250</v>
      </c>
      <c r="H508" s="591"/>
      <c r="I508" s="588" t="s">
        <v>251</v>
      </c>
      <c r="J508" s="588"/>
      <c r="K508" s="588" t="s">
        <v>252</v>
      </c>
      <c r="L508" s="588"/>
      <c r="M508" s="588" t="s">
        <v>253</v>
      </c>
      <c r="N508" s="588"/>
      <c r="O508" s="588" t="s">
        <v>254</v>
      </c>
      <c r="P508" s="591" t="s">
        <v>255</v>
      </c>
      <c r="Q508" s="591"/>
      <c r="R508" s="591" t="s">
        <v>252</v>
      </c>
      <c r="S508" s="591"/>
      <c r="T508" s="591" t="s">
        <v>256</v>
      </c>
      <c r="U508" s="591"/>
      <c r="V508" s="591" t="s">
        <v>257</v>
      </c>
      <c r="W508" s="591"/>
      <c r="X508" s="591" t="s">
        <v>252</v>
      </c>
      <c r="Y508" s="591"/>
      <c r="Z508" s="591" t="s">
        <v>256</v>
      </c>
      <c r="AA508" s="591"/>
    </row>
    <row r="509" spans="1:27" ht="20.100000000000001" customHeight="1">
      <c r="A509" s="584"/>
      <c r="B509" s="485" t="s">
        <v>258</v>
      </c>
      <c r="C509" s="586">
        <v>0</v>
      </c>
      <c r="D509" s="587"/>
      <c r="E509" s="590">
        <f>C509*11</f>
        <v>0</v>
      </c>
      <c r="F509" s="590"/>
      <c r="G509" s="591">
        <v>0</v>
      </c>
      <c r="H509" s="591"/>
      <c r="I509" s="590">
        <f>G509*11</f>
        <v>0</v>
      </c>
      <c r="J509" s="590"/>
      <c r="K509" s="590">
        <f>E509-I509</f>
        <v>0</v>
      </c>
      <c r="L509" s="590"/>
      <c r="M509" s="592" t="str">
        <f>IF(ISERROR(K509/E509),"",K509/E509)</f>
        <v/>
      </c>
      <c r="N509" s="592"/>
      <c r="O509" s="588"/>
      <c r="P509" s="591" t="s">
        <v>201</v>
      </c>
      <c r="Q509" s="591"/>
      <c r="R509" s="593">
        <f>SUM(O370:U370)</f>
        <v>0</v>
      </c>
      <c r="S509" s="593"/>
      <c r="T509" s="594" t="str">
        <f t="array" ref="T509">IF(ISERROR(R509/R516),"",R509/R516)</f>
        <v/>
      </c>
      <c r="U509" s="594"/>
      <c r="V509" s="591" t="s">
        <v>259</v>
      </c>
      <c r="W509" s="591"/>
      <c r="X509" s="595">
        <f>SUM(O370,O428,O463,O479,O490,O506)</f>
        <v>0</v>
      </c>
      <c r="Y509" s="595"/>
      <c r="Z509" s="594" t="str">
        <f t="array" ref="Z509">IF(ISERROR(X509/X516),"",X509/X516)</f>
        <v/>
      </c>
      <c r="AA509" s="594"/>
    </row>
    <row r="510" spans="1:27" ht="20.100000000000001" customHeight="1">
      <c r="A510" s="584"/>
      <c r="B510" s="485" t="s">
        <v>260</v>
      </c>
      <c r="C510" s="586">
        <v>0</v>
      </c>
      <c r="D510" s="587"/>
      <c r="E510" s="590">
        <f>C510*11</f>
        <v>0</v>
      </c>
      <c r="F510" s="590"/>
      <c r="G510" s="591">
        <v>0</v>
      </c>
      <c r="H510" s="591"/>
      <c r="I510" s="590">
        <f>G510*11</f>
        <v>0</v>
      </c>
      <c r="J510" s="590"/>
      <c r="K510" s="590">
        <f>E510-I510</f>
        <v>0</v>
      </c>
      <c r="L510" s="590"/>
      <c r="M510" s="592" t="str">
        <f>IF(ISERROR(K510/E510),"",K510/E510)</f>
        <v/>
      </c>
      <c r="N510" s="592"/>
      <c r="O510" s="588"/>
      <c r="P510" s="591" t="s">
        <v>216</v>
      </c>
      <c r="Q510" s="591"/>
      <c r="R510" s="593">
        <f>SUM(O428:U428)</f>
        <v>0</v>
      </c>
      <c r="S510" s="593"/>
      <c r="T510" s="594" t="str">
        <f>IF(ISERROR(R510/R516),"",R510/R516)</f>
        <v/>
      </c>
      <c r="U510" s="594"/>
      <c r="V510" s="591" t="s">
        <v>261</v>
      </c>
      <c r="W510" s="591"/>
      <c r="X510" s="595">
        <f>SUM(O371,O429,O464,O480,O491,O507)</f>
        <v>0</v>
      </c>
      <c r="Y510" s="595"/>
      <c r="Z510" s="594" t="str">
        <f>IF(ISERROR(X510/X516),"",X510/X516)</f>
        <v/>
      </c>
      <c r="AA510" s="594"/>
    </row>
    <row r="511" spans="1:27" ht="20.100000000000001" customHeight="1">
      <c r="A511" s="584"/>
      <c r="B511" s="485" t="s">
        <v>262</v>
      </c>
      <c r="C511" s="586">
        <v>0</v>
      </c>
      <c r="D511" s="587"/>
      <c r="E511" s="590">
        <f>C511*11</f>
        <v>0</v>
      </c>
      <c r="F511" s="590"/>
      <c r="G511" s="591">
        <v>0</v>
      </c>
      <c r="H511" s="591"/>
      <c r="I511" s="590">
        <f>G511*11</f>
        <v>0</v>
      </c>
      <c r="J511" s="590"/>
      <c r="K511" s="590">
        <f>E511-I511</f>
        <v>0</v>
      </c>
      <c r="L511" s="590"/>
      <c r="M511" s="592" t="str">
        <f>IF(ISERROR(K511/E511),"",K511/E511)</f>
        <v/>
      </c>
      <c r="N511" s="592"/>
      <c r="O511" s="588"/>
      <c r="P511" s="591" t="s">
        <v>224</v>
      </c>
      <c r="Q511" s="591"/>
      <c r="R511" s="593">
        <f>SUM(O463:U463)</f>
        <v>0</v>
      </c>
      <c r="S511" s="593"/>
      <c r="T511" s="594" t="str">
        <f>IF(ISERROR(R511/R516),"",R511/R516)</f>
        <v/>
      </c>
      <c r="U511" s="594"/>
      <c r="V511" s="591" t="s">
        <v>263</v>
      </c>
      <c r="W511" s="591"/>
      <c r="X511" s="595">
        <f>SUM(O373,O430,O465,O481,O492,O508)</f>
        <v>0</v>
      </c>
      <c r="Y511" s="595"/>
      <c r="Z511" s="594" t="str">
        <f>IF(ISERROR(X511/X516),"",X511/X516)</f>
        <v/>
      </c>
      <c r="AA511" s="594"/>
    </row>
    <row r="512" spans="1:27" ht="20.100000000000001" customHeight="1">
      <c r="A512" s="584"/>
      <c r="B512" s="485" t="s">
        <v>264</v>
      </c>
      <c r="C512" s="586">
        <v>1</v>
      </c>
      <c r="D512" s="587"/>
      <c r="E512" s="590">
        <f>C512*11</f>
        <v>11</v>
      </c>
      <c r="F512" s="590"/>
      <c r="G512" s="591">
        <v>1</v>
      </c>
      <c r="H512" s="591"/>
      <c r="I512" s="590">
        <f>G512*11</f>
        <v>11</v>
      </c>
      <c r="J512" s="590"/>
      <c r="K512" s="590">
        <f>E512-I512</f>
        <v>0</v>
      </c>
      <c r="L512" s="590"/>
      <c r="M512" s="592">
        <f>IF(ISERROR(K512/E512),"",K512/E512)</f>
        <v>0</v>
      </c>
      <c r="N512" s="592"/>
      <c r="O512" s="588"/>
      <c r="P512" s="591" t="s">
        <v>231</v>
      </c>
      <c r="Q512" s="591"/>
      <c r="R512" s="593">
        <f>SUM(O479:U479)</f>
        <v>0</v>
      </c>
      <c r="S512" s="593"/>
      <c r="T512" s="594" t="str">
        <f>IF(ISERROR(R512/R516),"",R512/R516)</f>
        <v/>
      </c>
      <c r="U512" s="594"/>
      <c r="V512" s="591" t="s">
        <v>265</v>
      </c>
      <c r="W512" s="591"/>
      <c r="X512" s="595">
        <f>SUM(O374,O431,O466,O482,O493,O509)</f>
        <v>0</v>
      </c>
      <c r="Y512" s="595"/>
      <c r="Z512" s="594" t="str">
        <f>IF(ISERROR(X512/X516),"",X512/X516)</f>
        <v/>
      </c>
      <c r="AA512" s="594"/>
    </row>
    <row r="513" spans="1:27" ht="20.100000000000001" customHeight="1">
      <c r="A513" s="585"/>
      <c r="B513" s="485" t="s">
        <v>266</v>
      </c>
      <c r="C513" s="596">
        <f>SUM(C509:D512)</f>
        <v>1</v>
      </c>
      <c r="D513" s="597"/>
      <c r="E513" s="590">
        <f>SUM(E509:F512)</f>
        <v>11</v>
      </c>
      <c r="F513" s="590"/>
      <c r="G513" s="591">
        <f>SUM(G509:H512)</f>
        <v>1</v>
      </c>
      <c r="H513" s="591"/>
      <c r="I513" s="590">
        <f>SUM(I509:J512)</f>
        <v>11</v>
      </c>
      <c r="J513" s="590"/>
      <c r="K513" s="590">
        <f>SUM(K509:L512)</f>
        <v>0</v>
      </c>
      <c r="L513" s="590"/>
      <c r="M513" s="592">
        <f>IF(ISERROR(K513/E513),"",K513/E513)</f>
        <v>0</v>
      </c>
      <c r="N513" s="592"/>
      <c r="O513" s="588"/>
      <c r="P513" s="591" t="s">
        <v>234</v>
      </c>
      <c r="Q513" s="591"/>
      <c r="R513" s="593">
        <f>SUM(O490:U490)</f>
        <v>0</v>
      </c>
      <c r="S513" s="593"/>
      <c r="T513" s="594" t="str">
        <f>IF(ISERROR(R513/R516),"",R513/R516)</f>
        <v/>
      </c>
      <c r="U513" s="594"/>
      <c r="V513" s="591" t="s">
        <v>267</v>
      </c>
      <c r="W513" s="591"/>
      <c r="X513" s="595">
        <f>SUM(O375,O432,O467,O483,O494,O510)</f>
        <v>0</v>
      </c>
      <c r="Y513" s="595"/>
      <c r="Z513" s="594" t="str">
        <f>IF(ISERROR(X513/X516),"",X513/X516)</f>
        <v/>
      </c>
      <c r="AA513" s="594"/>
    </row>
    <row r="514" spans="1:27" ht="20.100000000000001" customHeight="1">
      <c r="A514" s="307" t="s">
        <v>477</v>
      </c>
      <c r="B514" s="485">
        <f>G507</f>
        <v>1083</v>
      </c>
      <c r="C514" s="598" t="s">
        <v>269</v>
      </c>
      <c r="D514" s="599"/>
      <c r="E514" s="591">
        <f>H507</f>
        <v>5447.49</v>
      </c>
      <c r="F514" s="591"/>
      <c r="G514" s="591" t="s">
        <v>270</v>
      </c>
      <c r="H514" s="591"/>
      <c r="I514" s="600">
        <f>L507</f>
        <v>8.8439038505672585</v>
      </c>
      <c r="J514" s="600"/>
      <c r="K514" s="588" t="s">
        <v>271</v>
      </c>
      <c r="L514" s="588"/>
      <c r="M514" s="600">
        <f>J507</f>
        <v>10.83</v>
      </c>
      <c r="N514" s="600"/>
      <c r="O514" s="588"/>
      <c r="P514" s="591" t="s">
        <v>244</v>
      </c>
      <c r="Q514" s="591"/>
      <c r="R514" s="593">
        <f>SUM(O506:U506)</f>
        <v>0</v>
      </c>
      <c r="S514" s="593"/>
      <c r="T514" s="594" t="str">
        <f>IF(ISERROR(R514/R516),"",R514/R516)</f>
        <v/>
      </c>
      <c r="U514" s="594"/>
      <c r="V514" s="591" t="s">
        <v>272</v>
      </c>
      <c r="W514" s="591"/>
      <c r="X514" s="595">
        <f>SUM(O376,O433,O468,O484,O495,O511)</f>
        <v>0</v>
      </c>
      <c r="Y514" s="595"/>
      <c r="Z514" s="594" t="str">
        <f>IF(ISERROR(X514/X516),"",X514/X516)</f>
        <v/>
      </c>
      <c r="AA514" s="594"/>
    </row>
    <row r="515" spans="1:27" ht="20.100000000000001" customHeight="1">
      <c r="A515" s="308" t="s">
        <v>478</v>
      </c>
      <c r="B515" s="485">
        <f>I507+C513</f>
        <v>101</v>
      </c>
      <c r="C515" s="601" t="s">
        <v>251</v>
      </c>
      <c r="D515" s="602"/>
      <c r="E515" s="603">
        <f>K507+I513</f>
        <v>133.45723362658845</v>
      </c>
      <c r="F515" s="603"/>
      <c r="G515" s="591" t="s">
        <v>274</v>
      </c>
      <c r="H515" s="591"/>
      <c r="I515" s="600">
        <f>B515-E515</f>
        <v>-32.457233626588447</v>
      </c>
      <c r="J515" s="600"/>
      <c r="K515" s="588" t="s">
        <v>275</v>
      </c>
      <c r="L515" s="588"/>
      <c r="M515" s="592">
        <f>IF(ISERROR(I515/E515),"",I515/E515)</f>
        <v>-0.24320325503976317</v>
      </c>
      <c r="N515" s="592"/>
      <c r="O515" s="588"/>
      <c r="P515" s="591" t="s">
        <v>245</v>
      </c>
      <c r="Q515" s="591"/>
      <c r="R515" s="593"/>
      <c r="S515" s="593"/>
      <c r="T515" s="594" t="str">
        <f>IF(ISERROR(R515/R516),"",R515/R516)</f>
        <v/>
      </c>
      <c r="U515" s="594"/>
      <c r="V515" s="591" t="s">
        <v>264</v>
      </c>
      <c r="W515" s="591"/>
      <c r="X515" s="595">
        <f>SUM(O377,O434,O469,O489,O496,O512)</f>
        <v>0</v>
      </c>
      <c r="Y515" s="595"/>
      <c r="Z515" s="594" t="str">
        <f>IF(ISERROR(X515/X516),"",X515/X516)</f>
        <v/>
      </c>
      <c r="AA515" s="594"/>
    </row>
    <row r="516" spans="1:27" ht="20.100000000000001" customHeight="1">
      <c r="A516" s="308" t="s">
        <v>479</v>
      </c>
      <c r="B516" s="485">
        <f>N507</f>
        <v>0</v>
      </c>
      <c r="C516" s="601" t="s">
        <v>277</v>
      </c>
      <c r="D516" s="602"/>
      <c r="E516" s="594">
        <f>IF(ISERROR(B516/B515),"",B516/B515)</f>
        <v>0</v>
      </c>
      <c r="F516" s="594"/>
      <c r="G516" s="591" t="s">
        <v>278</v>
      </c>
      <c r="H516" s="591"/>
      <c r="I516" s="588">
        <f>V507</f>
        <v>0</v>
      </c>
      <c r="J516" s="588"/>
      <c r="K516" s="588" t="s">
        <v>279</v>
      </c>
      <c r="L516" s="588"/>
      <c r="M516" s="592">
        <f t="array" ref="M516">IF(ISERROR(I516/B514),"",I516/B514)</f>
        <v>0</v>
      </c>
      <c r="N516" s="592"/>
      <c r="O516" s="588"/>
      <c r="P516" s="591" t="s">
        <v>266</v>
      </c>
      <c r="Q516" s="591"/>
      <c r="R516" s="593">
        <f>SUM(R509:S515)</f>
        <v>0</v>
      </c>
      <c r="S516" s="593"/>
      <c r="T516" s="594"/>
      <c r="U516" s="594"/>
      <c r="V516" s="591" t="s">
        <v>266</v>
      </c>
      <c r="W516" s="591"/>
      <c r="X516" s="595">
        <f>SUM(X509:Y515)</f>
        <v>0</v>
      </c>
      <c r="Y516" s="595"/>
      <c r="Z516" s="594"/>
      <c r="AA516" s="594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630" t="str">
        <f>IF(ISERROR(#REF!/#REF!),"",#REF!/#REF!)</f>
        <v/>
      </c>
      <c r="H517" s="630"/>
      <c r="I517" s="630"/>
      <c r="J517" s="125"/>
      <c r="K517" s="160"/>
      <c r="L517" s="122"/>
      <c r="M517" s="122"/>
      <c r="N517" s="630" t="str">
        <f>IF(ISERROR(G517/#REF!),"",G517/#REF!)</f>
        <v/>
      </c>
      <c r="O517" s="630"/>
      <c r="P517" s="630"/>
      <c r="Q517" s="630"/>
      <c r="R517" s="630"/>
      <c r="S517" s="487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6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633" t="s">
        <v>268</v>
      </c>
      <c r="B519" s="633"/>
      <c r="C519" s="586">
        <f>SUM(B171,B342,B514)</f>
        <v>12941</v>
      </c>
      <c r="D519" s="587"/>
      <c r="E519" s="633" t="s">
        <v>269</v>
      </c>
      <c r="F519" s="633"/>
      <c r="G519" s="603">
        <f>SUM(E171,E342,E514)</f>
        <v>65913.86</v>
      </c>
      <c r="H519" s="603"/>
      <c r="I519" s="591" t="s">
        <v>270</v>
      </c>
      <c r="J519" s="633"/>
      <c r="K519" s="586">
        <f>IF(ISERROR(C519/G520),"",C519/G520)</f>
        <v>15.879460639430928</v>
      </c>
      <c r="L519" s="587"/>
      <c r="M519" s="591" t="s">
        <v>271</v>
      </c>
      <c r="N519" s="591"/>
      <c r="O519" s="628">
        <f t="array" ref="O519">IF(ISERROR(C519/C520),"",C519/C520)</f>
        <v>17.370469798657719</v>
      </c>
      <c r="P519" s="629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591" t="s">
        <v>273</v>
      </c>
      <c r="B520" s="591"/>
      <c r="C520" s="586">
        <f>SUM(B172,B343,B515)</f>
        <v>745</v>
      </c>
      <c r="D520" s="587"/>
      <c r="E520" s="591" t="s">
        <v>251</v>
      </c>
      <c r="F520" s="591"/>
      <c r="G520" s="603">
        <f>SUM(E172,E343,E515)</f>
        <v>814.95211291154828</v>
      </c>
      <c r="H520" s="603"/>
      <c r="I520" s="601" t="s">
        <v>274</v>
      </c>
      <c r="J520" s="602"/>
      <c r="K520" s="598">
        <f>C520-G520</f>
        <v>-69.952112911548284</v>
      </c>
      <c r="L520" s="599"/>
      <c r="M520" s="598" t="s">
        <v>275</v>
      </c>
      <c r="N520" s="599"/>
      <c r="O520" s="631">
        <f>IF(ISERROR(K520/C520),"",K520/C520)</f>
        <v>-9.3895453572548027E-2</v>
      </c>
      <c r="P520" s="632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601" t="s">
        <v>276</v>
      </c>
      <c r="B521" s="602"/>
      <c r="C521" s="586">
        <f>SUM(B173,B344,B516)</f>
        <v>0</v>
      </c>
      <c r="D521" s="587"/>
      <c r="E521" s="601" t="s">
        <v>277</v>
      </c>
      <c r="F521" s="602"/>
      <c r="G521" s="594">
        <f>IF(ISERROR(C521/C520),"",C521/C520)</f>
        <v>0</v>
      </c>
      <c r="H521" s="594"/>
      <c r="I521" s="591" t="s">
        <v>278</v>
      </c>
      <c r="J521" s="633"/>
      <c r="K521" s="603">
        <f>SUM(I173,I344,I516)</f>
        <v>0</v>
      </c>
      <c r="L521" s="603"/>
      <c r="M521" s="633" t="s">
        <v>279</v>
      </c>
      <c r="N521" s="633"/>
      <c r="O521" s="631">
        <f t="array" ref="O521">IF(ISERROR(K521/C519),"",K521/C519)</f>
        <v>0</v>
      </c>
      <c r="P521" s="632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347"/>
      <c r="H522" s="168"/>
      <c r="I522" s="487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601" t="s">
        <v>298</v>
      </c>
      <c r="B523" s="602"/>
      <c r="C523" s="601" t="s">
        <v>299</v>
      </c>
      <c r="D523" s="602"/>
      <c r="E523" s="601" t="s">
        <v>256</v>
      </c>
      <c r="F523" s="602"/>
      <c r="G523" s="634" t="s">
        <v>254</v>
      </c>
      <c r="H523" s="635"/>
      <c r="I523" s="601" t="s">
        <v>255</v>
      </c>
      <c r="J523" s="599"/>
      <c r="K523" s="601" t="s">
        <v>300</v>
      </c>
      <c r="L523" s="602"/>
      <c r="M523" s="601" t="s">
        <v>256</v>
      </c>
      <c r="N523" s="602"/>
      <c r="O523" s="591" t="s">
        <v>257</v>
      </c>
      <c r="P523" s="591"/>
      <c r="Q523" s="601" t="s">
        <v>300</v>
      </c>
      <c r="R523" s="602"/>
      <c r="S523" s="601" t="s">
        <v>256</v>
      </c>
      <c r="T523" s="602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640" t="s">
        <v>201</v>
      </c>
      <c r="B524" s="602"/>
      <c r="C524" s="601">
        <f>SUM(G28,G199,G370)</f>
        <v>1582</v>
      </c>
      <c r="D524" s="602"/>
      <c r="E524" s="641">
        <f>IF(ISERROR(C524/C530),"",C524/C530)</f>
        <v>0.12224712155165753</v>
      </c>
      <c r="F524" s="642"/>
      <c r="G524" s="636"/>
      <c r="H524" s="637"/>
      <c r="I524" s="643" t="s">
        <v>301</v>
      </c>
      <c r="J524" s="644"/>
      <c r="K524" s="598">
        <f t="shared" ref="K524:K529" si="237">SUM(R166,U337,U509)</f>
        <v>0</v>
      </c>
      <c r="L524" s="599"/>
      <c r="M524" s="641" t="str">
        <f t="array" ref="M524">IF(ISERROR(K524/K530),"",K524/K530)</f>
        <v/>
      </c>
      <c r="N524" s="642"/>
      <c r="O524" s="591" t="s">
        <v>259</v>
      </c>
      <c r="P524" s="591"/>
      <c r="Q524" s="628">
        <f t="shared" ref="Q524:Q529" si="238">SUM(X166,AA337,AA509)</f>
        <v>0</v>
      </c>
      <c r="R524" s="629"/>
      <c r="S524" s="641" t="str">
        <f t="array" ref="S524">IF(ISERROR(Q524/Q530),"",Q524/Q530)</f>
        <v/>
      </c>
      <c r="T524" s="642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640" t="s">
        <v>216</v>
      </c>
      <c r="B525" s="602"/>
      <c r="C525" s="601">
        <f>SUM(G86,G257,G428)</f>
        <v>6230</v>
      </c>
      <c r="D525" s="602"/>
      <c r="E525" s="641">
        <f>IF(ISERROR(C525/C530),"",C525/C530)</f>
        <v>0.48141565566803185</v>
      </c>
      <c r="F525" s="642"/>
      <c r="G525" s="636"/>
      <c r="H525" s="637"/>
      <c r="I525" s="643" t="s">
        <v>302</v>
      </c>
      <c r="J525" s="644"/>
      <c r="K525" s="598">
        <f t="shared" si="237"/>
        <v>0</v>
      </c>
      <c r="L525" s="599"/>
      <c r="M525" s="641" t="str">
        <f>IF(ISERROR(K525/K530),"",K525/K530)</f>
        <v/>
      </c>
      <c r="N525" s="642"/>
      <c r="O525" s="591" t="s">
        <v>261</v>
      </c>
      <c r="P525" s="591"/>
      <c r="Q525" s="628">
        <f t="shared" si="238"/>
        <v>0</v>
      </c>
      <c r="R525" s="629"/>
      <c r="S525" s="641" t="str">
        <f>IF(ISERROR(Q525/Q530),"",Q525/Q530)</f>
        <v/>
      </c>
      <c r="T525" s="642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640" t="s">
        <v>224</v>
      </c>
      <c r="B526" s="602"/>
      <c r="C526" s="601">
        <f>SUM(G121,G292,G463)</f>
        <v>1840</v>
      </c>
      <c r="D526" s="602"/>
      <c r="E526" s="641">
        <f>IF(ISERROR(C526/C530),"",C526/C530)</f>
        <v>0.14218375705123251</v>
      </c>
      <c r="F526" s="642"/>
      <c r="G526" s="636"/>
      <c r="H526" s="637"/>
      <c r="I526" s="643" t="s">
        <v>303</v>
      </c>
      <c r="J526" s="644"/>
      <c r="K526" s="598">
        <f t="shared" si="237"/>
        <v>0</v>
      </c>
      <c r="L526" s="599"/>
      <c r="M526" s="641" t="str">
        <f>IF(ISERROR(K526/K530),"",K526/K530)</f>
        <v/>
      </c>
      <c r="N526" s="642"/>
      <c r="O526" s="591" t="s">
        <v>263</v>
      </c>
      <c r="P526" s="591"/>
      <c r="Q526" s="628">
        <f t="shared" si="238"/>
        <v>0</v>
      </c>
      <c r="R526" s="629"/>
      <c r="S526" s="641" t="str">
        <f>IF(ISERROR(Q526/Q530),"",Q526/Q530)</f>
        <v/>
      </c>
      <c r="T526" s="642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640" t="s">
        <v>231</v>
      </c>
      <c r="B527" s="602"/>
      <c r="C527" s="601">
        <f>SUM(G137,G308,G479)</f>
        <v>1515</v>
      </c>
      <c r="D527" s="602"/>
      <c r="E527" s="641">
        <f>IF(ISERROR(C527/C530),"",C527/C530)</f>
        <v>0.11706977822424851</v>
      </c>
      <c r="F527" s="642"/>
      <c r="G527" s="636"/>
      <c r="H527" s="637"/>
      <c r="I527" s="643" t="s">
        <v>304</v>
      </c>
      <c r="J527" s="644"/>
      <c r="K527" s="598">
        <f t="shared" si="237"/>
        <v>0</v>
      </c>
      <c r="L527" s="599"/>
      <c r="M527" s="641" t="str">
        <f>IF(ISERROR(K527/K530),"",K527/K530)</f>
        <v/>
      </c>
      <c r="N527" s="642"/>
      <c r="O527" s="591" t="s">
        <v>305</v>
      </c>
      <c r="P527" s="591"/>
      <c r="Q527" s="628">
        <f t="shared" si="238"/>
        <v>0</v>
      </c>
      <c r="R527" s="629"/>
      <c r="S527" s="641" t="str">
        <f>IF(ISERROR(Q527/Q530),"",Q527/Q530)</f>
        <v/>
      </c>
      <c r="T527" s="642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640" t="s">
        <v>234</v>
      </c>
      <c r="B528" s="602"/>
      <c r="C528" s="601">
        <f>SUM(G148,G319,G490)</f>
        <v>1289</v>
      </c>
      <c r="D528" s="602"/>
      <c r="E528" s="641">
        <f>IF(ISERROR(C528/C530),"",C528/C530)</f>
        <v>9.9605903716868865E-2</v>
      </c>
      <c r="F528" s="642"/>
      <c r="G528" s="636"/>
      <c r="H528" s="637"/>
      <c r="I528" s="643" t="s">
        <v>306</v>
      </c>
      <c r="J528" s="644"/>
      <c r="K528" s="598">
        <f t="shared" si="237"/>
        <v>0</v>
      </c>
      <c r="L528" s="599"/>
      <c r="M528" s="641" t="str">
        <f>IF(ISERROR(K528/K530),"",K528/K530)</f>
        <v/>
      </c>
      <c r="N528" s="642"/>
      <c r="O528" s="591" t="s">
        <v>267</v>
      </c>
      <c r="P528" s="591"/>
      <c r="Q528" s="628">
        <f t="shared" si="238"/>
        <v>0</v>
      </c>
      <c r="R528" s="629"/>
      <c r="S528" s="641" t="str">
        <f>IF(ISERROR(Q528/Q530),"",Q528/Q530)</f>
        <v/>
      </c>
      <c r="T528" s="642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640" t="s">
        <v>244</v>
      </c>
      <c r="B529" s="602"/>
      <c r="C529" s="601">
        <f>SUM(G163,G334,G506)</f>
        <v>485</v>
      </c>
      <c r="D529" s="602"/>
      <c r="E529" s="641">
        <f>IF(ISERROR(C529/C530),"",C529/C530)</f>
        <v>3.7477783787960746E-2</v>
      </c>
      <c r="F529" s="642"/>
      <c r="G529" s="636"/>
      <c r="H529" s="637"/>
      <c r="I529" s="643" t="s">
        <v>307</v>
      </c>
      <c r="J529" s="644"/>
      <c r="K529" s="598">
        <f t="shared" si="237"/>
        <v>0</v>
      </c>
      <c r="L529" s="599"/>
      <c r="M529" s="641" t="str">
        <f>IF(ISERROR(K529/K530),"",K529/K530)</f>
        <v/>
      </c>
      <c r="N529" s="642"/>
      <c r="O529" s="591" t="s">
        <v>272</v>
      </c>
      <c r="P529" s="591"/>
      <c r="Q529" s="628">
        <f t="shared" si="238"/>
        <v>0</v>
      </c>
      <c r="R529" s="629"/>
      <c r="S529" s="641" t="str">
        <f>IF(ISERROR(Q529/Q530),"",Q529/Q530)</f>
        <v/>
      </c>
      <c r="T529" s="642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601" t="s">
        <v>266</v>
      </c>
      <c r="B530" s="602"/>
      <c r="C530" s="601">
        <f>SUM(C524:C529)</f>
        <v>12941</v>
      </c>
      <c r="D530" s="602"/>
      <c r="E530" s="641">
        <f>SUM(E524:F529)</f>
        <v>1</v>
      </c>
      <c r="F530" s="642"/>
      <c r="G530" s="638"/>
      <c r="H530" s="639"/>
      <c r="I530" s="601" t="s">
        <v>266</v>
      </c>
      <c r="J530" s="599"/>
      <c r="K530" s="598">
        <f>SUM(R173,U344,U516)</f>
        <v>0</v>
      </c>
      <c r="L530" s="599"/>
      <c r="M530" s="641"/>
      <c r="N530" s="642"/>
      <c r="O530" s="591" t="s">
        <v>266</v>
      </c>
      <c r="P530" s="591"/>
      <c r="Q530" s="628">
        <f>SUM(Q524:R529)</f>
        <v>0</v>
      </c>
      <c r="R530" s="629"/>
      <c r="S530" s="641">
        <f>SUM(S524:T529)</f>
        <v>0</v>
      </c>
      <c r="T530" s="642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172"/>
      <c r="D531" s="172"/>
      <c r="E531" s="172"/>
      <c r="F531" s="172"/>
      <c r="G531" s="173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643" t="s">
        <v>308</v>
      </c>
      <c r="B532" s="597"/>
      <c r="C532" s="478" t="s">
        <v>309</v>
      </c>
      <c r="D532" s="478" t="s">
        <v>310</v>
      </c>
      <c r="E532" s="478" t="s">
        <v>311</v>
      </c>
      <c r="F532" s="478" t="s">
        <v>312</v>
      </c>
      <c r="G532" s="348" t="s">
        <v>313</v>
      </c>
      <c r="H532" s="129" t="s">
        <v>314</v>
      </c>
      <c r="I532" s="129" t="s">
        <v>315</v>
      </c>
      <c r="J532" s="129" t="s">
        <v>316</v>
      </c>
      <c r="K532" s="479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488" t="s">
        <v>322</v>
      </c>
      <c r="Q532" s="129" t="s">
        <v>323</v>
      </c>
      <c r="R532" s="109" t="s">
        <v>324</v>
      </c>
      <c r="S532" s="478" t="s">
        <v>325</v>
      </c>
      <c r="T532" s="478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645" t="s">
        <v>327</v>
      </c>
      <c r="B533" s="646"/>
      <c r="C533" s="106">
        <f>D533+E533+F533-G533-O533-P533</f>
        <v>46</v>
      </c>
      <c r="D533" s="106">
        <f>+'7'!C533</f>
        <v>46</v>
      </c>
      <c r="E533" s="106"/>
      <c r="F533" s="106"/>
      <c r="G533" s="107"/>
      <c r="H533" s="106"/>
      <c r="I533" s="106"/>
      <c r="J533" s="106">
        <f>C533-H533-I533</f>
        <v>46</v>
      </c>
      <c r="K533" s="106"/>
      <c r="L533" s="106"/>
      <c r="M533" s="106"/>
      <c r="N533" s="106"/>
      <c r="O533" s="106"/>
      <c r="P533" s="108"/>
      <c r="Q533" s="106">
        <f>J533-K533-L533</f>
        <v>46</v>
      </c>
      <c r="R533" s="109">
        <f>Q533*11-M533-N533</f>
        <v>506</v>
      </c>
      <c r="S533" s="481">
        <f t="array" ref="S533">IF(ISERROR(Q533/J533),"",Q533/J533)</f>
        <v>1</v>
      </c>
      <c r="T533" s="481">
        <f t="array" ref="T533">IF(ISERROR((O533:P533)/C533),"",SUM(O533:P533)/C533)</f>
        <v>0</v>
      </c>
      <c r="X533" s="116"/>
      <c r="Y533" s="116"/>
      <c r="Z533" s="159"/>
      <c r="AA533" s="159"/>
    </row>
    <row r="534" spans="1:27" ht="20.100000000000001" customHeight="1">
      <c r="A534" s="645" t="s">
        <v>328</v>
      </c>
      <c r="B534" s="646"/>
      <c r="C534" s="106">
        <f>D534+E534+F534-G534-O534-P534</f>
        <v>44</v>
      </c>
      <c r="D534" s="106">
        <f>+'7'!C534</f>
        <v>44</v>
      </c>
      <c r="E534" s="110"/>
      <c r="F534" s="110"/>
      <c r="G534" s="107"/>
      <c r="H534" s="106"/>
      <c r="I534" s="106"/>
      <c r="J534" s="106">
        <f>C534-H534-I534</f>
        <v>44</v>
      </c>
      <c r="K534" s="106">
        <v>1</v>
      </c>
      <c r="L534" s="106"/>
      <c r="M534" s="106"/>
      <c r="N534" s="106"/>
      <c r="O534" s="110"/>
      <c r="P534" s="111"/>
      <c r="Q534" s="106">
        <f>J534-K534-L534</f>
        <v>43</v>
      </c>
      <c r="R534" s="109">
        <f>Q534*11-M534-N534</f>
        <v>473</v>
      </c>
      <c r="S534" s="481">
        <f t="array" ref="S534">IF(ISERROR(Q534/J534),"",Q534/J534)</f>
        <v>0.97727272727272729</v>
      </c>
      <c r="T534" s="481">
        <f t="array" ref="T534">IF(ISERROR((O534:P534)/C534),"",SUM(O534:P534)/C534)</f>
        <v>0</v>
      </c>
      <c r="X534" s="116"/>
      <c r="Y534" s="116"/>
      <c r="Z534" s="159"/>
      <c r="AA534" s="159"/>
    </row>
    <row r="535" spans="1:27" ht="20.100000000000001" customHeight="1">
      <c r="A535" s="645" t="s">
        <v>329</v>
      </c>
      <c r="B535" s="646"/>
      <c r="C535" s="106">
        <f>D535+E535+F535-G535-O535-P535</f>
        <v>10</v>
      </c>
      <c r="D535" s="106">
        <f>+'7'!C535</f>
        <v>10</v>
      </c>
      <c r="E535" s="110"/>
      <c r="F535" s="110"/>
      <c r="G535" s="107"/>
      <c r="H535" s="106"/>
      <c r="I535" s="106"/>
      <c r="J535" s="106">
        <f>C535-H535-I535</f>
        <v>10</v>
      </c>
      <c r="K535" s="106"/>
      <c r="L535" s="106"/>
      <c r="M535" s="106"/>
      <c r="N535" s="106"/>
      <c r="O535" s="110"/>
      <c r="P535" s="111"/>
      <c r="Q535" s="106">
        <f>J535-K535-L535</f>
        <v>10</v>
      </c>
      <c r="R535" s="109">
        <f>Q535*11-M535-N535</f>
        <v>110</v>
      </c>
      <c r="S535" s="481">
        <f t="array" ref="S535">IF(ISERROR(Q535/J535),"",Q535/J535)</f>
        <v>1</v>
      </c>
      <c r="T535" s="481">
        <f t="array" ref="T535">IF(ISERROR((O535:P535)/C535),"",SUM(O535:P535)/C535)</f>
        <v>0</v>
      </c>
      <c r="V535" s="179"/>
      <c r="X535" s="116"/>
      <c r="Y535" s="116"/>
      <c r="Z535" s="159"/>
      <c r="AA535" s="159"/>
    </row>
    <row r="536" spans="1:27" ht="20.100000000000001" customHeight="1">
      <c r="A536" s="647" t="s">
        <v>330</v>
      </c>
      <c r="B536" s="648"/>
      <c r="C536" s="112">
        <f>SUM(C533:C535)</f>
        <v>100</v>
      </c>
      <c r="D536" s="112">
        <f t="shared" ref="D536:N536" si="239">SUM(D533:D535)</f>
        <v>100</v>
      </c>
      <c r="E536" s="112">
        <f t="shared" si="239"/>
        <v>0</v>
      </c>
      <c r="F536" s="112">
        <f t="shared" si="239"/>
        <v>0</v>
      </c>
      <c r="G536" s="113">
        <f t="shared" si="239"/>
        <v>0</v>
      </c>
      <c r="H536" s="112">
        <f t="shared" si="239"/>
        <v>0</v>
      </c>
      <c r="I536" s="112">
        <f t="shared" si="239"/>
        <v>0</v>
      </c>
      <c r="J536" s="112">
        <f t="shared" si="239"/>
        <v>100</v>
      </c>
      <c r="K536" s="112">
        <f t="shared" si="239"/>
        <v>1</v>
      </c>
      <c r="L536" s="112">
        <f t="shared" si="239"/>
        <v>0</v>
      </c>
      <c r="M536" s="112">
        <f t="shared" si="239"/>
        <v>0</v>
      </c>
      <c r="N536" s="112">
        <f t="shared" si="239"/>
        <v>0</v>
      </c>
      <c r="O536" s="112">
        <f>SUM(O533:O535)</f>
        <v>0</v>
      </c>
      <c r="P536" s="112">
        <f>SUM(P533:P535)</f>
        <v>0</v>
      </c>
      <c r="Q536" s="112">
        <f>SUM(Q533:Q535)</f>
        <v>99</v>
      </c>
      <c r="R536" s="114">
        <f>SUM(R533:R535)</f>
        <v>1089</v>
      </c>
      <c r="S536" s="115">
        <f t="array" ref="S536">IF(ISERROR(Q536/J536),"",Q536/J536)</f>
        <v>0.99</v>
      </c>
      <c r="T536" s="115">
        <f t="array" ref="T536">IF(ISERROR((O536:P536)/C536),"",SUM(O536:P536)/C536)</f>
        <v>0</v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7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7"/>
      <c r="H538" s="116"/>
      <c r="I538" s="118" t="s">
        <v>332</v>
      </c>
      <c r="J538" s="198" t="s">
        <v>447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54" spans="2:2">
      <c r="B554" s="121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19</vt:i4>
      </vt:variant>
    </vt:vector>
  </HeadingPairs>
  <TitlesOfParts>
    <vt:vector size="19" baseType="lpstr">
      <vt:lpstr>31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表样</vt:lpstr>
      <vt:lpstr>周汇总</vt:lpstr>
      <vt:lpstr>汇总</vt:lpstr>
      <vt:lpstr>直接人工成本</vt:lpstr>
      <vt:lpstr>分类汇总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1996-12-17T01:32:42Z</dcterms:created>
  <dcterms:modified xsi:type="dcterms:W3CDTF">2017-01-14T03:19:20Z</dcterms:modified>
</cp:coreProperties>
</file>